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pablo/Desktop/Ignia/Junio/Multiplier/"/>
    </mc:Choice>
  </mc:AlternateContent>
  <xr:revisionPtr revIDLastSave="0" documentId="8_{CB82C55C-7465-F24F-A981-9179BB20CC1A}" xr6:coauthVersionLast="47" xr6:coauthVersionMax="47" xr10:uidLastSave="{00000000-0000-0000-0000-000000000000}"/>
  <bookViews>
    <workbookView xWindow="520" yWindow="500" windowWidth="14380" windowHeight="9580" tabRatio="500" xr2:uid="{00000000-000D-0000-FFFF-FFFF00000000}"/>
  </bookViews>
  <sheets>
    <sheet name="Data" sheetId="2" r:id="rId1"/>
    <sheet name="Disclaime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2" l="1"/>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9" i="2"/>
  <c r="R10" i="2"/>
  <c r="R11" i="2"/>
  <c r="R12" i="2"/>
  <c r="R167" i="2"/>
  <c r="R168" i="2"/>
  <c r="R169" i="2"/>
  <c r="R172" i="2"/>
  <c r="R171" i="2"/>
  <c r="R170" i="2"/>
  <c r="R8" i="2"/>
</calcChain>
</file>

<file path=xl/sharedStrings.xml><?xml version="1.0" encoding="utf-8"?>
<sst xmlns="http://schemas.openxmlformats.org/spreadsheetml/2006/main" count="1602" uniqueCount="833">
  <si>
    <t>Deal ID</t>
  </si>
  <si>
    <t>Companies</t>
  </si>
  <si>
    <t>Implied EV/EBITDA</t>
  </si>
  <si>
    <t>Implied EV/Revenue</t>
  </si>
  <si>
    <t>Description</t>
  </si>
  <si>
    <t>Deal Date</t>
  </si>
  <si>
    <t>Deal Type</t>
  </si>
  <si>
    <t>Deal Size</t>
  </si>
  <si>
    <t>Post Valuation</t>
  </si>
  <si>
    <t>EBITDA</t>
  </si>
  <si>
    <t>Valuation/EBITDA</t>
  </si>
  <si>
    <t>Revenue</t>
  </si>
  <si>
    <t>Valuation/Revenue</t>
  </si>
  <si>
    <t>Net Income</t>
  </si>
  <si>
    <t>Investors</t>
  </si>
  <si>
    <t>Primary Industry Code</t>
  </si>
  <si>
    <t>HQ Location</t>
  </si>
  <si>
    <t>View Company Online</t>
  </si>
  <si>
    <t>109499-50T</t>
  </si>
  <si>
    <t>LevelUp</t>
  </si>
  <si>
    <t/>
  </si>
  <si>
    <t>Developer of a next-generation mobile payment network designed to connect consumers and merchants. The company's platform engages existing and new customers with digital-ordering, payment and loyalty experiences, enabling restaurants to understand and interact with their customers seamlessly.</t>
  </si>
  <si>
    <t>Merger/Acquisition</t>
  </si>
  <si>
    <t>Grubhub(Matthew Maloney)</t>
  </si>
  <si>
    <t>Financial Software</t>
  </si>
  <si>
    <t>Boston, MA</t>
  </si>
  <si>
    <t>102091-87T</t>
  </si>
  <si>
    <t>Ring</t>
  </si>
  <si>
    <t>Developer of wireless frequency-enabled smart security devices created to reduce crime in communities. The company's devices feature a wide-angle lens and a built-in microphone and speaker to see, hear, and speak to anyone, enabling users to easily monitor every corner of their property.</t>
  </si>
  <si>
    <t>Amazon.com (NAS: AMZN)(Jeffrey Bezos)</t>
  </si>
  <si>
    <t>Electronics (B2C)</t>
  </si>
  <si>
    <t>Hawthorne, CA</t>
  </si>
  <si>
    <t>176380-57T</t>
  </si>
  <si>
    <t>Four Technologies</t>
  </si>
  <si>
    <t>Developer of a payment platform focused on helping businesses to drive sales, conversions and loyalty. The company offers flexible payment options to shoppers allowing shoppers to purchase now and pay in installments at later dates, enabling customers with easy credit and businesses with increased sales and customer loyalty.</t>
  </si>
  <si>
    <t>Progressive Leasing (NYS: PRG)(Steven Michaels)</t>
  </si>
  <si>
    <t>Miami, FL</t>
  </si>
  <si>
    <t>185905-72T</t>
  </si>
  <si>
    <t>Payix</t>
  </si>
  <si>
    <t>Developer of payment processing and real-time loan management system integration software designed to improve the ability to collect payments. The company's platform offers collection tools and omnichannel payment acceptance from native mobile payment apps, online, IVR, phone and even text, enabling business clients to engage with their borrowers and collect payments in a hassle-free manner.</t>
  </si>
  <si>
    <t>Realtime Electronic Payments (NAS: RPAY)(John Morris)</t>
  </si>
  <si>
    <t>Bedford, TX</t>
  </si>
  <si>
    <t>120244-69T</t>
  </si>
  <si>
    <t>LifeWhere</t>
  </si>
  <si>
    <t>Provider of SaaS platform intended to remotely monitor, diagnose, and predict HVAC system failures. The company's platform using IoT technology connects utilities to the cloud where analytics identify problems, service providers use this information to reduce onsite diagnostics which reduces time-to-repair and is designed improves staff utilization, enabling residential and commercial facilities owners to monitor what's about to break and avert a disaster before it's too late</t>
  </si>
  <si>
    <t>Resideo Technologies (NYS: REZI)</t>
  </si>
  <si>
    <t>Media and Information Services (B2B)</t>
  </si>
  <si>
    <t>Pittsburgh, PA</t>
  </si>
  <si>
    <t>104125-15T</t>
  </si>
  <si>
    <t>Edmodo</t>
  </si>
  <si>
    <t>Developer of a micro-blogging and social learning platform designed to become a social learning community. The company's platform has features to post classroom materials, share links and videos and access homework, grades and school notices, thereby enabling educators to connect and collaborate with students and parents.</t>
  </si>
  <si>
    <t>NetDragon Websoft (HKG: 00777)(Simon Leung)</t>
  </si>
  <si>
    <t>Educational Software</t>
  </si>
  <si>
    <t>San Mateo, CA</t>
  </si>
  <si>
    <t>188437-33T</t>
  </si>
  <si>
    <t>Resonant</t>
  </si>
  <si>
    <t>Resonant Inc is a late-stage development company. It is developing software, intellectual property and a services platform to increase designer efficiency, reduce time to market and lower unit cost in the design of filters for radio frequency front ends for the mobile device industry. It operates in a single segment to design radio frequency filters. The group has a business presence in Japan, China and Other countries, of which key revenue is derived from Japan.</t>
  </si>
  <si>
    <t>Murata Manufacturing Company (TKS: 6981)(Norio Nakajima)</t>
  </si>
  <si>
    <t>Communication Software</t>
  </si>
  <si>
    <t>Austin, TX</t>
  </si>
  <si>
    <t>106472-80T</t>
  </si>
  <si>
    <t>Pulse Evolution (PINX: PLFX)</t>
  </si>
  <si>
    <t>Pulse Evolution Corp is active in the technology sector of the United States. It is engaged in developing hyper-realistic digital humans- computer-generated assets that appear to be human and can perform in live shows, virtual reality, augmented reality, holographic, 3-dimensions (3D) stereoscopic, web, mobile, interactive, and artificial intelligence applications.</t>
  </si>
  <si>
    <t>Evolution|AI(John Textor)</t>
  </si>
  <si>
    <t>IT Consulting and Outsourcing</t>
  </si>
  <si>
    <t>Port Saint Lucie, FL</t>
  </si>
  <si>
    <t>177831-01T</t>
  </si>
  <si>
    <t>Score Media Ventures</t>
  </si>
  <si>
    <t>Operator of a digital media company intended to deliver live scoring updates and breaking news. The company's sports app delivers fans highly personalized live scores, news, stats and betting information from their favorite teams, leagues and players and also creates and distributes digital content through its web, social and esports platforms.</t>
  </si>
  <si>
    <t>PENN Entertainment (NAS: PENN)(Jay Snowden)</t>
  </si>
  <si>
    <t>Publishing</t>
  </si>
  <si>
    <t>Toronto, Canada</t>
  </si>
  <si>
    <t>185448-34T</t>
  </si>
  <si>
    <t>Truebill</t>
  </si>
  <si>
    <t>Developer of a finance management application designed to optimize spending, manage subscriptions and save money. The company's application uses bank-level security with encryption and read-only access, leverages artificial intelligence to analyze spending habits and identifies inefficiencies to take action, enabling users to improve their financial health.</t>
  </si>
  <si>
    <t>Rocket Companies (NYS: RKT)(Jay Farner)</t>
  </si>
  <si>
    <t>Other Financial Services</t>
  </si>
  <si>
    <t>Silver Spring, MD</t>
  </si>
  <si>
    <t>176249-80T</t>
  </si>
  <si>
    <t>RiskIQ</t>
  </si>
  <si>
    <t>Developer of a digital threat management platform designed to offer unified insight and control for external threats. The company's platform offers website security, mobile application security and anti-advertising services beyond the firewall, enabling users to detect anomalies, policy violations and previously undetected threats.</t>
  </si>
  <si>
    <t>Microsoft (NAS: MSFT)(Satya Nadella)</t>
  </si>
  <si>
    <t>Network Management Software</t>
  </si>
  <si>
    <t>San Francisco, CA</t>
  </si>
  <si>
    <t>206541-73T</t>
  </si>
  <si>
    <t>Noonlight</t>
  </si>
  <si>
    <t>Developer of an online personal safety application designed to protect and comfort people so that they can live freely. The company's application offers protection with the assistance of precise location detection and sends the location status directly to the police in case of an emergency, enabling users to proactively protect themselves.</t>
  </si>
  <si>
    <t>Alarm.com Holdings (NAS: ALRM)(Jeffrey Bedell)</t>
  </si>
  <si>
    <t>Application Software</t>
  </si>
  <si>
    <t>Saint Louis, MO</t>
  </si>
  <si>
    <t>279202-78T</t>
  </si>
  <si>
    <t>HUMBL (PINX: HMBL)</t>
  </si>
  <si>
    <t>HUMBL Inc is a digital commerce company. It operates a platform to connect consumers, businesses, and governments in the digital economy. HUMBL provides simple tools and packaging for complex new technologies such as blockchain, in the same way that previous cycles of e-commerce and the cloud were more simply packaged by companies such as Facebook, Apple, Amazon and Netflix over the past several decades. The company's segment includes Consumer and Commercial. It generates maximum revenue from the Consumer segment. They account for revenues based on the verticals in which they were earned, the three principal verticals being HUMBL Wallet, and HUMBL Marketplace, HBS.</t>
  </si>
  <si>
    <t>WSCG</t>
  </si>
  <si>
    <t>San Diego, CA</t>
  </si>
  <si>
    <t>289889-11T</t>
  </si>
  <si>
    <t>The INX Digital Company (NEOE: INXD)</t>
  </si>
  <si>
    <t>INX Digital Co Inc is engaged in the operation and ongoing development of comprehensive infrastructure and regulated solutions for trading and investing in blockchain assets as well as utilizing digital assets as a form of payment. The company operates in two segments namely Digital asset segment and Brokerage segment. It derives maximum revenue from Digital Asset Segment. The company also facilitates financial transactions between banks across globe and offers a full range of brokerage services to several banking institutions world-wide, mainly in foreign exchange and interest rate derivatives. It derives maximum revenue from Switzerland and also has its presence in United States, United Kingdom, Japan, State of Israel, Gibraltar, Canada and Others.</t>
  </si>
  <si>
    <t>Republic</t>
  </si>
  <si>
    <t>Vancouver, Canada</t>
  </si>
  <si>
    <t>191084-41T</t>
  </si>
  <si>
    <t>Zimperium</t>
  </si>
  <si>
    <t>Developer of a mobile threat defence platform designed to detect and protect organizations from mobile cyberattacks in real-time. The company's platform provides continuous, on-device monitoring and analysis capabilities without signatures, a cloud-based sandbox or an Internet connection, enabling enterprises of all sizes, large federal and local government agencies, leading mobile operators and major OEM partners to protect mobile data, applications and sessions against device compromises, network attacks and malicious applications.</t>
  </si>
  <si>
    <t>Buyout/LBO</t>
  </si>
  <si>
    <t>Liberty Strategic Capital(Steven Mnuchin)</t>
  </si>
  <si>
    <t>Dallas, TX</t>
  </si>
  <si>
    <t>170622-19T</t>
  </si>
  <si>
    <t>Measure Global</t>
  </si>
  <si>
    <t>Developer of a plug-and-play operating system designed to automate drone operations workflows. The company's platform offers end-to-end program management, user-friendly flight control and in-platform data analysis to operate drone fleets, fly autonomously, collaborate globally, visualize data and integrate with existing business systems and processes, businesses save hazardous man-hours and create operational benefits.</t>
  </si>
  <si>
    <t>AgEagle Aerial Systems (ASE: UAVS)(Michael Drozd)</t>
  </si>
  <si>
    <t>Business/Productivity Software</t>
  </si>
  <si>
    <t>Washington, DC</t>
  </si>
  <si>
    <t>105018-76T</t>
  </si>
  <si>
    <t>Miningsky Technology</t>
  </si>
  <si>
    <t>Operator of a blockchain infrastructure company based in Vancouver, British Columbia. The company's services include power and energy services, mining farm construction, miner hosting and colocation services, thereby enabling large-scale mining farms to optimize mining power consumption.</t>
  </si>
  <si>
    <t>Skychain Technologies (TSX: SCT.H)(Bill Zhang)</t>
  </si>
  <si>
    <t>205508-17T</t>
  </si>
  <si>
    <t>League Network</t>
  </si>
  <si>
    <t>Developer and operator of a fintech fundraising platform intended to serve youth and school sports organizations. The company's platform is an official fundraising partner of large sports organizations and providers, representing over 1,000,000 teams in 30 team sports, and it offers free directories and best practices for the league, club, and tournament leaders, enabling sports organizations to achieve sustainability, improve the quality of their services and increase their community outreach.</t>
  </si>
  <si>
    <t>Newark, NJ</t>
  </si>
  <si>
    <t>128569-87T</t>
  </si>
  <si>
    <t>Chalice Network</t>
  </si>
  <si>
    <t>Developer of a membership organization platform designed to empower independent wealth advisors. The company's platform offers wealth management products and services, as well as provides means to leverage both business services and operating tools from the same marketplace, enabling wealth advisors to get access to a suite of technology products and business services by a single sign-on.</t>
  </si>
  <si>
    <t>Kingswood Holding (LON: KWG)</t>
  </si>
  <si>
    <t>Melbourne, FL</t>
  </si>
  <si>
    <t>226600-57T</t>
  </si>
  <si>
    <t>X1 Card</t>
  </si>
  <si>
    <t>Provider of credit cards and financial services intended for shopping and other electronic purchases. The company provides stainless steel credit cards that have various automated features and reward programs as well as a point system for every purchase that can be redeemed later, enabling credit cardholders to transform the way they shop.</t>
  </si>
  <si>
    <t>Robinhood (NAS: HOOD)(Vladimir Tenev)</t>
  </si>
  <si>
    <t>169895-80T</t>
  </si>
  <si>
    <t>Radish</t>
  </si>
  <si>
    <t>Developer of a serialized fiction application platform designed to provide early access to engaging stories. The company's platform has various authors in genres like romance, fantasy, young-adult, paranormal, mystery and sci-fi, it features episode or chapter-wise sales of the serialized fiction, enabling writers to get paid immediately while retaining the copyright.</t>
  </si>
  <si>
    <t>Kakao M</t>
  </si>
  <si>
    <t>New York, NY</t>
  </si>
  <si>
    <t>244849-33T</t>
  </si>
  <si>
    <t>PayByPhone Technologies</t>
  </si>
  <si>
    <t>Developer of a parking payment mobile software application intended to serve business owners, drivers and parking operators. The company platform allows payment for parking, bike-sharing, transit and electric vehicle charging transactions, thereby enabling users to easily and securely pay for parking without the hassle of waiting in line, carrying change and risking fines.</t>
  </si>
  <si>
    <t>Corpay (NYS: CPAY)</t>
  </si>
  <si>
    <t>178101-01T</t>
  </si>
  <si>
    <t>Service Finance Company</t>
  </si>
  <si>
    <t>Provider of home improvement and solar projects financial services intended to serve homeowners and contractors. The company is an approved FHA Title I lender offering a technology-enabled platform, enabling contractors to provide financing services to consumers as part of the in-home sales process via a national home improvement and solar contractors network.</t>
  </si>
  <si>
    <t>Truist (NYS: TFC)(Michael Maguire)</t>
  </si>
  <si>
    <t>Specialized Finance</t>
  </si>
  <si>
    <t>Boca Raton, FL</t>
  </si>
  <si>
    <t>112971-52T</t>
  </si>
  <si>
    <t>SendGrid</t>
  </si>
  <si>
    <t>SendGrid Inc is a US-based digital communication platform which enables businesses to engage with their customers via email reliably, effectively and at scale. It develops the cloud-based platform which allows for frictionless adoption and immediate value creation for businesses. The company offers various services such as Email API; Marketing Campaigns; and Expert Services. The Email API service enables businesses to send off emails and incorporates proprietary technology and domain expertise to significantly improve deliverability rates. The Marketing Campaigns service allows marketers to upload and manage customer contact lists, create and test email templates, and executing multi-faceted email campaigns. Most of the company's revenue comes from the US.</t>
  </si>
  <si>
    <t>Twilio (NYS: TWLO)(Jeffery Lawson)</t>
  </si>
  <si>
    <t>Denver, CO</t>
  </si>
  <si>
    <t>173591-02T</t>
  </si>
  <si>
    <t>NuOrder</t>
  </si>
  <si>
    <t>Operator of a wholesale e-commerce platform intended to connect brands and retailers. The company's platform helps brands to showcase products, power market appointments, boost sales and retailers to visualize the buy and create merchandising stories, enabling brands to deliver a collaborative and wholesale process, where buyers can browse products, plan assortments and make smart buys in real-time.</t>
  </si>
  <si>
    <t>Lightspeed Commerce (TSE: LSPD)(Dax Dasilva)</t>
  </si>
  <si>
    <t>Los Angeles, CA</t>
  </si>
  <si>
    <t>188895-43T</t>
  </si>
  <si>
    <t>Technisys</t>
  </si>
  <si>
    <t>Developer of digital banking software designed to improve customer experience across banking interaction channels. The company's software uses machine learning and artificial intelligence to integrate all banking and neo-banking channels that permit its customers to bring positive, smart, and compelling experiences to their increasingly demanding digital consumers, enabling banks to create digital ecosystems and build exceptional and empathic digital experiences.</t>
  </si>
  <si>
    <t>SoFi (NAS: SOFI)(Anthony Noto)</t>
  </si>
  <si>
    <t>188101-00T</t>
  </si>
  <si>
    <t>Amion</t>
  </si>
  <si>
    <t>Developer of a scheduling application for physicians intended to help to manage timely schedules. The company manages on-call schedules and offers a messaging application that buzzes discretely for reminders to help physicians save time, so they can provide better care for patients, thereby enabling its customers to avail the application for hassle-free syncing and managing attendance, meetings and calls.</t>
  </si>
  <si>
    <t>Doximity (NYS: DOCS)(Jeffrey Tangney)</t>
  </si>
  <si>
    <t>Enterprise Systems (Healthcare)</t>
  </si>
  <si>
    <t>Newton, MA</t>
  </si>
  <si>
    <t>256778-65T</t>
  </si>
  <si>
    <t>Check OK</t>
  </si>
  <si>
    <t>Developer of an electronic credit verification platform intended to simplify the credit journey of SMEs. The company's platform offers services including credit consultation, credit score information of customers and digital billing and negative payment facilities, enabling users to get relevant information needed to grant the right credit to the customers.</t>
  </si>
  <si>
    <t>Delend</t>
  </si>
  <si>
    <t>Sao Paulo, Brazil</t>
  </si>
  <si>
    <t>132590-71T</t>
  </si>
  <si>
    <t>Vlocity</t>
  </si>
  <si>
    <t>Developer of a cloud-based software intended to deliver industry-specific customer experiences. The company's software provides cloud applications that help companies to deliver unified, industry-specific customer experiences in customer-centric industries, including communications and media, health insurance and the public sector, enabling clients to achieve faster business agility and time to value from the cloud across digital and traditional channels.</t>
  </si>
  <si>
    <t>Salesforce (NYS: CRM)</t>
  </si>
  <si>
    <t>186095-35T</t>
  </si>
  <si>
    <t>Vocera Communications</t>
  </si>
  <si>
    <t>Provider of clinical communication and workflow optimization services intended to help, protect and connect team members in the healthcare sector. The company offers secure, integrated, and intelligent communication and workflow solutions that empower mobile workers in healthcare, hospitality, energy, and other mission-critical mobile work environments in the United States and internationally.</t>
  </si>
  <si>
    <t>Stryker (NYS: SYK)(Kevin Lobo)</t>
  </si>
  <si>
    <t>Other Services (B2C Non-Financial)</t>
  </si>
  <si>
    <t>San Jose, CA</t>
  </si>
  <si>
    <t>287786-08T</t>
  </si>
  <si>
    <t>Beacon Platform</t>
  </si>
  <si>
    <t>Developer of a cloud-native platform designed to model and manage risk across all asset classes. The company's platform helps to optimize trades and holdings, aggregate, model, and manage risk, integrate diverse datasets and analytics to evaluate performance across books, portfolios, and asset classes, and build, test, configure, and deploy cloud-native applications, enabling quantitative developers to improve speed and efficiency.</t>
  </si>
  <si>
    <t>Clearwater Analytics Holdings (NYS: CWAN)(Sandeep Sahai)</t>
  </si>
  <si>
    <t>129629-17T</t>
  </si>
  <si>
    <t>InTouch Health</t>
  </si>
  <si>
    <t>Developer of virtual care platform designed to provide high-quality, patient-centric virtual care for every use case and any clinical setting. The company's platform offers physician services to assist healthcare systems in meeting their telehealth demands and to address physician shortages, enabling healthcare professionals to easily deliver care anytime virtually from anywhere.</t>
  </si>
  <si>
    <t>Teladoc Health (NYS: TDOC)(Jason Gorevic)</t>
  </si>
  <si>
    <t>Clinics/Outpatient Services</t>
  </si>
  <si>
    <t>Santa Barbara, CA</t>
  </si>
  <si>
    <t>164985-40T</t>
  </si>
  <si>
    <t>2nd.MD</t>
  </si>
  <si>
    <t>Provider of a video consultation platform intended to facilitate users in receiving medical opinion and medical decision from medical professionals The company connects users with board-certified national experts across the country for a valuable medical consultation in a real-time video call or by phone, enabling them to search, read reviews and consult with physicians and medical specialist through its online platform.</t>
  </si>
  <si>
    <t>Accolade (Managed Care)(Rajeev Singh)</t>
  </si>
  <si>
    <t>Houston, TX</t>
  </si>
  <si>
    <t>134707-15T</t>
  </si>
  <si>
    <t>Galileo (Financial Software)</t>
  </si>
  <si>
    <t>Developer of a payment processing platform intended to redefine the possibilities in payment services. The company's platform offers superior fraud detection, security, decision-making analytics, and regulatory compliance functionality combined with customized, responsive, and flexible programs to accelerate the success of all payment companies, enabling users to get the exact customized financial program as per their needs.</t>
  </si>
  <si>
    <t>SoFi (NAS: SOFI)</t>
  </si>
  <si>
    <t>Sandy, UT</t>
  </si>
  <si>
    <t>186440-05T</t>
  </si>
  <si>
    <t>MarketMan</t>
  </si>
  <si>
    <t>Developer of inventory management software designed to help food service distributors, suppliers, and restaurant operators. The company's software provides a cloud-based ordering platform that communicates with the point-of-sale systems and also offers services like real-time inventory tracking, pricing information and cost control, enabling restaurants to have complete information about their inventory status.</t>
  </si>
  <si>
    <t>Meal Ticket(Pete Kasper), PSG(John Marquis)</t>
  </si>
  <si>
    <t>170966-98T</t>
  </si>
  <si>
    <t>PlushCare</t>
  </si>
  <si>
    <t>Provider of virtual primary care and mental health treatment services intended to connect doctors with patients online. The company's platform helps individuals to schedule an online appointment with doctors who can diagnose, treat, and prescribe medication over the phone or video, thereby enabling healthcare providers to cure their patients remotely.</t>
  </si>
  <si>
    <t>Other Healthcare Services</t>
  </si>
  <si>
    <t>233728-57T</t>
  </si>
  <si>
    <t>Burgiss</t>
  </si>
  <si>
    <t>Provider of portfolio management software and data analytics designed to streamline investments. The company's products feature portfolio monitoring and reporting, performance measurement and benchmarking, cash flow forecasting, document management, investor administration and exposure analysis, enabling asset managers, asset owners and financial intermediaries who invest in private capital to make data-driven decisions.</t>
  </si>
  <si>
    <t>MSCI (NYS: MSCI)(Henry Fernandez)</t>
  </si>
  <si>
    <t>Hoboken, NJ</t>
  </si>
  <si>
    <t>261355-06T</t>
  </si>
  <si>
    <t>GoCanvas</t>
  </si>
  <si>
    <t>Developer of a cloud-computing SaaS platform designed to help companies quickly address the challenges of running and growing their business. The company's platform offers an application that works on smartphones and tablets and replaces outdated processes and expensive paperwork by automating workflow, enabling companies to collect information across their organization, share it instantly with others and gain real-time insight into their business operations.</t>
  </si>
  <si>
    <t>Nemetschek Group (ETR: NEM)(Yves Padrines)</t>
  </si>
  <si>
    <t>Reston, VA</t>
  </si>
  <si>
    <t>104796-82T</t>
  </si>
  <si>
    <t>ClickPay</t>
  </si>
  <si>
    <t>Developer of real estate billing and payment platform designed to redefine receivables. The company's platform offers integrated payment services and accepts most payment methods, including checks, e-checks, credit and debit cards, thereby enabling real estate enterprises to increase operational efficiencies and increase resident satisfaction.</t>
  </si>
  <si>
    <t>RealPage(Stephen Winn)</t>
  </si>
  <si>
    <t>Hackensack, NJ</t>
  </si>
  <si>
    <t>128293-39T</t>
  </si>
  <si>
    <t>Sonar Technologies</t>
  </si>
  <si>
    <t>Developer of a business text messaging platform intended to provide business organizations an effective way to engage with customers over mobile and magnify the effectiveness of phone, chat, and email. The company's platform bridges the gap between businesses and their customers over mobile while demonstrating the power of utilizing AI and chatbots at scale, enabling clients to increase revenue by improving consumer experience and engagement.</t>
  </si>
  <si>
    <t>Marchex (NAS: MCHX)(Russell Horowitz)</t>
  </si>
  <si>
    <t>Thousand Oaks, CA</t>
  </si>
  <si>
    <t>158771-98T</t>
  </si>
  <si>
    <t>ShopKeep</t>
  </si>
  <si>
    <t>Developer of a cloud-based point-of-sale technology platform designed to empower independent business owners to run operations with ease. The company's platform offers mobile point-of-sale services to small and medium-sized businesses and helps them to manage their inventory and employees, enabling retail merchants to run customer transactions from an iPad.</t>
  </si>
  <si>
    <t>118218-61T</t>
  </si>
  <si>
    <t>Equian</t>
  </si>
  <si>
    <t>Owner and operator of a payment-processing platform intended for the healthcare industry. The company offers cost management, containment services, discounts, database management, imaging, charting, claims management and scheduling services, thereby enabling its clients to be provided with end-to-end payment integrity solutions to drive optimal savings and reduce administrative demands.</t>
  </si>
  <si>
    <t>UnitedHealth Group (NYS: UNH)(Andrew Witty)</t>
  </si>
  <si>
    <t>Indianapolis, IN</t>
  </si>
  <si>
    <t>187336-36T</t>
  </si>
  <si>
    <t>AerisWeather</t>
  </si>
  <si>
    <t>Provider of application programming interface and mapping platform intended to offer cost-effective resources. The company's platform offers custom technologies for weather-sensitive businesses and media properties, data and graphics, weather forecasting, and also facilitates global weather data via the mobile application, enabling companies to operate more efficiently</t>
  </si>
  <si>
    <t>Vaisala (HEL: VAIAS)(Kaarina Muurinen)</t>
  </si>
  <si>
    <t>Minneapolis, MN</t>
  </si>
  <si>
    <t>169004-26T</t>
  </si>
  <si>
    <t>Moka (Montreal)</t>
  </si>
  <si>
    <t>Developer of a financial technology application designed to assist users in achieving their financial goals. The company's platform uses artificial intelligence to provide personalized insights and recommendations regarding managing their finance and automatically rounds up every purchase users make and invest, enabling users to make financial decisions in a simplified way and maximize their potential growth.</t>
  </si>
  <si>
    <t>Mogo (Financial Software) (TSE: MOGO)(David Feller)</t>
  </si>
  <si>
    <t>Montreal, Canada</t>
  </si>
  <si>
    <t>248667-04T</t>
  </si>
  <si>
    <t>Nomowave</t>
  </si>
  <si>
    <t>Developer of a telecommunication application designed to change billing and customer relationship management systems. The company offers an application that can track consumption, and change or cancel plans whenever one wants, with no fidelity and no crisis and if users don't use the data that is hired, it indicates a new cheaper plan, providing clients its services at affordable rates.</t>
  </si>
  <si>
    <t>Bemobi (BVMF: BMOB3)</t>
  </si>
  <si>
    <t>Telecommunications Service Providers</t>
  </si>
  <si>
    <t>116324-56T</t>
  </si>
  <si>
    <t>Morgan Stanley At Work</t>
  </si>
  <si>
    <t>Provider of cloud-enabled services intended for administration, financial reporting, and compliance related to equity-based incentive plans. The company provides web-based and cloud-enabled services for administration, financial reporting and regulatory compliance related to equity plans, enabling clients with premier wealth management capabilities that helps them to simplify their equity compensation plans.</t>
  </si>
  <si>
    <t>Morgan Stanley (NYS: MS)(James Gorman)</t>
  </si>
  <si>
    <t>265419-64T</t>
  </si>
  <si>
    <t>GRIID Infrastructure</t>
  </si>
  <si>
    <t>GRIID Infrastructure Inc is a vertically integrated Bitcoin mining company. It owns and operates a growing portfolio of energy infrastructure and high-density data centers across North America. The Company has built a cryptocurrency mining operation, which operates specialized computers (also known as miners) that generate cryptocurrency. Currently, the only cryptocurrency mined by GRIID is Bitcoin.</t>
  </si>
  <si>
    <t>CleanSpark (NAS: CLSK)(Zachary Bradford)</t>
  </si>
  <si>
    <t>Cincinnati, OH</t>
  </si>
  <si>
    <t>200814-49T</t>
  </si>
  <si>
    <t>EVO Payments</t>
  </si>
  <si>
    <t>Provider of payment processing services catering to small and mid-size enterprises, multinational companies and organizations across the Americas and Europe. The company offers payment transaction processing, fraud &amp; loss prevention, cashback, accelerated funding, currency conversion, loyalty programs and receivables management services along with merchant acquiring solutions, including integrated solutions for retail transactions at physical business locations, as well as eCommerce and mobile transactions, thereby providing solutions that promote business growth, increase customer loyalty and enhance data security in the markets.</t>
  </si>
  <si>
    <t>Global Payments (NYS: GPN)(Cameron Bready)</t>
  </si>
  <si>
    <t>Atlanta, GA</t>
  </si>
  <si>
    <t>105578-02T</t>
  </si>
  <si>
    <t>Glassdoor</t>
  </si>
  <si>
    <t>Operator of an online job searching platform intended to help people everywhere to find jobs and companies. The company's job searching platform offers data related to company reviews, salary reports, interview reviews and questions, benefits reviews, office photos, and the latest job openings, enabling job seekers to apply for their desired profile through their website.</t>
  </si>
  <si>
    <t>Recruit Holdings (TKS: 6098)(Hisayuki Idekoba)</t>
  </si>
  <si>
    <t>Human Capital Services</t>
  </si>
  <si>
    <t>Mill Valley, CA</t>
  </si>
  <si>
    <t>165348-46T</t>
  </si>
  <si>
    <t>tastytrade</t>
  </si>
  <si>
    <t>Operator of an online financial network intended to provide actionable information rooted in research and experience that can grow investments. The company's network provides financial information, investment strategies, and entertainment related to options trading and the stock market, enabling traders and investors to learn a logical, mechanical approach to investing and identifying opportunities based on probability and volatility.</t>
  </si>
  <si>
    <t>IG Group Holdings (LON: IGG)(June Yee Felix)</t>
  </si>
  <si>
    <t>Chicago, IL</t>
  </si>
  <si>
    <t>117904-24T</t>
  </si>
  <si>
    <t>Xevo</t>
  </si>
  <si>
    <t>Provider of Software as a Service based automotive technology designed to connect drivers and their vehicles to mobile applications, content and services. The company's automotive technology combines in car data, cloud-based analytics, machine learning and artificial intelligence to provide unparalleled insights and deliver new services, enabling automotive and cruise industries to create a connected experience for both drivers and automobile manufacturers.</t>
  </si>
  <si>
    <t>Lear (NYS: LEA)(Raymond Scott)</t>
  </si>
  <si>
    <t>Bellevue, WA</t>
  </si>
  <si>
    <t>285487-39T</t>
  </si>
  <si>
    <t>Grover Gaming</t>
  </si>
  <si>
    <t>Developer of gaming software, content and systems committed to serving customers in various gaming jurisdictions across the United States. The company is engaged in providing in-house design and development of adventure games, back-end systems, and global reporting sites for markets including skill-based redemption, video lottery terminals, historical horse racing, and electronic pull-tab gaming.</t>
  </si>
  <si>
    <t>LNW Gaming (NAS: LNW)(Matthew Wilson)</t>
  </si>
  <si>
    <t>Entertainment Software</t>
  </si>
  <si>
    <t>Greenville, NC</t>
  </si>
  <si>
    <t>159912-55T</t>
  </si>
  <si>
    <t>Homesnap</t>
  </si>
  <si>
    <t>Developer of a mobile real estate search platform intended for exploring homes and search listings. The company's platform provides detailed listings, instant access to school attendance zones, property lines, property history, and customized news feeds and notifications to provide real-time information.</t>
  </si>
  <si>
    <t>CoStar Group (NAS: CSGP)(Andrew Florance)</t>
  </si>
  <si>
    <t>Bethesda, MD</t>
  </si>
  <si>
    <t>199747-00T</t>
  </si>
  <si>
    <t>Industry Dive</t>
  </si>
  <si>
    <t>Operator of a platform intended to offer industry insights and analysis to industry executives. The company specializes in lead generation, online media, publishing, marketing services and audience development, providing decision-makers with updated information for competitive advantage.</t>
  </si>
  <si>
    <t>Informa (LON: INF)(Stephen Carter)</t>
  </si>
  <si>
    <t>105193-18T</t>
  </si>
  <si>
    <t>Financial Engines</t>
  </si>
  <si>
    <t>Provider of technology-enabled financial and investment advisory services intended to build a better financial future. The company's fee-based advice and asset management expertise combined with online services, dedicated advisers and personal attention promotes financial wellness for the companies, enabling them to help their employees with personalized financial guidance.</t>
  </si>
  <si>
    <t>Edelman Financial Engines(Ryan Parker)</t>
  </si>
  <si>
    <t>Sunnyvale, CA</t>
  </si>
  <si>
    <t>93683-08T</t>
  </si>
  <si>
    <t>BroadSoft</t>
  </si>
  <si>
    <t>Provider of communication software and services intended to transform their customer's work. The company's communication software offers enterprise and consumer calling, messaging and collaboration communication services, including private branch exchanges, video calling, text messaging and converged mobile and fixed-line services. It also provides voice over internet protocol (VoIP) applications serving more than 450 telecommunications service providers.</t>
  </si>
  <si>
    <t>Cisco Systems (NAS: CSCO)</t>
  </si>
  <si>
    <t>Gaithersburg, MD</t>
  </si>
  <si>
    <t>123208-39T</t>
  </si>
  <si>
    <t>RMDY Health</t>
  </si>
  <si>
    <t>Provider of collaborative digital therapeutics SaaS-based platform for the healthcare industry. The company's SaaS platform offers a comprehensive digital framework to help life science and healthcare stakeholders rapidly and effortlessly design and launch their own white-label collaborative digital care and patient support programs. Its web and mobile platform support a wide range of digital therapeutic initiatives, with a focus on care management for payors, chronic disease management for healthcare providers, pharma patient support programs, research and wellness.</t>
  </si>
  <si>
    <t>OptimizeRx (NAS: OPRX)(William Febbo)</t>
  </si>
  <si>
    <t>East Rockaway, NY</t>
  </si>
  <si>
    <t>171997-84T</t>
  </si>
  <si>
    <t>NetMotion Software</t>
  </si>
  <si>
    <t>Developer of mobile security and performance management software intended to accelerate business-critical applications, hybrid networks and mobile devices. The company's platform gives IT decision-makers robust intelligence and control over devices, applications and networks enabling it to offer unparalleled mobile user experience, increase operational efficiencies and resolve performance issues in real-time.</t>
  </si>
  <si>
    <t>Absolute Security (Network Management Software)(Christy Wyatt)</t>
  </si>
  <si>
    <t>Seattle, WA</t>
  </si>
  <si>
    <t>171734-59T</t>
  </si>
  <si>
    <t>Acesso Soluções de Pagamento</t>
  </si>
  <si>
    <t>Developer of prepaid card instruments intended to facilitate secure online transactions. The company offers password-protected prepaid cards to purchase and make transactions online as well as offline, enabling non-banked or under-banked segments of the population to use digital financial solutions.</t>
  </si>
  <si>
    <t>Meliuz (BVMF: CASH3)</t>
  </si>
  <si>
    <t>119788-21T</t>
  </si>
  <si>
    <t>Viteos Fund Services</t>
  </si>
  <si>
    <t>Provider of financial services &amp; technology solutions intended to offer customized straight-through-processing and integrates post-trade operations. The company offers financial services through shadow-accounting, middle- and back-office outsourcing services and regulatory reporting, enabling alternative investment management industry to meet their needs.</t>
  </si>
  <si>
    <t>Intertrust Group(Stephanie Miller)</t>
  </si>
  <si>
    <t>Somerset, NJ</t>
  </si>
  <si>
    <t>198677-89T</t>
  </si>
  <si>
    <t>Finansinos</t>
  </si>
  <si>
    <t>Dm Financeira SA Credito Financiamento e Investimento provides credit intermediation services in Brazil. Its offerings include consumer lending, working capital financing, vehicle financing, discount securities, as well as personal and payroll credit services.</t>
  </si>
  <si>
    <t>DmCard Cartoes de Credito</t>
  </si>
  <si>
    <t>Consumer Finance</t>
  </si>
  <si>
    <t>Novo Hamburgo, Brazil</t>
  </si>
  <si>
    <t>201326-50T</t>
  </si>
  <si>
    <t>Axios</t>
  </si>
  <si>
    <t>Operator of a news and information platform intended for delivering concise and efficient news coverage. The company's platform offers a wide range of topics including politics, health, climate, tech, media, business, sports, world, and science, enabling readers to stay informed with smart, efficient news that is worthy of their time, attention, and trust.</t>
  </si>
  <si>
    <t>Cox Enterprises(Alexander Taylor)</t>
  </si>
  <si>
    <t>Arlington, VA</t>
  </si>
  <si>
    <t>205285-33T</t>
  </si>
  <si>
    <t>Poshmark</t>
  </si>
  <si>
    <t>Operator of a secondhand clothing marketplace intended to help users buy, sell and share their personal fashion items online. The company platform is intended for women, men, kids, home, electronics, pets, handbags, shoes, jewelry and accessories, thereby helping customers create sustainable choices for their needs through the option of reselling and buying.</t>
  </si>
  <si>
    <t>Naver (KRX: 035420)(Sooyeon Choi)</t>
  </si>
  <si>
    <t>Internet Retail</t>
  </si>
  <si>
    <t>Redwood City, CA</t>
  </si>
  <si>
    <t>288086-23T</t>
  </si>
  <si>
    <t>AvidXchange (NAS: AVDX)</t>
  </si>
  <si>
    <t>AvidXchange Holdings Inc is a provider of AP automation software and payment solutions for middle-market businesses and their suppliers. It generates the majority of its sales from Payment revenue followed by Software revenue and Services revenue. The company generates revenue in the United States.</t>
  </si>
  <si>
    <t>Corpay (NYS: CPAY)(Ronald Clarke), TPG (NAS: TPG)(John Flynn)</t>
  </si>
  <si>
    <t>Charlotte, NC</t>
  </si>
  <si>
    <t>181723-06T</t>
  </si>
  <si>
    <t>Tapjoy</t>
  </si>
  <si>
    <t>Developer of a mobile advertising and app monetization platform built to drive brand awareness, engagement and growth. The company's platform helps the publishers to monetize their social applications, online merchants to generate leads and increase conversions and advertisers to reach their target consumers, enabling users to utilize segmentation and predictive analytics to drive and optimize revenue.</t>
  </si>
  <si>
    <t>ironSource(Tomer Bar-Zeev)</t>
  </si>
  <si>
    <t>117229-24T</t>
  </si>
  <si>
    <t>Voalte</t>
  </si>
  <si>
    <t>Developer of hospital point-of-care communications software technology designed to answer any type of healthcare communication challenges. The company's hospital point-of-care communications software technology offers Voalte One, a voice, alarm and text communication technology, enabling nurses and caregivers that facilitates phone calls in the hospital voice over Internet Protocol (VoIP) system and enables text messaging through the user directory, to get a comprehensive mobile communication strategy through which they can access and exchange information securely.</t>
  </si>
  <si>
    <t>Hill-Rom Holdings(John Groetelaars)</t>
  </si>
  <si>
    <t>Other Healthcare Technology Systems</t>
  </si>
  <si>
    <t>Sarasota, FL</t>
  </si>
  <si>
    <t>115573-78T</t>
  </si>
  <si>
    <t>First Data</t>
  </si>
  <si>
    <t>First Data Corp is a provider of e-commerce solutions including payment and transactions services as well as credit solutions. The largest segment by revenue, global business solutions, offers point-of-sale solutions such as merchant acquiring, e-commerce, and mobile commerce. The business unit facilitates the acceptance of commercial transactions at the point of sale. The other segments offer credit card and loan-processing solutions and private-label card programmes for bank and nonbank institutions, as well as network security and fraud-management solutions. First Data's largest end market is North America.</t>
  </si>
  <si>
    <t>Fiserv (NYS: FI)(Jeffery Yabuki)</t>
  </si>
  <si>
    <t>254607-49T</t>
  </si>
  <si>
    <t>Nuvei Technologies</t>
  </si>
  <si>
    <t>Nuvei Corp is a provider of payment technology solutions to merchants and partners. The solutions provided are mobile payments, online payments, and In-store payments. Its geographical segments are North America; Europe, the Middle East, and Africa; Latin America; and the Asia Pacific. The vast majority of the company's revenue is generated from North America and EMEA.</t>
  </si>
  <si>
    <t>Advent International(Bo Huang), Caisse de dépôt et placement du Québec(Kim Thomassin), EDC Investments, Novacap(David Lewin)</t>
  </si>
  <si>
    <t>168448-87T</t>
  </si>
  <si>
    <t>Shaw Communications</t>
  </si>
  <si>
    <t>Operator of a telecommunications company focused on expanding connectivity for rural, remote and Indigenous communities in Western Canada. The company's services include industry-leading internet, television, satellite, and business connectivity solutions.</t>
  </si>
  <si>
    <t>Rogers Communications (TSE: RCI.B)(Edward Rogers)</t>
  </si>
  <si>
    <t>Calgary, Canada</t>
  </si>
  <si>
    <t>196490-35T</t>
  </si>
  <si>
    <t>Paya</t>
  </si>
  <si>
    <t>Paya Holdings Inc is a provider of integrated payment and frictionless commerce solutions that help customers accept and make payments, expedite the receipt of money, and increase operating efficiencies. Its operating segment includes Integrated Solutions and Payment Services. The company generates maximum revenue from the Integrated Solutions segment. The Integrated Solutions segment represents the delivery of credit and debit card payment solutions, and to a lesser extent, ACH processing solutions to customers via integrations with software partners across strategic vertical markets. Integrated Solutions partners also include vertical-focused front-end Customer Relationship Management software providers as well as back-end Enterprise Resource Planning and accounting solutions.</t>
  </si>
  <si>
    <t>Nuvei Technologies(Philip Fayer)</t>
  </si>
  <si>
    <t>174429-82T</t>
  </si>
  <si>
    <t>MomentFeed</t>
  </si>
  <si>
    <t>Developer of proximity search optimization platform designed to help brands connect with customers at the local level. The company's software provides a cloud-based localized marketing platform that connects brands and consumers at the local level using social media and other sources and provides services that optimize local search and discovery, enabling businesses to predictably capture more sales and improve their customer base.</t>
  </si>
  <si>
    <t>Bregal Milestone(Cyrus Shey), Funke Digital, HPE Growth(Manfred Krikke), Level Equity(Sarah Sommer), Project A Ventures(Thies Sander), Uberall(Florian Hübner)</t>
  </si>
  <si>
    <t>Santa Monica, CA</t>
  </si>
  <si>
    <t>207509-05T</t>
  </si>
  <si>
    <t>DirectScale</t>
  </si>
  <si>
    <t>Developer of influencer marketing and MLM (Multi-Level Marketing) software designed to provide easy-to-build scale influencer and direct selling channels regardless of the sales model or size of the business. The company's platform provides an intuitive user experience for mobile or desktop and includes communication services to keep teams connected and also provides eCommerce tools to promote and drive new sales, enabling clients to monetize and grow so as to generate revenue that is needed to scale their business.</t>
  </si>
  <si>
    <t>Exigo Office(Rodger Smith), Flow Capital (TSX: FW)</t>
  </si>
  <si>
    <t>Orem, UT</t>
  </si>
  <si>
    <t>141094-63T</t>
  </si>
  <si>
    <t>Limelight Health</t>
  </si>
  <si>
    <t>Developer of cloud-based enterprise software intended to streamline and automate the sales and underwriting functions for group benefits insurers. The company's software provides process automation and seamless integration for new business acquisition, including product management, broker self-service, risk management and sales enablement, enabling insurance carriers to modernize and transform their core systems, shorten sales cycles, improve turnaround times and increase profit.</t>
  </si>
  <si>
    <t>FINEOS Corporation (ASX: FCL)(Michael Kelly)</t>
  </si>
  <si>
    <t>208818-01T</t>
  </si>
  <si>
    <t>BuildFire</t>
  </si>
  <si>
    <t>Developer of a mobile application-building platform intended to allow non-technical people to build iOS and Android mobile applications with no coding required. The company's platform provides an intuitive app builder and customer functionality with a software development kit, enabling businesses to build powerful, customized IOS, android, and PWA apps.</t>
  </si>
  <si>
    <t>Curious VC, Lee McNutt(Lee McNutt)</t>
  </si>
  <si>
    <t>Software Development Applications</t>
  </si>
  <si>
    <t>139233-70T</t>
  </si>
  <si>
    <t>Stitcher</t>
  </si>
  <si>
    <t>Developer of a podcast listening application intended to offer the easiest way to listen to podcasts for free. The company's application offers a network of original content with a wide range of topics and a premium subscription service, enabling listeners to discover, listen, distribute and create podcasts.</t>
  </si>
  <si>
    <t>Sirius XM Holdings (NAS: SIRI)(James Meyer)</t>
  </si>
  <si>
    <t>294758-83T</t>
  </si>
  <si>
    <t>WonderFi Technologies (TSE: WNDR)</t>
  </si>
  <si>
    <t>WonderFi Technologies Inc is a technology company with the mission of creating digital access through its platforms. It operates in three segments: Trading, Payments, and Corporate. The Trading segment, comprising Bitbuy, Coinsquare, and CoinSmart crypto exchange platforms, generates the majority of the company's revenue.</t>
  </si>
  <si>
    <t>Robinhood (NAS: HOOD)</t>
  </si>
  <si>
    <t>254307-52T</t>
  </si>
  <si>
    <t>TrueContext</t>
  </si>
  <si>
    <t>Developer of a low-code application platform designed to create apps and forms to automate business tasks. The company's platform helps in making workflows and data collection capabilities, thereby enabling enterprise field teams to optimize decision-making, decrease organizational risk, maximize the uptime of valuable assets, and deliver exceptional service experiences.</t>
  </si>
  <si>
    <t>Battery Ventures(Chelsea Stoner)</t>
  </si>
  <si>
    <t>Kanata, Canada</t>
  </si>
  <si>
    <t>168087-70T</t>
  </si>
  <si>
    <t>Netsapiens</t>
  </si>
  <si>
    <t>Developer of VoIP-based software intended to simplify the delivery of voice and multimedia services. The company's software offers UCaaS software to their end-user customers while simultaneously expanding its own product portfolio, empowering the service providers with advanced communication technologies and expert knowledge in order to create positive change in the industry as a whole.</t>
  </si>
  <si>
    <t>Crexendo (NAS: CXDO)(Steven Mihaylo)</t>
  </si>
  <si>
    <t>La Jolla, CA</t>
  </si>
  <si>
    <t>131626-09T</t>
  </si>
  <si>
    <t>Ventanex</t>
  </si>
  <si>
    <t>Developer of a cloud-based transaction management platform. The company's platform gives end users convenient interaction options and processes payments in efficient and cost-effective ways as well as gives clients real-time visibility into the lifecycle of a payment or message with ironclad data security, built-in regulatory compliance and comprehensive tracking and analytics, enabling companies to serve customers better and be more profitable through integrated, intelligent management of inbound payments, outbound payments and consumer messaging.</t>
  </si>
  <si>
    <t>The Colony, TX</t>
  </si>
  <si>
    <t>153806-05T</t>
  </si>
  <si>
    <t>MobileIron</t>
  </si>
  <si>
    <t>Developer of a mobile IT platform to secure and manage mobile applications, documents and devices. The company's platform enables enterprises to manage and secure mobile applications, content and devices while providing their employees with device choice, privacy and native user experience to midsize and large enterprises across industries like financial services, government, healthcare, legal, manufacturing, professional services, retail, technology, and telecommunications.</t>
  </si>
  <si>
    <t>Clearlake Capital Group(Behdad Eghbali), Ivanti(Carl Schaper), TA Associates Management(Hythem El-Nazer)</t>
  </si>
  <si>
    <t>Mountain View, CA</t>
  </si>
  <si>
    <t>94704-94T</t>
  </si>
  <si>
    <t>NYX Gaming Group</t>
  </si>
  <si>
    <t>Developer of gaming software intended for mobile, desktop and land based platforms. The company's products include gaming systems which allows licensees to leverage the best-of-breed, multi-vendor casino content from around the world, enabling the users to play lottery and betting games.</t>
  </si>
  <si>
    <t>LNW Gaming (NAS: LNW)(Kevin Sheehan)</t>
  </si>
  <si>
    <t>Las Vegas, NV</t>
  </si>
  <si>
    <t>111797-11T</t>
  </si>
  <si>
    <t>CSG Forte Payments</t>
  </si>
  <si>
    <t>Developer of payment solutions platform intended to help merchants and partners perform multiple tasks. The company's platform offers transaction processing, credit card processing, electronic check processing, mobile and online payment, check verification, direct recovery, virtual terminal, payment gateway, bill presentment, merchant, recurring payment and NSF check recovery services, thereby helping its customers grow their businesses quickly and scale payments smarter with a unified payments platform.</t>
  </si>
  <si>
    <t>CSG International (NAS: CSGS)(Bret Griess)</t>
  </si>
  <si>
    <t>Fort Worth, TX</t>
  </si>
  <si>
    <t>218879-11T</t>
  </si>
  <si>
    <t>Becon (Automation/Workflow Software)</t>
  </si>
  <si>
    <t>Developer of an online platform designed to connect to customers through chatbots. The company's platform allows businesses to use a single number with multiple departments and track conversations with clients using automated chatbots and mass messaging, enabling small and medium enterprises to automate repetitive tasks, personalize customer interactions at scale, and reach a wider audience.</t>
  </si>
  <si>
    <t>CRMBonus(Alexandre Zolko)</t>
  </si>
  <si>
    <t>Automation/Workflow Software</t>
  </si>
  <si>
    <t>Joinville, Brazil</t>
  </si>
  <si>
    <t>166446-82T</t>
  </si>
  <si>
    <t>Glu Mobile</t>
  </si>
  <si>
    <t>Developer of mobile games catering to a broad group of users of smartphones and tablet devices. The company develops and markets games that are accessible through direct-to-consumer digital storefronts like the Apple App Store, Google Play Store and Amazon Appstore.</t>
  </si>
  <si>
    <t>Electronic Arts (NAS: EA)(Andrew Wilson)</t>
  </si>
  <si>
    <t>181315-18T</t>
  </si>
  <si>
    <t>MoPub</t>
  </si>
  <si>
    <t>Developer of comprehensive monetization platform designed for mobile application publishers. The company's platform offers real-time bidding, ad serving, cross-promotional capabilities, and ad network mediation services into one easy-to-use platform, enabling advertisers and other demand-side buyers to access billions of ad impressions with hyper-targeted data from the app publishers.</t>
  </si>
  <si>
    <t>AppLovin (NAS: APP)(Adam Foroughi)</t>
  </si>
  <si>
    <t>261032-95T</t>
  </si>
  <si>
    <t>iCG Pay</t>
  </si>
  <si>
    <t>Operator of an ACH and credit card payment processing company intended to serve various industries such as insurance, municipalities, utilities, payroll, banking, TV broadcasting and property management. The company provides solutions that include ACH processing, credit card processing, hosted payment portals, IVR payments, mobile payments, virtual terminals, email invoicing and fraud prevention.</t>
  </si>
  <si>
    <t>CSG International (NAS: CSGS)(Brian Shepherd)</t>
  </si>
  <si>
    <t>Fort Myers, FL</t>
  </si>
  <si>
    <t>186351-04T</t>
  </si>
  <si>
    <t>Zynga</t>
  </si>
  <si>
    <t>Zynga Inc is a company that develops, markets, and operates social games as live services played on mobile platforms, such as iOS and Android, and social networking sites, such as Facebook. Zynga generates revenue through mobile game downloads, in-games sales of virtual goods, and advertising services. Zynga's revenue is divided between Online game and Advertising and other, where Online game accounts for the vast majority of total revenue. The firm's top three games account for the majority of its online game revenue. The company invests in several game categories, such as Social Casino, including Zynga Poker; Casual, including Words With Friends; Action Strategy, including Empires &amp; Allies; and Invest Express, including Farmville.</t>
  </si>
  <si>
    <t>Take-Two Interactive Software (NAS: TTWO)(Strauss Zelnick)</t>
  </si>
  <si>
    <t>257059-72T</t>
  </si>
  <si>
    <t>Envestnet</t>
  </si>
  <si>
    <t>Envestnet provides wealth-management technology and solutions to registered investment advisors, banks, broker/dealers, and other firms. Its Tamarac platform provides trading, rebalancing, portfolio accounting, performance reporting, and client relationship management software to high-end RIAs. Envestnet's portfolio management consultants provide research services and consulting services to assist advisors, including vetted third-party managed account products. In November 2015, Envestnet acquired Yodlee, a provider of data aggregation, which is reported in the firm's data and analytics segment. In 2019, Envestnet acquired MoneyGuidePro to bolster its financial planning tools.</t>
  </si>
  <si>
    <t>Bain Capital(Phillip Loughlin), BlackRock (NYS: BLK), Fidelity Investments, Franklin Templeton (San Mateo) (NYS: BEN), Reverence Capital Partners(Milton Berlinski), State Street Global Advisors</t>
  </si>
  <si>
    <t>Berwyn, PA</t>
  </si>
  <si>
    <t>113092-12T</t>
  </si>
  <si>
    <t>Symbility Solutions</t>
  </si>
  <si>
    <t>Developer of claims management software catering to the property and health industries in North America and the United Kingdom. The company specializes in mobile and IoT product development strategy, design thinking and engineering offering products for claims management, mobile claims, video collaboration and property analytics along with offering solutions for virtual adjusting, customer experience, security, integration, operational efficiencies and insurtech services.</t>
  </si>
  <si>
    <t>CoreLogic(Frank Martell)</t>
  </si>
  <si>
    <t>170890-21T</t>
  </si>
  <si>
    <t>First American Payment Systems</t>
  </si>
  <si>
    <t>Provider of financial services intended to offer payment processing solutions for merchants. The company provides in-store, online, and mobile payment solutions including digital payment processing services that help customers navigate through traditional, mobile, and virtual point-of-sale channels.</t>
  </si>
  <si>
    <t>Deluxe (NYS: DLX)(Michael Reed)</t>
  </si>
  <si>
    <t>116100-91T</t>
  </si>
  <si>
    <t>Parcel Pending</t>
  </si>
  <si>
    <t>Provider of package management services designed to provide secure parcel deliveries. The company's services offer secure pickup locations for packages sent to those ordering online as well as electronic locker storage where the buyer can store their parcels when they are not available to collect them, thereby enabling residents to pick up their packages as per their time and convenience.</t>
  </si>
  <si>
    <t>Quadient (PAR: QDT)(Geoffrey Godet)</t>
  </si>
  <si>
    <t>Logistics</t>
  </si>
  <si>
    <t>Irvine, CA</t>
  </si>
  <si>
    <t>252601-57T</t>
  </si>
  <si>
    <t>Twill</t>
  </si>
  <si>
    <t>Developer of healthcare platform designed to improve mental and physical health. The company's software offers a web and mobile-based technology that assesses users' happiness levels based on both subjective and existing objective evaluations and offers a set of programs and games that push users toward healthier mindsets, enabling individuals, employers, and care delivery systems to address stress, depression, anxiety, and social isolation that often accompany chronic illness.</t>
  </si>
  <si>
    <t>DarioHealth (NAS: DRIO)(Erez Raphael)</t>
  </si>
  <si>
    <t>174707-20T</t>
  </si>
  <si>
    <t>Smaato</t>
  </si>
  <si>
    <t>Operator of an advertising platform designed to reach audiences around the world and on any device. The company's platform offers a free ad server and monetization services and connects publishers with premium marketers to engage audiences around the world and on every device, enabling clients to generate revenue, create engaging experiences and connect with advertisers.</t>
  </si>
  <si>
    <t>Verve (New York) (STO: VER)(Remco Westermann)</t>
  </si>
  <si>
    <t>195860-71T</t>
  </si>
  <si>
    <t>Alchemy (Financial Software)</t>
  </si>
  <si>
    <t>Operator of a fintech lending platform intended to leverage the lending software technology. The company's platform delivers core services and customized workflows for a variety of financial verticals and has developed point-of-sales portals for student aids, office and construction offices to qualify and finance customers in real-time, enabling banks, financial services, and fintech firms to launch new products at fraction of the cost and speed to market.</t>
  </si>
  <si>
    <t>Business Warrior(Jonathan Brooks)</t>
  </si>
  <si>
    <t>130282-93T</t>
  </si>
  <si>
    <t>Storm8</t>
  </si>
  <si>
    <t>Developer of entertainment software designed to create mobile games. The company is a developer of mobile games for iOS and Android and publishes free-to-play mobile games.</t>
  </si>
  <si>
    <t>Stillfront Group (STO: SF)(Jörgen Larsson)</t>
  </si>
  <si>
    <t>124238-35T</t>
  </si>
  <si>
    <t>The Stars Group</t>
  </si>
  <si>
    <t>Provider of online betting games based in Toronto, Ontario. The company offers poker, gaming and betting products directly and indirectly, under-owned or licensed gaming brands, along with owning several live poker tour and events brands.</t>
  </si>
  <si>
    <t>Flutter Entertainment (NYS: FLUT)(Jeremy Jackson)</t>
  </si>
  <si>
    <t>Casinos and Gaming</t>
  </si>
  <si>
    <t>187212-52T</t>
  </si>
  <si>
    <t>Sezzle (NAS: SEZL)</t>
  </si>
  <si>
    <t>Sezzle Inc is a financing institution that offers technology-driven payment platform. It allows customers to split their purchase into four installments and pay over 6 weeks with only the first payment due at the time of purchase. Companies operations comprise one reportable segment, primarily deriving revenue from payment processing platform in North America.</t>
  </si>
  <si>
    <t>265805-56T</t>
  </si>
  <si>
    <t>AGS (NYS: AGS)</t>
  </si>
  <si>
    <t>PlayAGS Inc is a designer and supplier of gaming products and services for the gaming industry. The company mainly supplies electronic gaming machines (EGM), server-based systems and back-office systems which are used by casinos, and various gaming locations. Its operating segments are EGM, Table Products, and Interactive. The EGM segment offers a selection of video slot titles developed for the world-wide marketplace as well as EGM cabinets. Its Table Products segments include live proprietary table games and side bets, as well as ancillary table products. The Interactive segment consists of delivering games through mobile apps such as Lucky Play Casino and Vegas Fever. It earns a majority of its revenue from Electronic Gaming Machines segment and geographically from the United States.</t>
  </si>
  <si>
    <t>Brightstar Capital Partners(Andrew Weinberg)</t>
  </si>
  <si>
    <t>116049-70T</t>
  </si>
  <si>
    <t>MicroPact</t>
  </si>
  <si>
    <t>Developer of web-based, commercial off the shelf (COTS) software for US Government agencies and Fortune 500 corporations. The company offers commercial off-the-shelf (COTS) applications including entellitrak, a low-code application development platform for case management and business process management, whether based on premises or in the cloud, its Data-First approach allows entellitrak to be implemented immediately and configured continuously, enabling clients to get to work quickly while keeping costs low.</t>
  </si>
  <si>
    <t>Tyler Technologies (NYS: TYL)(Lynn Moore)</t>
  </si>
  <si>
    <t>Herndon, VA</t>
  </si>
  <si>
    <t>183724-39T</t>
  </si>
  <si>
    <t>Genesis Financial</t>
  </si>
  <si>
    <t>Genesis Financial Inc is engaged in providing financial products through a smart phone or other mobile devices. The company's product offering includes debit cards and eWallets, money transfer; bill payment, check cashing, mobile top up and others.</t>
  </si>
  <si>
    <t>SMC Entertainment</t>
  </si>
  <si>
    <t>166305-88T</t>
  </si>
  <si>
    <t>SpotX (Media and Information Services (B2B))</t>
  </si>
  <si>
    <t>Developer of an online video advertising network designed to offer premium publishers holistic inventory management to maximize revenue for desktop, mobile and connected television inventory. The company's network offers publishers better transparency and insight, creating a safe, controlled environment, enabling advertisers and publishers to buy and sell online video advertising in an auction marketplace.</t>
  </si>
  <si>
    <t>Magnite (NAS: MGNI)(Michael Barrett)</t>
  </si>
  <si>
    <t>Broomfield, CO</t>
  </si>
  <si>
    <t>119717-92T</t>
  </si>
  <si>
    <t>Mobiquity</t>
  </si>
  <si>
    <t>Developer of digital products and services intended to maximize brand gravity in the digital space. The company combines human-focused design and data-driven technology and offers digital consultancy, enabling businesses to create relevant and meaningful experiences for their customers.</t>
  </si>
  <si>
    <t>Hexaware Technologies (BOM: 544362)(Ramakarthikeyan Srikrishna)</t>
  </si>
  <si>
    <t>Waltham, MA</t>
  </si>
  <si>
    <t>138307-78T</t>
  </si>
  <si>
    <t>PSL Software</t>
  </si>
  <si>
    <t>Developer of software based in Medellin, Colombia. The company offers agile software development, nearshore IT outsourcing, test automation, cloud architecture designs and implementation of software reengineering, thus helping in solving tough engineering challenges in areas like machine learning, automation and performance.</t>
  </si>
  <si>
    <t>Perficient(Jeffrey Davis)</t>
  </si>
  <si>
    <t>Medellin, Colombia</t>
  </si>
  <si>
    <t>109726-93T</t>
  </si>
  <si>
    <t>Blue Microphones</t>
  </si>
  <si>
    <t>Designer and manufacturer of professional-grade microphones. The company specializes in the manufacture of USB microphones, accessories, portable USB microphones, iOS devices and studio devices for professional studios, live performances and consumers for home and portable electronics.</t>
  </si>
  <si>
    <t>Logitech (SWX: LOGN)(Bracken Darrell)</t>
  </si>
  <si>
    <t>Newark, CA</t>
  </si>
  <si>
    <t>100648-81T</t>
  </si>
  <si>
    <t>Fuel Powered</t>
  </si>
  <si>
    <t>Provider of a social gaming platform designed to offer successful mobile games, through features and tools that engage and retain users. The company's social gaming platform provides cloud-based features such as multiplayer and live events for mobile games, which significantly improve LTV, enabling publishers to get customizable multiplayer and online SDK that continuously boosts user engagement, retention and monetization.</t>
  </si>
  <si>
    <t>Animoca Brands</t>
  </si>
  <si>
    <t>103968-01T</t>
  </si>
  <si>
    <t>TourBuzz</t>
  </si>
  <si>
    <t>Provider of virtual tour creation services for real estates. The company's services are engaged in presentation of real estate through its online platform in an engaging way by creation of photo shoots of real estate through panoramas, video and pictures, enabling prospective real estate buyers to understand a property's appropriateness for their needs while driving excitement about the property.</t>
  </si>
  <si>
    <t>Urbanimmersive (TSX: UI)(Ghislain Lemire)</t>
  </si>
  <si>
    <t>Real Estate Services (B2C)</t>
  </si>
  <si>
    <t>207387-10T</t>
  </si>
  <si>
    <t>Adore Me</t>
  </si>
  <si>
    <t>Operator of a lingerie and swimwear boutique intended to make fashion affordable to everybody. The company's boutique offers lingerie, swimwear, sleepwear, and related accessories in sizes ranging from petite to plus size, enabling women to experience a body-positive shopping experience and embrace their uniqueness.</t>
  </si>
  <si>
    <t>Victoria's Secret (NYS: VSCO)(Martin Waters)</t>
  </si>
  <si>
    <t>Clothing</t>
  </si>
  <si>
    <t>182674-00T</t>
  </si>
  <si>
    <t>American First Finance</t>
  </si>
  <si>
    <t>Developer of a consumer financial platform created to provide alternative retail lending and design solutions to support both businesses and individuals. The company's point-of-sale payments platform uses a proprietary underwriting system that offers features such as consumer credit, lending, retail installment, lease purchase agreement and eCommerce solutions, thereby enabling each consumer to receive an offer customized directly to their creditworthiness within minutes.</t>
  </si>
  <si>
    <t>FirstCash (NAS: FCFS)(Rick Wessel)</t>
  </si>
  <si>
    <t>278491-87T</t>
  </si>
  <si>
    <t>ZP Better Together</t>
  </si>
  <si>
    <t>Provider of videophone technology and interpreter services intended for deaf and hearing disability individuals. The company offers workplace services, videophones and certified interpreters who communicate with customers in their preferred mode of communication including voice carry-over, where the deaf or hard of hearing person uses their own voice, interpreting in American Sign Language or English-based signing, or uses both English-based signing and lip-reading, helping people to communicate.</t>
  </si>
  <si>
    <t>TP Evolution (PAR: TEP)(Scott Klein)</t>
  </si>
  <si>
    <t>Other Communications and Networking</t>
  </si>
  <si>
    <t>122111-92T</t>
  </si>
  <si>
    <t>TriSource Solutions</t>
  </si>
  <si>
    <t>Owner and operator of a premier electronic payments company that provides economical and reliable merchant processing services. The company's services include flexible merchant level billing, interchange and buy rates at pass-through, debit and credit card processing, data security and equipment leasing and purchase services, enabling ISO entrepreneurs to grow their businesses, maximize their profits, eliminate middlemen and obtain their own ISO licenses.</t>
  </si>
  <si>
    <t>Bettendorf, IA</t>
  </si>
  <si>
    <t>210389-95T</t>
  </si>
  <si>
    <t>Simpliconnect</t>
  </si>
  <si>
    <t>Developer of marketing software designed to build strong loyalty programs for consumers. The company's software connects businesses to their customers by creating simple and effective loyalty programs that are easy to use and fully integrated into the POS systems, enabling small to mid-sized C-store chains to engage, award, and retain customers through customized programs.</t>
  </si>
  <si>
    <t>Ackroo Canada(Steve Levely)</t>
  </si>
  <si>
    <t>Bloomington, MN</t>
  </si>
  <si>
    <t>293714-65T</t>
  </si>
  <si>
    <t>UpLift (Clinics/Outpatient Services)</t>
  </si>
  <si>
    <t>Developer of a digital health application designed for healthcare providers to deliver a seamless and effective patient experience. The company's application provides a multisided marketplace, applying technology that is covered by their insurance plan, its application acts as the bridge between patient, provider and insurer, enabling patients to find in-network therapists and connect with a doctor that fits their pockets.</t>
  </si>
  <si>
    <t>Teladoc Health (NYS: TDOC)</t>
  </si>
  <si>
    <t>279600-13T</t>
  </si>
  <si>
    <t>MoneyLion</t>
  </si>
  <si>
    <t>MoneyLion Inc is a mobile banking and financial membership platform that empowers people to take control of their finances. It is a full-service digital platform to deliver mobile banking, lending, and investment solutions. The company offers a personalized, all-in-one, digital financial platform that provides convenient, low-cost access to banking, borrowing, and investing solutions tailored for its customers, rooted in data, and delivered through its proprietary technology platform.</t>
  </si>
  <si>
    <t>Gen Digital (NAS: GEN)(Vincent Pilette)</t>
  </si>
  <si>
    <t>112539-70T</t>
  </si>
  <si>
    <t>Investment Technology Group</t>
  </si>
  <si>
    <t>Investment Technology Group Inc is a United States-based brokerage and financial technology company. The company provides a wide range of products and services, including electronic brokerage, research, sales and trading, and platforms and analytics. The company generates over half of its revenue from electronic brokerage, research, and sales and trading. The company has a global presence, with a network of offices in North America, Europe, and Asia-Pacific. Its business is categorized into four reporting segments: U.S. operations, Canadian operations, European operations, and Asia-Pacific operations. The U.S. is its largest market.</t>
  </si>
  <si>
    <t>Virtu Financial (NAS: VIRT)(Douglas Cifu)</t>
  </si>
  <si>
    <t>Brokerage</t>
  </si>
  <si>
    <t>163964-08T</t>
  </si>
  <si>
    <t>Super Free Games</t>
  </si>
  <si>
    <t>Developer of mobile gaming applications intended to be enjoyed by fans around the world. The company offers casual and mash-up games with a casino-based theme for their customers that can be downloaded from any application store, enabling individuals to entertain themselves by playing games they like.</t>
  </si>
  <si>
    <t>191082-25T</t>
  </si>
  <si>
    <t>Poly</t>
  </si>
  <si>
    <t>Plantronics Inc designs and manufactures lightweight communications headsets, telephone headset systems, and other communications endpoints. The firm's headsets are used for unified communications applications in contact centers, with mobile devices and Internet telephony, for gaming, and other applications. Its products are shipped through a network of distributors, retailers, wireless carriers, original equipment manufacturers, and other service providers. More than half of the firm's revenue is generated in the United States, with the rest coming from Europe, Africa, Asia Pacific, and other regions.</t>
  </si>
  <si>
    <t>HP (NYS: HPQ)(Enrique Lores)</t>
  </si>
  <si>
    <t>Santa Cruz, CA</t>
  </si>
  <si>
    <t>200814-67T</t>
  </si>
  <si>
    <t>Sierra Wireless</t>
  </si>
  <si>
    <t>Sierra Wireless Inc is a wireless communication equipment designer and provider of Device-To-Cloud Internet-of-Things solutions. The company's product and services portfolio contain products such as high-speed cellular modules and services such as connectivity services, cloud platforms, and cellular gateways, among others. It operates through two business segments: Internet of Things solutions and Embedded broadband. The vast majority of revenue comes from the company's embedded broadband segment, and more than half of its revenue is earned in the Americas and Asia-Pacific region.</t>
  </si>
  <si>
    <t>Semtech (NAS: SMTC)</t>
  </si>
  <si>
    <t>Connectivity Products</t>
  </si>
  <si>
    <t>Richmond, Canada</t>
  </si>
  <si>
    <t>157143-61T</t>
  </si>
  <si>
    <t>Dynamit Technologies</t>
  </si>
  <si>
    <t>Operator of a digital product agency and software consulting firm for the restaurant, utility, healthcare, and hospitality industries. The company offers a broad range of services that include website development and CMS implementation, design and delivery of business-critical mobile, web and voice applications and data science to help its clients optimize advertising ROI, plan media, increase online conversions and create personalized experiences for their customers.</t>
  </si>
  <si>
    <t>Boathouse Capital(William Dyer), Constitution Capital Partners, Insignia Capital Group(Anthony Broglio), WillowTree(Tobias Dengel)</t>
  </si>
  <si>
    <t>Columbus, OH</t>
  </si>
  <si>
    <t>159650-11T</t>
  </si>
  <si>
    <t>Firestone Building Products Company</t>
  </si>
  <si>
    <t>Manufacturer of high-performing roofing systems designed to provide building and roofing products for commercial, industrial and residential areas. The company designs and manufactures wall panels, building materials, roofing products, single-ply and asphalt-based roofing membranes as well as provides an international network of roofing contractors, distributors, field sales representatives and superior warranty protection.</t>
  </si>
  <si>
    <t>Holcim Group (SWX: HOLN)</t>
  </si>
  <si>
    <t>Other Commercial Products</t>
  </si>
  <si>
    <t>Nashville, TN</t>
  </si>
  <si>
    <t>160674-85T</t>
  </si>
  <si>
    <t>CounterPath</t>
  </si>
  <si>
    <t>Developer of voiceover IP software products designed for fixed and mobile networks. The company offers voice, video conferencing and text messaging for businesses, residential phone service and standalone UC softphones, thereby allowing clients to have a smooth and fast communication platform.</t>
  </si>
  <si>
    <t>Alianza(Brian Beutler)</t>
  </si>
  <si>
    <t>111861-46T</t>
  </si>
  <si>
    <t>Cluep</t>
  </si>
  <si>
    <t>Provider of mobile advertising services intended to help brands connect with people based on what they do and how they feel. The company offers a platform that serves people ads based on a feeling, intent or desire in their online public comments, brand, object or action in online public videos they share and engage with, based on what they publicly say and listen to on the internet, their skill set, industry and the company they work for and based on their recency, frequency and time at physical places in the world using artificial intelligence and neural networks technology including proprietary image detection, advanced video recognition and automatic speech recognition.</t>
  </si>
  <si>
    <t>CI Capital Partners(Timothy Hall), Impact Group (Idaho)(Carl Pennington)</t>
  </si>
  <si>
    <t>130432-42T</t>
  </si>
  <si>
    <t>Voltari</t>
  </si>
  <si>
    <t>Provider of mobile advertisement services based in New York, New York. The company specializes in smart marketing and advertising solutions employing real-time and machine-learning optimization, thereby enabling customers to gain efficiencies that improve their performance over time.</t>
  </si>
  <si>
    <t>Starfire Holding</t>
  </si>
  <si>
    <t>126968-32T</t>
  </si>
  <si>
    <t>Wealth-X</t>
  </si>
  <si>
    <t>Provider of a platform designed to offer wealth information and insight business across financial services. The company's platform uses proprietary data assets and specialized research capabilities that provide definitive source of intelligence on the wealthy individuals with a collection of curated research, enabling clients to understand and engage their target audience, minimize their risk, and make informed strategic decisions.</t>
  </si>
  <si>
    <t>Delinian</t>
  </si>
  <si>
    <t>185992-21T</t>
  </si>
  <si>
    <t>StruXure Outdoor</t>
  </si>
  <si>
    <t>Manufacturer of adjustable pergola products intended to let people control the effects of weather in their outdoor spaces. The company's products are made from recycled aluminum and stainless steel components that have the technology to open, close, pivot, and slide, enabling customers to have a low-maintenance product that can be enjoyed for many years to come.</t>
  </si>
  <si>
    <t>The AZEK Company (NYS: AZEK)(Jesse Singh)</t>
  </si>
  <si>
    <t>Building Products</t>
  </si>
  <si>
    <t>279262-99T</t>
  </si>
  <si>
    <t>BigTinCan</t>
  </si>
  <si>
    <t>Bigtincan Holdings Ltd is a provider of enterprise mobility software, which enables sales and service organisations to increase sales and improve customer satisfaction through improved mobile worker productivity. It serves life sciences; financial services; retail; technology; manufacturing; telecommunications; government and energy industries. The company platforms include Bigtincan Hub; Bigtincan Zunos; Bigtincan Life Sciences; and others. It generates maximum revenue from the Subscription and support services. Geographically, it derives majority of revenue from the United States of America and also has a presence in Australia and the rest of the world.</t>
  </si>
  <si>
    <t>Vector Capital (California)(Robert Amen)</t>
  </si>
  <si>
    <t>258349-87T</t>
  </si>
  <si>
    <t>Stronghold Digital Mining</t>
  </si>
  <si>
    <t>Stronghold Digital Mining Inc is a vertically integrated crypto asset mining company currently focused on mining Bitcoin. The company has two reporting segments; Energy Operations and Cryptocurrency Operations. It generates maximum revenue from the Cryptocurrency Operations segment.</t>
  </si>
  <si>
    <t>Bitfarms (TSE: BITF)(Benjamin Gagnon)</t>
  </si>
  <si>
    <t>Energy Production</t>
  </si>
  <si>
    <t>Kennerdell, PA</t>
  </si>
  <si>
    <t>110521-27T</t>
  </si>
  <si>
    <t>First Data (Remittance Processing Business)</t>
  </si>
  <si>
    <t>Operator of remittance processing business. The unit provides a robust suite of services across payment types, as well as image capture software.</t>
  </si>
  <si>
    <t>WAUSAU Financial Services</t>
  </si>
  <si>
    <t>201075-13T</t>
  </si>
  <si>
    <t>Reorganized</t>
  </si>
  <si>
    <t>Operator of integrated satellite and terrestrial network providing communications services for telecommunications operators, media companies, and internet service providers. The company offers diversified communications services such as 5G software-defined networks, satellite networks, terrestrial networks and C-bank resource centers, enabling clients to avail global coverage services.</t>
  </si>
  <si>
    <t>SES (LUX: SESGL)</t>
  </si>
  <si>
    <t>McLean, VA</t>
  </si>
  <si>
    <t>277191-91T</t>
  </si>
  <si>
    <t>Borqs Technologies</t>
  </si>
  <si>
    <t>Borqs Technologies Inc is a provider of software development services and products, providing customizable, differentiated, and scalable Android-based smart connected devices and cloud service solutions. The company generates revenue in the form of software, and hardware revenue. A substantial portion of its revenue is generated in the form of hardware revenue which it earns for manufacturing customized products like trackers and smart watches, ruggedized handsets, tablets and smart phones, and mobile connectivity modules for its customers. Its geographical segments include the United States which is its key revenue-generating market, China, India, and the rest of the world.</t>
  </si>
  <si>
    <t>Sasken Communication Technologies (BOM: 532663)(Rajiv Mody)</t>
  </si>
  <si>
    <t>Wireless Communications Equipment</t>
  </si>
  <si>
    <t>Santa Clara, CA</t>
  </si>
  <si>
    <t>223751-53T</t>
  </si>
  <si>
    <t>Trackmed</t>
  </si>
  <si>
    <t>Developer of a mobile application intended to track medications.</t>
  </si>
  <si>
    <t>Information Services (B2C)</t>
  </si>
  <si>
    <t>131670-64T</t>
  </si>
  <si>
    <t>Mobile Posse</t>
  </si>
  <si>
    <t>Developer of an intelligent content discovery platform intended for creating frictionless content experiences on smartphones. The company's platform includes a proactive agent, a start screen, and a web portal for carriers and OEMs to reinvent and monetize the smartphone experience for their subscribers and by eliminating swipes, taps, waits and other "friction" that slows down the user, it serves premium content when the user unlocks their phone, opens a mobile browser, or swipes to the right, enabling wireless carriers and device manufacturers to capitalize on the mobile advertising economy.</t>
  </si>
  <si>
    <t>Digital Turbine (NAS: APPS)</t>
  </si>
  <si>
    <t>140841-46T</t>
  </si>
  <si>
    <t>Sooryen Technologies</t>
  </si>
  <si>
    <t>Owner and operator of a technology and development services company intended to address the ever-growing need for cutting edge mobile and cloud technologies in the world of eCommerce and FinTech. The company's services include Cloud Integration, Cloud Management, Web or Mobile application development, E-learning platform development, Deployment, Automated Testing and facilitates building websites with modern web design principles for seamless navigation and increased conversions, enabling clients to design and build technical systems to meet their business aspirations and optimize their bottom-line.</t>
  </si>
  <si>
    <t>Capital Square Partners(Sanjay Chakrabarty), Encora(Venu Raghavan)</t>
  </si>
  <si>
    <t>Rochelle Park, NJ</t>
  </si>
  <si>
    <t>264665-44T</t>
  </si>
  <si>
    <t>HeadSpin</t>
  </si>
  <si>
    <t>Developer of a digital experience intelligence platform designed to provide flawless digital experiences. The company's platform utilizes automation, AI, and analytics to unify end-to-end testing, performance optimization, and experience monitoring with devices deployed in hundred-plus locations on the real carrier and WiFi networks around the globe, enabling development, QA, operations, and product teams to remotely test and monitor mobile applications and increase revenue.</t>
  </si>
  <si>
    <t>PartnerOne(Jonathan Dionne)</t>
  </si>
  <si>
    <t>257862-34T</t>
  </si>
  <si>
    <t>Stock &amp; Info</t>
  </si>
  <si>
    <t>Provider of software, services, consultancy and solutions based in Florianópolis, Brazil. The company offers technology for the financial system, consultant's electronic proposal, automated management of pension plans.</t>
  </si>
  <si>
    <t>Sinqia</t>
  </si>
  <si>
    <t>Florianópolis, Brazil</t>
  </si>
  <si>
    <t>280572-04T</t>
  </si>
  <si>
    <t>Payfare</t>
  </si>
  <si>
    <t>Payfare Inc is a fintech company offering digital banking, instant payment, and loyalty-reward solutions. Its financial technology platform is providing financial inclusion and empowerment to next-generation workers around the globe with a full-service mobile bank account and debit card with instant access to their earnings and relevant cash-back rewards. The brands that use Payfare include Lyft, Uber, and DoorDash. Geographically, the company derives its maximum revenue from the United States. The company operates in Canada and has subsidiaries in the United States and Mexico.</t>
  </si>
  <si>
    <t>Fiserv (NYS: FI)(Frank Bisignano)</t>
  </si>
  <si>
    <t>113288-59T</t>
  </si>
  <si>
    <t>InMotion Entertainment Group</t>
  </si>
  <si>
    <t>Retailer of airport-based electronics and entertainment products intended for travelers. The company's electronics and entertainment products and services include noise-canceling headphones, DVD players and other electronic and entertainment products, thereby enabling its users to make business trips and vacations more comfortable and entertaining.</t>
  </si>
  <si>
    <t>WH Smith (LON: SMWH)(Stephen Clarke)</t>
  </si>
  <si>
    <t>Specialty Retail</t>
  </si>
  <si>
    <t>160670-71T</t>
  </si>
  <si>
    <t>TrafficCast</t>
  </si>
  <si>
    <t>Developer of travel-time forecasting software designed to provide time forecasting and traffic information. The company's software offers digital traffic data, with software and predictive models to produce route-specific, real-time traffic information and travel-time forecasts for traffic-information markets, enabling users to manage travel times, road speeds, and route choice behaviors.</t>
  </si>
  <si>
    <t>Iteris (Technology Company)(J. Bergera)</t>
  </si>
  <si>
    <t>Middleton, WI</t>
  </si>
  <si>
    <t>243076-69T</t>
  </si>
  <si>
    <t>Bsquare</t>
  </si>
  <si>
    <t>BSQUARE Corp provides software solutions and related engineering services to businesses that develop, market, and sell standalone intelligent systems. Its business segments are Partner Solutions and Edge to Cloud. It focuses on a system that utilizes various Microsoft Windows Embedded operating systems as well as devices running other popular operating systems such as Android, Linux, and QNX. The company's customers include original equipment manufacturers, original design manufacturers, corporate enterprises, silicon vendors, and peripheral vendors. The group has a business presence and generates prime revenue from the Partner solutions segment.</t>
  </si>
  <si>
    <t>Kontron (Austria) (ETR: KTN)(Hannes Niederhauser)</t>
  </si>
  <si>
    <t>275693-41T</t>
  </si>
  <si>
    <t>BM Technologies</t>
  </si>
  <si>
    <t>BM Technologies Inc provides digital banking and disbursement services to consumers and students nationwide through a full-service fintech banking platform, accessible to customers anywhere and anytime through digital channels. It facilitates deposits and banking services between a customer and its Partner Bank, Customers Bank, which is a related party and is a Federal Deposit Insurance Corporation (FDIC) insured bank. The company has four primary revenue sources: interchange and card revenue, servicing fees, account fees, and university fees. The majority of revenues are driven by customer activity (deposits, spending, transactions, etc.) and may be paid or passed through by customer banks, universities, or paid directly by customers.</t>
  </si>
  <si>
    <t>First Carolina Bank(Ronald Day)</t>
  </si>
  <si>
    <t>PA</t>
  </si>
  <si>
    <t>93228-13T</t>
  </si>
  <si>
    <t>YuMe</t>
  </si>
  <si>
    <t>Provider of digital brand advertising software and services intended to simplify the complexity of the fragmentation across screens, content types and different consumer electronic platforms. The company's programmatic video buying technology platform provides advertisers access to multi-screen video audiences at scale with a full suite of unique branding solutions, simplifying the complexities around programmatic video audience buying with its innovative technology, enabling clients to unify their audiences with a single advertising campaign.</t>
  </si>
  <si>
    <t>RhythmOne(Edward Hastings)</t>
  </si>
  <si>
    <t>125594-11T</t>
  </si>
  <si>
    <t>Code Authority</t>
  </si>
  <si>
    <t>Provider of custom software development services. The company specializes in custom cloud-based solutions, mobile apps and upgrading existing solutions to cloud technologies, thereby offering solutions as fast, scalable and secure as possible by offering digital transformation consulting and cloud-managed services to the clients.</t>
  </si>
  <si>
    <t>Improving Enterprises(Curtis Hite), Trinity Hunt Partners(Blake Apel)</t>
  </si>
  <si>
    <t>Frisco, TX</t>
  </si>
  <si>
    <t>202943-08T</t>
  </si>
  <si>
    <t>WellteQ Digital Health</t>
  </si>
  <si>
    <t>WellteQ Digital Health Inc is a provider of corporate wellness solutions developed to provide data-driven personalized health and wellness coaching to engage its users in healthier behaviors. It has two main sectors of customers, employers, and insurance companies. It is developing its newly acquired Internet of Medical Things (IoMT) technologies for connected patient applications in healthcare which will extend the WellteQ's continuum of care from preventative wellness to virtual healthcare.</t>
  </si>
  <si>
    <t>Advanced Health Intelligence (ASX: AHI)</t>
  </si>
  <si>
    <t>125583-58T</t>
  </si>
  <si>
    <t>Intrinsyc</t>
  </si>
  <si>
    <t>Intrinsyc Technologies Corp is an Internet of Things product development company, offering hardware development kits, computing modules, proprietary software products, and engineering design and development services. The company's segments include Embedded Computing Hardware; and Services and Software. The Embedded Computing Hardware segment includes the sales of the company's proprietary computer modules, development kits, and Services and Software segment which include turnkey product design and development services, as well as other engineering services and device software, including royalties.The company provides design and development services to silicon vendors, OEMs, and ODMs building embedded and IoT devices.</t>
  </si>
  <si>
    <t>Lantronix (NAS: LTRX)(Paul Pickle)</t>
  </si>
  <si>
    <t>101782-18T</t>
  </si>
  <si>
    <t>SPLT</t>
  </si>
  <si>
    <t>Operator of a ridesharing platform designed to leverage urban technology to reduce inefficiencies in transportation. The company's ridesharing platform connects employees within organizations to share their commute, enabling users to travel with other employees from similar origins and create inter-corporate connections, reducing time wastage and cost.</t>
  </si>
  <si>
    <t>Bosch (Automotive)(Markus Heyn)</t>
  </si>
  <si>
    <t>Road</t>
  </si>
  <si>
    <t>Detroit, MI</t>
  </si>
  <si>
    <t>108476-11T</t>
  </si>
  <si>
    <t>Xplore Technologies</t>
  </si>
  <si>
    <t>Developer of wireless tablet PC. The company provides rugged mobile personal computers and docking systems for both the commercial and military market.</t>
  </si>
  <si>
    <t>Zebra Technologies (NAS: ZBRA)(Anders Gustafsson)</t>
  </si>
  <si>
    <t>Computers, Parts and Peripherals</t>
  </si>
  <si>
    <t>222924-16T</t>
  </si>
  <si>
    <t>Regalix</t>
  </si>
  <si>
    <t>Developer of a digital marketing platform operating in the hi-tech, ad-tech and retail domains. The company's digital marketing and technology services come with cutting-edge marketing techniques and innovation models from successful startups, nurturing ideas to product development, operations, and marketing resources, enabling companies to expand their customer base, thus increasing their profits.</t>
  </si>
  <si>
    <t>Marketstar(Keith Titus)</t>
  </si>
  <si>
    <t>170539-57T</t>
  </si>
  <si>
    <t>Venmo</t>
  </si>
  <si>
    <t>Developer of a mobile payment application designed to simplify financial transactions. The company's application helps users link their bank account or debit card to make and share payments between friends and family or make purchases at approved merchants, enabling users to pay for any transaction with no physical money required.</t>
  </si>
  <si>
    <t>PayPal Holdings (NAS: PYPL)(Daniel Schulman)</t>
  </si>
  <si>
    <t>90435-70T</t>
  </si>
  <si>
    <t>Hawaiian Telcom Holdco</t>
  </si>
  <si>
    <t>Provider of telecommunications services intended to bring comprehensive and advanced technology, entertainment and connectivity in Hawaii. The company's telecommunications services include high-speed internet, broadband, print directory, data transmission, wireless network, voice-over-internet protocol and internet directory services providing next-generation fiber network and state-of-the-art cloud services, thereby enabling residential, business and government sectors to avail broadband and telecommunication services that enhance their digital services.</t>
  </si>
  <si>
    <t>Altafiber(Leigh Fox)</t>
  </si>
  <si>
    <t>Honolulu, HI</t>
  </si>
  <si>
    <t>202710-16T</t>
  </si>
  <si>
    <t>WildWorks</t>
  </si>
  <si>
    <t>Developer of an interactive gaming platform designed to provide entertainment for kids and their families. The company's platform offers an online virtual playground where kids can become their favorite animals while learning about science and the natural world, enabling children to learn through a three-dimensional virtual world in a playful experience.</t>
  </si>
  <si>
    <t>Nazara Technologies (BOM: 543280)(Nitish Mittersain)</t>
  </si>
  <si>
    <t>Salt Lake City, UT</t>
  </si>
  <si>
    <t>210890-08T</t>
  </si>
  <si>
    <t>Qumu</t>
  </si>
  <si>
    <t>Developer of open and extensible enterprise video communication and content tools designed to make video capture and creation easy. The company enables global organizations to drive employee engagement, increase access to video, and modernize the workplace by providing a more efficient and effective way to share knowledge.</t>
  </si>
  <si>
    <t>Enghouse Systems (TSE: ENGH)(Stephen Sadler)</t>
  </si>
  <si>
    <t>120960-10T</t>
  </si>
  <si>
    <t>Stockcross Financial Services</t>
  </si>
  <si>
    <t>Provider of online trading and money management services in Beverly Hills, California. The company's online trading and money management service offers execution and trading of foreign and domestic equity orders, investment research of various asset classes, including equities, convertible bonds and corporate bonds, enabling its clients to avail financial guidance and help them achieve their financial goals.</t>
  </si>
  <si>
    <t>Siebert Financial (NAS: SIEB)</t>
  </si>
  <si>
    <t>Asset Management</t>
  </si>
  <si>
    <t>Beverly Hills, CA</t>
  </si>
  <si>
    <t>271059-58T</t>
  </si>
  <si>
    <t>Weni</t>
  </si>
  <si>
    <t>Developer of a multi-lingual interactive chatbot designed to facilitate campaigns and intuitive automated responses. The company's chatbot is an intelligent, interactive robot that can provide people with relevant, tailored information using a crowdsourcing model to translate data sets into multiple languages, enabling businesses to talk to the robot, ask questions, and seek information interactively.</t>
  </si>
  <si>
    <t>VTEX (NYS: VTEX)(Alexandre Soncini)</t>
  </si>
  <si>
    <t>Maceio, Brazil</t>
  </si>
  <si>
    <t>178891-03T</t>
  </si>
  <si>
    <t>Hammerstone Markets</t>
  </si>
  <si>
    <t>Developer of a market trading platform designed to provide stock news and analysis service. The company's platform offers customizable up-to-the-minute real-time information, news headlines, daily reports and trading analyses of financial markets, enabling market participants to obtain real-time news and analytics giving them the edge on various stocks.</t>
  </si>
  <si>
    <t>Wilton, CT</t>
  </si>
  <si>
    <t>121225-78T</t>
  </si>
  <si>
    <t>GAIN Capital</t>
  </si>
  <si>
    <t>Provider of trading technology and execution services catering to retail and institutional investors worldwide,. The company has two segments. The retail segment provides access for retail customers to a wide range of global financial markets, including spot foreign exchange, precious metals, spread bets, and CFDs on various asset classes. The futures segment offers execution and risk-management services for exchange-traded futures and futures options. The retail segment contributes most of the firm's revenue. The company generates the majority of revenue from Europe and North America.</t>
  </si>
  <si>
    <t>StoneX Group (NAS: SNEX)(Sean O'Connor)</t>
  </si>
  <si>
    <t>Bedminster, NJ</t>
  </si>
  <si>
    <t>254005-30T</t>
  </si>
  <si>
    <t>Stuzo</t>
  </si>
  <si>
    <t>Developer of customer management software intended for retailers. The company's software helps organizations build, launch and manage activation programs and also manage contactless commerce programs that support a wide variety of payment types and payment experiences, enabling them to empower with custom loyalty commerce and mobile storefront solutions.</t>
  </si>
  <si>
    <t>Par Technology (NYS: PAR)(Savneet Singh)</t>
  </si>
  <si>
    <t>Philadelphia, PA</t>
  </si>
  <si>
    <t>117839-35T</t>
  </si>
  <si>
    <t>Crackle (Entertainment Software)</t>
  </si>
  <si>
    <t>Operator of a multi-platform video streaming platform intended to distribute digital content without a subscription. The company's platform offers programs in various genres, including comedy, action, sci-fi, horror, music, and reality, enabling audiences to access TV shows and programs through a mobile distribution network and other connected devices.</t>
  </si>
  <si>
    <t>Chicken Soup for the Soul Entertainment</t>
  </si>
  <si>
    <t>135213-13T</t>
  </si>
  <si>
    <t>JCK Legacy</t>
  </si>
  <si>
    <t>Operator of a newspaper and local media publishing company committed to helping people and communities thrive through local journalism. The company operates through various brands and offers local news through various mediums including mobile and digital newsletters, acting as a catalyst for informed engagement and greater understanding.</t>
  </si>
  <si>
    <t>Chatham Asset Management</t>
  </si>
  <si>
    <t>Sacramento, CA</t>
  </si>
  <si>
    <t>224653-33T</t>
  </si>
  <si>
    <t>Plastiq</t>
  </si>
  <si>
    <t>Developer of a payment automation platform designed to encompass B2B payments for small and medium-sized enterprises. The company's platform helps businesses to make or receive credit card payments through which they can pay or be paid with credit cards and provides an end-to-end suite of services, enabling clients to receive payments without a fee.</t>
  </si>
  <si>
    <t>Priority Technology Holdings (NAS: PRTH)(Thomas Priore)</t>
  </si>
  <si>
    <t>170816-32T</t>
  </si>
  <si>
    <t>Returnly</t>
  </si>
  <si>
    <t>Developer of digital return experiences platform intended for consumer brands. The company's financial technology offers return management tools as well as hosted and fully brandable end-customer touchpoints like package tracking, online returns and exchanges and green returns, thereby helping customers get the right item before returning the wrong one.</t>
  </si>
  <si>
    <t>Affirm (NAS: AFRM)(Max Levchin)</t>
  </si>
  <si>
    <t>210673-18T</t>
  </si>
  <si>
    <t>Truckvan</t>
  </si>
  <si>
    <t>Manufacturer of special mobile units intended to provide wheeled solutions in Brazil. The company specializes in the customization of truck containers, serving in the heavy transport segment and the mobile unit sections, manufacturing mobile health units, mobile units focused on offering public services, mobile units for events and mobile units for training and development, thereby satisfying the recurring demand in the market with their capacity to produce solutions.</t>
  </si>
  <si>
    <t>Vamos Locacao De Caminhoes Maquinas E Equipamentos (BVMF: VAMO3)</t>
  </si>
  <si>
    <t>Guarulhos, Brazil</t>
  </si>
  <si>
    <t>268427-53T</t>
  </si>
  <si>
    <t>Colombia Telecomunicaciones (BOG: COLTEL)</t>
  </si>
  <si>
    <t>Colombia Telecommunications SA ESP is a provider of telephony services. The Company is engaged in providing network activities and telecommunications services such as local, extended local and national, and international public switched telephony, mobile services, cellular mobile telephony services, carriers, teleservices, telematic services, value-added services, satellite, television, and broadcasting services, wireless technologies, video, computer application hosting services, data center services, operation services of private and public telecommunication networks and total operations of information systems.</t>
  </si>
  <si>
    <t>Millicom International Cellular (NAS: TIGO)(Marcelo Benitez)</t>
  </si>
  <si>
    <t>Bogota, Colombia</t>
  </si>
  <si>
    <t>190895-23T</t>
  </si>
  <si>
    <t>Coinmama</t>
  </si>
  <si>
    <t>Developer of cryptocurrency exchange platform designed to help users buy and sell crypto assets. The company's platform offers an intuitive and user-friendly interface for the purchase of a wide range of digital assets by credit card as well as provides related market education.</t>
  </si>
  <si>
    <t>Wellfield Technologies (TSX: WFLD)(Levy Cohen)</t>
  </si>
  <si>
    <t>170673-49T</t>
  </si>
  <si>
    <t>TTM Digital Assets &amp; Technologies</t>
  </si>
  <si>
    <t>Provider of Ethereum mining services dedicated to amassing and retaining large quantities of ETH through mining activities and strategic transactions. The company mines Ether (ETH), the currency fueling Ethereum through a large number of owned and operated NVIDIA GPUs, thereby securing the blockchain and generating ETH around the clock.</t>
  </si>
  <si>
    <t>Sysorex(Zaman Khan)</t>
  </si>
  <si>
    <t>Reno, NV</t>
  </si>
  <si>
    <t>183548-53T</t>
  </si>
  <si>
    <t>Viapool</t>
  </si>
  <si>
    <t>Developer of a private transport platform designed for the administration of mobility resources in companies. The company's platform fills the gap between public transportation and private ride and matches clients' systems to synchronize their user's database and automate the billing process of mobility services, units are audited periodically, continuous control is carried out on safety elements, vehicle condition, general maintenance, documentation of the vehicle and the driver and regulatory policies, enabling users to manage their transportation efficiently.</t>
  </si>
  <si>
    <t>Swvl (NAS: SWVL)(Mostafa Kandil)</t>
  </si>
  <si>
    <t>Automotive</t>
  </si>
  <si>
    <t>Santiago, Chile</t>
  </si>
  <si>
    <t>208649-26T</t>
  </si>
  <si>
    <t>Elevate Credit</t>
  </si>
  <si>
    <t>Elevate Credit Inc provides online credit solutions. The company provides credit to non-prime consumers, many of whom face reduced credit options and increased financial pressure due to macroeconomic changes over the past few decades. It has one reportable segment, which provides online financial services for subprime credit consumers, which is composed of the company's operations in the United States.</t>
  </si>
  <si>
    <t>Park Cities Asset Management(Alexander Dunev)</t>
  </si>
  <si>
    <t>© PitchBook Data, Inc.  2025</t>
  </si>
  <si>
    <t>Search Link:</t>
  </si>
  <si>
    <t>https://my.pitchbook.com/?pcc=1164389-86</t>
  </si>
  <si>
    <t>Search Criteria:</t>
  </si>
  <si>
    <t xml:space="preserve">Deal Date: From: 01-Jan-2018; Deal Option: Search on a full transaction; Only search most recent transaction (Deals); Location: Americas; Industry Query: Financial Services &gt; Other Financial Services AND FinTech OR Mobile OR SaaS AND banking services AND credit and banking OR digital banking OR digital financial services; </t>
  </si>
  <si>
    <t>Search Result Columns</t>
  </si>
  <si>
    <t>Downloaded on:</t>
  </si>
  <si>
    <t>Created for:</t>
  </si>
  <si>
    <t>Cristina Santisteban, IGNIA Partners</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</si>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</sst>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Red]\-#,##0.00"/>
    <numFmt numFmtId="165" formatCode="dd\-mmm\-yyyy"/>
    <numFmt numFmtId="166" formatCode="#,##0.00;[Red]\(#,##0.00\)"/>
    <numFmt numFmtId="167" formatCode="#,###"/>
  </numFmts>
  <fonts count="11" x14ac:knownFonts="1">
    <font>
      <sz val="11"/>
      <color theme="1"/>
      <name val="Calibri"/>
      <family val="2"/>
      <scheme val="minor"/>
    </font>
    <font>
      <b/>
      <sz val="8"/>
      <color rgb="FFFFFFFF"/>
      <name val="Open Sans"/>
      <family val="2"/>
    </font>
    <font>
      <sz val="8"/>
      <color rgb="FF000000"/>
      <name val="Open Sans"/>
      <family val="2"/>
    </font>
    <font>
      <sz val="8"/>
      <color rgb="FF26649E"/>
      <name val="Open Sans"/>
      <family val="2"/>
    </font>
    <font>
      <b/>
      <sz val="8"/>
      <color rgb="FF000000"/>
      <name val="Open Sans"/>
      <family val="2"/>
    </font>
    <font>
      <b/>
      <sz val="16"/>
      <color rgb="FF000000"/>
      <name val="Open Sans"/>
      <family val="2"/>
    </font>
    <font>
      <b/>
      <sz val="8"/>
      <color rgb="FF26649E"/>
      <name val="Open Sans"/>
      <family val="2"/>
    </font>
    <font>
      <b/>
      <sz val="14"/>
      <color rgb="FF000000"/>
      <name val="Open Sans"/>
      <family val="2"/>
    </font>
    <font>
      <i/>
      <sz val="10"/>
      <color rgb="FF000000"/>
      <name val="Open Sans"/>
      <family val="2"/>
    </font>
    <font>
      <i/>
      <sz val="10"/>
      <color rgb="FF26649E"/>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1">
      <alignment horizontal="left" vertical="center" indent="1"/>
    </xf>
    <xf numFmtId="0" fontId="3" fillId="0" borderId="1">
      <alignment horizontal="right" vertical="center" indent="1"/>
    </xf>
    <xf numFmtId="0" fontId="10" fillId="0" borderId="0">
      <alignment horizontal="left" vertical="center"/>
    </xf>
    <xf numFmtId="0" fontId="2" fillId="0" borderId="0">
      <alignment horizontal="right" vertical="top"/>
    </xf>
    <xf numFmtId="0" fontId="6" fillId="0" borderId="0">
      <alignment horizontal="left" vertical="top"/>
    </xf>
    <xf numFmtId="0" fontId="4" fillId="0" borderId="0">
      <alignment horizontal="left" vertical="top" wrapText="1"/>
    </xf>
    <xf numFmtId="0" fontId="5" fillId="0" borderId="0">
      <alignment horizontal="left" vertical="center"/>
    </xf>
    <xf numFmtId="0" fontId="2" fillId="0" borderId="0">
      <alignment horizontal="right" vertical="center"/>
    </xf>
    <xf numFmtId="0" fontId="4" fillId="0" borderId="0">
      <alignment horizontal="left" vertical="center"/>
    </xf>
    <xf numFmtId="0" fontId="7" fillId="0" borderId="0">
      <alignment horizontal="left" vertical="center"/>
    </xf>
    <xf numFmtId="0" fontId="8" fillId="4" borderId="0">
      <alignment horizontal="left" vertical="center"/>
    </xf>
    <xf numFmtId="0" fontId="9" fillId="4" borderId="0">
      <alignment horizontal="left" vertical="center"/>
    </xf>
    <xf numFmtId="0" fontId="8" fillId="4" borderId="0">
      <alignment horizontal="right" vertical="center"/>
    </xf>
  </cellStyleXfs>
  <cellXfs count="27">
    <xf numFmtId="0" fontId="0" fillId="0" borderId="0" xfId="0"/>
    <xf numFmtId="165" fontId="2" fillId="0" borderId="1" xfId="3" applyNumberFormat="1">
      <alignment horizontal="right" vertical="center" indent="1"/>
    </xf>
    <xf numFmtId="0" fontId="1" fillId="2" borderId="0" xfId="1" applyFill="1">
      <alignment horizontal="center" vertical="center" wrapText="1"/>
    </xf>
    <xf numFmtId="0" fontId="2" fillId="0" borderId="1" xfId="2">
      <alignment horizontal="left" vertical="center" indent="1"/>
    </xf>
    <xf numFmtId="166" fontId="2" fillId="0" borderId="1" xfId="3" applyNumberFormat="1">
      <alignment horizontal="right" vertical="center" indent="1"/>
    </xf>
    <xf numFmtId="164" fontId="2" fillId="0" borderId="1" xfId="3" applyNumberFormat="1">
      <alignment horizontal="right" vertical="center" indent="1"/>
    </xf>
    <xf numFmtId="167" fontId="2" fillId="0" borderId="1" xfId="2" applyNumberFormat="1">
      <alignment horizontal="left" vertical="center" indent="1"/>
    </xf>
    <xf numFmtId="0" fontId="3" fillId="3" borderId="1" xfId="5" applyFill="1">
      <alignment horizontal="left" vertical="center" indent="1"/>
    </xf>
    <xf numFmtId="0" fontId="3" fillId="0" borderId="1" xfId="5">
      <alignment horizontal="left" vertical="center" indent="1"/>
    </xf>
    <xf numFmtId="0" fontId="2" fillId="3" borderId="1" xfId="2" applyFill="1">
      <alignment horizontal="left" vertical="center" indent="1"/>
    </xf>
    <xf numFmtId="167" fontId="2" fillId="3" borderId="1" xfId="2" applyNumberFormat="1" applyFill="1">
      <alignment horizontal="left" vertical="center" indent="1"/>
    </xf>
    <xf numFmtId="164" fontId="2" fillId="3" borderId="1" xfId="3" applyNumberFormat="1" applyFill="1">
      <alignment horizontal="right" vertical="center" indent="1"/>
    </xf>
    <xf numFmtId="166" fontId="2" fillId="3" borderId="1" xfId="3" applyNumberFormat="1" applyFill="1">
      <alignment horizontal="right" vertical="center" indent="1"/>
    </xf>
    <xf numFmtId="165" fontId="2" fillId="3" borderId="1" xfId="3" applyNumberFormat="1" applyFill="1">
      <alignment horizontal="right" vertical="center" indent="1"/>
    </xf>
    <xf numFmtId="0" fontId="10" fillId="0" borderId="0" xfId="7">
      <alignment horizontal="left" vertical="center"/>
    </xf>
    <xf numFmtId="0" fontId="2" fillId="0" borderId="0" xfId="8">
      <alignment horizontal="right" vertical="top"/>
    </xf>
    <xf numFmtId="165" fontId="4" fillId="0" borderId="0" xfId="13" applyNumberFormat="1">
      <alignment horizontal="left" vertical="center"/>
    </xf>
    <xf numFmtId="0" fontId="6" fillId="0" borderId="0" xfId="9">
      <alignment horizontal="left" vertical="top"/>
    </xf>
    <xf numFmtId="0" fontId="5" fillId="0" borderId="0" xfId="11">
      <alignment horizontal="left" vertical="center"/>
    </xf>
    <xf numFmtId="0" fontId="2" fillId="0" borderId="0" xfId="12">
      <alignment horizontal="right" vertical="center"/>
    </xf>
    <xf numFmtId="0" fontId="4" fillId="0" borderId="0" xfId="13">
      <alignment horizontal="left" vertical="center"/>
    </xf>
    <xf numFmtId="0" fontId="7" fillId="0" borderId="0" xfId="14">
      <alignment horizontal="left" vertical="center"/>
    </xf>
    <xf numFmtId="0" fontId="8" fillId="4" borderId="0" xfId="15">
      <alignment horizontal="left" vertical="center"/>
    </xf>
    <xf numFmtId="0" fontId="9" fillId="4" borderId="0" xfId="16">
      <alignment horizontal="left" vertical="center"/>
    </xf>
    <xf numFmtId="0" fontId="8" fillId="4" borderId="0" xfId="17">
      <alignment horizontal="right" vertical="center"/>
    </xf>
    <xf numFmtId="0" fontId="4" fillId="0" borderId="0" xfId="10">
      <alignment horizontal="left" vertical="top" wrapText="1"/>
    </xf>
    <xf numFmtId="0" fontId="0" fillId="0" borderId="0" xfId="0"/>
  </cellXfs>
  <cellStyles count="18">
    <cellStyle name="bold" xfId="13" xr:uid="{00000000-0005-0000-0000-00000E000000}"/>
    <cellStyle name="defaultStyle" xfId="7" xr:uid="{00000000-0005-0000-0000-000008000000}"/>
    <cellStyle name="fontSize10Italic" xfId="15" xr:uid="{00000000-0005-0000-0000-000010000000}"/>
    <cellStyle name="fontSize10ItalicHyperlink" xfId="16" xr:uid="{00000000-0005-0000-0000-000011000000}"/>
    <cellStyle name="fontSize10ItalicRight" xfId="17" xr:uid="{00000000-0005-0000-0000-000012000000}"/>
    <cellStyle name="fontSize14Bold" xfId="14" xr:uid="{00000000-0005-0000-0000-00000F000000}"/>
    <cellStyle name="fontSize16Bold" xfId="11" xr:uid="{00000000-0005-0000-0000-00000C000000}"/>
    <cellStyle name="horizontalCenterWrapWhiteBold" xfId="1" xr:uid="{00000000-0005-0000-0000-000001000000}"/>
    <cellStyle name="horizontalRight" xfId="12" xr:uid="{00000000-0005-0000-0000-00000D000000}"/>
    <cellStyle name="Normal" xfId="0" builtinId="0"/>
    <cellStyle name="tableCellStyleCenter" xfId="4" xr:uid="{00000000-0005-0000-0000-000004000000}"/>
    <cellStyle name="tableCellStyleLeft" xfId="2" xr:uid="{00000000-0005-0000-0000-000002000000}"/>
    <cellStyle name="tableCellStyleLeftHyperlink" xfId="5" xr:uid="{00000000-0005-0000-0000-000006000000}"/>
    <cellStyle name="tableCellStyleRight" xfId="3" xr:uid="{00000000-0005-0000-0000-000003000000}"/>
    <cellStyle name="tableCellStyleRightHyperlink" xfId="6" xr:uid="{00000000-0005-0000-0000-000007000000}"/>
    <cellStyle name="verticalTopBoldWrapBold" xfId="10" xr:uid="{00000000-0005-0000-0000-00000B000000}"/>
    <cellStyle name="verticalTopHorizontalRight" xfId="8" xr:uid="{00000000-0005-0000-0000-000009000000}"/>
    <cellStyle name="verticalTopHyperlinkBold"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85725</xdr:colOff>
      <xdr:row>0</xdr:row>
      <xdr:rowOff>85725</xdr:rowOff>
    </xdr:from>
    <xdr:to>
      <xdr:col>0</xdr:col>
      <xdr:colOff>1400175</xdr:colOff>
      <xdr:row>0</xdr:row>
      <xdr:rowOff>304800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a:fillRect/>
        </a:stretch>
      </xdr:blipFill>
      <xdr:spPr>
        <a:xfrm>
          <a:off x="85725" y="85725"/>
          <a:ext cx="1314450" cy="219075"/>
        </a:xfrm>
        <a:prstGeom prst="rect">
          <a:avLst/>
        </a:prstGeom>
        <a:effec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y.pitchbook.com/?pcc=1164389-8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1"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4"/>
  <sheetViews>
    <sheetView showGridLines="0" tabSelected="1" topLeftCell="A55" workbookViewId="0">
      <selection activeCell="A13" sqref="A13:R166"/>
    </sheetView>
  </sheetViews>
  <sheetFormatPr baseColWidth="10" defaultColWidth="8.83203125" defaultRowHeight="15" x14ac:dyDescent="0.2"/>
  <cols>
    <col min="1" max="1" width="21.6640625" customWidth="1"/>
    <col min="2" max="2" width="55.1640625" customWidth="1"/>
    <col min="3" max="3" width="22.6640625" customWidth="1"/>
    <col min="4" max="4" width="24" customWidth="1"/>
    <col min="5" max="5" width="39.6640625" customWidth="1"/>
    <col min="6" max="6" width="17.5" customWidth="1"/>
    <col min="7" max="7" width="18.5" customWidth="1"/>
    <col min="8" max="8" width="15.1640625" customWidth="1"/>
    <col min="9" max="9" width="22.5" customWidth="1"/>
    <col min="10" max="10" width="19.5" customWidth="1"/>
    <col min="11" max="11" width="21.83203125" customWidth="1"/>
    <col min="12" max="12" width="20.33203125" customWidth="1"/>
    <col min="13" max="13" width="23.1640625" customWidth="1"/>
    <col min="14" max="14" width="20.33203125" customWidth="1"/>
    <col min="15" max="15" width="26.6640625" customWidth="1"/>
    <col min="16" max="16" width="29.83203125" customWidth="1"/>
    <col min="17" max="17" width="23.83203125" customWidth="1"/>
    <col min="18" max="18" width="18.6640625" customWidth="1"/>
  </cols>
  <sheetData>
    <row r="1" spans="1:18" ht="25" customHeight="1" x14ac:dyDescent="0.2">
      <c r="D1" s="18" t="s">
        <v>815</v>
      </c>
    </row>
    <row r="3" spans="1:18" x14ac:dyDescent="0.2">
      <c r="A3" s="15" t="s">
        <v>811</v>
      </c>
      <c r="B3" s="17" t="s">
        <v>812</v>
      </c>
    </row>
    <row r="4" spans="1:18" x14ac:dyDescent="0.2">
      <c r="A4" s="15" t="s">
        <v>813</v>
      </c>
      <c r="B4" s="25" t="s">
        <v>814</v>
      </c>
      <c r="C4" s="26"/>
      <c r="D4" s="26"/>
      <c r="E4" s="19" t="s">
        <v>816</v>
      </c>
      <c r="F4" s="16">
        <v>45797</v>
      </c>
    </row>
    <row r="5" spans="1:18" x14ac:dyDescent="0.2">
      <c r="B5" s="26"/>
      <c r="C5" s="26"/>
      <c r="D5" s="26"/>
      <c r="E5" s="19" t="s">
        <v>817</v>
      </c>
      <c r="F5" s="20" t="s">
        <v>818</v>
      </c>
    </row>
    <row r="7" spans="1:18" ht="35" customHeight="1" x14ac:dyDescent="0.2">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row>
    <row r="8" spans="1:18" x14ac:dyDescent="0.2">
      <c r="A8" s="9" t="s">
        <v>18</v>
      </c>
      <c r="B8" s="9" t="s">
        <v>19</v>
      </c>
      <c r="C8" s="11" t="s">
        <v>20</v>
      </c>
      <c r="D8" s="11">
        <v>10008.67</v>
      </c>
      <c r="E8" s="9" t="s">
        <v>21</v>
      </c>
      <c r="F8" s="13">
        <v>43356</v>
      </c>
      <c r="G8" s="9" t="s">
        <v>22</v>
      </c>
      <c r="H8" s="12">
        <v>369.42</v>
      </c>
      <c r="I8" s="12">
        <v>369.42</v>
      </c>
      <c r="J8" s="11" t="s">
        <v>20</v>
      </c>
      <c r="K8" s="11" t="s">
        <v>20</v>
      </c>
      <c r="L8" s="11">
        <v>0.04</v>
      </c>
      <c r="M8" s="11">
        <v>10008.67</v>
      </c>
      <c r="N8" s="11">
        <v>-0.02</v>
      </c>
      <c r="O8" s="10" t="s">
        <v>23</v>
      </c>
      <c r="P8" s="9" t="s">
        <v>24</v>
      </c>
      <c r="Q8" s="9" t="s">
        <v>25</v>
      </c>
      <c r="R8" s="7" t="str">
        <f>HYPERLINK("https://my.pitchbook.com?c=109499-50T","View Company Online")</f>
        <v>View Company Online</v>
      </c>
    </row>
    <row r="9" spans="1:18" x14ac:dyDescent="0.2">
      <c r="A9" s="3" t="s">
        <v>26</v>
      </c>
      <c r="B9" s="3" t="s">
        <v>27</v>
      </c>
      <c r="C9" s="5" t="s">
        <v>20</v>
      </c>
      <c r="D9" s="5">
        <v>1824.15</v>
      </c>
      <c r="E9" s="3" t="s">
        <v>28</v>
      </c>
      <c r="F9" s="1">
        <v>43202</v>
      </c>
      <c r="G9" s="3" t="s">
        <v>22</v>
      </c>
      <c r="H9" s="4">
        <v>1000</v>
      </c>
      <c r="I9" s="4">
        <v>1000</v>
      </c>
      <c r="J9" s="5" t="s">
        <v>20</v>
      </c>
      <c r="K9" s="5" t="s">
        <v>20</v>
      </c>
      <c r="L9" s="5">
        <v>0.55000000000000004</v>
      </c>
      <c r="M9" s="5">
        <v>1824.39</v>
      </c>
      <c r="N9" s="5">
        <v>0.02</v>
      </c>
      <c r="O9" s="6" t="s">
        <v>29</v>
      </c>
      <c r="P9" s="3" t="s">
        <v>30</v>
      </c>
      <c r="Q9" s="3" t="s">
        <v>31</v>
      </c>
      <c r="R9" s="8" t="str">
        <f>HYPERLINK("https://my.pitchbook.com?c=102091-87T","View Company Online")</f>
        <v>View Company Online</v>
      </c>
    </row>
    <row r="10" spans="1:18" x14ac:dyDescent="0.2">
      <c r="A10" s="9" t="s">
        <v>32</v>
      </c>
      <c r="B10" s="9" t="s">
        <v>33</v>
      </c>
      <c r="C10" s="11" t="s">
        <v>20</v>
      </c>
      <c r="D10" s="11">
        <v>859.67</v>
      </c>
      <c r="E10" s="9" t="s">
        <v>34</v>
      </c>
      <c r="F10" s="13">
        <v>44372</v>
      </c>
      <c r="G10" s="9" t="s">
        <v>22</v>
      </c>
      <c r="H10" s="12">
        <v>24.05</v>
      </c>
      <c r="I10" s="12">
        <v>24.05</v>
      </c>
      <c r="J10" s="11" t="s">
        <v>20</v>
      </c>
      <c r="K10" s="11" t="s">
        <v>20</v>
      </c>
      <c r="L10" s="11">
        <v>0.03</v>
      </c>
      <c r="M10" s="11">
        <v>859.67</v>
      </c>
      <c r="N10" s="11" t="s">
        <v>20</v>
      </c>
      <c r="O10" s="10" t="s">
        <v>35</v>
      </c>
      <c r="P10" s="9" t="s">
        <v>24</v>
      </c>
      <c r="Q10" s="9" t="s">
        <v>36</v>
      </c>
      <c r="R10" s="7" t="str">
        <f>HYPERLINK("https://my.pitchbook.com?c=176380-57T","View Company Online")</f>
        <v>View Company Online</v>
      </c>
    </row>
    <row r="11" spans="1:18" x14ac:dyDescent="0.2">
      <c r="A11" s="3" t="s">
        <v>37</v>
      </c>
      <c r="B11" s="3" t="s">
        <v>38</v>
      </c>
      <c r="C11" s="5" t="s">
        <v>20</v>
      </c>
      <c r="D11" s="5">
        <v>611.95000000000005</v>
      </c>
      <c r="E11" s="3" t="s">
        <v>39</v>
      </c>
      <c r="F11" s="1">
        <v>44559</v>
      </c>
      <c r="G11" s="3" t="s">
        <v>22</v>
      </c>
      <c r="H11" s="4">
        <v>115</v>
      </c>
      <c r="I11" s="4">
        <v>115</v>
      </c>
      <c r="J11" s="5" t="s">
        <v>20</v>
      </c>
      <c r="K11" s="5" t="s">
        <v>20</v>
      </c>
      <c r="L11" s="5">
        <v>0.19</v>
      </c>
      <c r="M11" s="5">
        <v>611.95000000000005</v>
      </c>
      <c r="N11" s="5" t="s">
        <v>20</v>
      </c>
      <c r="O11" s="6" t="s">
        <v>40</v>
      </c>
      <c r="P11" s="3" t="s">
        <v>24</v>
      </c>
      <c r="Q11" s="3" t="s">
        <v>41</v>
      </c>
      <c r="R11" s="8" t="str">
        <f>HYPERLINK("https://my.pitchbook.com?c=185905-72T","View Company Online")</f>
        <v>View Company Online</v>
      </c>
    </row>
    <row r="12" spans="1:18" x14ac:dyDescent="0.2">
      <c r="A12" s="9" t="s">
        <v>42</v>
      </c>
      <c r="B12" s="9" t="s">
        <v>43</v>
      </c>
      <c r="C12" s="11" t="s">
        <v>20</v>
      </c>
      <c r="D12" s="11">
        <v>200</v>
      </c>
      <c r="E12" s="9" t="s">
        <v>44</v>
      </c>
      <c r="F12" s="13">
        <v>43643</v>
      </c>
      <c r="G12" s="9" t="s">
        <v>22</v>
      </c>
      <c r="H12" s="12">
        <v>6</v>
      </c>
      <c r="I12" s="12">
        <v>6</v>
      </c>
      <c r="J12" s="11">
        <v>-1</v>
      </c>
      <c r="K12" s="11">
        <v>-6</v>
      </c>
      <c r="L12" s="11">
        <v>0.03</v>
      </c>
      <c r="M12" s="11">
        <v>200</v>
      </c>
      <c r="N12" s="11">
        <v>-0.3</v>
      </c>
      <c r="O12" s="10" t="s">
        <v>45</v>
      </c>
      <c r="P12" s="9" t="s">
        <v>46</v>
      </c>
      <c r="Q12" s="9" t="s">
        <v>47</v>
      </c>
      <c r="R12" s="7" t="str">
        <f>HYPERLINK("https://my.pitchbook.com?c=120244-69T","View Company Online")</f>
        <v>View Company Online</v>
      </c>
    </row>
    <row r="13" spans="1:18" x14ac:dyDescent="0.2">
      <c r="A13" s="3" t="s">
        <v>48</v>
      </c>
      <c r="B13" s="3" t="s">
        <v>49</v>
      </c>
      <c r="C13" s="5" t="s">
        <v>20</v>
      </c>
      <c r="D13" s="5">
        <v>137.5</v>
      </c>
      <c r="E13" s="3" t="s">
        <v>50</v>
      </c>
      <c r="F13" s="1">
        <v>43221</v>
      </c>
      <c r="G13" s="3" t="s">
        <v>22</v>
      </c>
      <c r="H13" s="4">
        <v>137.5</v>
      </c>
      <c r="I13" s="4">
        <v>137.5</v>
      </c>
      <c r="J13" s="5" t="s">
        <v>20</v>
      </c>
      <c r="K13" s="5" t="s">
        <v>20</v>
      </c>
      <c r="L13" s="5">
        <v>1</v>
      </c>
      <c r="M13" s="5">
        <v>137.5</v>
      </c>
      <c r="N13" s="5" t="s">
        <v>20</v>
      </c>
      <c r="O13" s="6" t="s">
        <v>51</v>
      </c>
      <c r="P13" s="3" t="s">
        <v>52</v>
      </c>
      <c r="Q13" s="3" t="s">
        <v>53</v>
      </c>
      <c r="R13" s="8" t="str">
        <f>HYPERLINK("https://my.pitchbook.com?c=104125-15T","View Company Online")</f>
        <v>View Company Online</v>
      </c>
    </row>
    <row r="14" spans="1:18" x14ac:dyDescent="0.2">
      <c r="A14" s="9" t="s">
        <v>54</v>
      </c>
      <c r="B14" s="9" t="s">
        <v>55</v>
      </c>
      <c r="C14" s="11" t="s">
        <v>20</v>
      </c>
      <c r="D14" s="11">
        <v>129.88999999999999</v>
      </c>
      <c r="E14" s="9" t="s">
        <v>56</v>
      </c>
      <c r="F14" s="13">
        <v>44648</v>
      </c>
      <c r="G14" s="9" t="s">
        <v>22</v>
      </c>
      <c r="H14" s="12">
        <v>295.7</v>
      </c>
      <c r="I14" s="12">
        <v>295.7</v>
      </c>
      <c r="J14" s="11">
        <v>-34.380000000000003</v>
      </c>
      <c r="K14" s="11">
        <v>-8.6</v>
      </c>
      <c r="L14" s="11">
        <v>2.1800000000000002</v>
      </c>
      <c r="M14" s="11">
        <v>135.77000000000001</v>
      </c>
      <c r="N14" s="11">
        <v>-35.97</v>
      </c>
      <c r="O14" s="10" t="s">
        <v>57</v>
      </c>
      <c r="P14" s="9" t="s">
        <v>58</v>
      </c>
      <c r="Q14" s="9" t="s">
        <v>59</v>
      </c>
      <c r="R14" s="7" t="str">
        <f>HYPERLINK("https://my.pitchbook.com?c=188437-33T","View Company Online")</f>
        <v>View Company Online</v>
      </c>
    </row>
    <row r="15" spans="1:18" x14ac:dyDescent="0.2">
      <c r="A15" s="3" t="s">
        <v>60</v>
      </c>
      <c r="B15" s="3" t="s">
        <v>61</v>
      </c>
      <c r="C15" s="5" t="s">
        <v>20</v>
      </c>
      <c r="D15" s="5">
        <v>126.63</v>
      </c>
      <c r="E15" s="3" t="s">
        <v>62</v>
      </c>
      <c r="F15" s="1">
        <v>43291</v>
      </c>
      <c r="G15" s="3" t="s">
        <v>22</v>
      </c>
      <c r="H15" s="4">
        <v>48.36</v>
      </c>
      <c r="I15" s="4">
        <v>74.400000000000006</v>
      </c>
      <c r="J15" s="5">
        <v>-6.08</v>
      </c>
      <c r="K15" s="5">
        <v>-12.24</v>
      </c>
      <c r="L15" s="5">
        <v>0.59</v>
      </c>
      <c r="M15" s="5">
        <v>126.63</v>
      </c>
      <c r="N15" s="5">
        <v>-9.06</v>
      </c>
      <c r="O15" s="6" t="s">
        <v>63</v>
      </c>
      <c r="P15" s="3" t="s">
        <v>64</v>
      </c>
      <c r="Q15" s="3" t="s">
        <v>65</v>
      </c>
      <c r="R15" s="8" t="str">
        <f>HYPERLINK("https://my.pitchbook.com?c=106472-80T","View Company Online")</f>
        <v>View Company Online</v>
      </c>
    </row>
    <row r="16" spans="1:18" x14ac:dyDescent="0.2">
      <c r="A16" s="9" t="s">
        <v>66</v>
      </c>
      <c r="B16" s="9" t="s">
        <v>67</v>
      </c>
      <c r="C16" s="11" t="s">
        <v>20</v>
      </c>
      <c r="D16" s="11">
        <v>96.16</v>
      </c>
      <c r="E16" s="9" t="s">
        <v>68</v>
      </c>
      <c r="F16" s="13">
        <v>44488</v>
      </c>
      <c r="G16" s="9" t="s">
        <v>22</v>
      </c>
      <c r="H16" s="12">
        <v>1900</v>
      </c>
      <c r="I16" s="12">
        <v>1900</v>
      </c>
      <c r="J16" s="11">
        <v>-52.86</v>
      </c>
      <c r="K16" s="11">
        <v>-35.94</v>
      </c>
      <c r="L16" s="11">
        <v>17.79</v>
      </c>
      <c r="M16" s="11">
        <v>106.82</v>
      </c>
      <c r="N16" s="11">
        <v>-61.83</v>
      </c>
      <c r="O16" s="10" t="s">
        <v>69</v>
      </c>
      <c r="P16" s="9" t="s">
        <v>70</v>
      </c>
      <c r="Q16" s="9" t="s">
        <v>71</v>
      </c>
      <c r="R16" s="7" t="str">
        <f>HYPERLINK("https://my.pitchbook.com?c=177831-01T","View Company Online")</f>
        <v>View Company Online</v>
      </c>
    </row>
    <row r="17" spans="1:18" x14ac:dyDescent="0.2">
      <c r="A17" s="3" t="s">
        <v>72</v>
      </c>
      <c r="B17" s="3" t="s">
        <v>73</v>
      </c>
      <c r="C17" s="5" t="s">
        <v>20</v>
      </c>
      <c r="D17" s="5">
        <v>83.25</v>
      </c>
      <c r="E17" s="3" t="s">
        <v>74</v>
      </c>
      <c r="F17" s="1">
        <v>44553</v>
      </c>
      <c r="G17" s="3" t="s">
        <v>22</v>
      </c>
      <c r="H17" s="4">
        <v>1200</v>
      </c>
      <c r="I17" s="4">
        <v>1200</v>
      </c>
      <c r="J17" s="5" t="s">
        <v>20</v>
      </c>
      <c r="K17" s="5" t="s">
        <v>20</v>
      </c>
      <c r="L17" s="5">
        <v>14.41</v>
      </c>
      <c r="M17" s="5">
        <v>83.25</v>
      </c>
      <c r="N17" s="5">
        <v>7.63</v>
      </c>
      <c r="O17" s="6" t="s">
        <v>75</v>
      </c>
      <c r="P17" s="3" t="s">
        <v>76</v>
      </c>
      <c r="Q17" s="3" t="s">
        <v>77</v>
      </c>
      <c r="R17" s="8" t="str">
        <f>HYPERLINK("https://my.pitchbook.com?c=185448-34T","View Company Online")</f>
        <v>View Company Online</v>
      </c>
    </row>
    <row r="18" spans="1:18" x14ac:dyDescent="0.2">
      <c r="A18" s="9" t="s">
        <v>78</v>
      </c>
      <c r="B18" s="9" t="s">
        <v>79</v>
      </c>
      <c r="C18" s="11" t="s">
        <v>20</v>
      </c>
      <c r="D18" s="11">
        <v>62.5</v>
      </c>
      <c r="E18" s="9" t="s">
        <v>80</v>
      </c>
      <c r="F18" s="13">
        <v>44389</v>
      </c>
      <c r="G18" s="9" t="s">
        <v>22</v>
      </c>
      <c r="H18" s="12">
        <v>500</v>
      </c>
      <c r="I18" s="12">
        <v>500</v>
      </c>
      <c r="J18" s="11" t="s">
        <v>20</v>
      </c>
      <c r="K18" s="11" t="s">
        <v>20</v>
      </c>
      <c r="L18" s="11">
        <v>8</v>
      </c>
      <c r="M18" s="11">
        <v>62.5</v>
      </c>
      <c r="N18" s="11" t="s">
        <v>20</v>
      </c>
      <c r="O18" s="10" t="s">
        <v>81</v>
      </c>
      <c r="P18" s="9" t="s">
        <v>82</v>
      </c>
      <c r="Q18" s="9" t="s">
        <v>83</v>
      </c>
      <c r="R18" s="7" t="str">
        <f>HYPERLINK("https://my.pitchbook.com?c=176249-80T","View Company Online")</f>
        <v>View Company Online</v>
      </c>
    </row>
    <row r="19" spans="1:18" x14ac:dyDescent="0.2">
      <c r="A19" s="3" t="s">
        <v>84</v>
      </c>
      <c r="B19" s="3" t="s">
        <v>85</v>
      </c>
      <c r="C19" s="5" t="s">
        <v>20</v>
      </c>
      <c r="D19" s="5">
        <v>55.82</v>
      </c>
      <c r="E19" s="3" t="s">
        <v>86</v>
      </c>
      <c r="F19" s="1">
        <v>44827</v>
      </c>
      <c r="G19" s="3" t="s">
        <v>22</v>
      </c>
      <c r="H19" s="4">
        <v>38.28</v>
      </c>
      <c r="I19" s="4">
        <v>45.04</v>
      </c>
      <c r="J19" s="5" t="s">
        <v>20</v>
      </c>
      <c r="K19" s="5" t="s">
        <v>20</v>
      </c>
      <c r="L19" s="5">
        <v>0.81</v>
      </c>
      <c r="M19" s="5">
        <v>55.82</v>
      </c>
      <c r="N19" s="5" t="s">
        <v>20</v>
      </c>
      <c r="O19" s="6" t="s">
        <v>87</v>
      </c>
      <c r="P19" s="3" t="s">
        <v>88</v>
      </c>
      <c r="Q19" s="3" t="s">
        <v>89</v>
      </c>
      <c r="R19" s="8" t="str">
        <f>HYPERLINK("https://my.pitchbook.com?c=206541-73T","View Company Online")</f>
        <v>View Company Online</v>
      </c>
    </row>
    <row r="20" spans="1:18" x14ac:dyDescent="0.2">
      <c r="A20" s="9" t="s">
        <v>90</v>
      </c>
      <c r="B20" s="9" t="s">
        <v>91</v>
      </c>
      <c r="C20" s="11">
        <v>4.0999999999999996</v>
      </c>
      <c r="D20" s="11">
        <v>44.87</v>
      </c>
      <c r="E20" s="9" t="s">
        <v>92</v>
      </c>
      <c r="F20" s="13">
        <v>45629</v>
      </c>
      <c r="G20" s="9" t="s">
        <v>22</v>
      </c>
      <c r="H20" s="12">
        <v>20</v>
      </c>
      <c r="I20" s="12">
        <v>20</v>
      </c>
      <c r="J20" s="11">
        <v>4.13</v>
      </c>
      <c r="K20" s="11">
        <v>4.84</v>
      </c>
      <c r="L20" s="11">
        <v>0.38</v>
      </c>
      <c r="M20" s="11">
        <v>53.01</v>
      </c>
      <c r="N20" s="11">
        <v>-10.9</v>
      </c>
      <c r="O20" s="10" t="s">
        <v>93</v>
      </c>
      <c r="P20" s="9" t="s">
        <v>24</v>
      </c>
      <c r="Q20" s="9" t="s">
        <v>94</v>
      </c>
      <c r="R20" s="7" t="str">
        <f>HYPERLINK("https://my.pitchbook.com?c=279202-78T","View Company Online")</f>
        <v>View Company Online</v>
      </c>
    </row>
    <row r="21" spans="1:18" x14ac:dyDescent="0.2">
      <c r="A21" s="3" t="s">
        <v>95</v>
      </c>
      <c r="B21" s="3" t="s">
        <v>96</v>
      </c>
      <c r="C21" s="5">
        <v>2.2400000000000002</v>
      </c>
      <c r="D21" s="5">
        <v>27.16</v>
      </c>
      <c r="E21" s="3" t="s">
        <v>97</v>
      </c>
      <c r="F21" s="1">
        <v>45750</v>
      </c>
      <c r="G21" s="3" t="s">
        <v>22</v>
      </c>
      <c r="H21" s="4">
        <v>54.8</v>
      </c>
      <c r="I21" s="4">
        <v>59.89</v>
      </c>
      <c r="J21" s="5">
        <v>15.66</v>
      </c>
      <c r="K21" s="5">
        <v>3.83</v>
      </c>
      <c r="L21" s="5">
        <v>1.29</v>
      </c>
      <c r="M21" s="5">
        <v>46.32</v>
      </c>
      <c r="N21" s="5">
        <v>18.559999999999999</v>
      </c>
      <c r="O21" s="6" t="s">
        <v>98</v>
      </c>
      <c r="P21" s="3" t="s">
        <v>76</v>
      </c>
      <c r="Q21" s="3" t="s">
        <v>99</v>
      </c>
      <c r="R21" s="8" t="str">
        <f>HYPERLINK("https://my.pitchbook.com?c=289889-11T","View Company Online")</f>
        <v>View Company Online</v>
      </c>
    </row>
    <row r="22" spans="1:18" x14ac:dyDescent="0.2">
      <c r="A22" s="9" t="s">
        <v>100</v>
      </c>
      <c r="B22" s="9" t="s">
        <v>101</v>
      </c>
      <c r="C22" s="11" t="s">
        <v>20</v>
      </c>
      <c r="D22" s="11">
        <v>38.32</v>
      </c>
      <c r="E22" s="9" t="s">
        <v>102</v>
      </c>
      <c r="F22" s="13">
        <v>44687</v>
      </c>
      <c r="G22" s="9" t="s">
        <v>103</v>
      </c>
      <c r="H22" s="12">
        <v>525</v>
      </c>
      <c r="I22" s="12">
        <v>525</v>
      </c>
      <c r="J22" s="11" t="s">
        <v>20</v>
      </c>
      <c r="K22" s="11" t="s">
        <v>20</v>
      </c>
      <c r="L22" s="11">
        <v>13.7</v>
      </c>
      <c r="M22" s="11">
        <v>38.32</v>
      </c>
      <c r="N22" s="11" t="s">
        <v>20</v>
      </c>
      <c r="O22" s="10" t="s">
        <v>104</v>
      </c>
      <c r="P22" s="9" t="s">
        <v>82</v>
      </c>
      <c r="Q22" s="9" t="s">
        <v>105</v>
      </c>
      <c r="R22" s="7" t="str">
        <f>HYPERLINK("https://my.pitchbook.com?c=191084-41T","View Company Online")</f>
        <v>View Company Online</v>
      </c>
    </row>
    <row r="23" spans="1:18" x14ac:dyDescent="0.2">
      <c r="A23" s="3" t="s">
        <v>106</v>
      </c>
      <c r="B23" s="3" t="s">
        <v>107</v>
      </c>
      <c r="C23" s="5" t="s">
        <v>20</v>
      </c>
      <c r="D23" s="5">
        <v>27.51</v>
      </c>
      <c r="E23" s="3" t="s">
        <v>108</v>
      </c>
      <c r="F23" s="1">
        <v>44305</v>
      </c>
      <c r="G23" s="3" t="s">
        <v>22</v>
      </c>
      <c r="H23" s="4">
        <v>45</v>
      </c>
      <c r="I23" s="4">
        <v>45</v>
      </c>
      <c r="J23" s="5" t="s">
        <v>20</v>
      </c>
      <c r="K23" s="5" t="s">
        <v>20</v>
      </c>
      <c r="L23" s="5">
        <v>1.64</v>
      </c>
      <c r="M23" s="5">
        <v>27.51</v>
      </c>
      <c r="N23" s="5">
        <v>-7.39</v>
      </c>
      <c r="O23" s="6" t="s">
        <v>109</v>
      </c>
      <c r="P23" s="3" t="s">
        <v>110</v>
      </c>
      <c r="Q23" s="3" t="s">
        <v>111</v>
      </c>
      <c r="R23" s="8" t="str">
        <f>HYPERLINK("https://my.pitchbook.com?c=170622-19T","View Company Online")</f>
        <v>View Company Online</v>
      </c>
    </row>
    <row r="24" spans="1:18" x14ac:dyDescent="0.2">
      <c r="A24" s="9" t="s">
        <v>112</v>
      </c>
      <c r="B24" s="9" t="s">
        <v>113</v>
      </c>
      <c r="C24" s="11" t="s">
        <v>20</v>
      </c>
      <c r="D24" s="11">
        <v>27.5</v>
      </c>
      <c r="E24" s="9" t="s">
        <v>114</v>
      </c>
      <c r="F24" s="13">
        <v>43361</v>
      </c>
      <c r="G24" s="9" t="s">
        <v>22</v>
      </c>
      <c r="H24" s="12">
        <v>0.6</v>
      </c>
      <c r="I24" s="12">
        <v>0.6</v>
      </c>
      <c r="J24" s="11" t="s">
        <v>20</v>
      </c>
      <c r="K24" s="11" t="s">
        <v>20</v>
      </c>
      <c r="L24" s="11">
        <v>0.02</v>
      </c>
      <c r="M24" s="11">
        <v>27.5</v>
      </c>
      <c r="N24" s="11" t="s">
        <v>20</v>
      </c>
      <c r="O24" s="10" t="s">
        <v>115</v>
      </c>
      <c r="P24" s="9" t="s">
        <v>24</v>
      </c>
      <c r="Q24" s="9" t="s">
        <v>99</v>
      </c>
      <c r="R24" s="7" t="str">
        <f>HYPERLINK("https://my.pitchbook.com?c=105018-76T","View Company Online")</f>
        <v>View Company Online</v>
      </c>
    </row>
    <row r="25" spans="1:18" x14ac:dyDescent="0.2">
      <c r="A25" s="3" t="s">
        <v>116</v>
      </c>
      <c r="B25" s="3" t="s">
        <v>117</v>
      </c>
      <c r="C25" s="5" t="s">
        <v>20</v>
      </c>
      <c r="D25" s="5">
        <v>27.27</v>
      </c>
      <c r="E25" s="3" t="s">
        <v>118</v>
      </c>
      <c r="F25" s="1">
        <v>44681</v>
      </c>
      <c r="G25" s="3" t="s">
        <v>22</v>
      </c>
      <c r="H25" s="4">
        <v>6</v>
      </c>
      <c r="I25" s="4">
        <v>6</v>
      </c>
      <c r="J25" s="5" t="s">
        <v>20</v>
      </c>
      <c r="K25" s="5" t="s">
        <v>20</v>
      </c>
      <c r="L25" s="5">
        <v>0.22</v>
      </c>
      <c r="M25" s="5">
        <v>27.27</v>
      </c>
      <c r="N25" s="5" t="s">
        <v>20</v>
      </c>
      <c r="O25" s="6" t="s">
        <v>20</v>
      </c>
      <c r="P25" s="3" t="s">
        <v>76</v>
      </c>
      <c r="Q25" s="3" t="s">
        <v>119</v>
      </c>
      <c r="R25" s="8" t="str">
        <f>HYPERLINK("https://my.pitchbook.com?c=205508-17T","View Company Online")</f>
        <v>View Company Online</v>
      </c>
    </row>
    <row r="26" spans="1:18" x14ac:dyDescent="0.2">
      <c r="A26" s="9" t="s">
        <v>120</v>
      </c>
      <c r="B26" s="9" t="s">
        <v>121</v>
      </c>
      <c r="C26" s="11" t="s">
        <v>20</v>
      </c>
      <c r="D26" s="11">
        <v>23.81</v>
      </c>
      <c r="E26" s="9" t="s">
        <v>122</v>
      </c>
      <c r="F26" s="13">
        <v>43956</v>
      </c>
      <c r="G26" s="9" t="s">
        <v>22</v>
      </c>
      <c r="H26" s="12">
        <v>7</v>
      </c>
      <c r="I26" s="12">
        <v>50</v>
      </c>
      <c r="J26" s="11" t="s">
        <v>20</v>
      </c>
      <c r="K26" s="11" t="s">
        <v>20</v>
      </c>
      <c r="L26" s="11">
        <v>2.1</v>
      </c>
      <c r="M26" s="11">
        <v>23.81</v>
      </c>
      <c r="N26" s="11" t="s">
        <v>20</v>
      </c>
      <c r="O26" s="10" t="s">
        <v>123</v>
      </c>
      <c r="P26" s="9" t="s">
        <v>24</v>
      </c>
      <c r="Q26" s="9" t="s">
        <v>124</v>
      </c>
      <c r="R26" s="7" t="str">
        <f>HYPERLINK("https://my.pitchbook.com?c=128569-87T","View Company Online")</f>
        <v>View Company Online</v>
      </c>
    </row>
    <row r="27" spans="1:18" x14ac:dyDescent="0.2">
      <c r="A27" s="3" t="s">
        <v>125</v>
      </c>
      <c r="B27" s="3" t="s">
        <v>126</v>
      </c>
      <c r="C27" s="5" t="s">
        <v>20</v>
      </c>
      <c r="D27" s="5">
        <v>23.75</v>
      </c>
      <c r="E27" s="3" t="s">
        <v>127</v>
      </c>
      <c r="F27" s="1">
        <v>45099</v>
      </c>
      <c r="G27" s="3" t="s">
        <v>22</v>
      </c>
      <c r="H27" s="4">
        <v>95</v>
      </c>
      <c r="I27" s="4">
        <v>95</v>
      </c>
      <c r="J27" s="5" t="s">
        <v>20</v>
      </c>
      <c r="K27" s="5" t="s">
        <v>20</v>
      </c>
      <c r="L27" s="5">
        <v>4</v>
      </c>
      <c r="M27" s="5">
        <v>23.75</v>
      </c>
      <c r="N27" s="5" t="s">
        <v>20</v>
      </c>
      <c r="O27" s="6" t="s">
        <v>128</v>
      </c>
      <c r="P27" s="3" t="s">
        <v>76</v>
      </c>
      <c r="Q27" s="3" t="s">
        <v>83</v>
      </c>
      <c r="R27" s="8" t="str">
        <f>HYPERLINK("https://my.pitchbook.com?c=226600-57T","View Company Online")</f>
        <v>View Company Online</v>
      </c>
    </row>
    <row r="28" spans="1:18" x14ac:dyDescent="0.2">
      <c r="A28" s="9" t="s">
        <v>129</v>
      </c>
      <c r="B28" s="9" t="s">
        <v>130</v>
      </c>
      <c r="C28" s="11" t="s">
        <v>20</v>
      </c>
      <c r="D28" s="11">
        <v>22.59</v>
      </c>
      <c r="E28" s="9" t="s">
        <v>131</v>
      </c>
      <c r="F28" s="13">
        <v>44332</v>
      </c>
      <c r="G28" s="9" t="s">
        <v>22</v>
      </c>
      <c r="H28" s="12">
        <v>440</v>
      </c>
      <c r="I28" s="12">
        <v>440</v>
      </c>
      <c r="J28" s="11" t="s">
        <v>20</v>
      </c>
      <c r="K28" s="11" t="s">
        <v>20</v>
      </c>
      <c r="L28" s="11">
        <v>19.48</v>
      </c>
      <c r="M28" s="11">
        <v>22.59</v>
      </c>
      <c r="N28" s="11">
        <v>19.48</v>
      </c>
      <c r="O28" s="10" t="s">
        <v>132</v>
      </c>
      <c r="P28" s="9" t="s">
        <v>70</v>
      </c>
      <c r="Q28" s="9" t="s">
        <v>133</v>
      </c>
      <c r="R28" s="7" t="str">
        <f>HYPERLINK("https://my.pitchbook.com?c=169895-80T","View Company Online")</f>
        <v>View Company Online</v>
      </c>
    </row>
    <row r="29" spans="1:18" x14ac:dyDescent="0.2">
      <c r="A29" s="3" t="s">
        <v>134</v>
      </c>
      <c r="B29" s="3" t="s">
        <v>135</v>
      </c>
      <c r="C29" s="5" t="s">
        <v>20</v>
      </c>
      <c r="D29" s="5">
        <v>20.22</v>
      </c>
      <c r="E29" s="3" t="s">
        <v>136</v>
      </c>
      <c r="F29" s="1">
        <v>45184</v>
      </c>
      <c r="G29" s="3" t="s">
        <v>22</v>
      </c>
      <c r="H29" s="4">
        <v>301.60000000000002</v>
      </c>
      <c r="I29" s="4">
        <v>301.60000000000002</v>
      </c>
      <c r="J29" s="5" t="s">
        <v>20</v>
      </c>
      <c r="K29" s="5" t="s">
        <v>20</v>
      </c>
      <c r="L29" s="5">
        <v>14.92</v>
      </c>
      <c r="M29" s="5">
        <v>20.22</v>
      </c>
      <c r="N29" s="5" t="s">
        <v>20</v>
      </c>
      <c r="O29" s="6" t="s">
        <v>137</v>
      </c>
      <c r="P29" s="3" t="s">
        <v>24</v>
      </c>
      <c r="Q29" s="3" t="s">
        <v>99</v>
      </c>
      <c r="R29" s="8" t="str">
        <f>HYPERLINK("https://my.pitchbook.com?c=244849-33T","View Company Online")</f>
        <v>View Company Online</v>
      </c>
    </row>
    <row r="30" spans="1:18" x14ac:dyDescent="0.2">
      <c r="A30" s="9" t="s">
        <v>138</v>
      </c>
      <c r="B30" s="9" t="s">
        <v>139</v>
      </c>
      <c r="C30" s="11" t="s">
        <v>20</v>
      </c>
      <c r="D30" s="11">
        <v>20</v>
      </c>
      <c r="E30" s="9" t="s">
        <v>140</v>
      </c>
      <c r="F30" s="13">
        <v>44418</v>
      </c>
      <c r="G30" s="9" t="s">
        <v>22</v>
      </c>
      <c r="H30" s="12">
        <v>2000</v>
      </c>
      <c r="I30" s="12">
        <v>2000</v>
      </c>
      <c r="J30" s="11" t="s">
        <v>20</v>
      </c>
      <c r="K30" s="11" t="s">
        <v>20</v>
      </c>
      <c r="L30" s="11">
        <v>100</v>
      </c>
      <c r="M30" s="11">
        <v>20</v>
      </c>
      <c r="N30" s="11" t="s">
        <v>20</v>
      </c>
      <c r="O30" s="10" t="s">
        <v>141</v>
      </c>
      <c r="P30" s="9" t="s">
        <v>142</v>
      </c>
      <c r="Q30" s="9" t="s">
        <v>143</v>
      </c>
      <c r="R30" s="7" t="str">
        <f>HYPERLINK("https://my.pitchbook.com?c=178101-01T","View Company Online")</f>
        <v>View Company Online</v>
      </c>
    </row>
    <row r="31" spans="1:18" x14ac:dyDescent="0.2">
      <c r="A31" s="3" t="s">
        <v>144</v>
      </c>
      <c r="B31" s="3" t="s">
        <v>145</v>
      </c>
      <c r="C31" s="5">
        <v>684.22</v>
      </c>
      <c r="D31" s="5">
        <v>18.32</v>
      </c>
      <c r="E31" s="3" t="s">
        <v>146</v>
      </c>
      <c r="F31" s="1">
        <v>43497</v>
      </c>
      <c r="G31" s="3" t="s">
        <v>22</v>
      </c>
      <c r="H31" s="4">
        <v>2700</v>
      </c>
      <c r="I31" s="4">
        <v>2700</v>
      </c>
      <c r="J31" s="5">
        <v>3.67</v>
      </c>
      <c r="K31" s="5">
        <v>735.29</v>
      </c>
      <c r="L31" s="5">
        <v>137.16999999999999</v>
      </c>
      <c r="M31" s="5">
        <v>19.68</v>
      </c>
      <c r="N31" s="5">
        <v>-5.53</v>
      </c>
      <c r="O31" s="6" t="s">
        <v>147</v>
      </c>
      <c r="P31" s="3" t="s">
        <v>58</v>
      </c>
      <c r="Q31" s="3" t="s">
        <v>148</v>
      </c>
      <c r="R31" s="8" t="str">
        <f>HYPERLINK("https://my.pitchbook.com?c=112971-52T","View Company Online")</f>
        <v>View Company Online</v>
      </c>
    </row>
    <row r="32" spans="1:18" x14ac:dyDescent="0.2">
      <c r="A32" s="9" t="s">
        <v>149</v>
      </c>
      <c r="B32" s="9" t="s">
        <v>150</v>
      </c>
      <c r="C32" s="11" t="s">
        <v>20</v>
      </c>
      <c r="D32" s="11">
        <v>19.239999999999998</v>
      </c>
      <c r="E32" s="9" t="s">
        <v>151</v>
      </c>
      <c r="F32" s="13">
        <v>44378</v>
      </c>
      <c r="G32" s="9" t="s">
        <v>22</v>
      </c>
      <c r="H32" s="12">
        <v>384.83</v>
      </c>
      <c r="I32" s="12">
        <v>384.83</v>
      </c>
      <c r="J32" s="11" t="s">
        <v>20</v>
      </c>
      <c r="K32" s="11" t="s">
        <v>20</v>
      </c>
      <c r="L32" s="11">
        <v>20</v>
      </c>
      <c r="M32" s="11">
        <v>19.239999999999998</v>
      </c>
      <c r="N32" s="11" t="s">
        <v>20</v>
      </c>
      <c r="O32" s="10" t="s">
        <v>152</v>
      </c>
      <c r="P32" s="9" t="s">
        <v>46</v>
      </c>
      <c r="Q32" s="9" t="s">
        <v>153</v>
      </c>
      <c r="R32" s="7" t="str">
        <f>HYPERLINK("https://my.pitchbook.com?c=173591-02T","View Company Online")</f>
        <v>View Company Online</v>
      </c>
    </row>
    <row r="33" spans="1:18" x14ac:dyDescent="0.2">
      <c r="A33" s="3" t="s">
        <v>154</v>
      </c>
      <c r="B33" s="3" t="s">
        <v>155</v>
      </c>
      <c r="C33" s="5" t="s">
        <v>20</v>
      </c>
      <c r="D33" s="5">
        <v>15.71</v>
      </c>
      <c r="E33" s="3" t="s">
        <v>156</v>
      </c>
      <c r="F33" s="1">
        <v>44623</v>
      </c>
      <c r="G33" s="3" t="s">
        <v>22</v>
      </c>
      <c r="H33" s="4">
        <v>1100</v>
      </c>
      <c r="I33" s="4">
        <v>1100</v>
      </c>
      <c r="J33" s="5" t="s">
        <v>20</v>
      </c>
      <c r="K33" s="5" t="s">
        <v>20</v>
      </c>
      <c r="L33" s="5">
        <v>70</v>
      </c>
      <c r="M33" s="5">
        <v>15.71</v>
      </c>
      <c r="N33" s="5" t="s">
        <v>20</v>
      </c>
      <c r="O33" s="6" t="s">
        <v>157</v>
      </c>
      <c r="P33" s="3" t="s">
        <v>24</v>
      </c>
      <c r="Q33" s="3" t="s">
        <v>36</v>
      </c>
      <c r="R33" s="8" t="str">
        <f>HYPERLINK("https://my.pitchbook.com?c=188895-43T","View Company Online")</f>
        <v>View Company Online</v>
      </c>
    </row>
    <row r="34" spans="1:18" x14ac:dyDescent="0.2">
      <c r="A34" s="9" t="s">
        <v>158</v>
      </c>
      <c r="B34" s="9" t="s">
        <v>159</v>
      </c>
      <c r="C34" s="11" t="s">
        <v>20</v>
      </c>
      <c r="D34" s="11">
        <v>14.92</v>
      </c>
      <c r="E34" s="9" t="s">
        <v>160</v>
      </c>
      <c r="F34" s="13">
        <v>44652</v>
      </c>
      <c r="G34" s="9" t="s">
        <v>22</v>
      </c>
      <c r="H34" s="12">
        <v>74.599999999999994</v>
      </c>
      <c r="I34" s="12">
        <v>74.599999999999994</v>
      </c>
      <c r="J34" s="11" t="s">
        <v>20</v>
      </c>
      <c r="K34" s="11" t="s">
        <v>20</v>
      </c>
      <c r="L34" s="11">
        <v>5</v>
      </c>
      <c r="M34" s="11">
        <v>14.92</v>
      </c>
      <c r="N34" s="11" t="s">
        <v>20</v>
      </c>
      <c r="O34" s="10" t="s">
        <v>161</v>
      </c>
      <c r="P34" s="9" t="s">
        <v>162</v>
      </c>
      <c r="Q34" s="9" t="s">
        <v>163</v>
      </c>
      <c r="R34" s="7" t="str">
        <f>HYPERLINK("https://my.pitchbook.com?c=188101-00T","View Company Online")</f>
        <v>View Company Online</v>
      </c>
    </row>
    <row r="35" spans="1:18" x14ac:dyDescent="0.2">
      <c r="A35" s="3" t="s">
        <v>164</v>
      </c>
      <c r="B35" s="3" t="s">
        <v>165</v>
      </c>
      <c r="C35" s="5" t="s">
        <v>20</v>
      </c>
      <c r="D35" s="5">
        <v>14.34</v>
      </c>
      <c r="E35" s="3" t="s">
        <v>166</v>
      </c>
      <c r="F35" s="1">
        <v>45380</v>
      </c>
      <c r="G35" s="3" t="s">
        <v>22</v>
      </c>
      <c r="H35" s="4">
        <v>16.07</v>
      </c>
      <c r="I35" s="4">
        <v>16.07</v>
      </c>
      <c r="J35" s="5" t="s">
        <v>20</v>
      </c>
      <c r="K35" s="5" t="s">
        <v>20</v>
      </c>
      <c r="L35" s="5">
        <v>1.1200000000000001</v>
      </c>
      <c r="M35" s="5">
        <v>14.34</v>
      </c>
      <c r="N35" s="5" t="s">
        <v>20</v>
      </c>
      <c r="O35" s="6" t="s">
        <v>167</v>
      </c>
      <c r="P35" s="3" t="s">
        <v>76</v>
      </c>
      <c r="Q35" s="3" t="s">
        <v>168</v>
      </c>
      <c r="R35" s="8" t="str">
        <f>HYPERLINK("https://my.pitchbook.com?c=256778-65T","View Company Online")</f>
        <v>View Company Online</v>
      </c>
    </row>
    <row r="36" spans="1:18" x14ac:dyDescent="0.2">
      <c r="A36" s="9" t="s">
        <v>169</v>
      </c>
      <c r="B36" s="9" t="s">
        <v>170</v>
      </c>
      <c r="C36" s="11" t="s">
        <v>20</v>
      </c>
      <c r="D36" s="11">
        <v>13.8</v>
      </c>
      <c r="E36" s="9" t="s">
        <v>171</v>
      </c>
      <c r="F36" s="13">
        <v>43983</v>
      </c>
      <c r="G36" s="9" t="s">
        <v>22</v>
      </c>
      <c r="H36" s="12">
        <v>1380</v>
      </c>
      <c r="I36" s="12">
        <v>1380</v>
      </c>
      <c r="J36" s="11" t="s">
        <v>20</v>
      </c>
      <c r="K36" s="11" t="s">
        <v>20</v>
      </c>
      <c r="L36" s="11">
        <v>100</v>
      </c>
      <c r="M36" s="11">
        <v>13.8</v>
      </c>
      <c r="N36" s="11" t="s">
        <v>20</v>
      </c>
      <c r="O36" s="10" t="s">
        <v>172</v>
      </c>
      <c r="P36" s="9" t="s">
        <v>110</v>
      </c>
      <c r="Q36" s="9" t="s">
        <v>83</v>
      </c>
      <c r="R36" s="7" t="str">
        <f>HYPERLINK("https://my.pitchbook.com?c=132590-71T","View Company Online")</f>
        <v>View Company Online</v>
      </c>
    </row>
    <row r="37" spans="1:18" x14ac:dyDescent="0.2">
      <c r="A37" s="3" t="s">
        <v>173</v>
      </c>
      <c r="B37" s="3" t="s">
        <v>174</v>
      </c>
      <c r="C37" s="5">
        <v>1158</v>
      </c>
      <c r="D37" s="5">
        <v>11.82</v>
      </c>
      <c r="E37" s="3" t="s">
        <v>175</v>
      </c>
      <c r="F37" s="1">
        <v>44615</v>
      </c>
      <c r="G37" s="3" t="s">
        <v>22</v>
      </c>
      <c r="H37" s="4">
        <v>3100</v>
      </c>
      <c r="I37" s="4">
        <v>3100</v>
      </c>
      <c r="J37" s="5">
        <v>2.39</v>
      </c>
      <c r="K37" s="5">
        <v>1297.07</v>
      </c>
      <c r="L37" s="5">
        <v>234.19</v>
      </c>
      <c r="M37" s="5">
        <v>13.24</v>
      </c>
      <c r="N37" s="5">
        <v>-8.49</v>
      </c>
      <c r="O37" s="6" t="s">
        <v>176</v>
      </c>
      <c r="P37" s="3" t="s">
        <v>177</v>
      </c>
      <c r="Q37" s="3" t="s">
        <v>178</v>
      </c>
      <c r="R37" s="8" t="str">
        <f>HYPERLINK("https://my.pitchbook.com?c=186095-35T","View Company Online")</f>
        <v>View Company Online</v>
      </c>
    </row>
    <row r="38" spans="1:18" x14ac:dyDescent="0.2">
      <c r="A38" s="9" t="s">
        <v>179</v>
      </c>
      <c r="B38" s="9" t="s">
        <v>180</v>
      </c>
      <c r="C38" s="11" t="s">
        <v>20</v>
      </c>
      <c r="D38" s="11">
        <v>12.73</v>
      </c>
      <c r="E38" s="9" t="s">
        <v>181</v>
      </c>
      <c r="F38" s="13">
        <v>45778</v>
      </c>
      <c r="G38" s="9" t="s">
        <v>22</v>
      </c>
      <c r="H38" s="12">
        <v>560</v>
      </c>
      <c r="I38" s="12">
        <v>560</v>
      </c>
      <c r="J38" s="11" t="s">
        <v>20</v>
      </c>
      <c r="K38" s="11" t="s">
        <v>20</v>
      </c>
      <c r="L38" s="11">
        <v>44</v>
      </c>
      <c r="M38" s="11">
        <v>12.73</v>
      </c>
      <c r="N38" s="11" t="s">
        <v>20</v>
      </c>
      <c r="O38" s="10" t="s">
        <v>182</v>
      </c>
      <c r="P38" s="9" t="s">
        <v>110</v>
      </c>
      <c r="Q38" s="9" t="s">
        <v>133</v>
      </c>
      <c r="R38" s="7" t="str">
        <f>HYPERLINK("https://my.pitchbook.com?c=287786-08T","View Company Online")</f>
        <v>View Company Online</v>
      </c>
    </row>
    <row r="39" spans="1:18" x14ac:dyDescent="0.2">
      <c r="A39" s="3" t="s">
        <v>183</v>
      </c>
      <c r="B39" s="3" t="s">
        <v>184</v>
      </c>
      <c r="C39" s="5" t="s">
        <v>20</v>
      </c>
      <c r="D39" s="5">
        <v>12.69</v>
      </c>
      <c r="E39" s="3" t="s">
        <v>185</v>
      </c>
      <c r="F39" s="1">
        <v>44013</v>
      </c>
      <c r="G39" s="3" t="s">
        <v>22</v>
      </c>
      <c r="H39" s="4">
        <v>1078.5</v>
      </c>
      <c r="I39" s="4">
        <v>1078.5</v>
      </c>
      <c r="J39" s="5" t="s">
        <v>20</v>
      </c>
      <c r="K39" s="5" t="s">
        <v>20</v>
      </c>
      <c r="L39" s="5">
        <v>85</v>
      </c>
      <c r="M39" s="5">
        <v>12.69</v>
      </c>
      <c r="N39" s="5" t="s">
        <v>20</v>
      </c>
      <c r="O39" s="6" t="s">
        <v>186</v>
      </c>
      <c r="P39" s="3" t="s">
        <v>187</v>
      </c>
      <c r="Q39" s="3" t="s">
        <v>188</v>
      </c>
      <c r="R39" s="8" t="str">
        <f>HYPERLINK("https://my.pitchbook.com?c=129629-17T","View Company Online")</f>
        <v>View Company Online</v>
      </c>
    </row>
    <row r="40" spans="1:18" x14ac:dyDescent="0.2">
      <c r="A40" s="9" t="s">
        <v>189</v>
      </c>
      <c r="B40" s="9" t="s">
        <v>190</v>
      </c>
      <c r="C40" s="11" t="s">
        <v>20</v>
      </c>
      <c r="D40" s="11">
        <v>12</v>
      </c>
      <c r="E40" s="9" t="s">
        <v>191</v>
      </c>
      <c r="F40" s="13">
        <v>44257</v>
      </c>
      <c r="G40" s="9" t="s">
        <v>22</v>
      </c>
      <c r="H40" s="12">
        <v>420.09</v>
      </c>
      <c r="I40" s="12">
        <v>420.09</v>
      </c>
      <c r="J40" s="11" t="s">
        <v>20</v>
      </c>
      <c r="K40" s="11" t="s">
        <v>20</v>
      </c>
      <c r="L40" s="11">
        <v>35</v>
      </c>
      <c r="M40" s="11">
        <v>12</v>
      </c>
      <c r="N40" s="11" t="s">
        <v>20</v>
      </c>
      <c r="O40" s="10" t="s">
        <v>192</v>
      </c>
      <c r="P40" s="9" t="s">
        <v>187</v>
      </c>
      <c r="Q40" s="9" t="s">
        <v>193</v>
      </c>
      <c r="R40" s="7" t="str">
        <f>HYPERLINK("https://my.pitchbook.com?c=164985-40T","View Company Online")</f>
        <v>View Company Online</v>
      </c>
    </row>
    <row r="41" spans="1:18" x14ac:dyDescent="0.2">
      <c r="A41" s="3" t="s">
        <v>194</v>
      </c>
      <c r="B41" s="3" t="s">
        <v>195</v>
      </c>
      <c r="C41" s="5" t="s">
        <v>20</v>
      </c>
      <c r="D41" s="5">
        <v>12</v>
      </c>
      <c r="E41" s="3" t="s">
        <v>196</v>
      </c>
      <c r="F41" s="1">
        <v>43965</v>
      </c>
      <c r="G41" s="3" t="s">
        <v>22</v>
      </c>
      <c r="H41" s="4">
        <v>1200</v>
      </c>
      <c r="I41" s="4">
        <v>1200</v>
      </c>
      <c r="J41" s="5" t="s">
        <v>20</v>
      </c>
      <c r="K41" s="5" t="s">
        <v>20</v>
      </c>
      <c r="L41" s="5">
        <v>100</v>
      </c>
      <c r="M41" s="5">
        <v>12</v>
      </c>
      <c r="N41" s="5" t="s">
        <v>20</v>
      </c>
      <c r="O41" s="6" t="s">
        <v>197</v>
      </c>
      <c r="P41" s="3" t="s">
        <v>24</v>
      </c>
      <c r="Q41" s="3" t="s">
        <v>198</v>
      </c>
      <c r="R41" s="8" t="str">
        <f>HYPERLINK("https://my.pitchbook.com?c=134707-15T","View Company Online")</f>
        <v>View Company Online</v>
      </c>
    </row>
    <row r="42" spans="1:18" x14ac:dyDescent="0.2">
      <c r="A42" s="9" t="s">
        <v>199</v>
      </c>
      <c r="B42" s="9" t="s">
        <v>200</v>
      </c>
      <c r="C42" s="11" t="s">
        <v>20</v>
      </c>
      <c r="D42" s="11">
        <v>11.98</v>
      </c>
      <c r="E42" s="9" t="s">
        <v>201</v>
      </c>
      <c r="F42" s="13">
        <v>44573</v>
      </c>
      <c r="G42" s="9" t="s">
        <v>103</v>
      </c>
      <c r="H42" s="12">
        <v>100</v>
      </c>
      <c r="I42" s="12">
        <v>100</v>
      </c>
      <c r="J42" s="11">
        <v>-0.4</v>
      </c>
      <c r="K42" s="11">
        <v>-250</v>
      </c>
      <c r="L42" s="11">
        <v>8.35</v>
      </c>
      <c r="M42" s="11">
        <v>11.98</v>
      </c>
      <c r="N42" s="11">
        <v>-0.6</v>
      </c>
      <c r="O42" s="10" t="s">
        <v>202</v>
      </c>
      <c r="P42" s="9" t="s">
        <v>110</v>
      </c>
      <c r="Q42" s="9" t="s">
        <v>133</v>
      </c>
      <c r="R42" s="7" t="str">
        <f>HYPERLINK("https://my.pitchbook.com?c=186440-05T","View Company Online")</f>
        <v>View Company Online</v>
      </c>
    </row>
    <row r="43" spans="1:18" x14ac:dyDescent="0.2">
      <c r="A43" s="3" t="s">
        <v>203</v>
      </c>
      <c r="B43" s="3" t="s">
        <v>204</v>
      </c>
      <c r="C43" s="5" t="s">
        <v>20</v>
      </c>
      <c r="D43" s="5">
        <v>11.83</v>
      </c>
      <c r="E43" s="3" t="s">
        <v>205</v>
      </c>
      <c r="F43" s="1">
        <v>44356</v>
      </c>
      <c r="G43" s="3" t="s">
        <v>22</v>
      </c>
      <c r="H43" s="4">
        <v>414.03</v>
      </c>
      <c r="I43" s="4">
        <v>414.03</v>
      </c>
      <c r="J43" s="5" t="s">
        <v>20</v>
      </c>
      <c r="K43" s="5" t="s">
        <v>20</v>
      </c>
      <c r="L43" s="5">
        <v>35</v>
      </c>
      <c r="M43" s="5">
        <v>11.83</v>
      </c>
      <c r="N43" s="5" t="s">
        <v>20</v>
      </c>
      <c r="O43" s="6" t="s">
        <v>192</v>
      </c>
      <c r="P43" s="3" t="s">
        <v>206</v>
      </c>
      <c r="Q43" s="3" t="s">
        <v>83</v>
      </c>
      <c r="R43" s="8" t="str">
        <f>HYPERLINK("https://my.pitchbook.com?c=170966-98T","View Company Online")</f>
        <v>View Company Online</v>
      </c>
    </row>
    <row r="44" spans="1:18" x14ac:dyDescent="0.2">
      <c r="A44" s="9" t="s">
        <v>207</v>
      </c>
      <c r="B44" s="9" t="s">
        <v>208</v>
      </c>
      <c r="C44" s="11" t="s">
        <v>20</v>
      </c>
      <c r="D44" s="11">
        <v>11.66</v>
      </c>
      <c r="E44" s="9" t="s">
        <v>209</v>
      </c>
      <c r="F44" s="13">
        <v>45201</v>
      </c>
      <c r="G44" s="9" t="s">
        <v>22</v>
      </c>
      <c r="H44" s="12">
        <v>696.8</v>
      </c>
      <c r="I44" s="12">
        <v>1049.4000000000001</v>
      </c>
      <c r="J44" s="11" t="s">
        <v>20</v>
      </c>
      <c r="K44" s="11" t="s">
        <v>20</v>
      </c>
      <c r="L44" s="11">
        <v>90</v>
      </c>
      <c r="M44" s="11">
        <v>11.66</v>
      </c>
      <c r="N44" s="11" t="s">
        <v>20</v>
      </c>
      <c r="O44" s="10" t="s">
        <v>210</v>
      </c>
      <c r="P44" s="9" t="s">
        <v>76</v>
      </c>
      <c r="Q44" s="9" t="s">
        <v>211</v>
      </c>
      <c r="R44" s="7" t="str">
        <f>HYPERLINK("https://my.pitchbook.com?c=233728-57T","View Company Online")</f>
        <v>View Company Online</v>
      </c>
    </row>
    <row r="45" spans="1:18" x14ac:dyDescent="0.2">
      <c r="A45" s="3" t="s">
        <v>212</v>
      </c>
      <c r="B45" s="3" t="s">
        <v>213</v>
      </c>
      <c r="C45" s="5" t="s">
        <v>20</v>
      </c>
      <c r="D45" s="5">
        <v>10.09</v>
      </c>
      <c r="E45" s="3" t="s">
        <v>214</v>
      </c>
      <c r="F45" s="1">
        <v>45474</v>
      </c>
      <c r="G45" s="3" t="s">
        <v>22</v>
      </c>
      <c r="H45" s="4">
        <v>676.3</v>
      </c>
      <c r="I45" s="4">
        <v>676.3</v>
      </c>
      <c r="J45" s="5" t="s">
        <v>20</v>
      </c>
      <c r="K45" s="5" t="s">
        <v>20</v>
      </c>
      <c r="L45" s="5">
        <v>67</v>
      </c>
      <c r="M45" s="5">
        <v>10.09</v>
      </c>
      <c r="N45" s="5" t="s">
        <v>20</v>
      </c>
      <c r="O45" s="6" t="s">
        <v>215</v>
      </c>
      <c r="P45" s="3" t="s">
        <v>110</v>
      </c>
      <c r="Q45" s="3" t="s">
        <v>216</v>
      </c>
      <c r="R45" s="8" t="str">
        <f>HYPERLINK("https://my.pitchbook.com?c=261355-06T","View Company Online")</f>
        <v>View Company Online</v>
      </c>
    </row>
    <row r="46" spans="1:18" x14ac:dyDescent="0.2">
      <c r="A46" s="9" t="s">
        <v>217</v>
      </c>
      <c r="B46" s="9" t="s">
        <v>218</v>
      </c>
      <c r="C46" s="11" t="s">
        <v>20</v>
      </c>
      <c r="D46" s="11">
        <v>10.050000000000001</v>
      </c>
      <c r="E46" s="9" t="s">
        <v>219</v>
      </c>
      <c r="F46" s="13">
        <v>43191</v>
      </c>
      <c r="G46" s="9" t="s">
        <v>22</v>
      </c>
      <c r="H46" s="12">
        <v>221.1</v>
      </c>
      <c r="I46" s="12">
        <v>221.1</v>
      </c>
      <c r="J46" s="11" t="s">
        <v>20</v>
      </c>
      <c r="K46" s="11" t="s">
        <v>20</v>
      </c>
      <c r="L46" s="11">
        <v>22</v>
      </c>
      <c r="M46" s="11">
        <v>10.050000000000001</v>
      </c>
      <c r="N46" s="11" t="s">
        <v>20</v>
      </c>
      <c r="O46" s="10" t="s">
        <v>220</v>
      </c>
      <c r="P46" s="9" t="s">
        <v>24</v>
      </c>
      <c r="Q46" s="9" t="s">
        <v>221</v>
      </c>
      <c r="R46" s="7" t="str">
        <f>HYPERLINK("https://my.pitchbook.com?c=104796-82T","View Company Online")</f>
        <v>View Company Online</v>
      </c>
    </row>
    <row r="47" spans="1:18" x14ac:dyDescent="0.2">
      <c r="A47" s="3" t="s">
        <v>222</v>
      </c>
      <c r="B47" s="3" t="s">
        <v>223</v>
      </c>
      <c r="C47" s="5" t="s">
        <v>20</v>
      </c>
      <c r="D47" s="5">
        <v>9.51</v>
      </c>
      <c r="E47" s="3" t="s">
        <v>224</v>
      </c>
      <c r="F47" s="1">
        <v>43812</v>
      </c>
      <c r="G47" s="3" t="s">
        <v>22</v>
      </c>
      <c r="H47" s="4">
        <v>13.31</v>
      </c>
      <c r="I47" s="4">
        <v>13.31</v>
      </c>
      <c r="J47" s="5" t="s">
        <v>20</v>
      </c>
      <c r="K47" s="5" t="s">
        <v>20</v>
      </c>
      <c r="L47" s="5">
        <v>1.4</v>
      </c>
      <c r="M47" s="5">
        <v>9.51</v>
      </c>
      <c r="N47" s="5" t="s">
        <v>20</v>
      </c>
      <c r="O47" s="6" t="s">
        <v>225</v>
      </c>
      <c r="P47" s="3" t="s">
        <v>58</v>
      </c>
      <c r="Q47" s="3" t="s">
        <v>226</v>
      </c>
      <c r="R47" s="8" t="str">
        <f>HYPERLINK("https://my.pitchbook.com?c=128293-39T","View Company Online")</f>
        <v>View Company Online</v>
      </c>
    </row>
    <row r="48" spans="1:18" x14ac:dyDescent="0.2">
      <c r="A48" s="9" t="s">
        <v>227</v>
      </c>
      <c r="B48" s="9" t="s">
        <v>228</v>
      </c>
      <c r="C48" s="11" t="s">
        <v>20</v>
      </c>
      <c r="D48" s="11">
        <v>8.8000000000000007</v>
      </c>
      <c r="E48" s="9" t="s">
        <v>229</v>
      </c>
      <c r="F48" s="13">
        <v>44160</v>
      </c>
      <c r="G48" s="9" t="s">
        <v>22</v>
      </c>
      <c r="H48" s="12">
        <v>440</v>
      </c>
      <c r="I48" s="12">
        <v>440</v>
      </c>
      <c r="J48" s="11" t="s">
        <v>20</v>
      </c>
      <c r="K48" s="11" t="s">
        <v>20</v>
      </c>
      <c r="L48" s="11">
        <v>50</v>
      </c>
      <c r="M48" s="11">
        <v>8.8000000000000007</v>
      </c>
      <c r="N48" s="11" t="s">
        <v>20</v>
      </c>
      <c r="O48" s="10" t="s">
        <v>152</v>
      </c>
      <c r="P48" s="9" t="s">
        <v>24</v>
      </c>
      <c r="Q48" s="9" t="s">
        <v>133</v>
      </c>
      <c r="R48" s="7" t="str">
        <f>HYPERLINK("https://my.pitchbook.com?c=158771-98T","View Company Online")</f>
        <v>View Company Online</v>
      </c>
    </row>
    <row r="49" spans="1:18" x14ac:dyDescent="0.2">
      <c r="A49" s="3" t="s">
        <v>230</v>
      </c>
      <c r="B49" s="3" t="s">
        <v>231</v>
      </c>
      <c r="C49" s="5" t="s">
        <v>20</v>
      </c>
      <c r="D49" s="5">
        <v>8.66</v>
      </c>
      <c r="E49" s="3" t="s">
        <v>232</v>
      </c>
      <c r="F49" s="1">
        <v>43721</v>
      </c>
      <c r="G49" s="3" t="s">
        <v>22</v>
      </c>
      <c r="H49" s="4">
        <v>3200</v>
      </c>
      <c r="I49" s="4">
        <v>3200</v>
      </c>
      <c r="J49" s="5" t="s">
        <v>20</v>
      </c>
      <c r="K49" s="5" t="s">
        <v>20</v>
      </c>
      <c r="L49" s="5">
        <v>369.4</v>
      </c>
      <c r="M49" s="5">
        <v>8.66</v>
      </c>
      <c r="N49" s="5" t="s">
        <v>20</v>
      </c>
      <c r="O49" s="6" t="s">
        <v>233</v>
      </c>
      <c r="P49" s="3" t="s">
        <v>76</v>
      </c>
      <c r="Q49" s="3" t="s">
        <v>234</v>
      </c>
      <c r="R49" s="8" t="str">
        <f>HYPERLINK("https://my.pitchbook.com?c=118218-61T","View Company Online")</f>
        <v>View Company Online</v>
      </c>
    </row>
    <row r="50" spans="1:18" x14ac:dyDescent="0.2">
      <c r="A50" s="9" t="s">
        <v>235</v>
      </c>
      <c r="B50" s="9" t="s">
        <v>236</v>
      </c>
      <c r="C50" s="11" t="s">
        <v>20</v>
      </c>
      <c r="D50" s="11">
        <v>8.1300000000000008</v>
      </c>
      <c r="E50" s="9" t="s">
        <v>237</v>
      </c>
      <c r="F50" s="13">
        <v>44588</v>
      </c>
      <c r="G50" s="9" t="s">
        <v>22</v>
      </c>
      <c r="H50" s="12">
        <v>26</v>
      </c>
      <c r="I50" s="12">
        <v>26</v>
      </c>
      <c r="J50" s="11" t="s">
        <v>20</v>
      </c>
      <c r="K50" s="11" t="s">
        <v>20</v>
      </c>
      <c r="L50" s="11">
        <v>3.2</v>
      </c>
      <c r="M50" s="11">
        <v>8.1300000000000008</v>
      </c>
      <c r="N50" s="11" t="s">
        <v>20</v>
      </c>
      <c r="O50" s="10" t="s">
        <v>238</v>
      </c>
      <c r="P50" s="9" t="s">
        <v>110</v>
      </c>
      <c r="Q50" s="9" t="s">
        <v>239</v>
      </c>
      <c r="R50" s="7" t="str">
        <f>HYPERLINK("https://my.pitchbook.com?c=187336-36T","View Company Online")</f>
        <v>View Company Online</v>
      </c>
    </row>
    <row r="51" spans="1:18" x14ac:dyDescent="0.2">
      <c r="A51" s="3" t="s">
        <v>240</v>
      </c>
      <c r="B51" s="3" t="s">
        <v>241</v>
      </c>
      <c r="C51" s="5" t="s">
        <v>20</v>
      </c>
      <c r="D51" s="5">
        <v>7.89</v>
      </c>
      <c r="E51" s="3" t="s">
        <v>242</v>
      </c>
      <c r="F51" s="1">
        <v>44320</v>
      </c>
      <c r="G51" s="3" t="s">
        <v>22</v>
      </c>
      <c r="H51" s="4">
        <v>51.3</v>
      </c>
      <c r="I51" s="4">
        <v>51.3</v>
      </c>
      <c r="J51" s="5" t="s">
        <v>20</v>
      </c>
      <c r="K51" s="5" t="s">
        <v>20</v>
      </c>
      <c r="L51" s="5">
        <v>6.5</v>
      </c>
      <c r="M51" s="5">
        <v>7.89</v>
      </c>
      <c r="N51" s="5" t="s">
        <v>20</v>
      </c>
      <c r="O51" s="6" t="s">
        <v>243</v>
      </c>
      <c r="P51" s="3" t="s">
        <v>24</v>
      </c>
      <c r="Q51" s="3" t="s">
        <v>244</v>
      </c>
      <c r="R51" s="8" t="str">
        <f>HYPERLINK("https://my.pitchbook.com?c=169004-26T","View Company Online")</f>
        <v>View Company Online</v>
      </c>
    </row>
    <row r="52" spans="1:18" x14ac:dyDescent="0.2">
      <c r="A52" s="9" t="s">
        <v>245</v>
      </c>
      <c r="B52" s="9" t="s">
        <v>246</v>
      </c>
      <c r="C52" s="11" t="s">
        <v>20</v>
      </c>
      <c r="D52" s="11">
        <v>7.72</v>
      </c>
      <c r="E52" s="9" t="s">
        <v>247</v>
      </c>
      <c r="F52" s="13">
        <v>45294</v>
      </c>
      <c r="G52" s="9" t="s">
        <v>22</v>
      </c>
      <c r="H52" s="12">
        <v>2.35</v>
      </c>
      <c r="I52" s="12">
        <v>4.6100000000000003</v>
      </c>
      <c r="J52" s="11" t="s">
        <v>20</v>
      </c>
      <c r="K52" s="11" t="s">
        <v>20</v>
      </c>
      <c r="L52" s="11">
        <v>0.6</v>
      </c>
      <c r="M52" s="11">
        <v>7.72</v>
      </c>
      <c r="N52" s="11" t="s">
        <v>20</v>
      </c>
      <c r="O52" s="10" t="s">
        <v>248</v>
      </c>
      <c r="P52" s="9" t="s">
        <v>249</v>
      </c>
      <c r="Q52" s="9" t="s">
        <v>168</v>
      </c>
      <c r="R52" s="7" t="str">
        <f>HYPERLINK("https://my.pitchbook.com?c=248667-04T","View Company Online")</f>
        <v>View Company Online</v>
      </c>
    </row>
    <row r="53" spans="1:18" x14ac:dyDescent="0.2">
      <c r="A53" s="3" t="s">
        <v>250</v>
      </c>
      <c r="B53" s="3" t="s">
        <v>251</v>
      </c>
      <c r="C53" s="5">
        <v>53.3</v>
      </c>
      <c r="D53" s="5">
        <v>6.67</v>
      </c>
      <c r="E53" s="3" t="s">
        <v>252</v>
      </c>
      <c r="F53" s="1">
        <v>43586</v>
      </c>
      <c r="G53" s="3" t="s">
        <v>22</v>
      </c>
      <c r="H53" s="4">
        <v>821.51</v>
      </c>
      <c r="I53" s="4">
        <v>821.51</v>
      </c>
      <c r="J53" s="5">
        <v>13.56</v>
      </c>
      <c r="K53" s="5">
        <v>60.57</v>
      </c>
      <c r="L53" s="5">
        <v>108.34</v>
      </c>
      <c r="M53" s="5">
        <v>7.58</v>
      </c>
      <c r="N53" s="5">
        <v>4.9000000000000004</v>
      </c>
      <c r="O53" s="6" t="s">
        <v>253</v>
      </c>
      <c r="P53" s="3" t="s">
        <v>76</v>
      </c>
      <c r="Q53" s="3" t="s">
        <v>133</v>
      </c>
      <c r="R53" s="8" t="str">
        <f>HYPERLINK("https://my.pitchbook.com?c=116324-56T","View Company Online")</f>
        <v>View Company Online</v>
      </c>
    </row>
    <row r="54" spans="1:18" x14ac:dyDescent="0.2">
      <c r="A54" s="9" t="s">
        <v>254</v>
      </c>
      <c r="B54" s="9" t="s">
        <v>255</v>
      </c>
      <c r="C54" s="11">
        <v>2.17</v>
      </c>
      <c r="D54" s="11">
        <v>7.39</v>
      </c>
      <c r="E54" s="9" t="s">
        <v>256</v>
      </c>
      <c r="F54" s="13">
        <v>45595</v>
      </c>
      <c r="G54" s="9" t="s">
        <v>22</v>
      </c>
      <c r="H54" s="12">
        <v>155</v>
      </c>
      <c r="I54" s="12">
        <v>155</v>
      </c>
      <c r="J54" s="11">
        <v>71.39</v>
      </c>
      <c r="K54" s="11">
        <v>2.17</v>
      </c>
      <c r="L54" s="11">
        <v>20.94</v>
      </c>
      <c r="M54" s="11">
        <v>7.4</v>
      </c>
      <c r="N54" s="11">
        <v>21.62</v>
      </c>
      <c r="O54" s="10" t="s">
        <v>257</v>
      </c>
      <c r="P54" s="9" t="s">
        <v>76</v>
      </c>
      <c r="Q54" s="9" t="s">
        <v>258</v>
      </c>
      <c r="R54" s="7" t="str">
        <f>HYPERLINK("https://my.pitchbook.com?c=265419-64T","View Company Online")</f>
        <v>View Company Online</v>
      </c>
    </row>
    <row r="55" spans="1:18" x14ac:dyDescent="0.2">
      <c r="A55" s="3" t="s">
        <v>259</v>
      </c>
      <c r="B55" s="3" t="s">
        <v>260</v>
      </c>
      <c r="C55" s="5">
        <v>23.48</v>
      </c>
      <c r="D55" s="5">
        <v>6.71</v>
      </c>
      <c r="E55" s="3" t="s">
        <v>261</v>
      </c>
      <c r="F55" s="1">
        <v>45009</v>
      </c>
      <c r="G55" s="3" t="s">
        <v>22</v>
      </c>
      <c r="H55" s="4">
        <v>4000</v>
      </c>
      <c r="I55" s="4">
        <v>4000</v>
      </c>
      <c r="J55" s="5">
        <v>155.19999999999999</v>
      </c>
      <c r="K55" s="5">
        <v>25.77</v>
      </c>
      <c r="L55" s="5">
        <v>543.08000000000004</v>
      </c>
      <c r="M55" s="5">
        <v>7.37</v>
      </c>
      <c r="N55" s="5">
        <v>5.28</v>
      </c>
      <c r="O55" s="6" t="s">
        <v>262</v>
      </c>
      <c r="P55" s="3" t="s">
        <v>76</v>
      </c>
      <c r="Q55" s="3" t="s">
        <v>263</v>
      </c>
      <c r="R55" s="8" t="str">
        <f>HYPERLINK("https://my.pitchbook.com?c=200814-49T","View Company Online")</f>
        <v>View Company Online</v>
      </c>
    </row>
    <row r="56" spans="1:18" x14ac:dyDescent="0.2">
      <c r="A56" s="9" t="s">
        <v>264</v>
      </c>
      <c r="B56" s="9" t="s">
        <v>265</v>
      </c>
      <c r="C56" s="11" t="s">
        <v>20</v>
      </c>
      <c r="D56" s="11">
        <v>7.06</v>
      </c>
      <c r="E56" s="9" t="s">
        <v>266</v>
      </c>
      <c r="F56" s="13">
        <v>43272</v>
      </c>
      <c r="G56" s="9" t="s">
        <v>22</v>
      </c>
      <c r="H56" s="12">
        <v>1200</v>
      </c>
      <c r="I56" s="12">
        <v>1200</v>
      </c>
      <c r="J56" s="11" t="s">
        <v>20</v>
      </c>
      <c r="K56" s="11" t="s">
        <v>20</v>
      </c>
      <c r="L56" s="11">
        <v>170</v>
      </c>
      <c r="M56" s="11">
        <v>7.06</v>
      </c>
      <c r="N56" s="11">
        <v>-22.2</v>
      </c>
      <c r="O56" s="10" t="s">
        <v>267</v>
      </c>
      <c r="P56" s="9" t="s">
        <v>268</v>
      </c>
      <c r="Q56" s="9" t="s">
        <v>269</v>
      </c>
      <c r="R56" s="7" t="str">
        <f>HYPERLINK("https://my.pitchbook.com?c=105578-02T","View Company Online")</f>
        <v>View Company Online</v>
      </c>
    </row>
    <row r="57" spans="1:18" x14ac:dyDescent="0.2">
      <c r="A57" s="3" t="s">
        <v>270</v>
      </c>
      <c r="B57" s="3" t="s">
        <v>271</v>
      </c>
      <c r="C57" s="5" t="s">
        <v>20</v>
      </c>
      <c r="D57" s="5">
        <v>6.49</v>
      </c>
      <c r="E57" s="3" t="s">
        <v>272</v>
      </c>
      <c r="F57" s="1">
        <v>44375</v>
      </c>
      <c r="G57" s="3" t="s">
        <v>22</v>
      </c>
      <c r="H57" s="4">
        <v>1000</v>
      </c>
      <c r="I57" s="4">
        <v>1000</v>
      </c>
      <c r="J57" s="5" t="s">
        <v>20</v>
      </c>
      <c r="K57" s="5" t="s">
        <v>20</v>
      </c>
      <c r="L57" s="5">
        <v>154.02000000000001</v>
      </c>
      <c r="M57" s="5">
        <v>6.49</v>
      </c>
      <c r="N57" s="5" t="s">
        <v>20</v>
      </c>
      <c r="O57" s="6" t="s">
        <v>273</v>
      </c>
      <c r="P57" s="3" t="s">
        <v>46</v>
      </c>
      <c r="Q57" s="3" t="s">
        <v>274</v>
      </c>
      <c r="R57" s="8" t="str">
        <f>HYPERLINK("https://my.pitchbook.com?c=165348-46T","View Company Online")</f>
        <v>View Company Online</v>
      </c>
    </row>
    <row r="58" spans="1:18" x14ac:dyDescent="0.2">
      <c r="A58" s="9" t="s">
        <v>275</v>
      </c>
      <c r="B58" s="9" t="s">
        <v>276</v>
      </c>
      <c r="C58" s="11" t="s">
        <v>20</v>
      </c>
      <c r="D58" s="11">
        <v>6.47</v>
      </c>
      <c r="E58" s="9" t="s">
        <v>277</v>
      </c>
      <c r="F58" s="13">
        <v>43572</v>
      </c>
      <c r="G58" s="9" t="s">
        <v>22</v>
      </c>
      <c r="H58" s="12">
        <v>321.7</v>
      </c>
      <c r="I58" s="12">
        <v>321.7</v>
      </c>
      <c r="J58" s="11" t="s">
        <v>20</v>
      </c>
      <c r="K58" s="11" t="s">
        <v>20</v>
      </c>
      <c r="L58" s="11">
        <v>49.7</v>
      </c>
      <c r="M58" s="11">
        <v>6.47</v>
      </c>
      <c r="N58" s="11" t="s">
        <v>20</v>
      </c>
      <c r="O58" s="10" t="s">
        <v>278</v>
      </c>
      <c r="P58" s="9" t="s">
        <v>110</v>
      </c>
      <c r="Q58" s="9" t="s">
        <v>279</v>
      </c>
      <c r="R58" s="7" t="str">
        <f>HYPERLINK("https://my.pitchbook.com?c=117904-24T","View Company Online")</f>
        <v>View Company Online</v>
      </c>
    </row>
    <row r="59" spans="1:18" x14ac:dyDescent="0.2">
      <c r="A59" s="3" t="s">
        <v>280</v>
      </c>
      <c r="B59" s="3" t="s">
        <v>281</v>
      </c>
      <c r="C59" s="5">
        <v>7.66</v>
      </c>
      <c r="D59" s="5">
        <v>6.3</v>
      </c>
      <c r="E59" s="3" t="s">
        <v>282</v>
      </c>
      <c r="F59" s="1">
        <v>45796</v>
      </c>
      <c r="G59" s="3" t="s">
        <v>22</v>
      </c>
      <c r="H59" s="4">
        <v>850</v>
      </c>
      <c r="I59" s="4">
        <v>850</v>
      </c>
      <c r="J59" s="5">
        <v>111</v>
      </c>
      <c r="K59" s="5">
        <v>7.66</v>
      </c>
      <c r="L59" s="5">
        <v>135</v>
      </c>
      <c r="M59" s="5">
        <v>6.3</v>
      </c>
      <c r="N59" s="5" t="s">
        <v>20</v>
      </c>
      <c r="O59" s="6" t="s">
        <v>283</v>
      </c>
      <c r="P59" s="3" t="s">
        <v>284</v>
      </c>
      <c r="Q59" s="3" t="s">
        <v>285</v>
      </c>
      <c r="R59" s="8" t="str">
        <f>HYPERLINK("https://my.pitchbook.com?c=285487-39T","View Company Online")</f>
        <v>View Company Online</v>
      </c>
    </row>
    <row r="60" spans="1:18" x14ac:dyDescent="0.2">
      <c r="A60" s="9" t="s">
        <v>286</v>
      </c>
      <c r="B60" s="9" t="s">
        <v>287</v>
      </c>
      <c r="C60" s="11" t="s">
        <v>20</v>
      </c>
      <c r="D60" s="11">
        <v>6.26</v>
      </c>
      <c r="E60" s="9" t="s">
        <v>288</v>
      </c>
      <c r="F60" s="13">
        <v>44187</v>
      </c>
      <c r="G60" s="9" t="s">
        <v>22</v>
      </c>
      <c r="H60" s="12">
        <v>250.35</v>
      </c>
      <c r="I60" s="12">
        <v>250.35</v>
      </c>
      <c r="J60" s="11" t="s">
        <v>20</v>
      </c>
      <c r="K60" s="11" t="s">
        <v>20</v>
      </c>
      <c r="L60" s="11">
        <v>40</v>
      </c>
      <c r="M60" s="11">
        <v>6.26</v>
      </c>
      <c r="N60" s="11" t="s">
        <v>20</v>
      </c>
      <c r="O60" s="10" t="s">
        <v>289</v>
      </c>
      <c r="P60" s="9" t="s">
        <v>88</v>
      </c>
      <c r="Q60" s="9" t="s">
        <v>290</v>
      </c>
      <c r="R60" s="7" t="str">
        <f>HYPERLINK("https://my.pitchbook.com?c=159912-55T","View Company Online")</f>
        <v>View Company Online</v>
      </c>
    </row>
    <row r="61" spans="1:18" x14ac:dyDescent="0.2">
      <c r="A61" s="3" t="s">
        <v>291</v>
      </c>
      <c r="B61" s="3" t="s">
        <v>292</v>
      </c>
      <c r="C61" s="5">
        <v>19.920000000000002</v>
      </c>
      <c r="D61" s="5">
        <v>6.16</v>
      </c>
      <c r="E61" s="3" t="s">
        <v>293</v>
      </c>
      <c r="F61" s="1">
        <v>44805</v>
      </c>
      <c r="G61" s="3" t="s">
        <v>22</v>
      </c>
      <c r="H61" s="4">
        <v>519.85</v>
      </c>
      <c r="I61" s="4">
        <v>519.85</v>
      </c>
      <c r="J61" s="5">
        <v>26.1</v>
      </c>
      <c r="K61" s="5">
        <v>19.920000000000002</v>
      </c>
      <c r="L61" s="5">
        <v>84.43</v>
      </c>
      <c r="M61" s="5">
        <v>6.16</v>
      </c>
      <c r="N61" s="5" t="s">
        <v>20</v>
      </c>
      <c r="O61" s="6" t="s">
        <v>294</v>
      </c>
      <c r="P61" s="3" t="s">
        <v>46</v>
      </c>
      <c r="Q61" s="3" t="s">
        <v>111</v>
      </c>
      <c r="R61" s="8" t="str">
        <f>HYPERLINK("https://my.pitchbook.com?c=199747-00T","View Company Online")</f>
        <v>View Company Online</v>
      </c>
    </row>
    <row r="62" spans="1:18" x14ac:dyDescent="0.2">
      <c r="A62" s="9" t="s">
        <v>295</v>
      </c>
      <c r="B62" s="9" t="s">
        <v>296</v>
      </c>
      <c r="C62" s="11">
        <v>22.93</v>
      </c>
      <c r="D62" s="11">
        <v>5.63</v>
      </c>
      <c r="E62" s="9" t="s">
        <v>297</v>
      </c>
      <c r="F62" s="13">
        <v>43300</v>
      </c>
      <c r="G62" s="9" t="s">
        <v>22</v>
      </c>
      <c r="H62" s="12">
        <v>3020</v>
      </c>
      <c r="I62" s="12">
        <v>3020</v>
      </c>
      <c r="J62" s="11">
        <v>121.27</v>
      </c>
      <c r="K62" s="11">
        <v>24.9</v>
      </c>
      <c r="L62" s="11">
        <v>494.24</v>
      </c>
      <c r="M62" s="11">
        <v>6.11</v>
      </c>
      <c r="N62" s="11">
        <v>52.03</v>
      </c>
      <c r="O62" s="10" t="s">
        <v>298</v>
      </c>
      <c r="P62" s="9" t="s">
        <v>76</v>
      </c>
      <c r="Q62" s="9" t="s">
        <v>299</v>
      </c>
      <c r="R62" s="7" t="str">
        <f>HYPERLINK("https://my.pitchbook.com?c=105193-18T","View Company Online")</f>
        <v>View Company Online</v>
      </c>
    </row>
    <row r="63" spans="1:18" x14ac:dyDescent="0.2">
      <c r="A63" s="3" t="s">
        <v>300</v>
      </c>
      <c r="B63" s="3" t="s">
        <v>301</v>
      </c>
      <c r="C63" s="5">
        <v>66.83</v>
      </c>
      <c r="D63" s="5">
        <v>5</v>
      </c>
      <c r="E63" s="3" t="s">
        <v>302</v>
      </c>
      <c r="F63" s="1">
        <v>43133</v>
      </c>
      <c r="G63" s="3" t="s">
        <v>22</v>
      </c>
      <c r="H63" s="4">
        <v>2179</v>
      </c>
      <c r="I63" s="4">
        <v>2179</v>
      </c>
      <c r="J63" s="5">
        <v>27.05</v>
      </c>
      <c r="K63" s="5">
        <v>80.540000000000006</v>
      </c>
      <c r="L63" s="5">
        <v>361.88</v>
      </c>
      <c r="M63" s="5">
        <v>6.02</v>
      </c>
      <c r="N63" s="5">
        <v>-10.37</v>
      </c>
      <c r="O63" s="6" t="s">
        <v>303</v>
      </c>
      <c r="P63" s="3" t="s">
        <v>58</v>
      </c>
      <c r="Q63" s="3" t="s">
        <v>304</v>
      </c>
      <c r="R63" s="8" t="str">
        <f>HYPERLINK("https://my.pitchbook.com?c=93683-08T","View Company Online")</f>
        <v>View Company Online</v>
      </c>
    </row>
    <row r="64" spans="1:18" x14ac:dyDescent="0.2">
      <c r="A64" s="9" t="s">
        <v>305</v>
      </c>
      <c r="B64" s="9" t="s">
        <v>306</v>
      </c>
      <c r="C64" s="11" t="s">
        <v>20</v>
      </c>
      <c r="D64" s="11">
        <v>5.94</v>
      </c>
      <c r="E64" s="9" t="s">
        <v>307</v>
      </c>
      <c r="F64" s="13">
        <v>43742</v>
      </c>
      <c r="G64" s="9" t="s">
        <v>22</v>
      </c>
      <c r="H64" s="12">
        <v>17.82</v>
      </c>
      <c r="I64" s="12">
        <v>17.82</v>
      </c>
      <c r="J64" s="11" t="s">
        <v>20</v>
      </c>
      <c r="K64" s="11" t="s">
        <v>20</v>
      </c>
      <c r="L64" s="11">
        <v>3</v>
      </c>
      <c r="M64" s="11">
        <v>5.94</v>
      </c>
      <c r="N64" s="11" t="s">
        <v>20</v>
      </c>
      <c r="O64" s="10" t="s">
        <v>308</v>
      </c>
      <c r="P64" s="9" t="s">
        <v>162</v>
      </c>
      <c r="Q64" s="9" t="s">
        <v>309</v>
      </c>
      <c r="R64" s="7" t="str">
        <f>HYPERLINK("https://my.pitchbook.com?c=123208-39T","View Company Online")</f>
        <v>View Company Online</v>
      </c>
    </row>
    <row r="65" spans="1:18" x14ac:dyDescent="0.2">
      <c r="A65" s="3" t="s">
        <v>310</v>
      </c>
      <c r="B65" s="3" t="s">
        <v>311</v>
      </c>
      <c r="C65" s="5" t="s">
        <v>20</v>
      </c>
      <c r="D65" s="5">
        <v>5.7</v>
      </c>
      <c r="E65" s="3" t="s">
        <v>312</v>
      </c>
      <c r="F65" s="1">
        <v>44378</v>
      </c>
      <c r="G65" s="3" t="s">
        <v>22</v>
      </c>
      <c r="H65" s="4">
        <v>342</v>
      </c>
      <c r="I65" s="4">
        <v>342</v>
      </c>
      <c r="J65" s="5" t="s">
        <v>20</v>
      </c>
      <c r="K65" s="5" t="s">
        <v>20</v>
      </c>
      <c r="L65" s="5">
        <v>60</v>
      </c>
      <c r="M65" s="5">
        <v>5.7</v>
      </c>
      <c r="N65" s="5" t="s">
        <v>20</v>
      </c>
      <c r="O65" s="6" t="s">
        <v>313</v>
      </c>
      <c r="P65" s="3" t="s">
        <v>82</v>
      </c>
      <c r="Q65" s="3" t="s">
        <v>314</v>
      </c>
      <c r="R65" s="8" t="str">
        <f>HYPERLINK("https://my.pitchbook.com?c=171997-84T","View Company Online")</f>
        <v>View Company Online</v>
      </c>
    </row>
    <row r="66" spans="1:18" x14ac:dyDescent="0.2">
      <c r="A66" s="9" t="s">
        <v>315</v>
      </c>
      <c r="B66" s="9" t="s">
        <v>316</v>
      </c>
      <c r="C66" s="11" t="s">
        <v>20</v>
      </c>
      <c r="D66" s="11">
        <v>5.61</v>
      </c>
      <c r="E66" s="9" t="s">
        <v>317</v>
      </c>
      <c r="F66" s="13">
        <v>44319</v>
      </c>
      <c r="G66" s="9" t="s">
        <v>22</v>
      </c>
      <c r="H66" s="12">
        <v>58.33</v>
      </c>
      <c r="I66" s="12">
        <v>58.33</v>
      </c>
      <c r="J66" s="11" t="s">
        <v>20</v>
      </c>
      <c r="K66" s="11" t="s">
        <v>20</v>
      </c>
      <c r="L66" s="11">
        <v>10.4</v>
      </c>
      <c r="M66" s="11">
        <v>5.61</v>
      </c>
      <c r="N66" s="11" t="s">
        <v>20</v>
      </c>
      <c r="O66" s="10" t="s">
        <v>318</v>
      </c>
      <c r="P66" s="9" t="s">
        <v>76</v>
      </c>
      <c r="Q66" s="9" t="s">
        <v>168</v>
      </c>
      <c r="R66" s="7" t="str">
        <f>HYPERLINK("https://my.pitchbook.com?c=171734-59T","View Company Online")</f>
        <v>View Company Online</v>
      </c>
    </row>
    <row r="67" spans="1:18" x14ac:dyDescent="0.2">
      <c r="A67" s="3" t="s">
        <v>319</v>
      </c>
      <c r="B67" s="3" t="s">
        <v>320</v>
      </c>
      <c r="C67" s="5" t="s">
        <v>20</v>
      </c>
      <c r="D67" s="5">
        <v>5.59</v>
      </c>
      <c r="E67" s="3" t="s">
        <v>321</v>
      </c>
      <c r="F67" s="1">
        <v>43633</v>
      </c>
      <c r="G67" s="3" t="s">
        <v>22</v>
      </c>
      <c r="H67" s="4">
        <v>290.57</v>
      </c>
      <c r="I67" s="4">
        <v>290.57</v>
      </c>
      <c r="J67" s="5" t="s">
        <v>20</v>
      </c>
      <c r="K67" s="5" t="s">
        <v>20</v>
      </c>
      <c r="L67" s="5">
        <v>52</v>
      </c>
      <c r="M67" s="5">
        <v>5.59</v>
      </c>
      <c r="N67" s="5" t="s">
        <v>20</v>
      </c>
      <c r="O67" s="6" t="s">
        <v>322</v>
      </c>
      <c r="P67" s="3" t="s">
        <v>76</v>
      </c>
      <c r="Q67" s="3" t="s">
        <v>323</v>
      </c>
      <c r="R67" s="8" t="str">
        <f>HYPERLINK("https://my.pitchbook.com?c=119788-21T","View Company Online")</f>
        <v>View Company Online</v>
      </c>
    </row>
    <row r="68" spans="1:18" x14ac:dyDescent="0.2">
      <c r="A68" s="9" t="s">
        <v>324</v>
      </c>
      <c r="B68" s="9" t="s">
        <v>325</v>
      </c>
      <c r="C68" s="11" t="s">
        <v>20</v>
      </c>
      <c r="D68" s="11">
        <v>1.92</v>
      </c>
      <c r="E68" s="9" t="s">
        <v>326</v>
      </c>
      <c r="F68" s="13">
        <v>43810</v>
      </c>
      <c r="G68" s="9" t="s">
        <v>22</v>
      </c>
      <c r="H68" s="12">
        <v>2.2999999999999998</v>
      </c>
      <c r="I68" s="12">
        <v>3.46</v>
      </c>
      <c r="J68" s="11">
        <v>-0.02</v>
      </c>
      <c r="K68" s="11">
        <v>-147.08000000000001</v>
      </c>
      <c r="L68" s="11">
        <v>0.62</v>
      </c>
      <c r="M68" s="11">
        <v>5.53</v>
      </c>
      <c r="N68" s="11">
        <v>-7.0000000000000007E-2</v>
      </c>
      <c r="O68" s="10" t="s">
        <v>327</v>
      </c>
      <c r="P68" s="9" t="s">
        <v>328</v>
      </c>
      <c r="Q68" s="9" t="s">
        <v>329</v>
      </c>
      <c r="R68" s="7" t="str">
        <f>HYPERLINK("https://my.pitchbook.com?c=198677-89T","View Company Online")</f>
        <v>View Company Online</v>
      </c>
    </row>
    <row r="69" spans="1:18" x14ac:dyDescent="0.2">
      <c r="A69" s="3" t="s">
        <v>330</v>
      </c>
      <c r="B69" s="3" t="s">
        <v>331</v>
      </c>
      <c r="C69" s="5" t="s">
        <v>20</v>
      </c>
      <c r="D69" s="5">
        <v>5.25</v>
      </c>
      <c r="E69" s="3" t="s">
        <v>332</v>
      </c>
      <c r="F69" s="1">
        <v>44781</v>
      </c>
      <c r="G69" s="3" t="s">
        <v>22</v>
      </c>
      <c r="H69" s="4">
        <v>525</v>
      </c>
      <c r="I69" s="4">
        <v>525</v>
      </c>
      <c r="J69" s="5" t="s">
        <v>20</v>
      </c>
      <c r="K69" s="5" t="s">
        <v>20</v>
      </c>
      <c r="L69" s="5">
        <v>100</v>
      </c>
      <c r="M69" s="5">
        <v>5.25</v>
      </c>
      <c r="N69" s="5" t="s">
        <v>20</v>
      </c>
      <c r="O69" s="6" t="s">
        <v>333</v>
      </c>
      <c r="P69" s="3" t="s">
        <v>70</v>
      </c>
      <c r="Q69" s="3" t="s">
        <v>334</v>
      </c>
      <c r="R69" s="8" t="str">
        <f>HYPERLINK("https://my.pitchbook.com?c=201326-50T","View Company Online")</f>
        <v>View Company Online</v>
      </c>
    </row>
    <row r="70" spans="1:18" x14ac:dyDescent="0.2">
      <c r="A70" s="9" t="s">
        <v>335</v>
      </c>
      <c r="B70" s="9" t="s">
        <v>336</v>
      </c>
      <c r="C70" s="11" t="s">
        <v>20</v>
      </c>
      <c r="D70" s="11">
        <v>3.21</v>
      </c>
      <c r="E70" s="9" t="s">
        <v>337</v>
      </c>
      <c r="F70" s="13">
        <v>44931</v>
      </c>
      <c r="G70" s="9" t="s">
        <v>22</v>
      </c>
      <c r="H70" s="12">
        <v>1784</v>
      </c>
      <c r="I70" s="12">
        <v>1784</v>
      </c>
      <c r="J70" s="11">
        <v>-73.290000000000006</v>
      </c>
      <c r="K70" s="11">
        <v>-24.34</v>
      </c>
      <c r="L70" s="11">
        <v>352.63</v>
      </c>
      <c r="M70" s="11">
        <v>5.0599999999999996</v>
      </c>
      <c r="N70" s="11">
        <v>-75.22</v>
      </c>
      <c r="O70" s="10" t="s">
        <v>338</v>
      </c>
      <c r="P70" s="9" t="s">
        <v>339</v>
      </c>
      <c r="Q70" s="9" t="s">
        <v>340</v>
      </c>
      <c r="R70" s="7" t="str">
        <f>HYPERLINK("https://my.pitchbook.com?c=205285-33T","View Company Online")</f>
        <v>View Company Online</v>
      </c>
    </row>
    <row r="71" spans="1:18" x14ac:dyDescent="0.2">
      <c r="A71" s="3" t="s">
        <v>341</v>
      </c>
      <c r="B71" s="3" t="s">
        <v>342</v>
      </c>
      <c r="C71" s="5">
        <v>62.82</v>
      </c>
      <c r="D71" s="5">
        <v>4.0999999999999996</v>
      </c>
      <c r="E71" s="3" t="s">
        <v>343</v>
      </c>
      <c r="F71" s="1">
        <v>45783</v>
      </c>
      <c r="G71" s="3" t="s">
        <v>103</v>
      </c>
      <c r="H71" s="4">
        <v>2200</v>
      </c>
      <c r="I71" s="4">
        <v>2200</v>
      </c>
      <c r="J71" s="5">
        <v>28.82</v>
      </c>
      <c r="K71" s="5">
        <v>76.33</v>
      </c>
      <c r="L71" s="5">
        <v>441.28</v>
      </c>
      <c r="M71" s="5">
        <v>4.99</v>
      </c>
      <c r="N71" s="5">
        <v>1.84</v>
      </c>
      <c r="O71" s="6" t="s">
        <v>344</v>
      </c>
      <c r="P71" s="3" t="s">
        <v>24</v>
      </c>
      <c r="Q71" s="3" t="s">
        <v>345</v>
      </c>
      <c r="R71" s="8" t="str">
        <f>HYPERLINK("https://my.pitchbook.com?c=288086-23T","View Company Online")</f>
        <v>View Company Online</v>
      </c>
    </row>
    <row r="72" spans="1:18" x14ac:dyDescent="0.2">
      <c r="A72" s="9" t="s">
        <v>346</v>
      </c>
      <c r="B72" s="9" t="s">
        <v>347</v>
      </c>
      <c r="C72" s="11" t="s">
        <v>20</v>
      </c>
      <c r="D72" s="11">
        <v>4.9400000000000004</v>
      </c>
      <c r="E72" s="9" t="s">
        <v>348</v>
      </c>
      <c r="F72" s="13">
        <v>44571</v>
      </c>
      <c r="G72" s="9" t="s">
        <v>22</v>
      </c>
      <c r="H72" s="12">
        <v>400</v>
      </c>
      <c r="I72" s="12">
        <v>400</v>
      </c>
      <c r="J72" s="11" t="s">
        <v>20</v>
      </c>
      <c r="K72" s="11" t="s">
        <v>20</v>
      </c>
      <c r="L72" s="11">
        <v>81</v>
      </c>
      <c r="M72" s="11">
        <v>4.9400000000000004</v>
      </c>
      <c r="N72" s="11" t="s">
        <v>20</v>
      </c>
      <c r="O72" s="10" t="s">
        <v>349</v>
      </c>
      <c r="P72" s="9" t="s">
        <v>110</v>
      </c>
      <c r="Q72" s="9" t="s">
        <v>83</v>
      </c>
      <c r="R72" s="7" t="str">
        <f>HYPERLINK("https://my.pitchbook.com?c=181723-06T","View Company Online")</f>
        <v>View Company Online</v>
      </c>
    </row>
    <row r="73" spans="1:18" x14ac:dyDescent="0.2">
      <c r="A73" s="3" t="s">
        <v>350</v>
      </c>
      <c r="B73" s="3" t="s">
        <v>351</v>
      </c>
      <c r="C73" s="5" t="s">
        <v>20</v>
      </c>
      <c r="D73" s="5">
        <v>4.9000000000000004</v>
      </c>
      <c r="E73" s="3" t="s">
        <v>352</v>
      </c>
      <c r="F73" s="1">
        <v>43556</v>
      </c>
      <c r="G73" s="3" t="s">
        <v>22</v>
      </c>
      <c r="H73" s="4">
        <v>196</v>
      </c>
      <c r="I73" s="4">
        <v>196</v>
      </c>
      <c r="J73" s="5" t="s">
        <v>20</v>
      </c>
      <c r="K73" s="5" t="s">
        <v>20</v>
      </c>
      <c r="L73" s="5">
        <v>40</v>
      </c>
      <c r="M73" s="5">
        <v>4.9000000000000004</v>
      </c>
      <c r="N73" s="5" t="s">
        <v>20</v>
      </c>
      <c r="O73" s="6" t="s">
        <v>353</v>
      </c>
      <c r="P73" s="3" t="s">
        <v>354</v>
      </c>
      <c r="Q73" s="3" t="s">
        <v>355</v>
      </c>
      <c r="R73" s="8" t="str">
        <f>HYPERLINK("https://my.pitchbook.com?c=117229-24T","View Company Online")</f>
        <v>View Company Online</v>
      </c>
    </row>
    <row r="74" spans="1:18" x14ac:dyDescent="0.2">
      <c r="A74" s="9" t="s">
        <v>356</v>
      </c>
      <c r="B74" s="9" t="s">
        <v>357</v>
      </c>
      <c r="C74" s="11">
        <v>14.9</v>
      </c>
      <c r="D74" s="11">
        <v>4.8</v>
      </c>
      <c r="E74" s="9" t="s">
        <v>358</v>
      </c>
      <c r="F74" s="13">
        <v>43675</v>
      </c>
      <c r="G74" s="9" t="s">
        <v>22</v>
      </c>
      <c r="H74" s="12">
        <v>46475</v>
      </c>
      <c r="I74" s="12">
        <v>46475</v>
      </c>
      <c r="J74" s="11">
        <v>3082</v>
      </c>
      <c r="K74" s="11">
        <v>15.08</v>
      </c>
      <c r="L74" s="11">
        <v>9569</v>
      </c>
      <c r="M74" s="11">
        <v>4.8600000000000003</v>
      </c>
      <c r="N74" s="11">
        <v>1007</v>
      </c>
      <c r="O74" s="10" t="s">
        <v>359</v>
      </c>
      <c r="P74" s="9" t="s">
        <v>24</v>
      </c>
      <c r="Q74" s="9" t="s">
        <v>263</v>
      </c>
      <c r="R74" s="7" t="str">
        <f>HYPERLINK("https://my.pitchbook.com?c=115573-78T","View Company Online")</f>
        <v>View Company Online</v>
      </c>
    </row>
    <row r="75" spans="1:18" x14ac:dyDescent="0.2">
      <c r="A75" s="3" t="s">
        <v>360</v>
      </c>
      <c r="B75" s="3" t="s">
        <v>361</v>
      </c>
      <c r="C75" s="5">
        <v>19.46</v>
      </c>
      <c r="D75" s="5">
        <v>4.53</v>
      </c>
      <c r="E75" s="3" t="s">
        <v>362</v>
      </c>
      <c r="F75" s="1">
        <v>45611</v>
      </c>
      <c r="G75" s="3" t="s">
        <v>103</v>
      </c>
      <c r="H75" s="4">
        <v>6302.1</v>
      </c>
      <c r="I75" s="4">
        <v>6300</v>
      </c>
      <c r="J75" s="5">
        <v>316.69</v>
      </c>
      <c r="K75" s="5">
        <v>19.89</v>
      </c>
      <c r="L75" s="5">
        <v>1359.72</v>
      </c>
      <c r="M75" s="5">
        <v>4.63</v>
      </c>
      <c r="N75" s="5">
        <v>23.8</v>
      </c>
      <c r="O75" s="6" t="s">
        <v>363</v>
      </c>
      <c r="P75" s="3" t="s">
        <v>24</v>
      </c>
      <c r="Q75" s="3" t="s">
        <v>244</v>
      </c>
      <c r="R75" s="8" t="str">
        <f>HYPERLINK("https://my.pitchbook.com?c=254607-49T","View Company Online")</f>
        <v>View Company Online</v>
      </c>
    </row>
    <row r="76" spans="1:18" x14ac:dyDescent="0.2">
      <c r="A76" s="9" t="s">
        <v>364</v>
      </c>
      <c r="B76" s="9" t="s">
        <v>365</v>
      </c>
      <c r="C76" s="11">
        <v>10.39</v>
      </c>
      <c r="D76" s="11">
        <v>4.5599999999999996</v>
      </c>
      <c r="E76" s="9" t="s">
        <v>366</v>
      </c>
      <c r="F76" s="13">
        <v>45019</v>
      </c>
      <c r="G76" s="9" t="s">
        <v>22</v>
      </c>
      <c r="H76" s="12">
        <v>18979.169999999998</v>
      </c>
      <c r="I76" s="12">
        <v>18979.169999999998</v>
      </c>
      <c r="J76" s="11">
        <v>1807.26</v>
      </c>
      <c r="K76" s="11">
        <v>10.5</v>
      </c>
      <c r="L76" s="11">
        <v>4114.8100000000004</v>
      </c>
      <c r="M76" s="11">
        <v>4.6100000000000003</v>
      </c>
      <c r="N76" s="11">
        <v>492.68</v>
      </c>
      <c r="O76" s="10" t="s">
        <v>367</v>
      </c>
      <c r="P76" s="9" t="s">
        <v>249</v>
      </c>
      <c r="Q76" s="9" t="s">
        <v>368</v>
      </c>
      <c r="R76" s="7" t="str">
        <f>HYPERLINK("https://my.pitchbook.com?c=168448-87T","View Company Online")</f>
        <v>View Company Online</v>
      </c>
    </row>
    <row r="77" spans="1:18" x14ac:dyDescent="0.2">
      <c r="A77" s="3" t="s">
        <v>369</v>
      </c>
      <c r="B77" s="3" t="s">
        <v>370</v>
      </c>
      <c r="C77" s="5">
        <v>22.9</v>
      </c>
      <c r="D77" s="5">
        <v>4.83</v>
      </c>
      <c r="E77" s="3" t="s">
        <v>371</v>
      </c>
      <c r="F77" s="1">
        <v>44980</v>
      </c>
      <c r="G77" s="3" t="s">
        <v>22</v>
      </c>
      <c r="H77" s="4">
        <v>1300</v>
      </c>
      <c r="I77" s="4">
        <v>1300</v>
      </c>
      <c r="J77" s="5">
        <v>59.67</v>
      </c>
      <c r="K77" s="5">
        <v>21.79</v>
      </c>
      <c r="L77" s="5">
        <v>282.74</v>
      </c>
      <c r="M77" s="5">
        <v>4.5999999999999996</v>
      </c>
      <c r="N77" s="5">
        <v>8.26</v>
      </c>
      <c r="O77" s="6" t="s">
        <v>372</v>
      </c>
      <c r="P77" s="3" t="s">
        <v>24</v>
      </c>
      <c r="Q77" s="3" t="s">
        <v>263</v>
      </c>
      <c r="R77" s="8" t="str">
        <f>HYPERLINK("https://my.pitchbook.com?c=196490-35T","View Company Online")</f>
        <v>View Company Online</v>
      </c>
    </row>
    <row r="78" spans="1:18" x14ac:dyDescent="0.2">
      <c r="A78" s="9" t="s">
        <v>373</v>
      </c>
      <c r="B78" s="9" t="s">
        <v>374</v>
      </c>
      <c r="C78" s="11" t="s">
        <v>20</v>
      </c>
      <c r="D78" s="11">
        <v>4.47</v>
      </c>
      <c r="E78" s="9" t="s">
        <v>375</v>
      </c>
      <c r="F78" s="13">
        <v>44362</v>
      </c>
      <c r="G78" s="9" t="s">
        <v>103</v>
      </c>
      <c r="H78" s="12">
        <v>55</v>
      </c>
      <c r="I78" s="12">
        <v>55</v>
      </c>
      <c r="J78" s="11" t="s">
        <v>20</v>
      </c>
      <c r="K78" s="11" t="s">
        <v>20</v>
      </c>
      <c r="L78" s="11">
        <v>12.3</v>
      </c>
      <c r="M78" s="11">
        <v>4.47</v>
      </c>
      <c r="N78" s="11" t="s">
        <v>20</v>
      </c>
      <c r="O78" s="10" t="s">
        <v>376</v>
      </c>
      <c r="P78" s="9" t="s">
        <v>110</v>
      </c>
      <c r="Q78" s="9" t="s">
        <v>377</v>
      </c>
      <c r="R78" s="7" t="str">
        <f>HYPERLINK("https://my.pitchbook.com?c=174429-82T","View Company Online")</f>
        <v>View Company Online</v>
      </c>
    </row>
    <row r="79" spans="1:18" x14ac:dyDescent="0.2">
      <c r="A79" s="3" t="s">
        <v>378</v>
      </c>
      <c r="B79" s="3" t="s">
        <v>379</v>
      </c>
      <c r="C79" s="5" t="s">
        <v>20</v>
      </c>
      <c r="D79" s="5">
        <v>4.4400000000000004</v>
      </c>
      <c r="E79" s="3" t="s">
        <v>380</v>
      </c>
      <c r="F79" s="1">
        <v>44855</v>
      </c>
      <c r="G79" s="3" t="s">
        <v>103</v>
      </c>
      <c r="H79" s="4">
        <v>20</v>
      </c>
      <c r="I79" s="4">
        <v>20</v>
      </c>
      <c r="J79" s="5" t="s">
        <v>20</v>
      </c>
      <c r="K79" s="5" t="s">
        <v>20</v>
      </c>
      <c r="L79" s="5">
        <v>4.5</v>
      </c>
      <c r="M79" s="5">
        <v>4.4400000000000004</v>
      </c>
      <c r="N79" s="5" t="s">
        <v>20</v>
      </c>
      <c r="O79" s="6" t="s">
        <v>381</v>
      </c>
      <c r="P79" s="3" t="s">
        <v>110</v>
      </c>
      <c r="Q79" s="3" t="s">
        <v>382</v>
      </c>
      <c r="R79" s="8" t="str">
        <f>HYPERLINK("https://my.pitchbook.com?c=207509-05T","View Company Online")</f>
        <v>View Company Online</v>
      </c>
    </row>
    <row r="80" spans="1:18" x14ac:dyDescent="0.2">
      <c r="A80" s="9" t="s">
        <v>383</v>
      </c>
      <c r="B80" s="9" t="s">
        <v>384</v>
      </c>
      <c r="C80" s="11" t="s">
        <v>20</v>
      </c>
      <c r="D80" s="11">
        <v>4.41</v>
      </c>
      <c r="E80" s="9" t="s">
        <v>385</v>
      </c>
      <c r="F80" s="13">
        <v>44057</v>
      </c>
      <c r="G80" s="9" t="s">
        <v>22</v>
      </c>
      <c r="H80" s="12">
        <v>75</v>
      </c>
      <c r="I80" s="12">
        <v>75</v>
      </c>
      <c r="J80" s="11" t="s">
        <v>20</v>
      </c>
      <c r="K80" s="11" t="s">
        <v>20</v>
      </c>
      <c r="L80" s="11">
        <v>17</v>
      </c>
      <c r="M80" s="11">
        <v>4.41</v>
      </c>
      <c r="N80" s="11" t="s">
        <v>20</v>
      </c>
      <c r="O80" s="10" t="s">
        <v>386</v>
      </c>
      <c r="P80" s="9" t="s">
        <v>110</v>
      </c>
      <c r="Q80" s="9" t="s">
        <v>83</v>
      </c>
      <c r="R80" s="7" t="str">
        <f>HYPERLINK("https://my.pitchbook.com?c=141094-63T","View Company Online")</f>
        <v>View Company Online</v>
      </c>
    </row>
    <row r="81" spans="1:18" x14ac:dyDescent="0.2">
      <c r="A81" s="3" t="s">
        <v>387</v>
      </c>
      <c r="B81" s="3" t="s">
        <v>388</v>
      </c>
      <c r="C81" s="5" t="s">
        <v>20</v>
      </c>
      <c r="D81" s="5">
        <v>4.33</v>
      </c>
      <c r="E81" s="3" t="s">
        <v>389</v>
      </c>
      <c r="F81" s="1">
        <v>44884</v>
      </c>
      <c r="G81" s="3" t="s">
        <v>103</v>
      </c>
      <c r="H81" s="4">
        <v>6</v>
      </c>
      <c r="I81" s="4">
        <v>26</v>
      </c>
      <c r="J81" s="5" t="s">
        <v>20</v>
      </c>
      <c r="K81" s="5" t="s">
        <v>20</v>
      </c>
      <c r="L81" s="5">
        <v>6</v>
      </c>
      <c r="M81" s="5">
        <v>4.33</v>
      </c>
      <c r="N81" s="5" t="s">
        <v>20</v>
      </c>
      <c r="O81" s="6" t="s">
        <v>390</v>
      </c>
      <c r="P81" s="3" t="s">
        <v>391</v>
      </c>
      <c r="Q81" s="3" t="s">
        <v>178</v>
      </c>
      <c r="R81" s="8" t="str">
        <f>HYPERLINK("https://my.pitchbook.com?c=208818-01T","View Company Online")</f>
        <v>View Company Online</v>
      </c>
    </row>
    <row r="82" spans="1:18" x14ac:dyDescent="0.2">
      <c r="A82" s="9" t="s">
        <v>392</v>
      </c>
      <c r="B82" s="9" t="s">
        <v>393</v>
      </c>
      <c r="C82" s="11" t="s">
        <v>20</v>
      </c>
      <c r="D82" s="11">
        <v>4.33</v>
      </c>
      <c r="E82" s="9" t="s">
        <v>394</v>
      </c>
      <c r="F82" s="13">
        <v>44123</v>
      </c>
      <c r="G82" s="9" t="s">
        <v>22</v>
      </c>
      <c r="H82" s="12">
        <v>296</v>
      </c>
      <c r="I82" s="12">
        <v>296</v>
      </c>
      <c r="J82" s="11" t="s">
        <v>20</v>
      </c>
      <c r="K82" s="11" t="s">
        <v>20</v>
      </c>
      <c r="L82" s="11">
        <v>68.400000000000006</v>
      </c>
      <c r="M82" s="11">
        <v>4.33</v>
      </c>
      <c r="N82" s="11" t="s">
        <v>20</v>
      </c>
      <c r="O82" s="10" t="s">
        <v>395</v>
      </c>
      <c r="P82" s="9" t="s">
        <v>284</v>
      </c>
      <c r="Q82" s="9" t="s">
        <v>83</v>
      </c>
      <c r="R82" s="7" t="str">
        <f>HYPERLINK("https://my.pitchbook.com?c=139233-70T","View Company Online")</f>
        <v>View Company Online</v>
      </c>
    </row>
    <row r="83" spans="1:18" x14ac:dyDescent="0.2">
      <c r="A83" s="3" t="s">
        <v>396</v>
      </c>
      <c r="B83" s="3" t="s">
        <v>397</v>
      </c>
      <c r="C83" s="5" t="s">
        <v>20</v>
      </c>
      <c r="D83" s="5">
        <v>3.71</v>
      </c>
      <c r="E83" s="3" t="s">
        <v>398</v>
      </c>
      <c r="F83" s="1">
        <v>45789</v>
      </c>
      <c r="G83" s="3" t="s">
        <v>22</v>
      </c>
      <c r="H83" s="4">
        <v>172.51</v>
      </c>
      <c r="I83" s="4">
        <v>172.51</v>
      </c>
      <c r="J83" s="5">
        <v>-14.71</v>
      </c>
      <c r="K83" s="5">
        <v>-11.73</v>
      </c>
      <c r="L83" s="5">
        <v>39.869999999999997</v>
      </c>
      <c r="M83" s="5">
        <v>4.33</v>
      </c>
      <c r="N83" s="5">
        <v>-15.73</v>
      </c>
      <c r="O83" s="6" t="s">
        <v>399</v>
      </c>
      <c r="P83" s="3" t="s">
        <v>24</v>
      </c>
      <c r="Q83" s="3" t="s">
        <v>71</v>
      </c>
      <c r="R83" s="8" t="str">
        <f>HYPERLINK("https://my.pitchbook.com?c=294758-83T","View Company Online")</f>
        <v>View Company Online</v>
      </c>
    </row>
    <row r="84" spans="1:18" x14ac:dyDescent="0.2">
      <c r="A84" s="9" t="s">
        <v>400</v>
      </c>
      <c r="B84" s="9" t="s">
        <v>401</v>
      </c>
      <c r="C84" s="11" t="s">
        <v>20</v>
      </c>
      <c r="D84" s="11">
        <v>3.99</v>
      </c>
      <c r="E84" s="9" t="s">
        <v>402</v>
      </c>
      <c r="F84" s="13">
        <v>45428</v>
      </c>
      <c r="G84" s="9" t="s">
        <v>103</v>
      </c>
      <c r="H84" s="12">
        <v>104.2</v>
      </c>
      <c r="I84" s="12">
        <v>104.2</v>
      </c>
      <c r="J84" s="11">
        <v>-1.35</v>
      </c>
      <c r="K84" s="11">
        <v>-77.03</v>
      </c>
      <c r="L84" s="11">
        <v>24.37</v>
      </c>
      <c r="M84" s="11">
        <v>4.28</v>
      </c>
      <c r="N84" s="11">
        <v>-2.15</v>
      </c>
      <c r="O84" s="10" t="s">
        <v>403</v>
      </c>
      <c r="P84" s="9" t="s">
        <v>110</v>
      </c>
      <c r="Q84" s="9" t="s">
        <v>404</v>
      </c>
      <c r="R84" s="7" t="str">
        <f>HYPERLINK("https://my.pitchbook.com?c=254307-52T","View Company Online")</f>
        <v>View Company Online</v>
      </c>
    </row>
    <row r="85" spans="1:18" x14ac:dyDescent="0.2">
      <c r="A85" s="3" t="s">
        <v>405</v>
      </c>
      <c r="B85" s="3" t="s">
        <v>406</v>
      </c>
      <c r="C85" s="5" t="s">
        <v>20</v>
      </c>
      <c r="D85" s="5">
        <v>4.2699999999999996</v>
      </c>
      <c r="E85" s="3" t="s">
        <v>407</v>
      </c>
      <c r="F85" s="1">
        <v>44348</v>
      </c>
      <c r="G85" s="3" t="s">
        <v>22</v>
      </c>
      <c r="H85" s="4">
        <v>49.06</v>
      </c>
      <c r="I85" s="4">
        <v>49.06</v>
      </c>
      <c r="J85" s="5" t="s">
        <v>20</v>
      </c>
      <c r="K85" s="5" t="s">
        <v>20</v>
      </c>
      <c r="L85" s="5">
        <v>11.5</v>
      </c>
      <c r="M85" s="5">
        <v>4.2699999999999996</v>
      </c>
      <c r="N85" s="5" t="s">
        <v>20</v>
      </c>
      <c r="O85" s="6" t="s">
        <v>408</v>
      </c>
      <c r="P85" s="3" t="s">
        <v>58</v>
      </c>
      <c r="Q85" s="3" t="s">
        <v>409</v>
      </c>
      <c r="R85" s="8" t="str">
        <f>HYPERLINK("https://my.pitchbook.com?c=168087-70T","View Company Online")</f>
        <v>View Company Online</v>
      </c>
    </row>
    <row r="86" spans="1:18" x14ac:dyDescent="0.2">
      <c r="A86" s="9" t="s">
        <v>410</v>
      </c>
      <c r="B86" s="9" t="s">
        <v>411</v>
      </c>
      <c r="C86" s="11">
        <v>11.76</v>
      </c>
      <c r="D86" s="11">
        <v>4.17</v>
      </c>
      <c r="E86" s="9" t="s">
        <v>412</v>
      </c>
      <c r="F86" s="13">
        <v>43871</v>
      </c>
      <c r="G86" s="9" t="s">
        <v>22</v>
      </c>
      <c r="H86" s="12">
        <v>50</v>
      </c>
      <c r="I86" s="12">
        <v>50</v>
      </c>
      <c r="J86" s="11">
        <v>4.25</v>
      </c>
      <c r="K86" s="11">
        <v>11.76</v>
      </c>
      <c r="L86" s="11">
        <v>12</v>
      </c>
      <c r="M86" s="11">
        <v>4.17</v>
      </c>
      <c r="N86" s="11" t="s">
        <v>20</v>
      </c>
      <c r="O86" s="10" t="s">
        <v>40</v>
      </c>
      <c r="P86" s="9" t="s">
        <v>24</v>
      </c>
      <c r="Q86" s="9" t="s">
        <v>413</v>
      </c>
      <c r="R86" s="7" t="str">
        <f>HYPERLINK("https://my.pitchbook.com?c=131626-09T","View Company Online")</f>
        <v>View Company Online</v>
      </c>
    </row>
    <row r="87" spans="1:18" x14ac:dyDescent="0.2">
      <c r="A87" s="3" t="s">
        <v>414</v>
      </c>
      <c r="B87" s="3" t="s">
        <v>415</v>
      </c>
      <c r="C87" s="5" t="s">
        <v>20</v>
      </c>
      <c r="D87" s="5">
        <v>3.56</v>
      </c>
      <c r="E87" s="3" t="s">
        <v>416</v>
      </c>
      <c r="F87" s="1">
        <v>44166</v>
      </c>
      <c r="G87" s="3" t="s">
        <v>103</v>
      </c>
      <c r="H87" s="4">
        <v>872</v>
      </c>
      <c r="I87" s="4">
        <v>872</v>
      </c>
      <c r="J87" s="5">
        <v>-39.67</v>
      </c>
      <c r="K87" s="5">
        <v>-21.98</v>
      </c>
      <c r="L87" s="5">
        <v>212.71</v>
      </c>
      <c r="M87" s="5">
        <v>4.0999999999999996</v>
      </c>
      <c r="N87" s="5">
        <v>-45.39</v>
      </c>
      <c r="O87" s="6" t="s">
        <v>417</v>
      </c>
      <c r="P87" s="3" t="s">
        <v>82</v>
      </c>
      <c r="Q87" s="3" t="s">
        <v>418</v>
      </c>
      <c r="R87" s="8" t="str">
        <f>HYPERLINK("https://my.pitchbook.com?c=153806-05T","View Company Online")</f>
        <v>View Company Online</v>
      </c>
    </row>
    <row r="88" spans="1:18" x14ac:dyDescent="0.2">
      <c r="A88" s="9" t="s">
        <v>419</v>
      </c>
      <c r="B88" s="9" t="s">
        <v>420</v>
      </c>
      <c r="C88" s="11">
        <v>792.61</v>
      </c>
      <c r="D88" s="11">
        <v>3.57</v>
      </c>
      <c r="E88" s="9" t="s">
        <v>421</v>
      </c>
      <c r="F88" s="13">
        <v>43105</v>
      </c>
      <c r="G88" s="9" t="s">
        <v>22</v>
      </c>
      <c r="H88" s="12">
        <v>665.8</v>
      </c>
      <c r="I88" s="12">
        <v>665.8</v>
      </c>
      <c r="J88" s="11">
        <v>0.8</v>
      </c>
      <c r="K88" s="11">
        <v>833.53</v>
      </c>
      <c r="L88" s="11">
        <v>177.23</v>
      </c>
      <c r="M88" s="11">
        <v>3.76</v>
      </c>
      <c r="N88" s="11">
        <v>-63.21</v>
      </c>
      <c r="O88" s="10" t="s">
        <v>422</v>
      </c>
      <c r="P88" s="9" t="s">
        <v>284</v>
      </c>
      <c r="Q88" s="9" t="s">
        <v>423</v>
      </c>
      <c r="R88" s="7" t="str">
        <f>HYPERLINK("https://my.pitchbook.com?c=94704-94T","View Company Online")</f>
        <v>View Company Online</v>
      </c>
    </row>
    <row r="89" spans="1:18" x14ac:dyDescent="0.2">
      <c r="A89" s="3" t="s">
        <v>424</v>
      </c>
      <c r="B89" s="3" t="s">
        <v>425</v>
      </c>
      <c r="C89" s="5" t="s">
        <v>20</v>
      </c>
      <c r="D89" s="5">
        <v>3.73</v>
      </c>
      <c r="E89" s="3" t="s">
        <v>426</v>
      </c>
      <c r="F89" s="1">
        <v>43374</v>
      </c>
      <c r="G89" s="3" t="s">
        <v>22</v>
      </c>
      <c r="H89" s="4">
        <v>93</v>
      </c>
      <c r="I89" s="4">
        <v>93</v>
      </c>
      <c r="J89" s="5" t="s">
        <v>20</v>
      </c>
      <c r="K89" s="5" t="s">
        <v>20</v>
      </c>
      <c r="L89" s="5">
        <v>24.9</v>
      </c>
      <c r="M89" s="5">
        <v>3.73</v>
      </c>
      <c r="N89" s="5" t="s">
        <v>20</v>
      </c>
      <c r="O89" s="6" t="s">
        <v>427</v>
      </c>
      <c r="P89" s="3" t="s">
        <v>24</v>
      </c>
      <c r="Q89" s="3" t="s">
        <v>428</v>
      </c>
      <c r="R89" s="8" t="str">
        <f>HYPERLINK("https://my.pitchbook.com?c=111797-11T","View Company Online")</f>
        <v>View Company Online</v>
      </c>
    </row>
    <row r="90" spans="1:18" x14ac:dyDescent="0.2">
      <c r="A90" s="9" t="s">
        <v>429</v>
      </c>
      <c r="B90" s="9" t="s">
        <v>430</v>
      </c>
      <c r="C90" s="11" t="s">
        <v>20</v>
      </c>
      <c r="D90" s="11">
        <v>3.71</v>
      </c>
      <c r="E90" s="9" t="s">
        <v>431</v>
      </c>
      <c r="F90" s="13">
        <v>45048</v>
      </c>
      <c r="G90" s="9" t="s">
        <v>22</v>
      </c>
      <c r="H90" s="12">
        <v>3.59</v>
      </c>
      <c r="I90" s="12">
        <v>3.59</v>
      </c>
      <c r="J90" s="11" t="s">
        <v>20</v>
      </c>
      <c r="K90" s="11" t="s">
        <v>20</v>
      </c>
      <c r="L90" s="11">
        <v>0.97</v>
      </c>
      <c r="M90" s="11">
        <v>3.71</v>
      </c>
      <c r="N90" s="11" t="s">
        <v>20</v>
      </c>
      <c r="O90" s="10" t="s">
        <v>432</v>
      </c>
      <c r="P90" s="9" t="s">
        <v>433</v>
      </c>
      <c r="Q90" s="9" t="s">
        <v>434</v>
      </c>
      <c r="R90" s="7" t="str">
        <f>HYPERLINK("https://my.pitchbook.com?c=218879-11T","View Company Online")</f>
        <v>View Company Online</v>
      </c>
    </row>
    <row r="91" spans="1:18" x14ac:dyDescent="0.2">
      <c r="A91" s="3" t="s">
        <v>435</v>
      </c>
      <c r="B91" s="3" t="s">
        <v>436</v>
      </c>
      <c r="C91" s="5">
        <v>80.97</v>
      </c>
      <c r="D91" s="5">
        <v>3.89</v>
      </c>
      <c r="E91" s="3" t="s">
        <v>437</v>
      </c>
      <c r="F91" s="1">
        <v>44315</v>
      </c>
      <c r="G91" s="3" t="s">
        <v>22</v>
      </c>
      <c r="H91" s="4">
        <v>2000</v>
      </c>
      <c r="I91" s="4">
        <v>2000</v>
      </c>
      <c r="J91" s="5">
        <v>25.94</v>
      </c>
      <c r="K91" s="5">
        <v>77.11</v>
      </c>
      <c r="L91" s="5">
        <v>540.52</v>
      </c>
      <c r="M91" s="5">
        <v>3.7</v>
      </c>
      <c r="N91" s="5">
        <v>20.45</v>
      </c>
      <c r="O91" s="6" t="s">
        <v>438</v>
      </c>
      <c r="P91" s="3" t="s">
        <v>284</v>
      </c>
      <c r="Q91" s="3" t="s">
        <v>83</v>
      </c>
      <c r="R91" s="8" t="str">
        <f>HYPERLINK("https://my.pitchbook.com?c=166446-82T","View Company Online")</f>
        <v>View Company Online</v>
      </c>
    </row>
    <row r="92" spans="1:18" x14ac:dyDescent="0.2">
      <c r="A92" s="9" t="s">
        <v>439</v>
      </c>
      <c r="B92" s="9" t="s">
        <v>440</v>
      </c>
      <c r="C92" s="11" t="s">
        <v>20</v>
      </c>
      <c r="D92" s="11">
        <v>3.67</v>
      </c>
      <c r="E92" s="9" t="s">
        <v>441</v>
      </c>
      <c r="F92" s="13">
        <v>44562</v>
      </c>
      <c r="G92" s="9" t="s">
        <v>22</v>
      </c>
      <c r="H92" s="12">
        <v>1030</v>
      </c>
      <c r="I92" s="12">
        <v>1030</v>
      </c>
      <c r="J92" s="11" t="s">
        <v>20</v>
      </c>
      <c r="K92" s="11" t="s">
        <v>20</v>
      </c>
      <c r="L92" s="11">
        <v>281</v>
      </c>
      <c r="M92" s="11">
        <v>3.67</v>
      </c>
      <c r="N92" s="11" t="s">
        <v>20</v>
      </c>
      <c r="O92" s="10" t="s">
        <v>442</v>
      </c>
      <c r="P92" s="9" t="s">
        <v>46</v>
      </c>
      <c r="Q92" s="9" t="s">
        <v>83</v>
      </c>
      <c r="R92" s="7" t="str">
        <f>HYPERLINK("https://my.pitchbook.com?c=181315-18T","View Company Online")</f>
        <v>View Company Online</v>
      </c>
    </row>
    <row r="93" spans="1:18" x14ac:dyDescent="0.2">
      <c r="A93" s="3" t="s">
        <v>443</v>
      </c>
      <c r="B93" s="3" t="s">
        <v>444</v>
      </c>
      <c r="C93" s="5" t="s">
        <v>20</v>
      </c>
      <c r="D93" s="5">
        <v>3.43</v>
      </c>
      <c r="E93" s="3" t="s">
        <v>445</v>
      </c>
      <c r="F93" s="1">
        <v>45446</v>
      </c>
      <c r="G93" s="3" t="s">
        <v>22</v>
      </c>
      <c r="H93" s="4">
        <v>32.6</v>
      </c>
      <c r="I93" s="4">
        <v>32.6</v>
      </c>
      <c r="J93" s="5" t="s">
        <v>20</v>
      </c>
      <c r="K93" s="5" t="s">
        <v>20</v>
      </c>
      <c r="L93" s="5">
        <v>9.5</v>
      </c>
      <c r="M93" s="5">
        <v>3.43</v>
      </c>
      <c r="N93" s="5" t="s">
        <v>20</v>
      </c>
      <c r="O93" s="6" t="s">
        <v>446</v>
      </c>
      <c r="P93" s="3" t="s">
        <v>76</v>
      </c>
      <c r="Q93" s="3" t="s">
        <v>447</v>
      </c>
      <c r="R93" s="8" t="str">
        <f>HYPERLINK("https://my.pitchbook.com?c=261032-95T","View Company Online")</f>
        <v>View Company Online</v>
      </c>
    </row>
    <row r="94" spans="1:18" x14ac:dyDescent="0.2">
      <c r="A94" s="9" t="s">
        <v>448</v>
      </c>
      <c r="B94" s="9" t="s">
        <v>449</v>
      </c>
      <c r="C94" s="11">
        <v>16.55</v>
      </c>
      <c r="D94" s="11">
        <v>1.72</v>
      </c>
      <c r="E94" s="9" t="s">
        <v>450</v>
      </c>
      <c r="F94" s="13">
        <v>44704</v>
      </c>
      <c r="G94" s="9" t="s">
        <v>22</v>
      </c>
      <c r="H94" s="12">
        <v>9500</v>
      </c>
      <c r="I94" s="12">
        <v>9500</v>
      </c>
      <c r="J94" s="11">
        <v>292.10000000000002</v>
      </c>
      <c r="K94" s="11">
        <v>32.520000000000003</v>
      </c>
      <c r="L94" s="11">
        <v>2811.4</v>
      </c>
      <c r="M94" s="11">
        <v>3.38</v>
      </c>
      <c r="N94" s="11">
        <v>-105.7</v>
      </c>
      <c r="O94" s="10" t="s">
        <v>451</v>
      </c>
      <c r="P94" s="9" t="s">
        <v>284</v>
      </c>
      <c r="Q94" s="9" t="s">
        <v>53</v>
      </c>
      <c r="R94" s="7" t="str">
        <f>HYPERLINK("https://my.pitchbook.com?c=186351-04T","View Company Online")</f>
        <v>View Company Online</v>
      </c>
    </row>
    <row r="95" spans="1:18" x14ac:dyDescent="0.2">
      <c r="A95" s="3" t="s">
        <v>452</v>
      </c>
      <c r="B95" s="3" t="s">
        <v>453</v>
      </c>
      <c r="C95" s="5" t="s">
        <v>20</v>
      </c>
      <c r="D95" s="5">
        <v>3.31</v>
      </c>
      <c r="E95" s="3" t="s">
        <v>454</v>
      </c>
      <c r="F95" s="1">
        <v>45621</v>
      </c>
      <c r="G95" s="3" t="s">
        <v>103</v>
      </c>
      <c r="H95" s="4">
        <v>4627</v>
      </c>
      <c r="I95" s="4">
        <v>4500</v>
      </c>
      <c r="J95" s="5">
        <v>-104.62</v>
      </c>
      <c r="K95" s="5">
        <v>-43.01</v>
      </c>
      <c r="L95" s="5">
        <v>1336.8</v>
      </c>
      <c r="M95" s="5">
        <v>3.37</v>
      </c>
      <c r="N95" s="5">
        <v>-261.52</v>
      </c>
      <c r="O95" s="6" t="s">
        <v>455</v>
      </c>
      <c r="P95" s="3" t="s">
        <v>24</v>
      </c>
      <c r="Q95" s="3" t="s">
        <v>456</v>
      </c>
      <c r="R95" s="8" t="str">
        <f>HYPERLINK("https://my.pitchbook.com?c=257059-72T","View Company Online")</f>
        <v>View Company Online</v>
      </c>
    </row>
    <row r="96" spans="1:18" x14ac:dyDescent="0.2">
      <c r="A96" s="9" t="s">
        <v>457</v>
      </c>
      <c r="B96" s="9" t="s">
        <v>458</v>
      </c>
      <c r="C96" s="11">
        <v>60.63</v>
      </c>
      <c r="D96" s="11">
        <v>4.7300000000000004</v>
      </c>
      <c r="E96" s="9" t="s">
        <v>459</v>
      </c>
      <c r="F96" s="13">
        <v>43453</v>
      </c>
      <c r="G96" s="9" t="s">
        <v>22</v>
      </c>
      <c r="H96" s="12">
        <v>80</v>
      </c>
      <c r="I96" s="12">
        <v>113.46</v>
      </c>
      <c r="J96" s="11">
        <v>2.64</v>
      </c>
      <c r="K96" s="11">
        <v>43</v>
      </c>
      <c r="L96" s="11">
        <v>33.840000000000003</v>
      </c>
      <c r="M96" s="11">
        <v>3.35</v>
      </c>
      <c r="N96" s="11">
        <v>13.19</v>
      </c>
      <c r="O96" s="10" t="s">
        <v>460</v>
      </c>
      <c r="P96" s="9" t="s">
        <v>24</v>
      </c>
      <c r="Q96" s="9" t="s">
        <v>71</v>
      </c>
      <c r="R96" s="7" t="str">
        <f>HYPERLINK("https://my.pitchbook.com?c=113092-12T","View Company Online")</f>
        <v>View Company Online</v>
      </c>
    </row>
    <row r="97" spans="1:18" x14ac:dyDescent="0.2">
      <c r="A97" s="3" t="s">
        <v>461</v>
      </c>
      <c r="B97" s="3" t="s">
        <v>462</v>
      </c>
      <c r="C97" s="5" t="s">
        <v>20</v>
      </c>
      <c r="D97" s="5">
        <v>3.33</v>
      </c>
      <c r="E97" s="3" t="s">
        <v>463</v>
      </c>
      <c r="F97" s="1">
        <v>44348</v>
      </c>
      <c r="G97" s="3" t="s">
        <v>22</v>
      </c>
      <c r="H97" s="4">
        <v>960</v>
      </c>
      <c r="I97" s="4">
        <v>960</v>
      </c>
      <c r="J97" s="5" t="s">
        <v>20</v>
      </c>
      <c r="K97" s="5" t="s">
        <v>20</v>
      </c>
      <c r="L97" s="5">
        <v>288.32</v>
      </c>
      <c r="M97" s="5">
        <v>3.33</v>
      </c>
      <c r="N97" s="5">
        <v>-11.59</v>
      </c>
      <c r="O97" s="6" t="s">
        <v>464</v>
      </c>
      <c r="P97" s="3" t="s">
        <v>24</v>
      </c>
      <c r="Q97" s="3" t="s">
        <v>428</v>
      </c>
      <c r="R97" s="8" t="str">
        <f>HYPERLINK("https://my.pitchbook.com?c=170890-21T","View Company Online")</f>
        <v>View Company Online</v>
      </c>
    </row>
    <row r="98" spans="1:18" x14ac:dyDescent="0.2">
      <c r="A98" s="9" t="s">
        <v>465</v>
      </c>
      <c r="B98" s="9" t="s">
        <v>466</v>
      </c>
      <c r="C98" s="11" t="s">
        <v>20</v>
      </c>
      <c r="D98" s="11">
        <v>3.33</v>
      </c>
      <c r="E98" s="9" t="s">
        <v>467</v>
      </c>
      <c r="F98" s="13">
        <v>43487</v>
      </c>
      <c r="G98" s="9" t="s">
        <v>22</v>
      </c>
      <c r="H98" s="12">
        <v>100</v>
      </c>
      <c r="I98" s="12">
        <v>100</v>
      </c>
      <c r="J98" s="11" t="s">
        <v>20</v>
      </c>
      <c r="K98" s="11" t="s">
        <v>20</v>
      </c>
      <c r="L98" s="11">
        <v>30</v>
      </c>
      <c r="M98" s="11">
        <v>3.33</v>
      </c>
      <c r="N98" s="11" t="s">
        <v>20</v>
      </c>
      <c r="O98" s="10" t="s">
        <v>468</v>
      </c>
      <c r="P98" s="9" t="s">
        <v>469</v>
      </c>
      <c r="Q98" s="9" t="s">
        <v>470</v>
      </c>
      <c r="R98" s="7" t="str">
        <f>HYPERLINK("https://my.pitchbook.com?c=116100-91T","View Company Online")</f>
        <v>View Company Online</v>
      </c>
    </row>
    <row r="99" spans="1:18" x14ac:dyDescent="0.2">
      <c r="A99" s="3" t="s">
        <v>471</v>
      </c>
      <c r="B99" s="3" t="s">
        <v>472</v>
      </c>
      <c r="C99" s="5" t="s">
        <v>20</v>
      </c>
      <c r="D99" s="5">
        <v>3.29</v>
      </c>
      <c r="E99" s="3" t="s">
        <v>473</v>
      </c>
      <c r="F99" s="1">
        <v>45337</v>
      </c>
      <c r="G99" s="3" t="s">
        <v>22</v>
      </c>
      <c r="H99" s="4">
        <v>34.549999999999997</v>
      </c>
      <c r="I99" s="4">
        <v>34.549999999999997</v>
      </c>
      <c r="J99" s="5" t="s">
        <v>20</v>
      </c>
      <c r="K99" s="5" t="s">
        <v>20</v>
      </c>
      <c r="L99" s="5">
        <v>10.5</v>
      </c>
      <c r="M99" s="5">
        <v>3.29</v>
      </c>
      <c r="N99" s="5" t="s">
        <v>20</v>
      </c>
      <c r="O99" s="6" t="s">
        <v>474</v>
      </c>
      <c r="P99" s="3" t="s">
        <v>187</v>
      </c>
      <c r="Q99" s="3" t="s">
        <v>133</v>
      </c>
      <c r="R99" s="8" t="str">
        <f>HYPERLINK("https://my.pitchbook.com?c=252601-57T","View Company Online")</f>
        <v>View Company Online</v>
      </c>
    </row>
    <row r="100" spans="1:18" x14ac:dyDescent="0.2">
      <c r="A100" s="9" t="s">
        <v>475</v>
      </c>
      <c r="B100" s="9" t="s">
        <v>476</v>
      </c>
      <c r="C100" s="11">
        <v>9.93</v>
      </c>
      <c r="D100" s="11">
        <v>3.23</v>
      </c>
      <c r="E100" s="9" t="s">
        <v>477</v>
      </c>
      <c r="F100" s="13">
        <v>44440</v>
      </c>
      <c r="G100" s="9" t="s">
        <v>22</v>
      </c>
      <c r="H100" s="12">
        <v>154</v>
      </c>
      <c r="I100" s="12">
        <v>154</v>
      </c>
      <c r="J100" s="11">
        <v>15.51</v>
      </c>
      <c r="K100" s="11">
        <v>9.93</v>
      </c>
      <c r="L100" s="11">
        <v>47.74</v>
      </c>
      <c r="M100" s="11">
        <v>3.23</v>
      </c>
      <c r="N100" s="11" t="s">
        <v>20</v>
      </c>
      <c r="O100" s="10" t="s">
        <v>478</v>
      </c>
      <c r="P100" s="9" t="s">
        <v>46</v>
      </c>
      <c r="Q100" s="9" t="s">
        <v>133</v>
      </c>
      <c r="R100" s="7" t="str">
        <f>HYPERLINK("https://my.pitchbook.com?c=174707-20T","View Company Online")</f>
        <v>View Company Online</v>
      </c>
    </row>
    <row r="101" spans="1:18" x14ac:dyDescent="0.2">
      <c r="A101" s="3" t="s">
        <v>479</v>
      </c>
      <c r="B101" s="3" t="s">
        <v>480</v>
      </c>
      <c r="C101" s="5" t="s">
        <v>20</v>
      </c>
      <c r="D101" s="5">
        <v>2.98</v>
      </c>
      <c r="E101" s="3" t="s">
        <v>481</v>
      </c>
      <c r="F101" s="1">
        <v>44720</v>
      </c>
      <c r="G101" s="3" t="s">
        <v>22</v>
      </c>
      <c r="H101" s="4">
        <v>8.75</v>
      </c>
      <c r="I101" s="4">
        <v>8.75</v>
      </c>
      <c r="J101" s="5" t="s">
        <v>20</v>
      </c>
      <c r="K101" s="5" t="s">
        <v>20</v>
      </c>
      <c r="L101" s="5">
        <v>2.73</v>
      </c>
      <c r="M101" s="5">
        <v>3.2</v>
      </c>
      <c r="N101" s="5">
        <v>0.53</v>
      </c>
      <c r="O101" s="6" t="s">
        <v>482</v>
      </c>
      <c r="P101" s="3" t="s">
        <v>24</v>
      </c>
      <c r="Q101" s="3" t="s">
        <v>470</v>
      </c>
      <c r="R101" s="8" t="str">
        <f>HYPERLINK("https://my.pitchbook.com?c=195860-71T","View Company Online")</f>
        <v>View Company Online</v>
      </c>
    </row>
    <row r="102" spans="1:18" x14ac:dyDescent="0.2">
      <c r="A102" s="9" t="s">
        <v>483</v>
      </c>
      <c r="B102" s="9" t="s">
        <v>484</v>
      </c>
      <c r="C102" s="11">
        <v>6.16</v>
      </c>
      <c r="D102" s="11">
        <v>3.17</v>
      </c>
      <c r="E102" s="9" t="s">
        <v>485</v>
      </c>
      <c r="F102" s="13">
        <v>43889</v>
      </c>
      <c r="G102" s="9" t="s">
        <v>22</v>
      </c>
      <c r="H102" s="12">
        <v>400</v>
      </c>
      <c r="I102" s="12">
        <v>400</v>
      </c>
      <c r="J102" s="11">
        <v>64.94</v>
      </c>
      <c r="K102" s="11">
        <v>6.16</v>
      </c>
      <c r="L102" s="11">
        <v>126.02</v>
      </c>
      <c r="M102" s="11">
        <v>3.17</v>
      </c>
      <c r="N102" s="11" t="s">
        <v>20</v>
      </c>
      <c r="O102" s="10" t="s">
        <v>486</v>
      </c>
      <c r="P102" s="9" t="s">
        <v>284</v>
      </c>
      <c r="Q102" s="9" t="s">
        <v>53</v>
      </c>
      <c r="R102" s="7" t="str">
        <f>HYPERLINK("https://my.pitchbook.com?c=130282-93T","View Company Online")</f>
        <v>View Company Online</v>
      </c>
    </row>
    <row r="103" spans="1:18" x14ac:dyDescent="0.2">
      <c r="A103" s="3" t="s">
        <v>487</v>
      </c>
      <c r="B103" s="3" t="s">
        <v>488</v>
      </c>
      <c r="C103" s="5">
        <v>9.42</v>
      </c>
      <c r="D103" s="5">
        <v>2.8</v>
      </c>
      <c r="E103" s="3" t="s">
        <v>489</v>
      </c>
      <c r="F103" s="1">
        <v>43956</v>
      </c>
      <c r="G103" s="3" t="s">
        <v>22</v>
      </c>
      <c r="H103" s="4">
        <v>7773.34</v>
      </c>
      <c r="I103" s="4">
        <v>7773.34</v>
      </c>
      <c r="J103" s="5">
        <v>751.86</v>
      </c>
      <c r="K103" s="5">
        <v>10.34</v>
      </c>
      <c r="L103" s="5">
        <v>2528.4499999999998</v>
      </c>
      <c r="M103" s="5">
        <v>3.07</v>
      </c>
      <c r="N103" s="5">
        <v>62.82</v>
      </c>
      <c r="O103" s="6" t="s">
        <v>490</v>
      </c>
      <c r="P103" s="3" t="s">
        <v>491</v>
      </c>
      <c r="Q103" s="3" t="s">
        <v>71</v>
      </c>
      <c r="R103" s="8" t="str">
        <f>HYPERLINK("https://my.pitchbook.com?c=124238-35T","View Company Online")</f>
        <v>View Company Online</v>
      </c>
    </row>
    <row r="104" spans="1:18" x14ac:dyDescent="0.2">
      <c r="A104" s="9" t="s">
        <v>492</v>
      </c>
      <c r="B104" s="9" t="s">
        <v>493</v>
      </c>
      <c r="C104" s="11" t="s">
        <v>20</v>
      </c>
      <c r="D104" s="11">
        <v>2.48</v>
      </c>
      <c r="E104" s="9" t="s">
        <v>494</v>
      </c>
      <c r="F104" s="13">
        <v>44753</v>
      </c>
      <c r="G104" s="9" t="s">
        <v>22</v>
      </c>
      <c r="H104" s="12">
        <v>355.9</v>
      </c>
      <c r="I104" s="12">
        <v>355.9</v>
      </c>
      <c r="J104" s="11">
        <v>-81.8</v>
      </c>
      <c r="K104" s="11">
        <v>-4.3499999999999996</v>
      </c>
      <c r="L104" s="11">
        <v>117.83</v>
      </c>
      <c r="M104" s="11">
        <v>3.02</v>
      </c>
      <c r="N104" s="11">
        <v>-87.83</v>
      </c>
      <c r="O104" s="10" t="s">
        <v>20</v>
      </c>
      <c r="P104" s="9" t="s">
        <v>24</v>
      </c>
      <c r="Q104" s="9" t="s">
        <v>239</v>
      </c>
      <c r="R104" s="7" t="str">
        <f>HYPERLINK("https://my.pitchbook.com?c=187212-52T","View Company Online")</f>
        <v>View Company Online</v>
      </c>
    </row>
    <row r="105" spans="1:18" x14ac:dyDescent="0.2">
      <c r="A105" s="3" t="s">
        <v>495</v>
      </c>
      <c r="B105" s="3" t="s">
        <v>496</v>
      </c>
      <c r="C105" s="5">
        <v>7.51</v>
      </c>
      <c r="D105" s="5">
        <v>2.87</v>
      </c>
      <c r="E105" s="3" t="s">
        <v>497</v>
      </c>
      <c r="F105" s="1">
        <v>45421</v>
      </c>
      <c r="G105" s="3" t="s">
        <v>103</v>
      </c>
      <c r="H105" s="4">
        <v>1100</v>
      </c>
      <c r="I105" s="4">
        <v>1100</v>
      </c>
      <c r="J105" s="5">
        <v>141.08000000000001</v>
      </c>
      <c r="K105" s="5">
        <v>7.8</v>
      </c>
      <c r="L105" s="5">
        <v>369.33</v>
      </c>
      <c r="M105" s="5">
        <v>2.98</v>
      </c>
      <c r="N105" s="5">
        <v>5.1100000000000003</v>
      </c>
      <c r="O105" s="6" t="s">
        <v>498</v>
      </c>
      <c r="P105" s="3" t="s">
        <v>491</v>
      </c>
      <c r="Q105" s="3" t="s">
        <v>423</v>
      </c>
      <c r="R105" s="8" t="str">
        <f>HYPERLINK("https://my.pitchbook.com?c=265805-56T","View Company Online")</f>
        <v>View Company Online</v>
      </c>
    </row>
    <row r="106" spans="1:18" x14ac:dyDescent="0.2">
      <c r="A106" s="9" t="s">
        <v>499</v>
      </c>
      <c r="B106" s="9" t="s">
        <v>500</v>
      </c>
      <c r="C106" s="11" t="s">
        <v>20</v>
      </c>
      <c r="D106" s="11">
        <v>2.92</v>
      </c>
      <c r="E106" s="9" t="s">
        <v>501</v>
      </c>
      <c r="F106" s="13">
        <v>43524</v>
      </c>
      <c r="G106" s="9" t="s">
        <v>22</v>
      </c>
      <c r="H106" s="12">
        <v>204.2</v>
      </c>
      <c r="I106" s="12">
        <v>204.2</v>
      </c>
      <c r="J106" s="11" t="s">
        <v>20</v>
      </c>
      <c r="K106" s="11" t="s">
        <v>20</v>
      </c>
      <c r="L106" s="11">
        <v>70</v>
      </c>
      <c r="M106" s="11">
        <v>2.92</v>
      </c>
      <c r="N106" s="11" t="s">
        <v>20</v>
      </c>
      <c r="O106" s="10" t="s">
        <v>502</v>
      </c>
      <c r="P106" s="9" t="s">
        <v>391</v>
      </c>
      <c r="Q106" s="9" t="s">
        <v>503</v>
      </c>
      <c r="R106" s="7" t="str">
        <f>HYPERLINK("https://my.pitchbook.com?c=116049-70T","View Company Online")</f>
        <v>View Company Online</v>
      </c>
    </row>
    <row r="107" spans="1:18" x14ac:dyDescent="0.2">
      <c r="A107" s="3" t="s">
        <v>504</v>
      </c>
      <c r="B107" s="3" t="s">
        <v>505</v>
      </c>
      <c r="C107" s="5" t="s">
        <v>20</v>
      </c>
      <c r="D107" s="5">
        <v>2.91</v>
      </c>
      <c r="E107" s="3" t="s">
        <v>506</v>
      </c>
      <c r="F107" s="1">
        <v>44540</v>
      </c>
      <c r="G107" s="3" t="s">
        <v>22</v>
      </c>
      <c r="H107" s="4">
        <v>45</v>
      </c>
      <c r="I107" s="4">
        <v>45</v>
      </c>
      <c r="J107" s="5" t="s">
        <v>20</v>
      </c>
      <c r="K107" s="5" t="s">
        <v>20</v>
      </c>
      <c r="L107" s="5">
        <v>15.44</v>
      </c>
      <c r="M107" s="5">
        <v>2.91</v>
      </c>
      <c r="N107" s="5" t="s">
        <v>20</v>
      </c>
      <c r="O107" s="6" t="s">
        <v>507</v>
      </c>
      <c r="P107" s="3" t="s">
        <v>76</v>
      </c>
      <c r="Q107" s="3" t="s">
        <v>133</v>
      </c>
      <c r="R107" s="8" t="str">
        <f>HYPERLINK("https://my.pitchbook.com?c=183724-39T","View Company Online")</f>
        <v>View Company Online</v>
      </c>
    </row>
    <row r="108" spans="1:18" x14ac:dyDescent="0.2">
      <c r="A108" s="9" t="s">
        <v>508</v>
      </c>
      <c r="B108" s="9" t="s">
        <v>509</v>
      </c>
      <c r="C108" s="11">
        <v>35.71</v>
      </c>
      <c r="D108" s="11">
        <v>2.79</v>
      </c>
      <c r="E108" s="9" t="s">
        <v>510</v>
      </c>
      <c r="F108" s="13">
        <v>44316</v>
      </c>
      <c r="G108" s="9" t="s">
        <v>22</v>
      </c>
      <c r="H108" s="12">
        <v>1135.5999999999999</v>
      </c>
      <c r="I108" s="12">
        <v>1135.5999999999999</v>
      </c>
      <c r="J108" s="11">
        <v>31.8</v>
      </c>
      <c r="K108" s="11">
        <v>35.71</v>
      </c>
      <c r="L108" s="11">
        <v>407.31</v>
      </c>
      <c r="M108" s="11">
        <v>2.79</v>
      </c>
      <c r="N108" s="11">
        <v>-159.44</v>
      </c>
      <c r="O108" s="10" t="s">
        <v>511</v>
      </c>
      <c r="P108" s="9" t="s">
        <v>46</v>
      </c>
      <c r="Q108" s="9" t="s">
        <v>512</v>
      </c>
      <c r="R108" s="7" t="str">
        <f>HYPERLINK("https://my.pitchbook.com?c=166305-88T","View Company Online")</f>
        <v>View Company Online</v>
      </c>
    </row>
    <row r="109" spans="1:18" x14ac:dyDescent="0.2">
      <c r="A109" s="3" t="s">
        <v>513</v>
      </c>
      <c r="B109" s="3" t="s">
        <v>514</v>
      </c>
      <c r="C109" s="5" t="s">
        <v>20</v>
      </c>
      <c r="D109" s="5">
        <v>2.6</v>
      </c>
      <c r="E109" s="3" t="s">
        <v>515</v>
      </c>
      <c r="F109" s="1">
        <v>43630</v>
      </c>
      <c r="G109" s="3" t="s">
        <v>22</v>
      </c>
      <c r="H109" s="4">
        <v>182</v>
      </c>
      <c r="I109" s="4">
        <v>182</v>
      </c>
      <c r="J109" s="5" t="s">
        <v>20</v>
      </c>
      <c r="K109" s="5" t="s">
        <v>20</v>
      </c>
      <c r="L109" s="5">
        <v>70</v>
      </c>
      <c r="M109" s="5">
        <v>2.6</v>
      </c>
      <c r="N109" s="5" t="s">
        <v>20</v>
      </c>
      <c r="O109" s="6" t="s">
        <v>516</v>
      </c>
      <c r="P109" s="3" t="s">
        <v>46</v>
      </c>
      <c r="Q109" s="3" t="s">
        <v>517</v>
      </c>
      <c r="R109" s="8" t="str">
        <f>HYPERLINK("https://my.pitchbook.com?c=119717-92T","View Company Online")</f>
        <v>View Company Online</v>
      </c>
    </row>
    <row r="110" spans="1:18" x14ac:dyDescent="0.2">
      <c r="A110" s="9" t="s">
        <v>518</v>
      </c>
      <c r="B110" s="9" t="s">
        <v>519</v>
      </c>
      <c r="C110" s="11" t="s">
        <v>20</v>
      </c>
      <c r="D110" s="11">
        <v>2.31</v>
      </c>
      <c r="E110" s="9" t="s">
        <v>520</v>
      </c>
      <c r="F110" s="13">
        <v>43999</v>
      </c>
      <c r="G110" s="9" t="s">
        <v>22</v>
      </c>
      <c r="H110" s="12">
        <v>83.1</v>
      </c>
      <c r="I110" s="12">
        <v>83.1</v>
      </c>
      <c r="J110" s="11" t="s">
        <v>20</v>
      </c>
      <c r="K110" s="11" t="s">
        <v>20</v>
      </c>
      <c r="L110" s="11">
        <v>33.479999999999997</v>
      </c>
      <c r="M110" s="11">
        <v>2.48</v>
      </c>
      <c r="N110" s="11">
        <v>3.92</v>
      </c>
      <c r="O110" s="10" t="s">
        <v>521</v>
      </c>
      <c r="P110" s="9" t="s">
        <v>64</v>
      </c>
      <c r="Q110" s="9" t="s">
        <v>522</v>
      </c>
      <c r="R110" s="7" t="str">
        <f>HYPERLINK("https://my.pitchbook.com?c=138307-78T","View Company Online")</f>
        <v>View Company Online</v>
      </c>
    </row>
    <row r="111" spans="1:18" x14ac:dyDescent="0.2">
      <c r="A111" s="3" t="s">
        <v>523</v>
      </c>
      <c r="B111" s="3" t="s">
        <v>524</v>
      </c>
      <c r="C111" s="5" t="s">
        <v>20</v>
      </c>
      <c r="D111" s="5">
        <v>2.4500000000000002</v>
      </c>
      <c r="E111" s="3" t="s">
        <v>525</v>
      </c>
      <c r="F111" s="1">
        <v>43333</v>
      </c>
      <c r="G111" s="3" t="s">
        <v>22</v>
      </c>
      <c r="H111" s="4">
        <v>134.78</v>
      </c>
      <c r="I111" s="4">
        <v>134.78</v>
      </c>
      <c r="J111" s="5" t="s">
        <v>20</v>
      </c>
      <c r="K111" s="5" t="s">
        <v>20</v>
      </c>
      <c r="L111" s="5">
        <v>55.1</v>
      </c>
      <c r="M111" s="5">
        <v>2.4500000000000002</v>
      </c>
      <c r="N111" s="5" t="s">
        <v>20</v>
      </c>
      <c r="O111" s="6" t="s">
        <v>526</v>
      </c>
      <c r="P111" s="3" t="s">
        <v>30</v>
      </c>
      <c r="Q111" s="3" t="s">
        <v>527</v>
      </c>
      <c r="R111" s="8" t="str">
        <f>HYPERLINK("https://my.pitchbook.com?c=109726-93T","View Company Online")</f>
        <v>View Company Online</v>
      </c>
    </row>
    <row r="112" spans="1:18" x14ac:dyDescent="0.2">
      <c r="A112" s="9" t="s">
        <v>528</v>
      </c>
      <c r="B112" s="9" t="s">
        <v>529</v>
      </c>
      <c r="C112" s="11" t="s">
        <v>20</v>
      </c>
      <c r="D112" s="11">
        <v>2.44</v>
      </c>
      <c r="E112" s="9" t="s">
        <v>530</v>
      </c>
      <c r="F112" s="13">
        <v>43180</v>
      </c>
      <c r="G112" s="9" t="s">
        <v>22</v>
      </c>
      <c r="H112" s="12">
        <v>0.59</v>
      </c>
      <c r="I112" s="12">
        <v>0.98</v>
      </c>
      <c r="J112" s="11" t="s">
        <v>20</v>
      </c>
      <c r="K112" s="11" t="s">
        <v>20</v>
      </c>
      <c r="L112" s="11">
        <v>0.4</v>
      </c>
      <c r="M112" s="11">
        <v>2.44</v>
      </c>
      <c r="N112" s="11" t="s">
        <v>20</v>
      </c>
      <c r="O112" s="10" t="s">
        <v>531</v>
      </c>
      <c r="P112" s="9" t="s">
        <v>284</v>
      </c>
      <c r="Q112" s="9" t="s">
        <v>83</v>
      </c>
      <c r="R112" s="7" t="str">
        <f>HYPERLINK("https://my.pitchbook.com?c=100648-81T","View Company Online")</f>
        <v>View Company Online</v>
      </c>
    </row>
    <row r="113" spans="1:18" x14ac:dyDescent="0.2">
      <c r="A113" s="3" t="s">
        <v>532</v>
      </c>
      <c r="B113" s="3" t="s">
        <v>533</v>
      </c>
      <c r="C113" s="5" t="s">
        <v>20</v>
      </c>
      <c r="D113" s="5">
        <v>2.4300000000000002</v>
      </c>
      <c r="E113" s="3" t="s">
        <v>534</v>
      </c>
      <c r="F113" s="1">
        <v>43348</v>
      </c>
      <c r="G113" s="3" t="s">
        <v>22</v>
      </c>
      <c r="H113" s="4">
        <v>4.21</v>
      </c>
      <c r="I113" s="4">
        <v>4.21</v>
      </c>
      <c r="J113" s="5" t="s">
        <v>20</v>
      </c>
      <c r="K113" s="5" t="s">
        <v>20</v>
      </c>
      <c r="L113" s="5">
        <v>1.73</v>
      </c>
      <c r="M113" s="5">
        <v>2.4300000000000002</v>
      </c>
      <c r="N113" s="5" t="s">
        <v>20</v>
      </c>
      <c r="O113" s="6" t="s">
        <v>535</v>
      </c>
      <c r="P113" s="3" t="s">
        <v>536</v>
      </c>
      <c r="Q113" s="3" t="s">
        <v>263</v>
      </c>
      <c r="R113" s="8" t="str">
        <f>HYPERLINK("https://my.pitchbook.com?c=103968-01T","View Company Online")</f>
        <v>View Company Online</v>
      </c>
    </row>
    <row r="114" spans="1:18" x14ac:dyDescent="0.2">
      <c r="A114" s="9" t="s">
        <v>537</v>
      </c>
      <c r="B114" s="9" t="s">
        <v>538</v>
      </c>
      <c r="C114" s="11" t="s">
        <v>20</v>
      </c>
      <c r="D114" s="11">
        <v>2.2400000000000002</v>
      </c>
      <c r="E114" s="9" t="s">
        <v>539</v>
      </c>
      <c r="F114" s="13">
        <v>44925</v>
      </c>
      <c r="G114" s="9" t="s">
        <v>22</v>
      </c>
      <c r="H114" s="12">
        <v>559</v>
      </c>
      <c r="I114" s="12">
        <v>559</v>
      </c>
      <c r="J114" s="11" t="s">
        <v>20</v>
      </c>
      <c r="K114" s="11" t="s">
        <v>20</v>
      </c>
      <c r="L114" s="11">
        <v>250</v>
      </c>
      <c r="M114" s="11">
        <v>2.2400000000000002</v>
      </c>
      <c r="N114" s="11" t="s">
        <v>20</v>
      </c>
      <c r="O114" s="10" t="s">
        <v>540</v>
      </c>
      <c r="P114" s="9" t="s">
        <v>541</v>
      </c>
      <c r="Q114" s="9" t="s">
        <v>133</v>
      </c>
      <c r="R114" s="7" t="str">
        <f>HYPERLINK("https://my.pitchbook.com?c=207387-10T","View Company Online")</f>
        <v>View Company Online</v>
      </c>
    </row>
    <row r="115" spans="1:18" x14ac:dyDescent="0.2">
      <c r="A115" s="3" t="s">
        <v>542</v>
      </c>
      <c r="B115" s="3" t="s">
        <v>543</v>
      </c>
      <c r="C115" s="5" t="s">
        <v>20</v>
      </c>
      <c r="D115" s="5">
        <v>2.2400000000000002</v>
      </c>
      <c r="E115" s="3" t="s">
        <v>544</v>
      </c>
      <c r="F115" s="1">
        <v>44546</v>
      </c>
      <c r="G115" s="3" t="s">
        <v>22</v>
      </c>
      <c r="H115" s="4">
        <v>1118</v>
      </c>
      <c r="I115" s="4">
        <v>1346.98</v>
      </c>
      <c r="J115" s="5" t="s">
        <v>20</v>
      </c>
      <c r="K115" s="5" t="s">
        <v>20</v>
      </c>
      <c r="L115" s="5">
        <v>600</v>
      </c>
      <c r="M115" s="5">
        <v>2.2400000000000002</v>
      </c>
      <c r="N115" s="5" t="s">
        <v>20</v>
      </c>
      <c r="O115" s="6" t="s">
        <v>545</v>
      </c>
      <c r="P115" s="3" t="s">
        <v>24</v>
      </c>
      <c r="Q115" s="3" t="s">
        <v>105</v>
      </c>
      <c r="R115" s="8" t="str">
        <f>HYPERLINK("https://my.pitchbook.com?c=182674-00T","View Company Online")</f>
        <v>View Company Online</v>
      </c>
    </row>
    <row r="116" spans="1:18" x14ac:dyDescent="0.2">
      <c r="A116" s="9" t="s">
        <v>546</v>
      </c>
      <c r="B116" s="9" t="s">
        <v>547</v>
      </c>
      <c r="C116" s="11" t="s">
        <v>20</v>
      </c>
      <c r="D116" s="11">
        <v>2.13</v>
      </c>
      <c r="E116" s="9" t="s">
        <v>548</v>
      </c>
      <c r="F116" s="13">
        <v>45689</v>
      </c>
      <c r="G116" s="9" t="s">
        <v>22</v>
      </c>
      <c r="H116" s="12">
        <v>490</v>
      </c>
      <c r="I116" s="12">
        <v>490</v>
      </c>
      <c r="J116" s="11" t="s">
        <v>20</v>
      </c>
      <c r="K116" s="11" t="s">
        <v>20</v>
      </c>
      <c r="L116" s="11">
        <v>230</v>
      </c>
      <c r="M116" s="11">
        <v>2.13</v>
      </c>
      <c r="N116" s="11" t="s">
        <v>20</v>
      </c>
      <c r="O116" s="10" t="s">
        <v>549</v>
      </c>
      <c r="P116" s="9" t="s">
        <v>550</v>
      </c>
      <c r="Q116" s="9" t="s">
        <v>59</v>
      </c>
      <c r="R116" s="7" t="str">
        <f>HYPERLINK("https://my.pitchbook.com?c=278491-87T","View Company Online")</f>
        <v>View Company Online</v>
      </c>
    </row>
    <row r="117" spans="1:18" x14ac:dyDescent="0.2">
      <c r="A117" s="3" t="s">
        <v>551</v>
      </c>
      <c r="B117" s="3" t="s">
        <v>552</v>
      </c>
      <c r="C117" s="5" t="s">
        <v>20</v>
      </c>
      <c r="D117" s="5">
        <v>2.0499999999999998</v>
      </c>
      <c r="E117" s="3" t="s">
        <v>553</v>
      </c>
      <c r="F117" s="1">
        <v>43691</v>
      </c>
      <c r="G117" s="3" t="s">
        <v>22</v>
      </c>
      <c r="H117" s="4">
        <v>65</v>
      </c>
      <c r="I117" s="4">
        <v>65</v>
      </c>
      <c r="J117" s="5" t="s">
        <v>20</v>
      </c>
      <c r="K117" s="5" t="s">
        <v>20</v>
      </c>
      <c r="L117" s="5">
        <v>31.68</v>
      </c>
      <c r="M117" s="5">
        <v>2.0499999999999998</v>
      </c>
      <c r="N117" s="5">
        <v>5.79</v>
      </c>
      <c r="O117" s="6" t="s">
        <v>40</v>
      </c>
      <c r="P117" s="3" t="s">
        <v>24</v>
      </c>
      <c r="Q117" s="3" t="s">
        <v>554</v>
      </c>
      <c r="R117" s="8" t="str">
        <f>HYPERLINK("https://my.pitchbook.com?c=122111-92T","View Company Online")</f>
        <v>View Company Online</v>
      </c>
    </row>
    <row r="118" spans="1:18" x14ac:dyDescent="0.2">
      <c r="A118" s="9" t="s">
        <v>555</v>
      </c>
      <c r="B118" s="9" t="s">
        <v>556</v>
      </c>
      <c r="C118" s="11" t="s">
        <v>20</v>
      </c>
      <c r="D118" s="11">
        <v>2</v>
      </c>
      <c r="E118" s="9" t="s">
        <v>557</v>
      </c>
      <c r="F118" s="13">
        <v>44927</v>
      </c>
      <c r="G118" s="9" t="s">
        <v>22</v>
      </c>
      <c r="H118" s="12">
        <v>2</v>
      </c>
      <c r="I118" s="12">
        <v>2</v>
      </c>
      <c r="J118" s="11" t="s">
        <v>20</v>
      </c>
      <c r="K118" s="11" t="s">
        <v>20</v>
      </c>
      <c r="L118" s="11">
        <v>1</v>
      </c>
      <c r="M118" s="11">
        <v>2</v>
      </c>
      <c r="N118" s="11" t="s">
        <v>20</v>
      </c>
      <c r="O118" s="10" t="s">
        <v>558</v>
      </c>
      <c r="P118" s="9" t="s">
        <v>110</v>
      </c>
      <c r="Q118" s="9" t="s">
        <v>559</v>
      </c>
      <c r="R118" s="7" t="str">
        <f>HYPERLINK("https://my.pitchbook.com?c=210389-95T","View Company Online")</f>
        <v>View Company Online</v>
      </c>
    </row>
    <row r="119" spans="1:18" x14ac:dyDescent="0.2">
      <c r="A119" s="3" t="s">
        <v>560</v>
      </c>
      <c r="B119" s="3" t="s">
        <v>561</v>
      </c>
      <c r="C119" s="5" t="s">
        <v>20</v>
      </c>
      <c r="D119" s="5">
        <v>2</v>
      </c>
      <c r="E119" s="3" t="s">
        <v>562</v>
      </c>
      <c r="F119" s="1">
        <v>45777</v>
      </c>
      <c r="G119" s="3" t="s">
        <v>22</v>
      </c>
      <c r="H119" s="4">
        <v>30</v>
      </c>
      <c r="I119" s="4">
        <v>30</v>
      </c>
      <c r="J119" s="5" t="s">
        <v>20</v>
      </c>
      <c r="K119" s="5" t="s">
        <v>20</v>
      </c>
      <c r="L119" s="5">
        <v>15</v>
      </c>
      <c r="M119" s="5">
        <v>2</v>
      </c>
      <c r="N119" s="5" t="s">
        <v>20</v>
      </c>
      <c r="O119" s="6" t="s">
        <v>563</v>
      </c>
      <c r="P119" s="3" t="s">
        <v>187</v>
      </c>
      <c r="Q119" s="3" t="s">
        <v>133</v>
      </c>
      <c r="R119" s="8" t="str">
        <f>HYPERLINK("https://my.pitchbook.com?c=293714-65T","View Company Online")</f>
        <v>View Company Online</v>
      </c>
    </row>
    <row r="120" spans="1:18" x14ac:dyDescent="0.2">
      <c r="A120" s="9" t="s">
        <v>564</v>
      </c>
      <c r="B120" s="9" t="s">
        <v>565</v>
      </c>
      <c r="C120" s="11">
        <v>14.97</v>
      </c>
      <c r="D120" s="11">
        <v>1.63</v>
      </c>
      <c r="E120" s="9" t="s">
        <v>566</v>
      </c>
      <c r="F120" s="13">
        <v>45757</v>
      </c>
      <c r="G120" s="9" t="s">
        <v>22</v>
      </c>
      <c r="H120" s="12">
        <v>1081.75</v>
      </c>
      <c r="I120" s="12">
        <v>1081.75</v>
      </c>
      <c r="J120" s="11">
        <v>59.4</v>
      </c>
      <c r="K120" s="11">
        <v>18.21</v>
      </c>
      <c r="L120" s="11">
        <v>545.91</v>
      </c>
      <c r="M120" s="11">
        <v>1.98</v>
      </c>
      <c r="N120" s="11">
        <v>9.15</v>
      </c>
      <c r="O120" s="10" t="s">
        <v>567</v>
      </c>
      <c r="P120" s="9" t="s">
        <v>24</v>
      </c>
      <c r="Q120" s="9" t="s">
        <v>133</v>
      </c>
      <c r="R120" s="7" t="str">
        <f>HYPERLINK("https://my.pitchbook.com?c=279600-13T","View Company Online")</f>
        <v>View Company Online</v>
      </c>
    </row>
    <row r="121" spans="1:18" x14ac:dyDescent="0.2">
      <c r="A121" s="3" t="s">
        <v>568</v>
      </c>
      <c r="B121" s="3" t="s">
        <v>569</v>
      </c>
      <c r="C121" s="5">
        <v>13.09</v>
      </c>
      <c r="D121" s="5">
        <v>1.44</v>
      </c>
      <c r="E121" s="3" t="s">
        <v>570</v>
      </c>
      <c r="F121" s="1">
        <v>43525</v>
      </c>
      <c r="G121" s="3" t="s">
        <v>22</v>
      </c>
      <c r="H121" s="4">
        <v>1000</v>
      </c>
      <c r="I121" s="4">
        <v>1000</v>
      </c>
      <c r="J121" s="5">
        <v>55.91</v>
      </c>
      <c r="K121" s="5">
        <v>17.89</v>
      </c>
      <c r="L121" s="5">
        <v>509.48</v>
      </c>
      <c r="M121" s="5">
        <v>1.96</v>
      </c>
      <c r="N121" s="5">
        <v>0.69</v>
      </c>
      <c r="O121" s="6" t="s">
        <v>571</v>
      </c>
      <c r="P121" s="3" t="s">
        <v>572</v>
      </c>
      <c r="Q121" s="3" t="s">
        <v>133</v>
      </c>
      <c r="R121" s="8" t="str">
        <f>HYPERLINK("https://my.pitchbook.com?c=112539-70T","View Company Online")</f>
        <v>View Company Online</v>
      </c>
    </row>
    <row r="122" spans="1:18" x14ac:dyDescent="0.2">
      <c r="A122" s="9" t="s">
        <v>573</v>
      </c>
      <c r="B122" s="9" t="s">
        <v>574</v>
      </c>
      <c r="C122" s="11">
        <v>12.93</v>
      </c>
      <c r="D122" s="11">
        <v>1.95</v>
      </c>
      <c r="E122" s="9" t="s">
        <v>575</v>
      </c>
      <c r="F122" s="13">
        <v>44225</v>
      </c>
      <c r="G122" s="9" t="s">
        <v>22</v>
      </c>
      <c r="H122" s="12">
        <v>150</v>
      </c>
      <c r="I122" s="12">
        <v>150</v>
      </c>
      <c r="J122" s="11">
        <v>11.6</v>
      </c>
      <c r="K122" s="11">
        <v>12.93</v>
      </c>
      <c r="L122" s="11">
        <v>76.8</v>
      </c>
      <c r="M122" s="11">
        <v>1.95</v>
      </c>
      <c r="N122" s="11" t="s">
        <v>20</v>
      </c>
      <c r="O122" s="10" t="s">
        <v>486</v>
      </c>
      <c r="P122" s="9" t="s">
        <v>284</v>
      </c>
      <c r="Q122" s="9" t="s">
        <v>83</v>
      </c>
      <c r="R122" s="7" t="str">
        <f>HYPERLINK("https://my.pitchbook.com?c=163964-08T","View Company Online")</f>
        <v>View Company Online</v>
      </c>
    </row>
    <row r="123" spans="1:18" x14ac:dyDescent="0.2">
      <c r="A123" s="3" t="s">
        <v>576</v>
      </c>
      <c r="B123" s="3" t="s">
        <v>577</v>
      </c>
      <c r="C123" s="5">
        <v>26.66</v>
      </c>
      <c r="D123" s="5">
        <v>1.84</v>
      </c>
      <c r="E123" s="3" t="s">
        <v>578</v>
      </c>
      <c r="F123" s="1">
        <v>44802</v>
      </c>
      <c r="G123" s="3" t="s">
        <v>22</v>
      </c>
      <c r="H123" s="4">
        <v>3239</v>
      </c>
      <c r="I123" s="4">
        <v>3239</v>
      </c>
      <c r="J123" s="5">
        <v>114.63</v>
      </c>
      <c r="K123" s="5">
        <v>28.26</v>
      </c>
      <c r="L123" s="5">
        <v>1665.53</v>
      </c>
      <c r="M123" s="5">
        <v>1.94</v>
      </c>
      <c r="N123" s="5">
        <v>21.64</v>
      </c>
      <c r="O123" s="6" t="s">
        <v>579</v>
      </c>
      <c r="P123" s="3" t="s">
        <v>30</v>
      </c>
      <c r="Q123" s="3" t="s">
        <v>580</v>
      </c>
      <c r="R123" s="8" t="str">
        <f>HYPERLINK("https://my.pitchbook.com?c=191082-25T","View Company Online")</f>
        <v>View Company Online</v>
      </c>
    </row>
    <row r="124" spans="1:18" x14ac:dyDescent="0.2">
      <c r="A124" s="9" t="s">
        <v>581</v>
      </c>
      <c r="B124" s="9" t="s">
        <v>582</v>
      </c>
      <c r="C124" s="11">
        <v>581.59</v>
      </c>
      <c r="D124" s="11">
        <v>1.75</v>
      </c>
      <c r="E124" s="9" t="s">
        <v>583</v>
      </c>
      <c r="F124" s="13">
        <v>44938</v>
      </c>
      <c r="G124" s="9" t="s">
        <v>22</v>
      </c>
      <c r="H124" s="12">
        <v>1309</v>
      </c>
      <c r="I124" s="12">
        <v>1309</v>
      </c>
      <c r="J124" s="11">
        <v>2.0299999999999998</v>
      </c>
      <c r="K124" s="11">
        <v>643.55999999999995</v>
      </c>
      <c r="L124" s="11">
        <v>676.88</v>
      </c>
      <c r="M124" s="11">
        <v>1.93</v>
      </c>
      <c r="N124" s="11">
        <v>-21.57</v>
      </c>
      <c r="O124" s="10" t="s">
        <v>584</v>
      </c>
      <c r="P124" s="9" t="s">
        <v>585</v>
      </c>
      <c r="Q124" s="9" t="s">
        <v>586</v>
      </c>
      <c r="R124" s="7" t="str">
        <f>HYPERLINK("https://my.pitchbook.com?c=200814-67T","View Company Online")</f>
        <v>View Company Online</v>
      </c>
    </row>
    <row r="125" spans="1:18" x14ac:dyDescent="0.2">
      <c r="A125" s="3" t="s">
        <v>587</v>
      </c>
      <c r="B125" s="3" t="s">
        <v>588</v>
      </c>
      <c r="C125" s="5" t="s">
        <v>20</v>
      </c>
      <c r="D125" s="5">
        <v>1.9</v>
      </c>
      <c r="E125" s="3" t="s">
        <v>589</v>
      </c>
      <c r="F125" s="1">
        <v>43783</v>
      </c>
      <c r="G125" s="3" t="s">
        <v>103</v>
      </c>
      <c r="H125" s="4">
        <v>28.5</v>
      </c>
      <c r="I125" s="4">
        <v>28.5</v>
      </c>
      <c r="J125" s="5" t="s">
        <v>20</v>
      </c>
      <c r="K125" s="5" t="s">
        <v>20</v>
      </c>
      <c r="L125" s="5">
        <v>15</v>
      </c>
      <c r="M125" s="5">
        <v>1.9</v>
      </c>
      <c r="N125" s="5" t="s">
        <v>20</v>
      </c>
      <c r="O125" s="6" t="s">
        <v>590</v>
      </c>
      <c r="P125" s="3" t="s">
        <v>64</v>
      </c>
      <c r="Q125" s="3" t="s">
        <v>591</v>
      </c>
      <c r="R125" s="8" t="str">
        <f>HYPERLINK("https://my.pitchbook.com?c=157143-61T","View Company Online")</f>
        <v>View Company Online</v>
      </c>
    </row>
    <row r="126" spans="1:18" x14ac:dyDescent="0.2">
      <c r="A126" s="9" t="s">
        <v>592</v>
      </c>
      <c r="B126" s="9" t="s">
        <v>593</v>
      </c>
      <c r="C126" s="11">
        <v>12.59</v>
      </c>
      <c r="D126" s="11">
        <v>1.89</v>
      </c>
      <c r="E126" s="9" t="s">
        <v>594</v>
      </c>
      <c r="F126" s="13">
        <v>44287</v>
      </c>
      <c r="G126" s="9" t="s">
        <v>22</v>
      </c>
      <c r="H126" s="12">
        <v>3400</v>
      </c>
      <c r="I126" s="12">
        <v>3400</v>
      </c>
      <c r="J126" s="11">
        <v>270</v>
      </c>
      <c r="K126" s="11">
        <v>12.59</v>
      </c>
      <c r="L126" s="11">
        <v>1800</v>
      </c>
      <c r="M126" s="11">
        <v>1.89</v>
      </c>
      <c r="N126" s="11" t="s">
        <v>20</v>
      </c>
      <c r="O126" s="10" t="s">
        <v>595</v>
      </c>
      <c r="P126" s="9" t="s">
        <v>596</v>
      </c>
      <c r="Q126" s="9" t="s">
        <v>597</v>
      </c>
      <c r="R126" s="7" t="str">
        <f>HYPERLINK("https://my.pitchbook.com?c=159650-11T","View Company Online")</f>
        <v>View Company Online</v>
      </c>
    </row>
    <row r="127" spans="1:18" x14ac:dyDescent="0.2">
      <c r="A127" s="3" t="s">
        <v>598</v>
      </c>
      <c r="B127" s="3" t="s">
        <v>599</v>
      </c>
      <c r="C127" s="5">
        <v>21.04</v>
      </c>
      <c r="D127" s="5">
        <v>1.67</v>
      </c>
      <c r="E127" s="3" t="s">
        <v>600</v>
      </c>
      <c r="F127" s="1">
        <v>44256</v>
      </c>
      <c r="G127" s="3" t="s">
        <v>22</v>
      </c>
      <c r="H127" s="4">
        <v>25.6</v>
      </c>
      <c r="I127" s="4">
        <v>25.6</v>
      </c>
      <c r="J127" s="5">
        <v>1.1000000000000001</v>
      </c>
      <c r="K127" s="5">
        <v>23.3</v>
      </c>
      <c r="L127" s="5">
        <v>13.87</v>
      </c>
      <c r="M127" s="5">
        <v>1.85</v>
      </c>
      <c r="N127" s="5">
        <v>0.74</v>
      </c>
      <c r="O127" s="6" t="s">
        <v>601</v>
      </c>
      <c r="P127" s="3" t="s">
        <v>58</v>
      </c>
      <c r="Q127" s="3" t="s">
        <v>99</v>
      </c>
      <c r="R127" s="8" t="str">
        <f>HYPERLINK("https://my.pitchbook.com?c=160674-85T","View Company Online")</f>
        <v>View Company Online</v>
      </c>
    </row>
    <row r="128" spans="1:18" x14ac:dyDescent="0.2">
      <c r="A128" s="9" t="s">
        <v>602</v>
      </c>
      <c r="B128" s="9" t="s">
        <v>603</v>
      </c>
      <c r="C128" s="11" t="s">
        <v>20</v>
      </c>
      <c r="D128" s="11">
        <v>1.75</v>
      </c>
      <c r="E128" s="9" t="s">
        <v>604</v>
      </c>
      <c r="F128" s="13">
        <v>43361</v>
      </c>
      <c r="G128" s="9" t="s">
        <v>103</v>
      </c>
      <c r="H128" s="12">
        <v>40.58</v>
      </c>
      <c r="I128" s="12">
        <v>40.58</v>
      </c>
      <c r="J128" s="11" t="s">
        <v>20</v>
      </c>
      <c r="K128" s="11" t="s">
        <v>20</v>
      </c>
      <c r="L128" s="11">
        <v>23.14</v>
      </c>
      <c r="M128" s="11">
        <v>1.75</v>
      </c>
      <c r="N128" s="11" t="s">
        <v>20</v>
      </c>
      <c r="O128" s="10" t="s">
        <v>605</v>
      </c>
      <c r="P128" s="9" t="s">
        <v>46</v>
      </c>
      <c r="Q128" s="9" t="s">
        <v>71</v>
      </c>
      <c r="R128" s="7" t="str">
        <f>HYPERLINK("https://my.pitchbook.com?c=111861-46T","View Company Online")</f>
        <v>View Company Online</v>
      </c>
    </row>
    <row r="129" spans="1:18" x14ac:dyDescent="0.2">
      <c r="A129" s="3" t="s">
        <v>606</v>
      </c>
      <c r="B129" s="3" t="s">
        <v>607</v>
      </c>
      <c r="C129" s="5" t="s">
        <v>20</v>
      </c>
      <c r="D129" s="5">
        <v>1.66</v>
      </c>
      <c r="E129" s="3" t="s">
        <v>608</v>
      </c>
      <c r="F129" s="1">
        <v>43732</v>
      </c>
      <c r="G129" s="3" t="s">
        <v>22</v>
      </c>
      <c r="H129" s="4">
        <v>3.66</v>
      </c>
      <c r="I129" s="4">
        <v>3.66</v>
      </c>
      <c r="J129" s="5">
        <v>-0.16</v>
      </c>
      <c r="K129" s="5">
        <v>-22.18</v>
      </c>
      <c r="L129" s="5">
        <v>2.11</v>
      </c>
      <c r="M129" s="5">
        <v>1.73</v>
      </c>
      <c r="N129" s="5">
        <v>-2.2999999999999998</v>
      </c>
      <c r="O129" s="6" t="s">
        <v>609</v>
      </c>
      <c r="P129" s="3" t="s">
        <v>46</v>
      </c>
      <c r="Q129" s="3" t="s">
        <v>133</v>
      </c>
      <c r="R129" s="8" t="str">
        <f>HYPERLINK("https://my.pitchbook.com?c=130432-42T","View Company Online")</f>
        <v>View Company Online</v>
      </c>
    </row>
    <row r="130" spans="1:18" x14ac:dyDescent="0.2">
      <c r="A130" s="9" t="s">
        <v>610</v>
      </c>
      <c r="B130" s="9" t="s">
        <v>611</v>
      </c>
      <c r="C130" s="11">
        <v>26.75</v>
      </c>
      <c r="D130" s="11">
        <v>1.69</v>
      </c>
      <c r="E130" s="9" t="s">
        <v>612</v>
      </c>
      <c r="F130" s="13">
        <v>43794</v>
      </c>
      <c r="G130" s="9" t="s">
        <v>22</v>
      </c>
      <c r="H130" s="12">
        <v>21.4</v>
      </c>
      <c r="I130" s="12">
        <v>21.4</v>
      </c>
      <c r="J130" s="11">
        <v>0.8</v>
      </c>
      <c r="K130" s="11">
        <v>26.75</v>
      </c>
      <c r="L130" s="11">
        <v>12.7</v>
      </c>
      <c r="M130" s="11">
        <v>1.69</v>
      </c>
      <c r="N130" s="11" t="s">
        <v>20</v>
      </c>
      <c r="O130" s="10" t="s">
        <v>613</v>
      </c>
      <c r="P130" s="9" t="s">
        <v>110</v>
      </c>
      <c r="Q130" s="9" t="s">
        <v>133</v>
      </c>
      <c r="R130" s="7" t="str">
        <f>HYPERLINK("https://my.pitchbook.com?c=126968-32T","View Company Online")</f>
        <v>View Company Online</v>
      </c>
    </row>
    <row r="131" spans="1:18" x14ac:dyDescent="0.2">
      <c r="A131" s="3" t="s">
        <v>614</v>
      </c>
      <c r="B131" s="3" t="s">
        <v>615</v>
      </c>
      <c r="C131" s="5" t="s">
        <v>20</v>
      </c>
      <c r="D131" s="5">
        <v>1.68</v>
      </c>
      <c r="E131" s="3" t="s">
        <v>616</v>
      </c>
      <c r="F131" s="1">
        <v>44559</v>
      </c>
      <c r="G131" s="3" t="s">
        <v>22</v>
      </c>
      <c r="H131" s="4">
        <v>84.1</v>
      </c>
      <c r="I131" s="4">
        <v>84.1</v>
      </c>
      <c r="J131" s="5" t="s">
        <v>20</v>
      </c>
      <c r="K131" s="5" t="s">
        <v>20</v>
      </c>
      <c r="L131" s="5">
        <v>50</v>
      </c>
      <c r="M131" s="5">
        <v>1.68</v>
      </c>
      <c r="N131" s="5" t="s">
        <v>20</v>
      </c>
      <c r="O131" s="6" t="s">
        <v>617</v>
      </c>
      <c r="P131" s="3" t="s">
        <v>618</v>
      </c>
      <c r="Q131" s="3" t="s">
        <v>263</v>
      </c>
      <c r="R131" s="8" t="str">
        <f>HYPERLINK("https://my.pitchbook.com?c=185992-21T","View Company Online")</f>
        <v>View Company Online</v>
      </c>
    </row>
    <row r="132" spans="1:18" x14ac:dyDescent="0.2">
      <c r="A132" s="9" t="s">
        <v>619</v>
      </c>
      <c r="B132" s="9" t="s">
        <v>620</v>
      </c>
      <c r="C132" s="11" t="s">
        <v>20</v>
      </c>
      <c r="D132" s="11">
        <v>1.43</v>
      </c>
      <c r="E132" s="9" t="s">
        <v>621</v>
      </c>
      <c r="F132" s="13">
        <v>45643</v>
      </c>
      <c r="G132" s="9" t="s">
        <v>103</v>
      </c>
      <c r="H132" s="12">
        <v>118.06</v>
      </c>
      <c r="I132" s="12">
        <v>118.06</v>
      </c>
      <c r="J132" s="11">
        <v>-40.869999999999997</v>
      </c>
      <c r="K132" s="11">
        <v>-2.89</v>
      </c>
      <c r="L132" s="11">
        <v>71.17</v>
      </c>
      <c r="M132" s="11">
        <v>1.66</v>
      </c>
      <c r="N132" s="11">
        <v>-44.42</v>
      </c>
      <c r="O132" s="10" t="s">
        <v>622</v>
      </c>
      <c r="P132" s="9" t="s">
        <v>110</v>
      </c>
      <c r="Q132" s="9" t="s">
        <v>517</v>
      </c>
      <c r="R132" s="7" t="str">
        <f>HYPERLINK("https://my.pitchbook.com?c=279262-99T","View Company Online")</f>
        <v>View Company Online</v>
      </c>
    </row>
    <row r="133" spans="1:18" x14ac:dyDescent="0.2">
      <c r="A133" s="3" t="s">
        <v>623</v>
      </c>
      <c r="B133" s="3" t="s">
        <v>624</v>
      </c>
      <c r="C133" s="5" t="s">
        <v>20</v>
      </c>
      <c r="D133" s="5">
        <v>1.58</v>
      </c>
      <c r="E133" s="3" t="s">
        <v>625</v>
      </c>
      <c r="F133" s="1">
        <v>45733</v>
      </c>
      <c r="G133" s="3" t="s">
        <v>22</v>
      </c>
      <c r="H133" s="4">
        <v>125</v>
      </c>
      <c r="I133" s="4">
        <v>125</v>
      </c>
      <c r="J133" s="5">
        <v>-13.27</v>
      </c>
      <c r="K133" s="5">
        <v>-9.42</v>
      </c>
      <c r="L133" s="5">
        <v>76.39</v>
      </c>
      <c r="M133" s="5">
        <v>1.64</v>
      </c>
      <c r="N133" s="5">
        <v>-49.9</v>
      </c>
      <c r="O133" s="6" t="s">
        <v>626</v>
      </c>
      <c r="P133" s="3" t="s">
        <v>627</v>
      </c>
      <c r="Q133" s="3" t="s">
        <v>628</v>
      </c>
      <c r="R133" s="8" t="str">
        <f>HYPERLINK("https://my.pitchbook.com?c=258349-87T","View Company Online")</f>
        <v>View Company Online</v>
      </c>
    </row>
    <row r="134" spans="1:18" x14ac:dyDescent="0.2">
      <c r="A134" s="9" t="s">
        <v>629</v>
      </c>
      <c r="B134" s="9" t="s">
        <v>630</v>
      </c>
      <c r="C134" s="11" t="s">
        <v>20</v>
      </c>
      <c r="D134" s="11">
        <v>1.6</v>
      </c>
      <c r="E134" s="9" t="s">
        <v>631</v>
      </c>
      <c r="F134" s="13">
        <v>43328</v>
      </c>
      <c r="G134" s="9" t="s">
        <v>22</v>
      </c>
      <c r="H134" s="12">
        <v>93</v>
      </c>
      <c r="I134" s="12">
        <v>93</v>
      </c>
      <c r="J134" s="11" t="s">
        <v>20</v>
      </c>
      <c r="K134" s="11" t="s">
        <v>20</v>
      </c>
      <c r="L134" s="11">
        <v>58</v>
      </c>
      <c r="M134" s="11">
        <v>1.6</v>
      </c>
      <c r="N134" s="11" t="s">
        <v>20</v>
      </c>
      <c r="O134" s="10" t="s">
        <v>632</v>
      </c>
      <c r="P134" s="9" t="s">
        <v>76</v>
      </c>
      <c r="Q134" s="9" t="s">
        <v>263</v>
      </c>
      <c r="R134" s="7" t="str">
        <f>HYPERLINK("https://my.pitchbook.com?c=110521-27T","View Company Online")</f>
        <v>View Company Online</v>
      </c>
    </row>
    <row r="135" spans="1:18" x14ac:dyDescent="0.2">
      <c r="A135" s="3" t="s">
        <v>633</v>
      </c>
      <c r="B135" s="3" t="s">
        <v>634</v>
      </c>
      <c r="C135" s="5" t="s">
        <v>20</v>
      </c>
      <c r="D135" s="5">
        <v>1.47</v>
      </c>
      <c r="E135" s="3" t="s">
        <v>635</v>
      </c>
      <c r="F135" s="1">
        <v>45412</v>
      </c>
      <c r="G135" s="3" t="s">
        <v>22</v>
      </c>
      <c r="H135" s="4">
        <v>3100</v>
      </c>
      <c r="I135" s="4">
        <v>3100</v>
      </c>
      <c r="J135" s="5" t="s">
        <v>20</v>
      </c>
      <c r="K135" s="5" t="s">
        <v>20</v>
      </c>
      <c r="L135" s="5">
        <v>2104.4699999999998</v>
      </c>
      <c r="M135" s="5">
        <v>1.47</v>
      </c>
      <c r="N135" s="5">
        <v>821.47</v>
      </c>
      <c r="O135" s="6" t="s">
        <v>636</v>
      </c>
      <c r="P135" s="3" t="s">
        <v>249</v>
      </c>
      <c r="Q135" s="3" t="s">
        <v>637</v>
      </c>
      <c r="R135" s="8" t="str">
        <f>HYPERLINK("https://my.pitchbook.com?c=201075-13T","View Company Online")</f>
        <v>View Company Online</v>
      </c>
    </row>
    <row r="136" spans="1:18" x14ac:dyDescent="0.2">
      <c r="A136" s="9" t="s">
        <v>638</v>
      </c>
      <c r="B136" s="9" t="s">
        <v>639</v>
      </c>
      <c r="C136" s="11">
        <v>1.71</v>
      </c>
      <c r="D136" s="11">
        <v>1.23</v>
      </c>
      <c r="E136" s="9" t="s">
        <v>640</v>
      </c>
      <c r="F136" s="13">
        <v>45755</v>
      </c>
      <c r="G136" s="9" t="s">
        <v>22</v>
      </c>
      <c r="H136" s="12">
        <v>40</v>
      </c>
      <c r="I136" s="12">
        <v>40</v>
      </c>
      <c r="J136" s="11">
        <v>19.97</v>
      </c>
      <c r="K136" s="11">
        <v>2</v>
      </c>
      <c r="L136" s="11">
        <v>27.71</v>
      </c>
      <c r="M136" s="11">
        <v>1.44</v>
      </c>
      <c r="N136" s="11">
        <v>16.7</v>
      </c>
      <c r="O136" s="10" t="s">
        <v>641</v>
      </c>
      <c r="P136" s="9" t="s">
        <v>642</v>
      </c>
      <c r="Q136" s="9" t="s">
        <v>643</v>
      </c>
      <c r="R136" s="7" t="str">
        <f>HYPERLINK("https://my.pitchbook.com?c=277191-91T","View Company Online")</f>
        <v>View Company Online</v>
      </c>
    </row>
    <row r="137" spans="1:18" x14ac:dyDescent="0.2">
      <c r="A137" s="3" t="s">
        <v>644</v>
      </c>
      <c r="B137" s="3" t="s">
        <v>645</v>
      </c>
      <c r="C137" s="5" t="s">
        <v>20</v>
      </c>
      <c r="D137" s="5">
        <v>1.41</v>
      </c>
      <c r="E137" s="3" t="s">
        <v>646</v>
      </c>
      <c r="F137" s="1">
        <v>45047</v>
      </c>
      <c r="G137" s="3" t="s">
        <v>22</v>
      </c>
      <c r="H137" s="4">
        <v>3.1</v>
      </c>
      <c r="I137" s="4">
        <v>3.1</v>
      </c>
      <c r="J137" s="5" t="s">
        <v>20</v>
      </c>
      <c r="K137" s="5" t="s">
        <v>20</v>
      </c>
      <c r="L137" s="5">
        <v>2.2000000000000002</v>
      </c>
      <c r="M137" s="5">
        <v>1.41</v>
      </c>
      <c r="N137" s="5" t="s">
        <v>20</v>
      </c>
      <c r="O137" s="6" t="s">
        <v>20</v>
      </c>
      <c r="P137" s="3" t="s">
        <v>647</v>
      </c>
      <c r="Q137" s="3" t="s">
        <v>263</v>
      </c>
      <c r="R137" s="8" t="str">
        <f>HYPERLINK("https://my.pitchbook.com?c=223751-53T","View Company Online")</f>
        <v>View Company Online</v>
      </c>
    </row>
    <row r="138" spans="1:18" x14ac:dyDescent="0.2">
      <c r="A138" s="9" t="s">
        <v>648</v>
      </c>
      <c r="B138" s="9" t="s">
        <v>649</v>
      </c>
      <c r="C138" s="11">
        <v>8.14</v>
      </c>
      <c r="D138" s="11">
        <v>1.4</v>
      </c>
      <c r="E138" s="9" t="s">
        <v>650</v>
      </c>
      <c r="F138" s="13">
        <v>43889</v>
      </c>
      <c r="G138" s="9" t="s">
        <v>22</v>
      </c>
      <c r="H138" s="12">
        <v>81.44</v>
      </c>
      <c r="I138" s="12">
        <v>81.44</v>
      </c>
      <c r="J138" s="11">
        <v>10</v>
      </c>
      <c r="K138" s="11">
        <v>8.14</v>
      </c>
      <c r="L138" s="11">
        <v>58.3</v>
      </c>
      <c r="M138" s="11">
        <v>1.4</v>
      </c>
      <c r="N138" s="11" t="s">
        <v>20</v>
      </c>
      <c r="O138" s="10" t="s">
        <v>651</v>
      </c>
      <c r="P138" s="9" t="s">
        <v>110</v>
      </c>
      <c r="Q138" s="9" t="s">
        <v>334</v>
      </c>
      <c r="R138" s="7" t="str">
        <f>HYPERLINK("https://my.pitchbook.com?c=131670-64T","View Company Online")</f>
        <v>View Company Online</v>
      </c>
    </row>
    <row r="139" spans="1:18" x14ac:dyDescent="0.2">
      <c r="A139" s="3" t="s">
        <v>652</v>
      </c>
      <c r="B139" s="3" t="s">
        <v>653</v>
      </c>
      <c r="C139" s="5" t="s">
        <v>20</v>
      </c>
      <c r="D139" s="5">
        <v>1.38</v>
      </c>
      <c r="E139" s="3" t="s">
        <v>654</v>
      </c>
      <c r="F139" s="1">
        <v>43349</v>
      </c>
      <c r="G139" s="3" t="s">
        <v>103</v>
      </c>
      <c r="H139" s="4">
        <v>9</v>
      </c>
      <c r="I139" s="4">
        <v>9</v>
      </c>
      <c r="J139" s="5" t="s">
        <v>20</v>
      </c>
      <c r="K139" s="5" t="s">
        <v>20</v>
      </c>
      <c r="L139" s="5">
        <v>6.5</v>
      </c>
      <c r="M139" s="5">
        <v>1.38</v>
      </c>
      <c r="N139" s="5" t="s">
        <v>20</v>
      </c>
      <c r="O139" s="6" t="s">
        <v>655</v>
      </c>
      <c r="P139" s="3" t="s">
        <v>110</v>
      </c>
      <c r="Q139" s="3" t="s">
        <v>656</v>
      </c>
      <c r="R139" s="8" t="str">
        <f>HYPERLINK("https://my.pitchbook.com?c=140841-46T","View Company Online")</f>
        <v>View Company Online</v>
      </c>
    </row>
    <row r="140" spans="1:18" x14ac:dyDescent="0.2">
      <c r="A140" s="9" t="s">
        <v>657</v>
      </c>
      <c r="B140" s="9" t="s">
        <v>658</v>
      </c>
      <c r="C140" s="11" t="s">
        <v>20</v>
      </c>
      <c r="D140" s="11">
        <v>1.34</v>
      </c>
      <c r="E140" s="9" t="s">
        <v>659</v>
      </c>
      <c r="F140" s="13">
        <v>45401</v>
      </c>
      <c r="G140" s="9" t="s">
        <v>103</v>
      </c>
      <c r="H140" s="12">
        <v>28.2</v>
      </c>
      <c r="I140" s="12">
        <v>28.2</v>
      </c>
      <c r="J140" s="11" t="s">
        <v>20</v>
      </c>
      <c r="K140" s="11" t="s">
        <v>20</v>
      </c>
      <c r="L140" s="11">
        <v>21</v>
      </c>
      <c r="M140" s="11">
        <v>1.34</v>
      </c>
      <c r="N140" s="11" t="s">
        <v>20</v>
      </c>
      <c r="O140" s="10" t="s">
        <v>660</v>
      </c>
      <c r="P140" s="9" t="s">
        <v>110</v>
      </c>
      <c r="Q140" s="9" t="s">
        <v>299</v>
      </c>
      <c r="R140" s="7" t="str">
        <f>HYPERLINK("https://my.pitchbook.com?c=264665-44T","View Company Online")</f>
        <v>View Company Online</v>
      </c>
    </row>
    <row r="141" spans="1:18" x14ac:dyDescent="0.2">
      <c r="A141" s="3" t="s">
        <v>661</v>
      </c>
      <c r="B141" s="3" t="s">
        <v>662</v>
      </c>
      <c r="C141" s="5" t="s">
        <v>20</v>
      </c>
      <c r="D141" s="5">
        <v>1.34</v>
      </c>
      <c r="E141" s="3" t="s">
        <v>663</v>
      </c>
      <c r="F141" s="1">
        <v>43801</v>
      </c>
      <c r="G141" s="3" t="s">
        <v>22</v>
      </c>
      <c r="H141" s="4">
        <v>1.32</v>
      </c>
      <c r="I141" s="4">
        <v>1.32</v>
      </c>
      <c r="J141" s="5" t="s">
        <v>20</v>
      </c>
      <c r="K141" s="5" t="s">
        <v>20</v>
      </c>
      <c r="L141" s="5">
        <v>0.99</v>
      </c>
      <c r="M141" s="5">
        <v>1.34</v>
      </c>
      <c r="N141" s="5" t="s">
        <v>20</v>
      </c>
      <c r="O141" s="6" t="s">
        <v>664</v>
      </c>
      <c r="P141" s="3" t="s">
        <v>76</v>
      </c>
      <c r="Q141" s="3" t="s">
        <v>665</v>
      </c>
      <c r="R141" s="8" t="str">
        <f>HYPERLINK("https://my.pitchbook.com?c=257862-34T","View Company Online")</f>
        <v>View Company Online</v>
      </c>
    </row>
    <row r="142" spans="1:18" x14ac:dyDescent="0.2">
      <c r="A142" s="9" t="s">
        <v>666</v>
      </c>
      <c r="B142" s="9" t="s">
        <v>667</v>
      </c>
      <c r="C142" s="11">
        <v>9.02</v>
      </c>
      <c r="D142" s="11">
        <v>0.92</v>
      </c>
      <c r="E142" s="9" t="s">
        <v>668</v>
      </c>
      <c r="F142" s="13">
        <v>45719</v>
      </c>
      <c r="G142" s="9" t="s">
        <v>22</v>
      </c>
      <c r="H142" s="12">
        <v>201.5</v>
      </c>
      <c r="I142" s="12">
        <v>202.53</v>
      </c>
      <c r="J142" s="11">
        <v>16.22</v>
      </c>
      <c r="K142" s="11">
        <v>12.48</v>
      </c>
      <c r="L142" s="11">
        <v>159.36000000000001</v>
      </c>
      <c r="M142" s="11">
        <v>1.27</v>
      </c>
      <c r="N142" s="11">
        <v>14.24</v>
      </c>
      <c r="O142" s="10" t="s">
        <v>669</v>
      </c>
      <c r="P142" s="9" t="s">
        <v>24</v>
      </c>
      <c r="Q142" s="9" t="s">
        <v>71</v>
      </c>
      <c r="R142" s="7" t="str">
        <f>HYPERLINK("https://my.pitchbook.com?c=280572-04T","View Company Online")</f>
        <v>View Company Online</v>
      </c>
    </row>
    <row r="143" spans="1:18" x14ac:dyDescent="0.2">
      <c r="A143" s="3" t="s">
        <v>670</v>
      </c>
      <c r="B143" s="3" t="s">
        <v>671</v>
      </c>
      <c r="C143" s="5">
        <v>9.0399999999999991</v>
      </c>
      <c r="D143" s="5">
        <v>1.25</v>
      </c>
      <c r="E143" s="3" t="s">
        <v>672</v>
      </c>
      <c r="F143" s="1">
        <v>43434</v>
      </c>
      <c r="G143" s="3" t="s">
        <v>22</v>
      </c>
      <c r="H143" s="4">
        <v>208</v>
      </c>
      <c r="I143" s="4">
        <v>208</v>
      </c>
      <c r="J143" s="5">
        <v>23</v>
      </c>
      <c r="K143" s="5">
        <v>9.0399999999999991</v>
      </c>
      <c r="L143" s="5">
        <v>166</v>
      </c>
      <c r="M143" s="5">
        <v>1.25</v>
      </c>
      <c r="N143" s="5" t="s">
        <v>20</v>
      </c>
      <c r="O143" s="6" t="s">
        <v>673</v>
      </c>
      <c r="P143" s="3" t="s">
        <v>674</v>
      </c>
      <c r="Q143" s="3" t="s">
        <v>423</v>
      </c>
      <c r="R143" s="8" t="str">
        <f>HYPERLINK("https://my.pitchbook.com?c=113288-59T","View Company Online")</f>
        <v>View Company Online</v>
      </c>
    </row>
    <row r="144" spans="1:18" x14ac:dyDescent="0.2">
      <c r="A144" s="9" t="s">
        <v>675</v>
      </c>
      <c r="B144" s="9" t="s">
        <v>676</v>
      </c>
      <c r="C144" s="11">
        <v>14.75</v>
      </c>
      <c r="D144" s="11">
        <v>1.21</v>
      </c>
      <c r="E144" s="9" t="s">
        <v>677</v>
      </c>
      <c r="F144" s="13">
        <v>44172</v>
      </c>
      <c r="G144" s="9" t="s">
        <v>22</v>
      </c>
      <c r="H144" s="12">
        <v>17.7</v>
      </c>
      <c r="I144" s="12">
        <v>17.7</v>
      </c>
      <c r="J144" s="11">
        <v>1.2</v>
      </c>
      <c r="K144" s="11">
        <v>14.75</v>
      </c>
      <c r="L144" s="11">
        <v>14.6</v>
      </c>
      <c r="M144" s="11">
        <v>1.21</v>
      </c>
      <c r="N144" s="11" t="s">
        <v>20</v>
      </c>
      <c r="O144" s="10" t="s">
        <v>678</v>
      </c>
      <c r="P144" s="9" t="s">
        <v>46</v>
      </c>
      <c r="Q144" s="9" t="s">
        <v>679</v>
      </c>
      <c r="R144" s="7" t="str">
        <f>HYPERLINK("https://my.pitchbook.com?c=160670-71T","View Company Online")</f>
        <v>View Company Online</v>
      </c>
    </row>
    <row r="145" spans="1:18" x14ac:dyDescent="0.2">
      <c r="A145" s="3" t="s">
        <v>680</v>
      </c>
      <c r="B145" s="3" t="s">
        <v>681</v>
      </c>
      <c r="C145" s="5" t="s">
        <v>20</v>
      </c>
      <c r="D145" s="5">
        <v>0.19</v>
      </c>
      <c r="E145" s="3" t="s">
        <v>682</v>
      </c>
      <c r="F145" s="1">
        <v>45267</v>
      </c>
      <c r="G145" s="3" t="s">
        <v>22</v>
      </c>
      <c r="H145" s="4">
        <v>27.51</v>
      </c>
      <c r="I145" s="4">
        <v>37.799999999999997</v>
      </c>
      <c r="J145" s="5">
        <v>-2.17</v>
      </c>
      <c r="K145" s="5">
        <v>-17.43</v>
      </c>
      <c r="L145" s="5">
        <v>31.91</v>
      </c>
      <c r="M145" s="5">
        <v>1.18</v>
      </c>
      <c r="N145" s="5">
        <v>-2.68</v>
      </c>
      <c r="O145" s="6" t="s">
        <v>683</v>
      </c>
      <c r="P145" s="3" t="s">
        <v>88</v>
      </c>
      <c r="Q145" s="3" t="s">
        <v>314</v>
      </c>
      <c r="R145" s="8" t="str">
        <f>HYPERLINK("https://my.pitchbook.com?c=243076-69T","View Company Online")</f>
        <v>View Company Online</v>
      </c>
    </row>
    <row r="146" spans="1:18" x14ac:dyDescent="0.2">
      <c r="A146" s="9" t="s">
        <v>684</v>
      </c>
      <c r="B146" s="9" t="s">
        <v>685</v>
      </c>
      <c r="C146" s="11" t="s">
        <v>20</v>
      </c>
      <c r="D146" s="11">
        <v>0.97</v>
      </c>
      <c r="E146" s="9" t="s">
        <v>686</v>
      </c>
      <c r="F146" s="13">
        <v>45590</v>
      </c>
      <c r="G146" s="9" t="s">
        <v>22</v>
      </c>
      <c r="H146" s="12">
        <v>67</v>
      </c>
      <c r="I146" s="12">
        <v>67</v>
      </c>
      <c r="J146" s="11">
        <v>-5.72</v>
      </c>
      <c r="K146" s="11">
        <v>-11.71</v>
      </c>
      <c r="L146" s="11">
        <v>57.66</v>
      </c>
      <c r="M146" s="11">
        <v>1.1599999999999999</v>
      </c>
      <c r="N146" s="11">
        <v>-13.04</v>
      </c>
      <c r="O146" s="10" t="s">
        <v>687</v>
      </c>
      <c r="P146" s="9" t="s">
        <v>24</v>
      </c>
      <c r="Q146" s="9" t="s">
        <v>688</v>
      </c>
      <c r="R146" s="7" t="str">
        <f>HYPERLINK("https://my.pitchbook.com?c=275693-41T","View Company Online")</f>
        <v>View Company Online</v>
      </c>
    </row>
    <row r="147" spans="1:18" x14ac:dyDescent="0.2">
      <c r="A147" s="3" t="s">
        <v>689</v>
      </c>
      <c r="B147" s="3" t="s">
        <v>690</v>
      </c>
      <c r="C147" s="5">
        <v>9.35</v>
      </c>
      <c r="D147" s="5">
        <v>0.91</v>
      </c>
      <c r="E147" s="3" t="s">
        <v>691</v>
      </c>
      <c r="F147" s="1">
        <v>43133</v>
      </c>
      <c r="G147" s="3" t="s">
        <v>22</v>
      </c>
      <c r="H147" s="4">
        <v>186</v>
      </c>
      <c r="I147" s="4">
        <v>186</v>
      </c>
      <c r="J147" s="5">
        <v>15.47</v>
      </c>
      <c r="K147" s="5">
        <v>12.02</v>
      </c>
      <c r="L147" s="5">
        <v>159.86000000000001</v>
      </c>
      <c r="M147" s="5">
        <v>1.1599999999999999</v>
      </c>
      <c r="N147" s="5">
        <v>8.4</v>
      </c>
      <c r="O147" s="6" t="s">
        <v>692</v>
      </c>
      <c r="P147" s="3" t="s">
        <v>46</v>
      </c>
      <c r="Q147" s="3" t="s">
        <v>340</v>
      </c>
      <c r="R147" s="8" t="str">
        <f>HYPERLINK("https://my.pitchbook.com?c=93228-13T","View Company Online")</f>
        <v>View Company Online</v>
      </c>
    </row>
    <row r="148" spans="1:18" x14ac:dyDescent="0.2">
      <c r="A148" s="9" t="s">
        <v>693</v>
      </c>
      <c r="B148" s="9" t="s">
        <v>694</v>
      </c>
      <c r="C148" s="11">
        <v>5.45</v>
      </c>
      <c r="D148" s="11">
        <v>1.1499999999999999</v>
      </c>
      <c r="E148" s="9" t="s">
        <v>695</v>
      </c>
      <c r="F148" s="13">
        <v>43760</v>
      </c>
      <c r="G148" s="9" t="s">
        <v>103</v>
      </c>
      <c r="H148" s="12">
        <v>6</v>
      </c>
      <c r="I148" s="12">
        <v>6</v>
      </c>
      <c r="J148" s="11">
        <v>1.1000000000000001</v>
      </c>
      <c r="K148" s="11">
        <v>5.45</v>
      </c>
      <c r="L148" s="11">
        <v>5.2</v>
      </c>
      <c r="M148" s="11">
        <v>1.1499999999999999</v>
      </c>
      <c r="N148" s="11" t="s">
        <v>20</v>
      </c>
      <c r="O148" s="10" t="s">
        <v>696</v>
      </c>
      <c r="P148" s="9" t="s">
        <v>64</v>
      </c>
      <c r="Q148" s="9" t="s">
        <v>697</v>
      </c>
      <c r="R148" s="7" t="str">
        <f>HYPERLINK("https://my.pitchbook.com?c=125594-11T","View Company Online")</f>
        <v>View Company Online</v>
      </c>
    </row>
    <row r="149" spans="1:18" x14ac:dyDescent="0.2">
      <c r="A149" s="3" t="s">
        <v>698</v>
      </c>
      <c r="B149" s="3" t="s">
        <v>699</v>
      </c>
      <c r="C149" s="5" t="s">
        <v>20</v>
      </c>
      <c r="D149" s="5">
        <v>0.56999999999999995</v>
      </c>
      <c r="E149" s="3" t="s">
        <v>700</v>
      </c>
      <c r="F149" s="1">
        <v>44901</v>
      </c>
      <c r="G149" s="3" t="s">
        <v>22</v>
      </c>
      <c r="H149" s="4">
        <v>1.1100000000000001</v>
      </c>
      <c r="I149" s="4">
        <v>1.1100000000000001</v>
      </c>
      <c r="J149" s="5">
        <v>-8.61</v>
      </c>
      <c r="K149" s="5">
        <v>-0.13</v>
      </c>
      <c r="L149" s="5">
        <v>0.98</v>
      </c>
      <c r="M149" s="5">
        <v>1.1399999999999999</v>
      </c>
      <c r="N149" s="5">
        <v>-9.41</v>
      </c>
      <c r="O149" s="6" t="s">
        <v>701</v>
      </c>
      <c r="P149" s="3" t="s">
        <v>354</v>
      </c>
      <c r="Q149" s="3" t="s">
        <v>99</v>
      </c>
      <c r="R149" s="8" t="str">
        <f>HYPERLINK("https://my.pitchbook.com?c=202943-08T","View Company Online")</f>
        <v>View Company Online</v>
      </c>
    </row>
    <row r="150" spans="1:18" x14ac:dyDescent="0.2">
      <c r="A150" s="9" t="s">
        <v>702</v>
      </c>
      <c r="B150" s="9" t="s">
        <v>703</v>
      </c>
      <c r="C150" s="11">
        <v>28.38</v>
      </c>
      <c r="D150" s="11">
        <v>0.94</v>
      </c>
      <c r="E150" s="9" t="s">
        <v>704</v>
      </c>
      <c r="F150" s="13">
        <v>43846</v>
      </c>
      <c r="G150" s="9" t="s">
        <v>22</v>
      </c>
      <c r="H150" s="12">
        <v>27.09</v>
      </c>
      <c r="I150" s="12">
        <v>27.09</v>
      </c>
      <c r="J150" s="11">
        <v>0.83</v>
      </c>
      <c r="K150" s="11">
        <v>32.71</v>
      </c>
      <c r="L150" s="11">
        <v>24.88</v>
      </c>
      <c r="M150" s="11">
        <v>1.0900000000000001</v>
      </c>
      <c r="N150" s="11">
        <v>-0.54</v>
      </c>
      <c r="O150" s="10" t="s">
        <v>705</v>
      </c>
      <c r="P150" s="9" t="s">
        <v>88</v>
      </c>
      <c r="Q150" s="9" t="s">
        <v>99</v>
      </c>
      <c r="R150" s="7" t="str">
        <f>HYPERLINK("https://my.pitchbook.com?c=125583-58T","View Company Online")</f>
        <v>View Company Online</v>
      </c>
    </row>
    <row r="151" spans="1:18" x14ac:dyDescent="0.2">
      <c r="A151" s="3" t="s">
        <v>706</v>
      </c>
      <c r="B151" s="3" t="s">
        <v>707</v>
      </c>
      <c r="C151" s="5" t="s">
        <v>20</v>
      </c>
      <c r="D151" s="5">
        <v>1.0900000000000001</v>
      </c>
      <c r="E151" s="3" t="s">
        <v>708</v>
      </c>
      <c r="F151" s="1">
        <v>43152</v>
      </c>
      <c r="G151" s="3" t="s">
        <v>22</v>
      </c>
      <c r="H151" s="4">
        <v>12</v>
      </c>
      <c r="I151" s="4">
        <v>12</v>
      </c>
      <c r="J151" s="5" t="s">
        <v>20</v>
      </c>
      <c r="K151" s="5" t="s">
        <v>20</v>
      </c>
      <c r="L151" s="5">
        <v>11</v>
      </c>
      <c r="M151" s="5">
        <v>1.0900000000000001</v>
      </c>
      <c r="N151" s="5" t="s">
        <v>20</v>
      </c>
      <c r="O151" s="6" t="s">
        <v>709</v>
      </c>
      <c r="P151" s="3" t="s">
        <v>710</v>
      </c>
      <c r="Q151" s="3" t="s">
        <v>711</v>
      </c>
      <c r="R151" s="8" t="str">
        <f>HYPERLINK("https://my.pitchbook.com?c=101782-18T","View Company Online")</f>
        <v>View Company Online</v>
      </c>
    </row>
    <row r="152" spans="1:18" x14ac:dyDescent="0.2">
      <c r="A152" s="9" t="s">
        <v>712</v>
      </c>
      <c r="B152" s="9" t="s">
        <v>713</v>
      </c>
      <c r="C152" s="11">
        <v>34.81</v>
      </c>
      <c r="D152" s="11">
        <v>1</v>
      </c>
      <c r="E152" s="9" t="s">
        <v>714</v>
      </c>
      <c r="F152" s="13">
        <v>43326</v>
      </c>
      <c r="G152" s="9" t="s">
        <v>22</v>
      </c>
      <c r="H152" s="12">
        <v>87</v>
      </c>
      <c r="I152" s="12">
        <v>87</v>
      </c>
      <c r="J152" s="11">
        <v>2.5</v>
      </c>
      <c r="K152" s="11">
        <v>34.83</v>
      </c>
      <c r="L152" s="11">
        <v>86.85</v>
      </c>
      <c r="M152" s="11">
        <v>1</v>
      </c>
      <c r="N152" s="11">
        <v>0.3</v>
      </c>
      <c r="O152" s="10" t="s">
        <v>715</v>
      </c>
      <c r="P152" s="9" t="s">
        <v>716</v>
      </c>
      <c r="Q152" s="9" t="s">
        <v>59</v>
      </c>
      <c r="R152" s="7" t="str">
        <f>HYPERLINK("https://my.pitchbook.com?c=108476-11T","View Company Online")</f>
        <v>View Company Online</v>
      </c>
    </row>
    <row r="153" spans="1:18" x14ac:dyDescent="0.2">
      <c r="A153" s="3" t="s">
        <v>717</v>
      </c>
      <c r="B153" s="3" t="s">
        <v>718</v>
      </c>
      <c r="C153" s="5" t="s">
        <v>20</v>
      </c>
      <c r="D153" s="5">
        <v>0.97</v>
      </c>
      <c r="E153" s="3" t="s">
        <v>719</v>
      </c>
      <c r="F153" s="1">
        <v>45047</v>
      </c>
      <c r="G153" s="3" t="s">
        <v>22</v>
      </c>
      <c r="H153" s="4">
        <v>91</v>
      </c>
      <c r="I153" s="4">
        <v>91</v>
      </c>
      <c r="J153" s="5" t="s">
        <v>20</v>
      </c>
      <c r="K153" s="5" t="s">
        <v>20</v>
      </c>
      <c r="L153" s="5">
        <v>94.1</v>
      </c>
      <c r="M153" s="5">
        <v>0.97</v>
      </c>
      <c r="N153" s="5" t="s">
        <v>20</v>
      </c>
      <c r="O153" s="6" t="s">
        <v>720</v>
      </c>
      <c r="P153" s="3" t="s">
        <v>110</v>
      </c>
      <c r="Q153" s="3" t="s">
        <v>53</v>
      </c>
      <c r="R153" s="8" t="str">
        <f>HYPERLINK("https://my.pitchbook.com?c=222924-16T","View Company Online")</f>
        <v>View Company Online</v>
      </c>
    </row>
    <row r="154" spans="1:18" x14ac:dyDescent="0.2">
      <c r="A154" s="9" t="s">
        <v>721</v>
      </c>
      <c r="B154" s="9" t="s">
        <v>722</v>
      </c>
      <c r="C154" s="11" t="s">
        <v>20</v>
      </c>
      <c r="D154" s="11">
        <v>0.94</v>
      </c>
      <c r="E154" s="9" t="s">
        <v>723</v>
      </c>
      <c r="F154" s="13">
        <v>44044</v>
      </c>
      <c r="G154" s="9" t="s">
        <v>22</v>
      </c>
      <c r="H154" s="12">
        <v>800</v>
      </c>
      <c r="I154" s="12">
        <v>800</v>
      </c>
      <c r="J154" s="11" t="s">
        <v>20</v>
      </c>
      <c r="K154" s="11" t="s">
        <v>20</v>
      </c>
      <c r="L154" s="11">
        <v>850</v>
      </c>
      <c r="M154" s="11">
        <v>0.94</v>
      </c>
      <c r="N154" s="11" t="s">
        <v>20</v>
      </c>
      <c r="O154" s="10" t="s">
        <v>724</v>
      </c>
      <c r="P154" s="9" t="s">
        <v>24</v>
      </c>
      <c r="Q154" s="9" t="s">
        <v>133</v>
      </c>
      <c r="R154" s="7" t="str">
        <f>HYPERLINK("https://my.pitchbook.com?c=170539-57T","View Company Online")</f>
        <v>View Company Online</v>
      </c>
    </row>
    <row r="155" spans="1:18" x14ac:dyDescent="0.2">
      <c r="A155" s="3" t="s">
        <v>725</v>
      </c>
      <c r="B155" s="3" t="s">
        <v>726</v>
      </c>
      <c r="C155" s="5">
        <v>3.82</v>
      </c>
      <c r="D155" s="5">
        <v>0.88</v>
      </c>
      <c r="E155" s="3" t="s">
        <v>727</v>
      </c>
      <c r="F155" s="1">
        <v>43283</v>
      </c>
      <c r="G155" s="3" t="s">
        <v>22</v>
      </c>
      <c r="H155" s="4">
        <v>339.5</v>
      </c>
      <c r="I155" s="4">
        <v>339.5</v>
      </c>
      <c r="J155" s="5">
        <v>83.9</v>
      </c>
      <c r="K155" s="5">
        <v>4.05</v>
      </c>
      <c r="L155" s="5">
        <v>363.13</v>
      </c>
      <c r="M155" s="5">
        <v>0.93</v>
      </c>
      <c r="N155" s="5">
        <v>-111.02</v>
      </c>
      <c r="O155" s="6" t="s">
        <v>728</v>
      </c>
      <c r="P155" s="3" t="s">
        <v>249</v>
      </c>
      <c r="Q155" s="3" t="s">
        <v>729</v>
      </c>
      <c r="R155" s="8" t="str">
        <f>HYPERLINK("https://my.pitchbook.com?c=90435-70T","View Company Online")</f>
        <v>View Company Online</v>
      </c>
    </row>
    <row r="156" spans="1:18" x14ac:dyDescent="0.2">
      <c r="A156" s="9" t="s">
        <v>730</v>
      </c>
      <c r="B156" s="9" t="s">
        <v>731</v>
      </c>
      <c r="C156" s="11">
        <v>3.25</v>
      </c>
      <c r="D156" s="11">
        <v>0.9</v>
      </c>
      <c r="E156" s="9" t="s">
        <v>732</v>
      </c>
      <c r="F156" s="13">
        <v>44803</v>
      </c>
      <c r="G156" s="9" t="s">
        <v>22</v>
      </c>
      <c r="H156" s="12">
        <v>10.4</v>
      </c>
      <c r="I156" s="12">
        <v>10.4</v>
      </c>
      <c r="J156" s="11">
        <v>3.2</v>
      </c>
      <c r="K156" s="11">
        <v>3.25</v>
      </c>
      <c r="L156" s="11">
        <v>11.6</v>
      </c>
      <c r="M156" s="11">
        <v>0.9</v>
      </c>
      <c r="N156" s="11" t="s">
        <v>20</v>
      </c>
      <c r="O156" s="10" t="s">
        <v>733</v>
      </c>
      <c r="P156" s="9" t="s">
        <v>284</v>
      </c>
      <c r="Q156" s="9" t="s">
        <v>734</v>
      </c>
      <c r="R156" s="7" t="str">
        <f>HYPERLINK("https://my.pitchbook.com?c=202710-16T","View Company Online")</f>
        <v>View Company Online</v>
      </c>
    </row>
    <row r="157" spans="1:18" x14ac:dyDescent="0.2">
      <c r="A157" s="3" t="s">
        <v>735</v>
      </c>
      <c r="B157" s="3" t="s">
        <v>736</v>
      </c>
      <c r="C157" s="5" t="s">
        <v>20</v>
      </c>
      <c r="D157" s="5">
        <v>0.54</v>
      </c>
      <c r="E157" s="3" t="s">
        <v>737</v>
      </c>
      <c r="F157" s="1">
        <v>44965</v>
      </c>
      <c r="G157" s="3" t="s">
        <v>22</v>
      </c>
      <c r="H157" s="4">
        <v>18</v>
      </c>
      <c r="I157" s="4">
        <v>18</v>
      </c>
      <c r="J157" s="5">
        <v>-11.8</v>
      </c>
      <c r="K157" s="5">
        <v>-1.53</v>
      </c>
      <c r="L157" s="5">
        <v>21.45</v>
      </c>
      <c r="M157" s="5">
        <v>0.84</v>
      </c>
      <c r="N157" s="5">
        <v>-12.48</v>
      </c>
      <c r="O157" s="6" t="s">
        <v>738</v>
      </c>
      <c r="P157" s="3" t="s">
        <v>58</v>
      </c>
      <c r="Q157" s="3" t="s">
        <v>239</v>
      </c>
      <c r="R157" s="8" t="str">
        <f>HYPERLINK("https://my.pitchbook.com?c=210890-08T","View Company Online")</f>
        <v>View Company Online</v>
      </c>
    </row>
    <row r="158" spans="1:18" x14ac:dyDescent="0.2">
      <c r="A158" s="9" t="s">
        <v>739</v>
      </c>
      <c r="B158" s="9" t="s">
        <v>740</v>
      </c>
      <c r="C158" s="11" t="s">
        <v>20</v>
      </c>
      <c r="D158" s="11">
        <v>0.82</v>
      </c>
      <c r="E158" s="9" t="s">
        <v>741</v>
      </c>
      <c r="F158" s="13">
        <v>43831</v>
      </c>
      <c r="G158" s="9" t="s">
        <v>22</v>
      </c>
      <c r="H158" s="12">
        <v>29.75</v>
      </c>
      <c r="I158" s="12">
        <v>35</v>
      </c>
      <c r="J158" s="11" t="s">
        <v>20</v>
      </c>
      <c r="K158" s="11" t="s">
        <v>20</v>
      </c>
      <c r="L158" s="11">
        <v>42.68</v>
      </c>
      <c r="M158" s="11">
        <v>0.82</v>
      </c>
      <c r="N158" s="11">
        <v>3.24</v>
      </c>
      <c r="O158" s="10" t="s">
        <v>742</v>
      </c>
      <c r="P158" s="9" t="s">
        <v>743</v>
      </c>
      <c r="Q158" s="9" t="s">
        <v>744</v>
      </c>
      <c r="R158" s="7" t="str">
        <f>HYPERLINK("https://my.pitchbook.com?c=120960-10T","View Company Online")</f>
        <v>View Company Online</v>
      </c>
    </row>
    <row r="159" spans="1:18" x14ac:dyDescent="0.2">
      <c r="A159" s="3" t="s">
        <v>745</v>
      </c>
      <c r="B159" s="3" t="s">
        <v>746</v>
      </c>
      <c r="C159" s="5" t="s">
        <v>20</v>
      </c>
      <c r="D159" s="5">
        <v>0.72</v>
      </c>
      <c r="E159" s="3" t="s">
        <v>747</v>
      </c>
      <c r="F159" s="1">
        <v>45533</v>
      </c>
      <c r="G159" s="3" t="s">
        <v>22</v>
      </c>
      <c r="H159" s="4">
        <v>4</v>
      </c>
      <c r="I159" s="4">
        <v>4</v>
      </c>
      <c r="J159" s="5" t="s">
        <v>20</v>
      </c>
      <c r="K159" s="5" t="s">
        <v>20</v>
      </c>
      <c r="L159" s="5">
        <v>5.54</v>
      </c>
      <c r="M159" s="5">
        <v>0.72</v>
      </c>
      <c r="N159" s="5" t="s">
        <v>20</v>
      </c>
      <c r="O159" s="6" t="s">
        <v>748</v>
      </c>
      <c r="P159" s="3" t="s">
        <v>110</v>
      </c>
      <c r="Q159" s="3" t="s">
        <v>749</v>
      </c>
      <c r="R159" s="8" t="str">
        <f>HYPERLINK("https://my.pitchbook.com?c=271059-58T","View Company Online")</f>
        <v>View Company Online</v>
      </c>
    </row>
    <row r="160" spans="1:18" x14ac:dyDescent="0.2">
      <c r="A160" s="9" t="s">
        <v>750</v>
      </c>
      <c r="B160" s="9" t="s">
        <v>751</v>
      </c>
      <c r="C160" s="11" t="s">
        <v>20</v>
      </c>
      <c r="D160" s="11">
        <v>0.7</v>
      </c>
      <c r="E160" s="9" t="s">
        <v>752</v>
      </c>
      <c r="F160" s="13">
        <v>44188</v>
      </c>
      <c r="G160" s="9" t="s">
        <v>22</v>
      </c>
      <c r="H160" s="12">
        <v>1.5</v>
      </c>
      <c r="I160" s="12">
        <v>1.5</v>
      </c>
      <c r="J160" s="11" t="s">
        <v>20</v>
      </c>
      <c r="K160" s="11" t="s">
        <v>20</v>
      </c>
      <c r="L160" s="11">
        <v>2.14</v>
      </c>
      <c r="M160" s="11">
        <v>0.7</v>
      </c>
      <c r="N160" s="11" t="s">
        <v>20</v>
      </c>
      <c r="O160" s="10" t="s">
        <v>20</v>
      </c>
      <c r="P160" s="9" t="s">
        <v>46</v>
      </c>
      <c r="Q160" s="9" t="s">
        <v>753</v>
      </c>
      <c r="R160" s="7" t="str">
        <f>HYPERLINK("https://my.pitchbook.com?c=178891-03T","View Company Online")</f>
        <v>View Company Online</v>
      </c>
    </row>
    <row r="161" spans="1:18" x14ac:dyDescent="0.2">
      <c r="A161" s="3" t="s">
        <v>754</v>
      </c>
      <c r="B161" s="3" t="s">
        <v>755</v>
      </c>
      <c r="C161" s="5">
        <v>2.25</v>
      </c>
      <c r="D161" s="5">
        <v>0.6</v>
      </c>
      <c r="E161" s="3" t="s">
        <v>756</v>
      </c>
      <c r="F161" s="1">
        <v>44041</v>
      </c>
      <c r="G161" s="3" t="s">
        <v>22</v>
      </c>
      <c r="H161" s="4">
        <v>236.6</v>
      </c>
      <c r="I161" s="4">
        <v>236.6</v>
      </c>
      <c r="J161" s="5">
        <v>105.09</v>
      </c>
      <c r="K161" s="5">
        <v>2.25</v>
      </c>
      <c r="L161" s="5">
        <v>397.12</v>
      </c>
      <c r="M161" s="5">
        <v>0.6</v>
      </c>
      <c r="N161" s="5">
        <v>58.27</v>
      </c>
      <c r="O161" s="6" t="s">
        <v>757</v>
      </c>
      <c r="P161" s="3" t="s">
        <v>142</v>
      </c>
      <c r="Q161" s="3" t="s">
        <v>758</v>
      </c>
      <c r="R161" s="8" t="str">
        <f>HYPERLINK("https://my.pitchbook.com?c=121225-78T","View Company Online")</f>
        <v>View Company Online</v>
      </c>
    </row>
    <row r="162" spans="1:18" x14ac:dyDescent="0.2">
      <c r="A162" s="9" t="s">
        <v>759</v>
      </c>
      <c r="B162" s="9" t="s">
        <v>760</v>
      </c>
      <c r="C162" s="11" t="s">
        <v>20</v>
      </c>
      <c r="D162" s="11">
        <v>0.6</v>
      </c>
      <c r="E162" s="9" t="s">
        <v>761</v>
      </c>
      <c r="F162" s="13">
        <v>45359</v>
      </c>
      <c r="G162" s="9" t="s">
        <v>22</v>
      </c>
      <c r="H162" s="12">
        <v>189.71</v>
      </c>
      <c r="I162" s="12">
        <v>189.71</v>
      </c>
      <c r="J162" s="11" t="s">
        <v>20</v>
      </c>
      <c r="K162" s="11" t="s">
        <v>20</v>
      </c>
      <c r="L162" s="11">
        <v>316.05</v>
      </c>
      <c r="M162" s="11">
        <v>0.6</v>
      </c>
      <c r="N162" s="11">
        <v>-65.25</v>
      </c>
      <c r="O162" s="10" t="s">
        <v>762</v>
      </c>
      <c r="P162" s="9" t="s">
        <v>110</v>
      </c>
      <c r="Q162" s="9" t="s">
        <v>763</v>
      </c>
      <c r="R162" s="7" t="str">
        <f>HYPERLINK("https://my.pitchbook.com?c=254005-30T","View Company Online")</f>
        <v>View Company Online</v>
      </c>
    </row>
    <row r="163" spans="1:18" x14ac:dyDescent="0.2">
      <c r="A163" s="3" t="s">
        <v>764</v>
      </c>
      <c r="B163" s="3" t="s">
        <v>765</v>
      </c>
      <c r="C163" s="5">
        <v>7.64</v>
      </c>
      <c r="D163" s="5">
        <v>0.56000000000000005</v>
      </c>
      <c r="E163" s="3" t="s">
        <v>766</v>
      </c>
      <c r="F163" s="1">
        <v>43599</v>
      </c>
      <c r="G163" s="3" t="s">
        <v>22</v>
      </c>
      <c r="H163" s="4">
        <v>51.67</v>
      </c>
      <c r="I163" s="4">
        <v>51.67</v>
      </c>
      <c r="J163" s="5">
        <v>6.77</v>
      </c>
      <c r="K163" s="5">
        <v>7.64</v>
      </c>
      <c r="L163" s="5">
        <v>92.64</v>
      </c>
      <c r="M163" s="5">
        <v>0.56000000000000005</v>
      </c>
      <c r="N163" s="5">
        <v>1.39</v>
      </c>
      <c r="O163" s="6" t="s">
        <v>767</v>
      </c>
      <c r="P163" s="3" t="s">
        <v>284</v>
      </c>
      <c r="Q163" s="3" t="s">
        <v>377</v>
      </c>
      <c r="R163" s="8" t="str">
        <f>HYPERLINK("https://my.pitchbook.com?c=117839-35T","View Company Online")</f>
        <v>View Company Online</v>
      </c>
    </row>
    <row r="164" spans="1:18" x14ac:dyDescent="0.2">
      <c r="A164" s="9" t="s">
        <v>768</v>
      </c>
      <c r="B164" s="9" t="s">
        <v>769</v>
      </c>
      <c r="C164" s="11" t="s">
        <v>20</v>
      </c>
      <c r="D164" s="11">
        <v>0.46</v>
      </c>
      <c r="E164" s="9" t="s">
        <v>770</v>
      </c>
      <c r="F164" s="13">
        <v>44078</v>
      </c>
      <c r="G164" s="9" t="s">
        <v>103</v>
      </c>
      <c r="H164" s="12">
        <v>312</v>
      </c>
      <c r="I164" s="12">
        <v>312</v>
      </c>
      <c r="J164" s="11">
        <v>-478.61</v>
      </c>
      <c r="K164" s="11">
        <v>-0.65</v>
      </c>
      <c r="L164" s="11">
        <v>637.57000000000005</v>
      </c>
      <c r="M164" s="11">
        <v>0.49</v>
      </c>
      <c r="N164" s="11">
        <v>-565</v>
      </c>
      <c r="O164" s="10" t="s">
        <v>771</v>
      </c>
      <c r="P164" s="9" t="s">
        <v>70</v>
      </c>
      <c r="Q164" s="9" t="s">
        <v>772</v>
      </c>
      <c r="R164" s="7" t="str">
        <f>HYPERLINK("https://my.pitchbook.com?c=135213-13T","View Company Online")</f>
        <v>View Company Online</v>
      </c>
    </row>
    <row r="165" spans="1:18" x14ac:dyDescent="0.2">
      <c r="A165" s="3" t="s">
        <v>773</v>
      </c>
      <c r="B165" s="3" t="s">
        <v>774</v>
      </c>
      <c r="C165" s="5" t="s">
        <v>20</v>
      </c>
      <c r="D165" s="5">
        <v>0.35</v>
      </c>
      <c r="E165" s="3" t="s">
        <v>775</v>
      </c>
      <c r="F165" s="1">
        <v>45138</v>
      </c>
      <c r="G165" s="3" t="s">
        <v>22</v>
      </c>
      <c r="H165" s="4">
        <v>36.93</v>
      </c>
      <c r="I165" s="4">
        <v>36.93</v>
      </c>
      <c r="J165" s="5" t="s">
        <v>20</v>
      </c>
      <c r="K165" s="5" t="s">
        <v>20</v>
      </c>
      <c r="L165" s="5">
        <v>105</v>
      </c>
      <c r="M165" s="5">
        <v>0.35</v>
      </c>
      <c r="N165" s="5" t="s">
        <v>20</v>
      </c>
      <c r="O165" s="6" t="s">
        <v>776</v>
      </c>
      <c r="P165" s="3" t="s">
        <v>24</v>
      </c>
      <c r="Q165" s="3" t="s">
        <v>83</v>
      </c>
      <c r="R165" s="8" t="str">
        <f>HYPERLINK("https://my.pitchbook.com?c=224653-33T","View Company Online")</f>
        <v>View Company Online</v>
      </c>
    </row>
    <row r="166" spans="1:18" x14ac:dyDescent="0.2">
      <c r="A166" s="9" t="s">
        <v>777</v>
      </c>
      <c r="B166" s="9" t="s">
        <v>778</v>
      </c>
      <c r="C166" s="11" t="s">
        <v>20</v>
      </c>
      <c r="D166" s="11">
        <v>0.34</v>
      </c>
      <c r="E166" s="9" t="s">
        <v>779</v>
      </c>
      <c r="F166" s="13">
        <v>44317</v>
      </c>
      <c r="G166" s="9" t="s">
        <v>22</v>
      </c>
      <c r="H166" s="12">
        <v>285.95</v>
      </c>
      <c r="I166" s="12">
        <v>285.95</v>
      </c>
      <c r="J166" s="11" t="s">
        <v>20</v>
      </c>
      <c r="K166" s="11" t="s">
        <v>20</v>
      </c>
      <c r="L166" s="11">
        <v>830</v>
      </c>
      <c r="M166" s="11">
        <v>0.34</v>
      </c>
      <c r="N166" s="11" t="s">
        <v>20</v>
      </c>
      <c r="O166" s="10" t="s">
        <v>780</v>
      </c>
      <c r="P166" s="9" t="s">
        <v>110</v>
      </c>
      <c r="Q166" s="9" t="s">
        <v>83</v>
      </c>
      <c r="R166" s="7" t="str">
        <f>HYPERLINK("https://my.pitchbook.com?c=170816-32T","View Company Online")</f>
        <v>View Company Online</v>
      </c>
    </row>
    <row r="167" spans="1:18" x14ac:dyDescent="0.2">
      <c r="A167" s="3" t="s">
        <v>781</v>
      </c>
      <c r="B167" s="3" t="s">
        <v>782</v>
      </c>
      <c r="C167" s="5" t="s">
        <v>20</v>
      </c>
      <c r="D167" s="5">
        <v>0.33</v>
      </c>
      <c r="E167" s="3" t="s">
        <v>783</v>
      </c>
      <c r="F167" s="1">
        <v>44688</v>
      </c>
      <c r="G167" s="3" t="s">
        <v>22</v>
      </c>
      <c r="H167" s="4">
        <v>17.440000000000001</v>
      </c>
      <c r="I167" s="4">
        <v>17.440000000000001</v>
      </c>
      <c r="J167" s="5" t="s">
        <v>20</v>
      </c>
      <c r="K167" s="5" t="s">
        <v>20</v>
      </c>
      <c r="L167" s="5">
        <v>52.27</v>
      </c>
      <c r="M167" s="5">
        <v>0.33</v>
      </c>
      <c r="N167" s="5">
        <v>1.67</v>
      </c>
      <c r="O167" s="6" t="s">
        <v>784</v>
      </c>
      <c r="P167" s="3" t="s">
        <v>710</v>
      </c>
      <c r="Q167" s="3" t="s">
        <v>785</v>
      </c>
      <c r="R167" s="8" t="str">
        <f>HYPERLINK("https://my.pitchbook.com?c=210673-18T","View Company Online")</f>
        <v>View Company Online</v>
      </c>
    </row>
    <row r="168" spans="1:18" x14ac:dyDescent="0.2">
      <c r="A168" s="9" t="s">
        <v>786</v>
      </c>
      <c r="B168" s="9" t="s">
        <v>787</v>
      </c>
      <c r="C168" s="11">
        <v>1.06</v>
      </c>
      <c r="D168" s="11">
        <v>0.25</v>
      </c>
      <c r="E168" s="9" t="s">
        <v>788</v>
      </c>
      <c r="F168" s="13">
        <v>45728</v>
      </c>
      <c r="G168" s="9" t="s">
        <v>22</v>
      </c>
      <c r="H168" s="12">
        <v>400</v>
      </c>
      <c r="I168" s="12">
        <v>400</v>
      </c>
      <c r="J168" s="11">
        <v>360.9</v>
      </c>
      <c r="K168" s="11">
        <v>1.1100000000000001</v>
      </c>
      <c r="L168" s="11">
        <v>1538.74</v>
      </c>
      <c r="M168" s="11">
        <v>0.26</v>
      </c>
      <c r="N168" s="11">
        <v>-147.22999999999999</v>
      </c>
      <c r="O168" s="10" t="s">
        <v>789</v>
      </c>
      <c r="P168" s="9" t="s">
        <v>249</v>
      </c>
      <c r="Q168" s="9" t="s">
        <v>790</v>
      </c>
      <c r="R168" s="7" t="str">
        <f>HYPERLINK("https://my.pitchbook.com?c=268427-53T","View Company Online")</f>
        <v>View Company Online</v>
      </c>
    </row>
    <row r="169" spans="1:18" x14ac:dyDescent="0.2">
      <c r="A169" s="3" t="s">
        <v>791</v>
      </c>
      <c r="B169" s="3" t="s">
        <v>792</v>
      </c>
      <c r="C169" s="5" t="s">
        <v>20</v>
      </c>
      <c r="D169" s="5">
        <v>0.23</v>
      </c>
      <c r="E169" s="3" t="s">
        <v>793</v>
      </c>
      <c r="F169" s="1">
        <v>44708</v>
      </c>
      <c r="G169" s="3" t="s">
        <v>22</v>
      </c>
      <c r="H169" s="4">
        <v>29.97</v>
      </c>
      <c r="I169" s="4">
        <v>29.97</v>
      </c>
      <c r="J169" s="5" t="s">
        <v>20</v>
      </c>
      <c r="K169" s="5" t="s">
        <v>20</v>
      </c>
      <c r="L169" s="5">
        <v>130</v>
      </c>
      <c r="M169" s="5">
        <v>0.23</v>
      </c>
      <c r="N169" s="5" t="s">
        <v>20</v>
      </c>
      <c r="O169" s="6" t="s">
        <v>794</v>
      </c>
      <c r="P169" s="3" t="s">
        <v>24</v>
      </c>
      <c r="Q169" s="3" t="s">
        <v>99</v>
      </c>
      <c r="R169" s="8" t="str">
        <f>HYPERLINK("https://my.pitchbook.com?c=190895-23T","View Company Online")</f>
        <v>View Company Online</v>
      </c>
    </row>
    <row r="170" spans="1:18" x14ac:dyDescent="0.2">
      <c r="A170" s="9" t="s">
        <v>795</v>
      </c>
      <c r="B170" s="9" t="s">
        <v>796</v>
      </c>
      <c r="C170" s="11" t="s">
        <v>20</v>
      </c>
      <c r="D170" s="11">
        <v>0.16</v>
      </c>
      <c r="E170" s="9" t="s">
        <v>797</v>
      </c>
      <c r="F170" s="13">
        <v>44300</v>
      </c>
      <c r="G170" s="9" t="s">
        <v>22</v>
      </c>
      <c r="H170" s="12">
        <v>0.28000000000000003</v>
      </c>
      <c r="I170" s="12">
        <v>0.28000000000000003</v>
      </c>
      <c r="J170" s="11" t="s">
        <v>20</v>
      </c>
      <c r="K170" s="11" t="s">
        <v>20</v>
      </c>
      <c r="L170" s="11">
        <v>1.8</v>
      </c>
      <c r="M170" s="11">
        <v>0.16</v>
      </c>
      <c r="N170" s="11" t="s">
        <v>20</v>
      </c>
      <c r="O170" s="10" t="s">
        <v>798</v>
      </c>
      <c r="P170" s="9" t="s">
        <v>76</v>
      </c>
      <c r="Q170" s="9" t="s">
        <v>799</v>
      </c>
      <c r="R170" s="7" t="str">
        <f>HYPERLINK("https://my.pitchbook.com?c=170673-49T","View Company Online")</f>
        <v>View Company Online</v>
      </c>
    </row>
    <row r="171" spans="1:18" x14ac:dyDescent="0.2">
      <c r="A171" s="3" t="s">
        <v>800</v>
      </c>
      <c r="B171" s="3" t="s">
        <v>801</v>
      </c>
      <c r="C171" s="5" t="s">
        <v>20</v>
      </c>
      <c r="D171" s="5">
        <v>0.15</v>
      </c>
      <c r="E171" s="3" t="s">
        <v>802</v>
      </c>
      <c r="F171" s="1">
        <v>44677</v>
      </c>
      <c r="G171" s="3" t="s">
        <v>22</v>
      </c>
      <c r="H171" s="4">
        <v>0.68</v>
      </c>
      <c r="I171" s="4">
        <v>0.68</v>
      </c>
      <c r="J171" s="5" t="s">
        <v>20</v>
      </c>
      <c r="K171" s="5" t="s">
        <v>20</v>
      </c>
      <c r="L171" s="5">
        <v>4.5</v>
      </c>
      <c r="M171" s="5">
        <v>0.15</v>
      </c>
      <c r="N171" s="5" t="s">
        <v>20</v>
      </c>
      <c r="O171" s="6" t="s">
        <v>803</v>
      </c>
      <c r="P171" s="3" t="s">
        <v>804</v>
      </c>
      <c r="Q171" s="3" t="s">
        <v>805</v>
      </c>
      <c r="R171" s="8" t="str">
        <f>HYPERLINK("https://my.pitchbook.com?c=183548-53T","View Company Online")</f>
        <v>View Company Online</v>
      </c>
    </row>
    <row r="172" spans="1:18" x14ac:dyDescent="0.2">
      <c r="A172" s="9" t="s">
        <v>806</v>
      </c>
      <c r="B172" s="9" t="s">
        <v>807</v>
      </c>
      <c r="C172" s="11" t="s">
        <v>20</v>
      </c>
      <c r="D172" s="11">
        <v>1.1299999999999999</v>
      </c>
      <c r="E172" s="9" t="s">
        <v>808</v>
      </c>
      <c r="F172" s="13">
        <v>44985</v>
      </c>
      <c r="G172" s="9" t="s">
        <v>22</v>
      </c>
      <c r="H172" s="12">
        <v>67</v>
      </c>
      <c r="I172" s="12">
        <v>67</v>
      </c>
      <c r="J172" s="11">
        <v>-6.55</v>
      </c>
      <c r="K172" s="11">
        <v>-10.220000000000001</v>
      </c>
      <c r="L172" s="11">
        <v>497</v>
      </c>
      <c r="M172" s="11">
        <v>0.13</v>
      </c>
      <c r="N172" s="11">
        <v>-67.77</v>
      </c>
      <c r="O172" s="10" t="s">
        <v>809</v>
      </c>
      <c r="P172" s="9" t="s">
        <v>328</v>
      </c>
      <c r="Q172" s="9" t="s">
        <v>428</v>
      </c>
      <c r="R172" s="7" t="str">
        <f>HYPERLINK("https://my.pitchbook.com?c=208649-26T","View Company Online")</f>
        <v>View Company Online</v>
      </c>
    </row>
    <row r="174" spans="1:18" x14ac:dyDescent="0.2">
      <c r="A174" s="14" t="s">
        <v>810</v>
      </c>
    </row>
  </sheetData>
  <mergeCells count="1">
    <mergeCell ref="B4:D5"/>
  </mergeCells>
  <hyperlinks>
    <hyperlink ref="B3"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heetViews>
  <sheetFormatPr baseColWidth="10" defaultColWidth="8.83203125" defaultRowHeight="15" x14ac:dyDescent="0.2"/>
  <cols>
    <col min="1" max="1" width="10.5" customWidth="1"/>
    <col min="2" max="2" width="49.1640625" customWidth="1"/>
    <col min="3" max="3" width="27.6640625" customWidth="1"/>
    <col min="4" max="4" width="4.5" customWidth="1"/>
    <col min="5" max="5" width="22.1640625" customWidth="1"/>
  </cols>
  <sheetData>
    <row r="1" spans="1:5" ht="20" x14ac:dyDescent="0.2">
      <c r="A1" s="21" t="s">
        <v>819</v>
      </c>
    </row>
    <row r="3" spans="1:5" x14ac:dyDescent="0.2">
      <c r="A3" s="22" t="s">
        <v>820</v>
      </c>
    </row>
    <row r="4" spans="1:5" x14ac:dyDescent="0.2">
      <c r="A4" s="23" t="s">
        <v>821</v>
      </c>
    </row>
    <row r="6" spans="1:5" x14ac:dyDescent="0.2">
      <c r="A6" s="22" t="s">
        <v>822</v>
      </c>
      <c r="C6" s="23" t="s">
        <v>823</v>
      </c>
      <c r="E6" s="22" t="s">
        <v>824</v>
      </c>
    </row>
    <row r="8" spans="1:5" x14ac:dyDescent="0.2">
      <c r="A8" s="22" t="s">
        <v>825</v>
      </c>
    </row>
    <row r="9" spans="1:5" x14ac:dyDescent="0.2">
      <c r="A9" s="24" t="s">
        <v>826</v>
      </c>
      <c r="B9" s="22" t="s">
        <v>827</v>
      </c>
    </row>
    <row r="10" spans="1:5" x14ac:dyDescent="0.2">
      <c r="A10" s="24" t="s">
        <v>828</v>
      </c>
      <c r="B10" s="22" t="s">
        <v>829</v>
      </c>
    </row>
    <row r="11" spans="1:5" x14ac:dyDescent="0.2">
      <c r="A11" s="24" t="s">
        <v>830</v>
      </c>
      <c r="B11" s="22" t="s">
        <v>831</v>
      </c>
    </row>
    <row r="13" spans="1:5" x14ac:dyDescent="0.2">
      <c r="A13" s="22" t="s">
        <v>832</v>
      </c>
      <c r="B13" s="23" t="s">
        <v>821</v>
      </c>
    </row>
    <row r="15" spans="1:5" x14ac:dyDescent="0.2">
      <c r="A15" s="14" t="s">
        <v>810</v>
      </c>
    </row>
  </sheetData>
  <sheetProtection algorithmName="SHA-512" hashValue="v5pBzGzCLRx2/NBUB7NYNGGVhyCx+Y5n3mivDiRl+yuSanksy5OjDkNbpaCTqTyXgYWRcMsYwDF++L/nNr6sWA==" saltValue="OOkXYAoQPtcPuaO6VFo0Vg==" spinCount="100000" sheet="1" objects="1" scenarios="1"/>
  <hyperlinks>
    <hyperlink ref="A4" r:id="rId1" xr:uid="{00000000-0004-0000-0100-000000000000}"/>
    <hyperlink ref="C6" r:id="rId2" xr:uid="{00000000-0004-0000-0100-000001000000}"/>
    <hyperlink ref="B13"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Videoconferencia IGNIA</cp:lastModifiedBy>
  <dcterms:created xsi:type="dcterms:W3CDTF">2025-05-20T20:46:42Z</dcterms:created>
  <dcterms:modified xsi:type="dcterms:W3CDTF">2025-05-20T20:46:42Z</dcterms:modified>
</cp:coreProperties>
</file>