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oriux/Desktop/no personal names/"/>
    </mc:Choice>
  </mc:AlternateContent>
  <xr:revisionPtr revIDLastSave="0" documentId="13_ncr:1_{CB0CF345-29E4-4D46-8E3B-85C726A04FFC}" xr6:coauthVersionLast="46" xr6:coauthVersionMax="46" xr10:uidLastSave="{00000000-0000-0000-0000-000000000000}"/>
  <bookViews>
    <workbookView xWindow="340" yWindow="1020" windowWidth="25680" windowHeight="16380" tabRatio="602" activeTab="4" xr2:uid="{00000000-000D-0000-FFFF-FFFF00000000}"/>
  </bookViews>
  <sheets>
    <sheet name="Thatcher et al. 2010" sheetId="1" r:id="rId1"/>
    <sheet name="NRC 2006" sheetId="2" r:id="rId2"/>
    <sheet name="USDA tortilla &amp; dry corn kcal" sheetId="3" r:id="rId3"/>
    <sheet name="Maize to dogs" sheetId="4" r:id="rId4"/>
    <sheet name="Milpa maize that dogs protec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G17" i="1" s="1"/>
  <c r="J5" i="2"/>
  <c r="O5" i="1"/>
  <c r="G7" i="2"/>
  <c r="G23" i="2"/>
  <c r="G12" i="2"/>
  <c r="G14" i="2"/>
  <c r="G13" i="2"/>
  <c r="G8" i="2"/>
  <c r="G9" i="2"/>
  <c r="J9" i="2" s="1"/>
  <c r="G10" i="2"/>
  <c r="D15" i="4"/>
  <c r="V5" i="2"/>
  <c r="U8" i="2" s="1"/>
  <c r="D7" i="5"/>
  <c r="F11" i="5" s="1"/>
  <c r="J23" i="4"/>
  <c r="D23" i="4"/>
  <c r="U11" i="2"/>
  <c r="D42" i="4"/>
  <c r="F42" i="4" s="1"/>
  <c r="D51" i="4"/>
  <c r="E51" i="4" s="1"/>
  <c r="D50" i="4"/>
  <c r="E50" i="4"/>
  <c r="D49" i="4"/>
  <c r="E49" i="4" s="1"/>
  <c r="D48" i="4"/>
  <c r="E48" i="4"/>
  <c r="I51" i="4"/>
  <c r="J51" i="4" s="1"/>
  <c r="I50" i="4"/>
  <c r="J50" i="4" s="1"/>
  <c r="I49" i="4"/>
  <c r="J49" i="4" s="1"/>
  <c r="I48" i="4"/>
  <c r="J48" i="4" s="1"/>
  <c r="I45" i="4"/>
  <c r="J45" i="4" s="1"/>
  <c r="I44" i="4"/>
  <c r="K44" i="4" s="1"/>
  <c r="J44" i="4"/>
  <c r="I43" i="4"/>
  <c r="J43" i="4" s="1"/>
  <c r="I42" i="4"/>
  <c r="J42" i="4"/>
  <c r="D43" i="4"/>
  <c r="E43" i="4" s="1"/>
  <c r="D44" i="4"/>
  <c r="E44" i="4" s="1"/>
  <c r="D45" i="4"/>
  <c r="E45" i="4" s="1"/>
  <c r="G7" i="5"/>
  <c r="D12" i="5"/>
  <c r="C16" i="4"/>
  <c r="J24" i="4" s="1"/>
  <c r="C17" i="4"/>
  <c r="J25" i="4" s="1"/>
  <c r="C18" i="4"/>
  <c r="J26" i="4" s="1"/>
  <c r="K23" i="4"/>
  <c r="F24" i="4"/>
  <c r="G24" i="4" s="1"/>
  <c r="F26" i="4"/>
  <c r="G26" i="4" s="1"/>
  <c r="F23" i="4"/>
  <c r="G23" i="4" s="1"/>
  <c r="E12" i="5"/>
  <c r="E11" i="5"/>
  <c r="L23" i="4"/>
  <c r="H23" i="4"/>
  <c r="K49" i="4"/>
  <c r="K50" i="4"/>
  <c r="K43" i="4"/>
  <c r="K45" i="4"/>
  <c r="K42" i="4"/>
  <c r="F48" i="4"/>
  <c r="F51" i="4"/>
  <c r="C51" i="4"/>
  <c r="F50" i="4"/>
  <c r="C50" i="4"/>
  <c r="F49" i="4"/>
  <c r="C49" i="4"/>
  <c r="C48" i="4"/>
  <c r="C43" i="4"/>
  <c r="C44" i="4"/>
  <c r="C42" i="4"/>
  <c r="F45" i="4"/>
  <c r="F44" i="4"/>
  <c r="J15" i="4"/>
  <c r="K15" i="4" s="1"/>
  <c r="J18" i="4"/>
  <c r="K18" i="4"/>
  <c r="J17" i="4"/>
  <c r="K17" i="4" s="1"/>
  <c r="I17" i="4"/>
  <c r="I18" i="4"/>
  <c r="I15" i="4"/>
  <c r="F15" i="4"/>
  <c r="F17" i="4"/>
  <c r="F18" i="4"/>
  <c r="G18" i="4"/>
  <c r="H18" i="4" s="1"/>
  <c r="G17" i="4"/>
  <c r="H17" i="4" s="1"/>
  <c r="G15" i="4"/>
  <c r="H15" i="4" s="1"/>
  <c r="H26" i="4"/>
  <c r="H24" i="4"/>
  <c r="D25" i="4"/>
  <c r="D26" i="4"/>
  <c r="D16" i="4"/>
  <c r="D17" i="4"/>
  <c r="D18" i="4"/>
  <c r="U32" i="2"/>
  <c r="U25" i="2"/>
  <c r="U26" i="2"/>
  <c r="U27" i="2"/>
  <c r="U24" i="2"/>
  <c r="U19" i="2"/>
  <c r="U9" i="2"/>
  <c r="U12" i="2"/>
  <c r="J23" i="2"/>
  <c r="J14" i="2"/>
  <c r="J8" i="2"/>
  <c r="J10" i="2"/>
  <c r="J12" i="2"/>
  <c r="J13" i="2"/>
  <c r="H33" i="1"/>
  <c r="H32" i="1"/>
  <c r="H29" i="1"/>
  <c r="H28" i="1"/>
  <c r="H27" i="1"/>
  <c r="H26" i="1"/>
  <c r="H25" i="1"/>
  <c r="H24" i="1"/>
  <c r="H21" i="1"/>
  <c r="H20" i="1"/>
  <c r="H15" i="1"/>
  <c r="H17" i="1"/>
  <c r="H16" i="1"/>
  <c r="G15" i="1"/>
  <c r="G16" i="1"/>
  <c r="H12" i="1"/>
  <c r="H9" i="1"/>
  <c r="H6" i="1"/>
  <c r="G7" i="1"/>
  <c r="G8" i="1"/>
  <c r="G9" i="1"/>
  <c r="G10" i="1"/>
  <c r="G11" i="1"/>
  <c r="G12" i="1"/>
  <c r="G18" i="5" l="1"/>
  <c r="H11" i="5"/>
  <c r="G11" i="5"/>
  <c r="I11" i="5"/>
  <c r="J7" i="2"/>
  <c r="J16" i="4"/>
  <c r="K16" i="4" s="1"/>
  <c r="K48" i="4"/>
  <c r="F16" i="4"/>
  <c r="F43" i="4"/>
  <c r="C45" i="4"/>
  <c r="K51" i="4"/>
  <c r="F12" i="5"/>
  <c r="G16" i="4"/>
  <c r="H16" i="4" s="1"/>
  <c r="D24" i="4"/>
  <c r="I16" i="4"/>
  <c r="E42" i="4"/>
  <c r="N25" i="1"/>
  <c r="G6" i="1"/>
  <c r="M6" i="1" s="1"/>
  <c r="M11" i="1"/>
  <c r="N33" i="1"/>
  <c r="M7" i="1"/>
  <c r="M17" i="1"/>
  <c r="M8" i="1"/>
  <c r="N12" i="1"/>
  <c r="N16" i="1"/>
  <c r="N21" i="1"/>
  <c r="M12" i="1"/>
  <c r="M16" i="1"/>
  <c r="N24" i="1"/>
  <c r="M9" i="1"/>
  <c r="N6" i="1"/>
  <c r="N17" i="1"/>
  <c r="N28" i="1"/>
  <c r="M10" i="1"/>
  <c r="N9" i="1"/>
  <c r="N15" i="1"/>
  <c r="N27" i="1"/>
  <c r="N26" i="1"/>
  <c r="N29" i="1"/>
  <c r="M15" i="1"/>
  <c r="N20" i="1"/>
  <c r="N32" i="1"/>
  <c r="K26" i="4"/>
  <c r="L26" i="4"/>
  <c r="H12" i="5"/>
  <c r="G19" i="5"/>
  <c r="D19" i="5"/>
  <c r="G12" i="5"/>
  <c r="I12" i="5"/>
  <c r="L25" i="4"/>
  <c r="K25" i="4"/>
  <c r="K24" i="4"/>
  <c r="L24" i="4"/>
  <c r="D13" i="5"/>
  <c r="E13" i="5" s="1"/>
  <c r="D18" i="5"/>
  <c r="F25" i="4"/>
  <c r="H25" i="4" l="1"/>
  <c r="G25" i="4"/>
  <c r="F13" i="5"/>
  <c r="G13" i="5" l="1"/>
  <c r="I13" i="5"/>
  <c r="G20" i="5"/>
  <c r="H13" i="5"/>
  <c r="D2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Pacheco-Cobos</author>
  </authors>
  <commentList>
    <comment ref="H3" authorId="0" shapeId="0" xr:uid="{00000000-0006-0000-0000-000001000000}">
      <text>
        <r>
          <rPr>
            <b/>
            <sz val="9"/>
            <color rgb="FF000000"/>
            <rFont val="Calibri"/>
            <family val="2"/>
          </rPr>
          <t xml:space="preserve">Koster and Tankersley (2012: E468)
</t>
        </r>
        <r>
          <rPr>
            <sz val="9"/>
            <color rgb="FF000000"/>
            <rFont val="Calibri"/>
            <family val="2"/>
          </rPr>
          <t xml:space="preserve">Eighteen dogs were identified by their owners as full-sized dogs (Dataset S2). Among these dogs, the weight of the nine male dogs (12 </t>
        </r>
        <r>
          <rPr>
            <sz val="9"/>
            <color rgb="FF000000"/>
            <rFont val="Calibri"/>
            <family val="2"/>
          </rPr>
          <t>±</t>
        </r>
        <r>
          <rPr>
            <sz val="9"/>
            <color rgb="FF000000"/>
            <rFont val="Calibri"/>
            <family val="2"/>
          </rPr>
          <t xml:space="preserve"> 6 kg) was slightly higher than the weight of the nine female dogs (11.1 </t>
        </r>
        <r>
          <rPr>
            <sz val="9"/>
            <color rgb="FF000000"/>
            <rFont val="Calibri"/>
            <family val="2"/>
          </rPr>
          <t>±</t>
        </r>
        <r>
          <rPr>
            <sz val="9"/>
            <color rgb="FF000000"/>
            <rFont val="Calibri"/>
            <family val="2"/>
          </rPr>
          <t xml:space="preserve"> 2.3 kg).</t>
        </r>
      </text>
    </comment>
    <comment ref="F4" authorId="0" shapeId="0" xr:uid="{00000000-0006-0000-0000-000002000000}">
      <text>
        <r>
          <rPr>
            <b/>
            <sz val="9"/>
            <color rgb="FF000000"/>
            <rFont val="Calibri"/>
            <family val="2"/>
          </rPr>
          <t xml:space="preserve">Daily Energy Requirement (DER)
</t>
        </r>
        <r>
          <rPr>
            <b/>
            <sz val="9"/>
            <color rgb="FF000000"/>
            <rFont val="Calibri"/>
            <family val="2"/>
          </rPr>
          <t>Metabolizable Energy (ME)</t>
        </r>
      </text>
    </comment>
    <comment ref="J4" authorId="0" shapeId="0" xr:uid="{00000000-0006-0000-0000-000003000000}">
      <text>
        <r>
          <rPr>
            <b/>
            <sz val="9"/>
            <color rgb="FF000000"/>
            <rFont val="Calibri"/>
            <family val="2"/>
          </rPr>
          <t>Resting Energy Requirement (RER)</t>
        </r>
      </text>
    </comment>
    <comment ref="P5" authorId="0" shapeId="0" xr:uid="{00000000-0006-0000-0000-000004000000}">
      <text>
        <r>
          <rPr>
            <b/>
            <sz val="9"/>
            <color rgb="FF000000"/>
            <rFont val="Calibri"/>
            <family val="2"/>
          </rPr>
          <t>Pick # of tortillas here</t>
        </r>
      </text>
    </comment>
    <comment ref="D12" authorId="0" shapeId="0" xr:uid="{00000000-0006-0000-0000-000005000000}">
      <text>
        <r>
          <rPr>
            <b/>
            <sz val="9"/>
            <color rgb="FF000000"/>
            <rFont val="Calibri"/>
            <family val="2"/>
          </rPr>
          <t>at ideal weight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Pacheco-Cobos</author>
  </authors>
  <commentList>
    <comment ref="B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Complemented with interpretations by
Fascetti, A. J. (2010). Nutritional management and disease prevention in healthy dogs and cats. Revista Brasileira de Zootecnia, 39, 42-51.
Feuer (2006) Your dog's nutritional needs: a science-based guide for pet owners. [Pamphlet]
*Nutrient Requirements of Dogs and Cats [limited view in Google Books, with Ch11 'Physical Activity and Environment' not available]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(to get DER multiply by RER)</t>
        </r>
      </text>
    </comment>
    <comment ref="E4" authorId="0" shapeId="0" xr:uid="{00000000-0006-0000-0100-000003000000}">
      <text>
        <r>
          <rPr>
            <b/>
            <sz val="9"/>
            <color indexed="81"/>
            <rFont val="Calibri"/>
            <family val="2"/>
          </rPr>
          <t>Maintenance Energy Requirement (MER)
==equivalent term to==
Daily Energy Requirement (DER)
Metabolizable Energy (ME)</t>
        </r>
      </text>
    </comment>
    <comment ref="G4" authorId="0" shapeId="0" xr:uid="{00000000-0006-0000-0100-000004000000}">
      <text>
        <r>
          <rPr>
            <b/>
            <sz val="9"/>
            <color indexed="81"/>
            <rFont val="Calibri"/>
            <family val="2"/>
          </rPr>
          <t>RER activity-adjusted</t>
        </r>
      </text>
    </comment>
    <comment ref="H4" authorId="0" shapeId="0" xr:uid="{00000000-0006-0000-0100-000005000000}">
      <text>
        <r>
          <rPr>
            <b/>
            <sz val="9"/>
            <color indexed="81"/>
            <rFont val="Calibri"/>
            <family val="2"/>
          </rPr>
          <t>Basic Metabolic Rate (BMR)
== equivalent term to ==
Resting Energy Requirement (RER)</t>
        </r>
      </text>
    </comment>
    <comment ref="F5" authorId="0" shapeId="0" xr:uid="{00000000-0006-0000-0100-000006000000}">
      <text>
        <r>
          <rPr>
            <b/>
            <sz val="9"/>
            <color indexed="81"/>
            <rFont val="Calibri"/>
            <family val="2"/>
          </rPr>
          <t xml:space="preserve">Koster and Tankersley (2012: E468)
</t>
        </r>
        <r>
          <rPr>
            <sz val="9"/>
            <color indexed="81"/>
            <rFont val="Calibri"/>
            <family val="2"/>
          </rPr>
          <t>Eighteen dogs were identified by their owners as full-sized dogs (Dataset S2). Among these dogs, the weight of the nine male dogs (12 ± 6 kg) was slightly higher than the weight of the nine female dogs (11.1 ± 2.3 kg).</t>
        </r>
      </text>
    </comment>
    <comment ref="K5" authorId="0" shapeId="0" xr:uid="{00000000-0006-0000-0100-000007000000}">
      <text>
        <r>
          <rPr>
            <b/>
            <sz val="9"/>
            <color indexed="81"/>
            <rFont val="Calibri"/>
            <family val="2"/>
          </rPr>
          <t>Pick # of tortillas here</t>
        </r>
      </text>
    </comment>
    <comment ref="N8" authorId="0" shapeId="0" xr:uid="{00000000-0006-0000-0100-000008000000}">
      <text>
        <r>
          <rPr>
            <b/>
            <sz val="9"/>
            <color indexed="81"/>
            <rFont val="Calibri"/>
            <family val="2"/>
          </rPr>
          <t>Should this value be close to the one in G8 cell?
Yes, it actually is (see BW's e-mail with order adjustment)</t>
        </r>
      </text>
    </comment>
    <comment ref="B11" authorId="0" shapeId="0" xr:uid="{00000000-0006-0000-0100-000009000000}">
      <text>
        <r>
          <rPr>
            <b/>
            <sz val="9"/>
            <color indexed="81"/>
            <rFont val="Calibri"/>
            <family val="2"/>
          </rPr>
          <t>dogs with strong stimulus and ample opportunity to exercise, such as dogs in households with more than one dog, in the country or with a large yard</t>
        </r>
      </text>
    </comment>
    <comment ref="B19" authorId="0" shapeId="0" xr:uid="{00000000-0006-0000-0100-00000A000000}">
      <text>
        <r>
          <rPr>
            <b/>
            <sz val="9"/>
            <color indexed="81"/>
            <rFont val="Calibri"/>
            <family val="2"/>
          </rPr>
          <t xml:space="preserve">
</t>
        </r>
      </text>
    </comment>
    <comment ref="B32" authorId="0" shapeId="0" xr:uid="{00000000-0006-0000-0100-00000B000000}">
      <text>
        <r>
          <rPr>
            <b/>
            <sz val="9"/>
            <color indexed="81"/>
            <rFont val="Calibri"/>
            <family val="2"/>
          </rPr>
          <t>(10 lb puppy growing to 33 lb at maturity)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Pacheco-Cobos</author>
  </authors>
  <commentList>
    <comment ref="G5" authorId="0" shapeId="0" xr:uid="{00000000-0006-0000-0300-000001000000}">
      <text>
        <r>
          <rPr>
            <b/>
            <sz val="9"/>
            <color indexed="81"/>
            <rFont val="Calibri"/>
            <family val="2"/>
          </rPr>
          <t>Table # -- Origin and costs of keeping adult dogs (fraction)</t>
        </r>
      </text>
    </comment>
    <comment ref="C14" authorId="0" shapeId="0" xr:uid="{00000000-0006-0000-0300-000002000000}">
      <text>
        <r>
          <rPr>
            <b/>
            <sz val="9"/>
            <color indexed="81"/>
            <rFont val="Calibri"/>
            <family val="2"/>
          </rPr>
          <t>Average portion</t>
        </r>
      </text>
    </comment>
    <comment ref="D22" authorId="0" shapeId="0" xr:uid="{00000000-0006-0000-0300-000003000000}">
      <text>
        <r>
          <rPr>
            <b/>
            <sz val="9"/>
            <color indexed="81"/>
            <rFont val="Calibri"/>
            <family val="2"/>
          </rPr>
          <t>mind the #-dogs/HH picked</t>
        </r>
      </text>
    </comment>
    <comment ref="G22" authorId="0" shapeId="0" xr:uid="{00000000-0006-0000-0300-000004000000}">
      <text>
        <r>
          <rPr>
            <b/>
            <sz val="9"/>
            <color indexed="81"/>
            <rFont val="Calibri"/>
            <family val="2"/>
          </rPr>
          <t>The USDA reports different kcal per portion:
     --- 310 kcal in 100g of tortilla
          ($P$10 current value selected)
     --- 386 kcal in 100g of dry corn
          ($T$11 alternate value)</t>
        </r>
      </text>
    </comment>
    <comment ref="K22" authorId="0" shapeId="0" xr:uid="{00000000-0006-0000-0300-000005000000}">
      <text>
        <r>
          <rPr>
            <b/>
            <sz val="9"/>
            <color indexed="81"/>
            <rFont val="Calibri"/>
            <family val="2"/>
          </rPr>
          <t>The USDA reports different kcal per portion:
     --- 310 kcal in 100g of tortilla
          ($P$10 current value selected)
     --- 386 kcal in 100g of dry corn
          ($T$11 alternate value)</t>
        </r>
      </text>
    </comment>
    <comment ref="C41" authorId="0" shapeId="0" xr:uid="{00000000-0006-0000-0300-000006000000}">
      <text>
        <r>
          <rPr>
            <b/>
            <sz val="9"/>
            <color indexed="81"/>
            <rFont val="Calibri"/>
            <family val="2"/>
          </rPr>
          <t>Dogs' share would come from here</t>
        </r>
      </text>
    </comment>
    <comment ref="C47" authorId="0" shapeId="0" xr:uid="{00000000-0006-0000-0300-000007000000}">
      <text>
        <r>
          <rPr>
            <b/>
            <sz val="9"/>
            <color indexed="81"/>
            <rFont val="Calibri"/>
            <family val="2"/>
          </rPr>
          <t>Dogs' share would come from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Pacheco-Cobos</author>
  </authors>
  <commentList>
    <comment ref="L4" authorId="0" shapeId="0" xr:uid="{00000000-0006-0000-0400-000001000000}">
      <text>
        <r>
          <rPr>
            <b/>
            <sz val="9"/>
            <color rgb="FF000000"/>
            <rFont val="Calibri"/>
            <family val="2"/>
          </rPr>
          <t>([PDTE TRANSCRIBIR INICIO]…8:39 horas en milpa de Pedro visita para revisar coche de monte y otros detalles: 002 donde comió ayer tres plantas; 003 donde comió hoy dos plantas; 004 donde comió hoy cuatro plantas; 005 marca de donde pasó el venado, hay foto también; 006 marca de donde pasó la tuza, 8 de 10 trampas le sirvieron para cpturar tuzas el año pasado; 007 otra planta…conteo hasta doce plantas que comieron los coches ayer; el yaax kin [col] que sembró en 2010 y que cosechó en abril de 2011, ese fue el que los coches se comieron, como 12-14 tareas casi una manzana, dejando muy poco; 9:12 hrs sitio en que sembró pero no germinó por que llovió mucho y se taparon los hoyitos; 008 otro animal se comió un elote + otro; 009 ; 010 coche comió dos…conteo hasta cuatro plantas; 011 planta que botó la tuza; 012 otra planta que tubmó la tuza; 013 jippi-jappa; 014 junto al rancho, se ve el monte que comió el venado; ~010 caminando por la esquina, donde dejamos de caminar junto ha'il che, junto por donde pasaron y comieron los coches el año pasado, consumieron como diez sacos de maíz, sólo sacó cinco sacos ese año [la mitad de su cosecha], 10:16-10:22 hrs Tuli persiguió algo, Pedro comenta que por ahí pasan los coches; el maíz que se junto es para los coches [porque esta está dañado]…[PDTE TRANSCRIBIR FIN])</t>
        </r>
      </text>
    </comment>
    <comment ref="L7" authorId="0" shapeId="0" xr:uid="{00000000-0006-0000-0400-000002000000}">
      <text>
        <r>
          <rPr>
            <b/>
            <sz val="9"/>
            <color rgb="FF000000"/>
            <rFont val="Calibri"/>
            <family val="2"/>
          </rPr>
          <t>Prufer, K., &amp; Thompson, A. E. (2016). Lidar-Based Analyses of Anthropogenic Landscape Alterations as a Component of the Built Environment. Advances in Archaeological Practice, 4(3), 393-409. doi:10.7183/2326-3768.4.3.393</t>
        </r>
      </text>
    </comment>
    <comment ref="G10" authorId="0" shapeId="0" xr:uid="{00000000-0006-0000-0400-000003000000}">
      <text>
        <r>
          <rPr>
            <b/>
            <sz val="9"/>
            <color indexed="81"/>
            <rFont val="Calibri"/>
            <family val="2"/>
          </rPr>
          <t>USDA tortilla de maiz value</t>
        </r>
      </text>
    </comment>
    <comment ref="H10" authorId="0" shapeId="0" xr:uid="{00000000-0006-0000-0400-000004000000}">
      <text>
        <r>
          <rPr>
            <b/>
            <sz val="9"/>
            <color indexed="81"/>
            <rFont val="Calibri"/>
            <family val="2"/>
          </rPr>
          <t>USDA dry corn value</t>
        </r>
      </text>
    </comment>
    <comment ref="I10" authorId="0" shapeId="0" xr:uid="{00000000-0006-0000-0400-000005000000}">
      <text>
        <r>
          <rPr>
            <b/>
            <sz val="9"/>
            <color indexed="81"/>
            <rFont val="Calibri"/>
            <family val="2"/>
          </rPr>
          <t>or' % of corn production that dogs guard (kg)'</t>
        </r>
      </text>
    </comment>
  </commentList>
</comments>
</file>

<file path=xl/sharedStrings.xml><?xml version="1.0" encoding="utf-8"?>
<sst xmlns="http://schemas.openxmlformats.org/spreadsheetml/2006/main" count="455" uniqueCount="233">
  <si>
    <t>Body Weight (BW) kg</t>
  </si>
  <si>
    <r>
      <rPr>
        <b/>
        <sz val="12"/>
        <color theme="1"/>
        <rFont val="Calibri"/>
        <family val="2"/>
        <scheme val="minor"/>
      </rPr>
      <t>RER</t>
    </r>
    <r>
      <rPr>
        <sz val="12"/>
        <color theme="1"/>
        <rFont val="Calibri"/>
        <family val="2"/>
        <scheme val="minor"/>
      </rPr>
      <t xml:space="preserve"> kcal ME/day =</t>
    </r>
  </si>
  <si>
    <t>Maintenance</t>
  </si>
  <si>
    <t>Neutered adult</t>
  </si>
  <si>
    <t>Intact adult</t>
  </si>
  <si>
    <t>min</t>
  </si>
  <si>
    <t>max</t>
  </si>
  <si>
    <t>Weight loss</t>
  </si>
  <si>
    <t>Critical care</t>
  </si>
  <si>
    <t>Weight gain</t>
  </si>
  <si>
    <t>Work</t>
  </si>
  <si>
    <t>Light work</t>
  </si>
  <si>
    <t>Moderate work</t>
  </si>
  <si>
    <t>Heavy work</t>
  </si>
  <si>
    <t>Thatcher, C., Hand, M. S., &amp; Remillard, R. L. (2010). Small animalclinical nutrition: an iterative process. In C. Thatcher, M. S. Hand, &amp; R. L. Remillard (Eds.), Smallanimal clinical nutrition (pp. 3-21). Topeka: Mark Morris Institute.</t>
  </si>
  <si>
    <r>
      <rPr>
        <b/>
        <sz val="12"/>
        <color theme="1"/>
        <rFont val="Calibri"/>
        <family val="2"/>
        <scheme val="minor"/>
      </rPr>
      <t>DER</t>
    </r>
    <r>
      <rPr>
        <sz val="12"/>
        <color theme="1"/>
        <rFont val="Calibri"/>
        <family val="2"/>
        <scheme val="minor"/>
      </rPr>
      <t xml:space="preserve"> kcal ME/day =</t>
    </r>
  </si>
  <si>
    <t>RER * Activity</t>
  </si>
  <si>
    <t>Gestation</t>
  </si>
  <si>
    <t>First 42 days == Intact adult</t>
  </si>
  <si>
    <t>Last 21 days use 3 x RER</t>
  </si>
  <si>
    <r>
      <t>Lactation</t>
    </r>
    <r>
      <rPr>
        <sz val="12"/>
        <color theme="1"/>
        <rFont val="Calibri"/>
        <family val="2"/>
        <scheme val="minor"/>
      </rPr>
      <t xml:space="preserve"> (no. puppies)</t>
    </r>
  </si>
  <si>
    <t>3 to 4</t>
  </si>
  <si>
    <t>5 to 6</t>
  </si>
  <si>
    <t>7 to 8</t>
  </si>
  <si>
    <r>
      <rPr>
        <b/>
        <sz val="12"/>
        <color theme="1"/>
        <rFont val="Calibri"/>
        <family val="2"/>
        <scheme val="minor"/>
      </rPr>
      <t>Activity</t>
    </r>
    <r>
      <rPr>
        <sz val="12"/>
        <color theme="1"/>
        <rFont val="Calibri"/>
        <family val="2"/>
        <scheme val="minor"/>
      </rPr>
      <t xml:space="preserve"> -- factor to account for (to get DER multiply by RER)</t>
    </r>
  </si>
  <si>
    <r>
      <t>Growth</t>
    </r>
    <r>
      <rPr>
        <sz val="12"/>
        <color theme="1"/>
        <rFont val="Calibri"/>
        <family val="2"/>
        <scheme val="minor"/>
      </rPr>
      <t xml:space="preserve"> (puppies)</t>
    </r>
  </si>
  <si>
    <t>National Research Council (NRC). (2006). Nutrient Requirements of Dogs and Cats. Washington, DC: The National Academies Press.</t>
  </si>
  <si>
    <r>
      <rPr>
        <b/>
        <sz val="12"/>
        <color theme="1"/>
        <rFont val="Calibri"/>
        <family val="2"/>
        <scheme val="minor"/>
      </rPr>
      <t>BMR</t>
    </r>
    <r>
      <rPr>
        <sz val="12"/>
        <color theme="1"/>
        <rFont val="Calibri"/>
        <family val="2"/>
        <scheme val="minor"/>
      </rPr>
      <t xml:space="preserve"> kcal ME/day =</t>
    </r>
  </si>
  <si>
    <t>Kenneled or active pet dogs</t>
  </si>
  <si>
    <t>Older active dogs</t>
  </si>
  <si>
    <t>Active terrier breeds</t>
  </si>
  <si>
    <t>Active Great Danes</t>
  </si>
  <si>
    <t>Newfoundlands</t>
  </si>
  <si>
    <t>Adult maintenance</t>
  </si>
  <si>
    <t>Lactation</t>
  </si>
  <si>
    <t>Growth</t>
  </si>
  <si>
    <r>
      <rPr>
        <b/>
        <sz val="12"/>
        <color theme="1"/>
        <rFont val="Calibri"/>
        <family val="2"/>
        <scheme val="minor"/>
      </rPr>
      <t>MER</t>
    </r>
    <r>
      <rPr>
        <sz val="12"/>
        <color theme="1"/>
        <rFont val="Calibri"/>
        <family val="2"/>
        <scheme val="minor"/>
      </rPr>
      <t xml:space="preserve"> kcal ME/day =</t>
    </r>
  </si>
  <si>
    <t>Young adult active dogs</t>
  </si>
  <si>
    <t>kcal</t>
  </si>
  <si>
    <t>kcal/day</t>
  </si>
  <si>
    <t>select BW =</t>
  </si>
  <si>
    <t>min kcal/day</t>
  </si>
  <si>
    <t>max kcal/day</t>
  </si>
  <si>
    <t>4.5 kg (10 lb)</t>
  </si>
  <si>
    <t>22.7kg (50 lb)</t>
  </si>
  <si>
    <t>13.6 kg (30 lb)</t>
  </si>
  <si>
    <t>31.8 kg (70 lb)</t>
  </si>
  <si>
    <t>40.8 kg (90 lb)</t>
  </si>
  <si>
    <t>Fascetti, A. J. (2010). Nutritional management and disease prevention in healthy dogs and cats. Revista Brasileira de Zootecnia, 39, 42-51.</t>
  </si>
  <si>
    <t>…</t>
  </si>
  <si>
    <t>Puppies (4.5 kg - 15 kg at maturity)</t>
  </si>
  <si>
    <t>ADE (average daily energy) -- kcal/day</t>
  </si>
  <si>
    <t>Pregnant dogs (from 4 weeks after mating until delivery)</t>
  </si>
  <si>
    <t>Adult active dogs (dogs with strong stimulus and ample opportunity to exercise, such as dogs in households with more than one dog, in the country or with a large yard)</t>
  </si>
  <si>
    <t>Inactive dogs (dogs with little stimulus or opportunity to exercise)</t>
  </si>
  <si>
    <t>w1 (22.7 kg)</t>
  </si>
  <si>
    <t>w1 (15kg)</t>
  </si>
  <si>
    <t>w2 (15kg)</t>
  </si>
  <si>
    <t>w2 (22.7 kg)</t>
  </si>
  <si>
    <t>w3 (15kg)</t>
  </si>
  <si>
    <t>w3 (22.7 kg)</t>
  </si>
  <si>
    <t>w4 (15kg)</t>
  </si>
  <si>
    <t>w4 (22.7 kg)</t>
  </si>
  <si>
    <t>Nursing dog (number of puppies)</t>
  </si>
  <si>
    <t>Weeks into Lactation -- kcal/day</t>
  </si>
  <si>
    <t>…NRC-based</t>
  </si>
  <si>
    <t>instead of 70, use the multiplier</t>
  </si>
  <si>
    <t>Source: USDA Branded Food Products Database Release October 2017 Software v.3.8.6.4 2017-10-02</t>
  </si>
  <si>
    <t>Report Run at: October 25</t>
  </si>
  <si>
    <t xml:space="preserve"> 2017 09:15 EDT</t>
  </si>
  <si>
    <t>Nutrient data for: 45011028, MAMA LOLAS'S, CORN TORTILLAS, UPC: 015073831161</t>
  </si>
  <si>
    <t>Food Group:  Branded Food Products Database</t>
  </si>
  <si>
    <t>Common Name:</t>
  </si>
  <si>
    <t>Nutrient</t>
  </si>
  <si>
    <t>Unit</t>
  </si>
  <si>
    <t>Data points</t>
  </si>
  <si>
    <t>Std. Error</t>
  </si>
  <si>
    <t>1Value per 100 g</t>
  </si>
  <si>
    <t>Proximates</t>
  </si>
  <si>
    <t>Energy</t>
  </si>
  <si>
    <t>--</t>
  </si>
  <si>
    <t>Protein</t>
  </si>
  <si>
    <t>g</t>
  </si>
  <si>
    <t>Total lipid (fat)</t>
  </si>
  <si>
    <t>Carbohydrate, by difference</t>
  </si>
  <si>
    <t>Fiber, total dietary</t>
  </si>
  <si>
    <t>Sugars, total</t>
  </si>
  <si>
    <t>Minerals</t>
  </si>
  <si>
    <t>Calcium, Ca</t>
  </si>
  <si>
    <t>mg</t>
  </si>
  <si>
    <t>Iron, Fe</t>
  </si>
  <si>
    <t>Sodium, Na</t>
  </si>
  <si>
    <t>Vitamins</t>
  </si>
  <si>
    <t>Vitamin A, IU</t>
  </si>
  <si>
    <t>IU</t>
  </si>
  <si>
    <t>Lipids</t>
  </si>
  <si>
    <t>Fatty acids, total saturated</t>
  </si>
  <si>
    <t>Cholesterol</t>
  </si>
  <si>
    <t>Amino Acids</t>
  </si>
  <si>
    <t>Other</t>
  </si>
  <si>
    <t>Ingredients</t>
  </si>
  <si>
    <t>CORN, LIME, WATER. Date available: 07/14/2017 Date last updated by company: 07/14/2017</t>
  </si>
  <si>
    <t xml:space="preserve"> 2017 08:53 EDT</t>
  </si>
  <si>
    <t>Nutrient data for: 45135964, GONZALEZ, TORTILLAS DE MAIZ CORN TORTILLAS, UPC: 748703281103</t>
  </si>
  <si>
    <t>Vitamin C, total ascorbic acid</t>
  </si>
  <si>
    <t>Fatty acids, total trans</t>
  </si>
  <si>
    <t>CORN, WATER, LIME Date available: 06/25/2017 Date last updated by company: 06/25/2017</t>
  </si>
  <si>
    <t>% MER met by 5 tortillas (kcal/day)</t>
  </si>
  <si>
    <t>fed diet kcal</t>
  </si>
  <si>
    <t>%min</t>
  </si>
  <si>
    <t>%max</t>
  </si>
  <si>
    <t>Feuer (2006) Your dog's nutritional needs: a science-based guide for pet owners. [Pamphlet]</t>
  </si>
  <si>
    <t>Weaning to 4 months of age (3*RER)</t>
  </si>
  <si>
    <t>From 4 months to adult size (2*RER)</t>
  </si>
  <si>
    <t>Cortez, C. J. (2016). Intensive Smallholding Farming in the Belizean Maya Milpa and Matahambre Agro-ecosystems. (10165765 Ph.D.), University of California, Davis.</t>
  </si>
  <si>
    <t>Maize Weights (kg/ha)</t>
  </si>
  <si>
    <t>Grain yields</t>
  </si>
  <si>
    <t>Mean</t>
  </si>
  <si>
    <t>Minimum</t>
  </si>
  <si>
    <t>Maximum</t>
  </si>
  <si>
    <t>Maize ear NO husk</t>
  </si>
  <si>
    <t>Maize ear with husk</t>
  </si>
  <si>
    <t>Damaged</t>
  </si>
  <si>
    <t>Good</t>
  </si>
  <si>
    <t>% Kernel damaged</t>
  </si>
  <si>
    <t>1 TORTILLA (g) =</t>
  </si>
  <si>
    <t>kg</t>
  </si>
  <si>
    <t>Daily</t>
  </si>
  <si>
    <t>Weekly</t>
  </si>
  <si>
    <t>Tortillas</t>
  </si>
  <si>
    <t>Monthly</t>
  </si>
  <si>
    <t>Yearly</t>
  </si>
  <si>
    <t>Days</t>
  </si>
  <si>
    <t>Per dog portions</t>
  </si>
  <si>
    <t>Tortillas to #-dogs</t>
  </si>
  <si>
    <t>kg to #-dogs</t>
  </si>
  <si>
    <t>kg to 3-dogs</t>
  </si>
  <si>
    <t>Per dogs portions</t>
  </si>
  <si>
    <t>kg to 5-dogs</t>
  </si>
  <si>
    <t>Tortillas to 3-dogs</t>
  </si>
  <si>
    <t>% 'good' corn to 3-dogs</t>
  </si>
  <si>
    <t>Tortillas to 5-dogs</t>
  </si>
  <si>
    <t>% 'good' corn to 5-dogs</t>
  </si>
  <si>
    <t>Household type</t>
  </si>
  <si>
    <t>Active hunters</t>
  </si>
  <si>
    <t>Occasional hunters</t>
  </si>
  <si>
    <t>Past hunters</t>
  </si>
  <si>
    <t>Non-hunters</t>
  </si>
  <si>
    <t>SD</t>
  </si>
  <si>
    <t>per meal (breakfast and dinner). The leftovers are for dogs and poultry.</t>
  </si>
  <si>
    <r>
      <rPr>
        <b/>
        <sz val="12"/>
        <color theme="1"/>
        <rFont val="Calibri"/>
        <family val="2"/>
        <scheme val="minor"/>
      </rPr>
      <t>Estrella Chevez (notes)</t>
    </r>
  </si>
  <si>
    <t>A medium size family (mom, dad, three kids) eat 3 lb (1.4 kg) of tortilla</t>
  </si>
  <si>
    <t>A bigger family could eat more than 7 lb (3.2 kg) of tortilla per meal.</t>
  </si>
  <si>
    <t>-</t>
  </si>
  <si>
    <t>with a fist of lime for no less than 40 min, she got 7.5 lb (3.4 kg) of nixtamalized corn that she took to the cornmill for grinding it ($0.75 BZD).</t>
  </si>
  <si>
    <t>kg of nixtmalized corn</t>
  </si>
  <si>
    <t>% of HH 'good' corn into tortillas (dry-weight adjusted)</t>
  </si>
  <si>
    <t>% of HH 'good' corn into tortillas (not dry-weight adjusted)</t>
  </si>
  <si>
    <t>Per 7-members HH</t>
  </si>
  <si>
    <t>Per 5-members HH</t>
  </si>
  <si>
    <t>kg of dry corn</t>
  </si>
  <si>
    <t>Not dry-weight adjusted</t>
  </si>
  <si>
    <t>% of HH 'good' corn to dogs</t>
  </si>
  <si>
    <t>Dry-weight adjusted</t>
  </si>
  <si>
    <t>"...hunting is undertaken to prevent serious damage to crops by medium-size herbivores.  A group of peccaries can eat up to 75 m2 (half a thatch house size)</t>
  </si>
  <si>
    <t>of planted corn in one night, according to the estimate of an experienced hunter.  If a farm is left unattended, or if these animals are unsuccessfully run down,</t>
  </si>
  <si>
    <t>they could eat up to 525 m2 (about a task) of planted corn in one week, according to a farmer that lost almost half of his plantation in 2011."</t>
  </si>
  <si>
    <t>Extract from the HwD ~v4 draft</t>
  </si>
  <si>
    <t>Extract from LPC's Comment 12 (fixed here) on the HwD v3 draft</t>
  </si>
  <si>
    <t>Some relevant notes on milpa damage by herbivores are: [b2p97: farmer found and showed in-site [120517] the spot where the deer might have slept the night before;</t>
  </si>
  <si>
    <t>1 task (tarea) = 625 square yards = 522.58 square meters) [628.86 metros cuadrados = 1 tarea];</t>
  </si>
  <si>
    <t>farmers have to control them + gun price between $800 and $1000 BZD]</t>
  </si>
  <si>
    <t>de 2011, ese fue el que los coches [de monte] se comieron, como 12-14 tareas casi una manzana, dejando muy poco …  junto ha'il che, junto por donde pasaron y comieron</t>
  </si>
  <si>
    <t>1 ha =</t>
  </si>
  <si>
    <t>kg of 'good' corn</t>
  </si>
  <si>
    <t>Nightly</t>
  </si>
  <si>
    <t>sq m</t>
  </si>
  <si>
    <t>% of 1-ha milpa</t>
  </si>
  <si>
    <t>On average 1-ha milpa =</t>
  </si>
  <si>
    <t>Source: USDA National Nutrient Database for Standard Reference 28 slightly revised May 2016 Software v.3.8.6.4 2017-10-02</t>
  </si>
  <si>
    <t>Report Run at: November 03</t>
  </si>
  <si>
    <t xml:space="preserve"> 2017 13:20 EDT</t>
  </si>
  <si>
    <t>Nutrient data for: 35134, Corn, dried (Navajo)</t>
  </si>
  <si>
    <t>Water</t>
  </si>
  <si>
    <t>Magnesium, Mg</t>
  </si>
  <si>
    <t>Phosphorus, P</t>
  </si>
  <si>
    <t>Potassium, K</t>
  </si>
  <si>
    <t>Zinc, Zn</t>
  </si>
  <si>
    <t>Thiamin</t>
  </si>
  <si>
    <t>Riboflavin</t>
  </si>
  <si>
    <t>Niacin</t>
  </si>
  <si>
    <t>Vitamin B-6</t>
  </si>
  <si>
    <t>Vitamin E (alpha-tocopherol)</t>
  </si>
  <si>
    <t>Vitamin K (phylloquinone)</t>
  </si>
  <si>
    <t>µg</t>
  </si>
  <si>
    <t>Fatty acids, total monounsaturated</t>
  </si>
  <si>
    <t>Fatty acids, total polyunsaturated</t>
  </si>
  <si>
    <t>lost corn (kg)</t>
  </si>
  <si>
    <t>lost corn (kcal)</t>
  </si>
  <si>
    <t>kcal to #-dogs</t>
  </si>
  <si>
    <t>…1-ha milpa =</t>
  </si>
  <si>
    <t>kcal of 'good' [dry] corn</t>
  </si>
  <si>
    <t>A household owning two dogs should invest 5 % of their 'good' corn (not dry-weight adjusted) yearly in feeding them</t>
  </si>
  <si>
    <t>A household owning seven dogs should invest 18 % of their 'good' corn (not dry-weight adjusted) yearly in feeding them</t>
  </si>
  <si>
    <t>kcal of nixtmalized corn</t>
  </si>
  <si>
    <t>A household owning seven dogs should invest 9 % of their 'good' corn (dry-weight adjusted) yearly in feeding them</t>
  </si>
  <si>
    <t>A household owning two dogs should invest 3 % of their 'good' corn (dry-weight adjusted) yearly in feeding them</t>
  </si>
  <si>
    <t>Measures from LPC's Composition notebook (1 manzana = 2 acres; 1 acre = 4046.86 square meters;</t>
  </si>
  <si>
    <t>corn (half size of a traditional thatch house) [the kitam would need about 7 days to eat a whole task ~525 m2, and up to three months (12 weeks) to eat 12 tasks;</t>
  </si>
  <si>
    <t>So [using Prufer and Thompson (2016:396) HH size figure] and a hunter's damage estimate [track note (?)], an animal can eat in one night up to 75 m2 of planted</t>
  </si>
  <si>
    <t xml:space="preserve"> los coches [de monte] el año pasado, consumieron como diez sacos de maíz, sólo sacó cinco sacos ese año [&gt; la mitad de su cosecha]</t>
  </si>
  <si>
    <t>pick #-dogs/HH =</t>
  </si>
  <si>
    <t>Area damage (sqm)</t>
  </si>
  <si>
    <t>time that lost corn would feed a dog (days)</t>
  </si>
  <si>
    <t>% of lost corn production (kg/ha)</t>
  </si>
  <si>
    <t>4.5 kg - 15 kg</t>
  </si>
  <si>
    <t>% ADE met by 5 tortillas (kcal/day)</t>
  </si>
  <si>
    <t>Table 1.1. Relative maize weights in kg/ha. This table displays weights for ears with our with no husk</t>
  </si>
  <si>
    <t>and grain yields identified by the farmers as good or damaged for data collected in 2009-2012.</t>
  </si>
  <si>
    <r>
      <t xml:space="preserve">Adjust the number of tortillas given to dogsaccording tohousehold type. </t>
    </r>
    <r>
      <rPr>
        <b/>
        <sz val="12"/>
        <color rgb="FF000000"/>
        <rFont val="Calibri"/>
        <family val="2"/>
        <scheme val="minor"/>
      </rPr>
      <t>Just indicate "Daily tortillas portion" at D23 cell</t>
    </r>
    <r>
      <rPr>
        <sz val="12"/>
        <color rgb="FF000000"/>
        <rFont val="Calibri"/>
        <family val="2"/>
        <scheme val="minor"/>
      </rPr>
      <t xml:space="preserve"> </t>
    </r>
  </si>
  <si>
    <t>Mean #tortillas to dogs</t>
  </si>
  <si>
    <t>70*(BW^0.75)</t>
  </si>
  <si>
    <t>multiplier*(BW9^0.75)</t>
  </si>
  <si>
    <t xml:space="preserve"> </t>
  </si>
  <si>
    <t># of tortillas</t>
  </si>
  <si>
    <t>% DER met by # of tortillas</t>
  </si>
  <si>
    <t>% MER met by # tortillas (kcal/day)</t>
  </si>
  <si>
    <t>Inactive/obese prone</t>
  </si>
  <si>
    <t>Corn's dry weight is about half of corn's cooked weight. Once she bought 3.25 lb (1.5 kg) of dry corn (for $3.25 BZD) to 72B. After cooking the corn</t>
  </si>
  <si>
    <t>17A GPS/HR track and audio files 120903 kitam keeh and bah tracks in his farm … [extracto del audio] el yaax kin [col] que sembró en 2010 y que cosechó en abril</t>
  </si>
  <si>
    <t>…following 17A damage report: doce tareas == 522.58*12 == 6270.96 square meters == 0.63 ha</t>
  </si>
  <si>
    <t>b3p31b: 53A 120802 “we are not the first ones to taste the corn” making reference to the chiic who always tastes it first and</t>
  </si>
  <si>
    <t>GPS/HR along with 47A and Visitor. Waypoints where the kitam was eating at the farm (voice recordings indicate the number of null eaten).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</si>
</sst>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0000FF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family val="2"/>
      <scheme val="minor"/>
    </font>
    <font>
      <i/>
      <sz val="12"/>
      <color rgb="FF0000FF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i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366FF"/>
        <bgColor indexed="64"/>
      </patternFill>
    </fill>
  </fills>
  <borders count="1">
    <border>
      <left/>
      <right/>
      <top/>
      <bottom/>
      <diagonal/>
    </border>
  </borders>
  <cellStyleXfs count="2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Fon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4" fillId="5" borderId="0" xfId="0" applyFont="1" applyFill="1"/>
    <xf numFmtId="0" fontId="7" fillId="0" borderId="0" xfId="0" applyFont="1"/>
    <xf numFmtId="0" fontId="1" fillId="4" borderId="0" xfId="0" applyFont="1" applyFill="1" applyAlignment="1">
      <alignment horizontal="center"/>
    </xf>
    <xf numFmtId="0" fontId="8" fillId="6" borderId="0" xfId="0" applyFont="1" applyFill="1"/>
    <xf numFmtId="0" fontId="9" fillId="0" borderId="0" xfId="0" applyFont="1"/>
    <xf numFmtId="0" fontId="1" fillId="4" borderId="0" xfId="0" applyFont="1" applyFill="1"/>
    <xf numFmtId="0" fontId="0" fillId="3" borderId="0" xfId="0" applyFill="1" applyAlignment="1">
      <alignment horizontal="right"/>
    </xf>
    <xf numFmtId="0" fontId="1" fillId="0" borderId="0" xfId="0" applyFont="1"/>
    <xf numFmtId="2" fontId="0" fillId="2" borderId="0" xfId="0" applyNumberFormat="1" applyFill="1" applyAlignment="1">
      <alignment horizontal="right"/>
    </xf>
    <xf numFmtId="0" fontId="0" fillId="0" borderId="0" xfId="0" applyFill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0" xfId="0" applyFont="1" applyFill="1"/>
    <xf numFmtId="0" fontId="0" fillId="8" borderId="0" xfId="0" applyFill="1" applyAlignment="1">
      <alignment horizontal="center"/>
    </xf>
    <xf numFmtId="0" fontId="11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2" fillId="5" borderId="0" xfId="0" applyFont="1" applyFill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0" fontId="4" fillId="0" borderId="0" xfId="0" applyFont="1"/>
    <xf numFmtId="0" fontId="13" fillId="0" borderId="0" xfId="0" applyFont="1"/>
    <xf numFmtId="0" fontId="14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6" fillId="0" borderId="0" xfId="0" applyFont="1"/>
    <xf numFmtId="0" fontId="17" fillId="9" borderId="0" xfId="0" applyFont="1" applyFill="1" applyAlignment="1">
      <alignment horizontal="right"/>
    </xf>
    <xf numFmtId="0" fontId="17" fillId="9" borderId="0" xfId="0" applyFont="1" applyFill="1" applyAlignment="1">
      <alignment horizontal="center"/>
    </xf>
  </cellXfs>
  <cellStyles count="2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3"/>
  <sheetViews>
    <sheetView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M9" sqref="M9"/>
    </sheetView>
  </sheetViews>
  <sheetFormatPr baseColWidth="10" defaultRowHeight="16" x14ac:dyDescent="0.2"/>
  <cols>
    <col min="1" max="1" width="3.83203125" customWidth="1"/>
    <col min="2" max="2" width="30.83203125" customWidth="1"/>
    <col min="5" max="5" width="3.83203125" customWidth="1"/>
    <col min="6" max="6" width="18.83203125" customWidth="1"/>
    <col min="7" max="8" width="11.83203125" customWidth="1"/>
    <col min="9" max="9" width="3.83203125" customWidth="1"/>
    <col min="10" max="10" width="16.83203125" customWidth="1"/>
    <col min="11" max="11" width="12.83203125" customWidth="1"/>
    <col min="12" max="12" width="3.83203125" customWidth="1"/>
    <col min="13" max="14" width="15.83203125" customWidth="1"/>
  </cols>
  <sheetData>
    <row r="1" spans="2:16" x14ac:dyDescent="0.2">
      <c r="B1" s="11" t="s">
        <v>14</v>
      </c>
    </row>
    <row r="2" spans="2:16" s="4" customFormat="1" x14ac:dyDescent="0.2"/>
    <row r="3" spans="2:16" s="4" customFormat="1" x14ac:dyDescent="0.2">
      <c r="F3" s="19" t="s">
        <v>0</v>
      </c>
      <c r="G3" s="39" t="s">
        <v>40</v>
      </c>
      <c r="H3" s="40">
        <v>12</v>
      </c>
    </row>
    <row r="4" spans="2:16" x14ac:dyDescent="0.2">
      <c r="B4" t="s">
        <v>24</v>
      </c>
      <c r="F4" s="7" t="s">
        <v>15</v>
      </c>
      <c r="G4" s="7" t="s">
        <v>16</v>
      </c>
      <c r="H4" s="7"/>
      <c r="J4" s="5" t="s">
        <v>1</v>
      </c>
      <c r="K4" s="5" t="s">
        <v>221</v>
      </c>
      <c r="M4" s="15" t="s">
        <v>225</v>
      </c>
      <c r="N4" s="8"/>
      <c r="O4" s="12" t="s">
        <v>39</v>
      </c>
      <c r="P4" s="12" t="s">
        <v>224</v>
      </c>
    </row>
    <row r="5" spans="2:16" x14ac:dyDescent="0.2">
      <c r="C5" t="s">
        <v>5</v>
      </c>
      <c r="D5" t="s">
        <v>6</v>
      </c>
      <c r="F5" s="7"/>
      <c r="G5" s="7" t="s">
        <v>41</v>
      </c>
      <c r="H5" s="7" t="s">
        <v>42</v>
      </c>
      <c r="J5" s="5"/>
      <c r="K5" s="6">
        <f>70*(H3^0.75)</f>
        <v>451.31937136588766</v>
      </c>
      <c r="M5" s="8" t="s">
        <v>109</v>
      </c>
      <c r="N5" s="8" t="s">
        <v>110</v>
      </c>
      <c r="O5" s="12">
        <f>'USDA tortilla &amp; dry corn kcal'!N10*P5</f>
        <v>400</v>
      </c>
      <c r="P5" s="12">
        <v>5</v>
      </c>
    </row>
    <row r="6" spans="2:16" x14ac:dyDescent="0.2">
      <c r="B6" s="10" t="s">
        <v>2</v>
      </c>
      <c r="C6">
        <v>1</v>
      </c>
      <c r="D6">
        <v>1.8</v>
      </c>
      <c r="G6" s="1">
        <f t="shared" ref="G6:G12" si="0">C6*K$5</f>
        <v>451.31937136588766</v>
      </c>
      <c r="H6" s="1">
        <f>D6*K$5</f>
        <v>812.3748684585978</v>
      </c>
      <c r="M6" s="1">
        <f>(O$5*100)/G6</f>
        <v>88.629034200199953</v>
      </c>
      <c r="N6" s="1">
        <f>(O$5*100)/H6</f>
        <v>49.238352333444418</v>
      </c>
    </row>
    <row r="7" spans="2:16" x14ac:dyDescent="0.2">
      <c r="B7" t="s">
        <v>3</v>
      </c>
      <c r="C7">
        <v>1.6</v>
      </c>
      <c r="G7" s="1">
        <f t="shared" si="0"/>
        <v>722.11099418542028</v>
      </c>
      <c r="H7" s="1"/>
      <c r="M7" s="1">
        <f t="shared" ref="M7:M12" si="1">(O$5*100)/G7</f>
        <v>55.393146375124971</v>
      </c>
    </row>
    <row r="8" spans="2:16" x14ac:dyDescent="0.2">
      <c r="B8" t="s">
        <v>4</v>
      </c>
      <c r="C8">
        <v>1.8</v>
      </c>
      <c r="G8" s="1">
        <f t="shared" si="0"/>
        <v>812.3748684585978</v>
      </c>
      <c r="H8" s="1"/>
      <c r="M8" s="1">
        <f t="shared" si="1"/>
        <v>49.238352333444418</v>
      </c>
    </row>
    <row r="9" spans="2:16" x14ac:dyDescent="0.2">
      <c r="B9" t="s">
        <v>227</v>
      </c>
      <c r="C9">
        <v>1.2</v>
      </c>
      <c r="D9">
        <v>1.4</v>
      </c>
      <c r="G9" s="1">
        <f t="shared" si="0"/>
        <v>541.58324563906513</v>
      </c>
      <c r="H9" s="1">
        <f t="shared" ref="H9:H12" si="2">D9*K$5</f>
        <v>631.84711991224265</v>
      </c>
      <c r="M9" s="1">
        <f t="shared" si="1"/>
        <v>73.857528500166637</v>
      </c>
      <c r="N9" s="1">
        <f>(O$5*100)/H9</f>
        <v>63.306453000142831</v>
      </c>
    </row>
    <row r="10" spans="2:16" x14ac:dyDescent="0.2">
      <c r="B10" t="s">
        <v>7</v>
      </c>
      <c r="C10">
        <v>1</v>
      </c>
      <c r="G10" s="1">
        <f t="shared" si="0"/>
        <v>451.31937136588766</v>
      </c>
      <c r="H10" s="1"/>
      <c r="M10" s="1">
        <f t="shared" si="1"/>
        <v>88.629034200199953</v>
      </c>
    </row>
    <row r="11" spans="2:16" x14ac:dyDescent="0.2">
      <c r="B11" t="s">
        <v>8</v>
      </c>
      <c r="C11">
        <v>1</v>
      </c>
      <c r="G11" s="1">
        <f t="shared" si="0"/>
        <v>451.31937136588766</v>
      </c>
      <c r="H11" s="1"/>
      <c r="M11" s="1">
        <f t="shared" si="1"/>
        <v>88.629034200199953</v>
      </c>
    </row>
    <row r="12" spans="2:16" x14ac:dyDescent="0.2">
      <c r="B12" t="s">
        <v>9</v>
      </c>
      <c r="C12">
        <v>1.2</v>
      </c>
      <c r="D12">
        <v>1.8</v>
      </c>
      <c r="G12" s="1">
        <f t="shared" si="0"/>
        <v>541.58324563906513</v>
      </c>
      <c r="H12" s="1">
        <f t="shared" si="2"/>
        <v>812.3748684585978</v>
      </c>
      <c r="M12" s="1">
        <f t="shared" si="1"/>
        <v>73.857528500166637</v>
      </c>
      <c r="N12" s="1">
        <f>(O$5*100)/H12</f>
        <v>49.238352333444418</v>
      </c>
    </row>
    <row r="14" spans="2:16" x14ac:dyDescent="0.2">
      <c r="B14" s="10" t="s">
        <v>10</v>
      </c>
    </row>
    <row r="15" spans="2:16" x14ac:dyDescent="0.2">
      <c r="B15" t="s">
        <v>11</v>
      </c>
      <c r="C15">
        <v>1.6</v>
      </c>
      <c r="D15">
        <v>2</v>
      </c>
      <c r="G15" s="1">
        <f t="shared" ref="G15:G16" si="3">C15*K$5</f>
        <v>722.11099418542028</v>
      </c>
      <c r="H15" s="1">
        <f>D15*K$5</f>
        <v>902.63874273177532</v>
      </c>
      <c r="M15" s="1">
        <f>(O$5*100)/G15</f>
        <v>55.393146375124971</v>
      </c>
      <c r="N15" s="1">
        <f>(O$5*100)/H15</f>
        <v>44.314517100099977</v>
      </c>
    </row>
    <row r="16" spans="2:16" x14ac:dyDescent="0.2">
      <c r="B16" t="s">
        <v>12</v>
      </c>
      <c r="C16">
        <v>2</v>
      </c>
      <c r="D16">
        <v>5</v>
      </c>
      <c r="G16" s="1">
        <f t="shared" si="3"/>
        <v>902.63874273177532</v>
      </c>
      <c r="H16" s="1">
        <f t="shared" ref="H16:H17" si="4">D16*K$5</f>
        <v>2256.5968568294384</v>
      </c>
      <c r="M16" s="1">
        <f>(O$5*100)/G16</f>
        <v>44.314517100099977</v>
      </c>
      <c r="N16" s="1">
        <f>(O$5*100)/H16</f>
        <v>17.72580684003999</v>
      </c>
    </row>
    <row r="17" spans="2:14" x14ac:dyDescent="0.2">
      <c r="B17" t="s">
        <v>13</v>
      </c>
      <c r="C17">
        <v>5</v>
      </c>
      <c r="D17">
        <v>11</v>
      </c>
      <c r="G17" s="1">
        <f>C17*K$5</f>
        <v>2256.5968568294384</v>
      </c>
      <c r="H17" s="1">
        <f t="shared" si="4"/>
        <v>4964.5130850247642</v>
      </c>
      <c r="M17" s="1">
        <f>(O$5*100)/G17</f>
        <v>17.72580684003999</v>
      </c>
      <c r="N17" s="1">
        <f>(O$5*100)/H17</f>
        <v>8.0571849272909049</v>
      </c>
    </row>
    <row r="19" spans="2:14" x14ac:dyDescent="0.2">
      <c r="B19" s="10" t="s">
        <v>17</v>
      </c>
    </row>
    <row r="20" spans="2:14" x14ac:dyDescent="0.2">
      <c r="B20" t="s">
        <v>18</v>
      </c>
      <c r="D20">
        <v>1.8</v>
      </c>
      <c r="H20" s="1">
        <f>D20*K$5</f>
        <v>812.3748684585978</v>
      </c>
      <c r="N20" s="1">
        <f>(O$5*100)/H20</f>
        <v>49.238352333444418</v>
      </c>
    </row>
    <row r="21" spans="2:14" x14ac:dyDescent="0.2">
      <c r="B21" t="s">
        <v>19</v>
      </c>
      <c r="D21">
        <v>3</v>
      </c>
      <c r="H21" s="1">
        <f>D21*K$5</f>
        <v>1353.9581140976629</v>
      </c>
      <c r="N21" s="1">
        <f>(O$5*100)/H21</f>
        <v>29.54301140006665</v>
      </c>
    </row>
    <row r="22" spans="2:14" x14ac:dyDescent="0.2">
      <c r="H22" s="1"/>
    </row>
    <row r="23" spans="2:14" x14ac:dyDescent="0.2">
      <c r="B23" s="10" t="s">
        <v>20</v>
      </c>
      <c r="H23" s="1"/>
    </row>
    <row r="24" spans="2:14" x14ac:dyDescent="0.2">
      <c r="B24" s="3">
        <v>1</v>
      </c>
      <c r="D24">
        <v>3</v>
      </c>
      <c r="H24" s="1">
        <f t="shared" ref="H24:H29" si="5">D24*K$5</f>
        <v>1353.9581140976629</v>
      </c>
      <c r="N24" s="1">
        <f t="shared" ref="N24:N29" si="6">(O$5*100)/H24</f>
        <v>29.54301140006665</v>
      </c>
    </row>
    <row r="25" spans="2:14" x14ac:dyDescent="0.2">
      <c r="B25" s="3">
        <v>2</v>
      </c>
      <c r="D25">
        <v>3.5</v>
      </c>
      <c r="H25" s="1">
        <f t="shared" si="5"/>
        <v>1579.6177997806069</v>
      </c>
      <c r="N25" s="1">
        <f t="shared" si="6"/>
        <v>25.322581200057126</v>
      </c>
    </row>
    <row r="26" spans="2:14" x14ac:dyDescent="0.2">
      <c r="B26" s="3" t="s">
        <v>21</v>
      </c>
      <c r="D26">
        <v>4</v>
      </c>
      <c r="H26" s="1">
        <f t="shared" si="5"/>
        <v>1805.2774854635506</v>
      </c>
      <c r="N26" s="1">
        <f t="shared" si="6"/>
        <v>22.157258550049988</v>
      </c>
    </row>
    <row r="27" spans="2:14" x14ac:dyDescent="0.2">
      <c r="B27" s="3" t="s">
        <v>22</v>
      </c>
      <c r="D27">
        <v>5</v>
      </c>
      <c r="H27" s="1">
        <f t="shared" si="5"/>
        <v>2256.5968568294384</v>
      </c>
      <c r="N27" s="1">
        <f t="shared" si="6"/>
        <v>17.72580684003999</v>
      </c>
    </row>
    <row r="28" spans="2:14" x14ac:dyDescent="0.2">
      <c r="B28" s="3" t="s">
        <v>23</v>
      </c>
      <c r="D28">
        <v>5.5</v>
      </c>
      <c r="H28" s="1">
        <f t="shared" si="5"/>
        <v>2482.2565425123821</v>
      </c>
      <c r="N28" s="1">
        <f t="shared" si="6"/>
        <v>16.11436985458181</v>
      </c>
    </row>
    <row r="29" spans="2:14" x14ac:dyDescent="0.2">
      <c r="B29" s="3">
        <v>9</v>
      </c>
      <c r="D29">
        <v>6</v>
      </c>
      <c r="H29" s="1">
        <f t="shared" si="5"/>
        <v>2707.9162281953259</v>
      </c>
      <c r="N29" s="1">
        <f t="shared" si="6"/>
        <v>14.771505700033325</v>
      </c>
    </row>
    <row r="31" spans="2:14" x14ac:dyDescent="0.2">
      <c r="B31" s="10" t="s">
        <v>25</v>
      </c>
    </row>
    <row r="32" spans="2:14" x14ac:dyDescent="0.2">
      <c r="B32" s="2" t="s">
        <v>112</v>
      </c>
      <c r="D32">
        <v>3</v>
      </c>
      <c r="H32" s="1">
        <f>D32*K$5</f>
        <v>1353.9581140976629</v>
      </c>
      <c r="N32" s="1">
        <f>(O$5*100)/H32</f>
        <v>29.54301140006665</v>
      </c>
    </row>
    <row r="33" spans="2:14" x14ac:dyDescent="0.2">
      <c r="B33" t="s">
        <v>113</v>
      </c>
      <c r="D33">
        <v>2</v>
      </c>
      <c r="H33" s="1">
        <f t="shared" ref="H33" si="7">D33*K$5</f>
        <v>902.63874273177532</v>
      </c>
      <c r="N33" s="1">
        <f>(O$5*100)/H33</f>
        <v>44.314517100099977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2"/>
  <sheetViews>
    <sheetView workbookViewId="0">
      <pane xSplit="2" ySplit="5" topLeftCell="F6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baseColWidth="10" defaultRowHeight="16" x14ac:dyDescent="0.2"/>
  <cols>
    <col min="1" max="1" width="4" customWidth="1"/>
    <col min="2" max="2" width="39.1640625" customWidth="1"/>
    <col min="3" max="4" width="3.83203125" customWidth="1"/>
    <col min="5" max="5" width="16.83203125" customWidth="1"/>
    <col min="8" max="9" width="16.83203125" customWidth="1"/>
    <col min="10" max="10" width="30.5" bestFit="1" customWidth="1"/>
    <col min="11" max="11" width="11.33203125" bestFit="1" customWidth="1"/>
    <col min="13" max="19" width="13.83203125" customWidth="1"/>
    <col min="21" max="21" width="30.5" bestFit="1" customWidth="1"/>
  </cols>
  <sheetData>
    <row r="1" spans="2:22" x14ac:dyDescent="0.2">
      <c r="B1" s="11" t="s">
        <v>26</v>
      </c>
    </row>
    <row r="2" spans="2:22" x14ac:dyDescent="0.2">
      <c r="B2" s="11"/>
    </row>
    <row r="3" spans="2:22" x14ac:dyDescent="0.2">
      <c r="B3" s="14"/>
      <c r="E3" s="11" t="s">
        <v>48</v>
      </c>
      <c r="G3" s="11"/>
      <c r="H3" s="11"/>
      <c r="I3" s="11" t="s">
        <v>65</v>
      </c>
      <c r="M3" s="11" t="s">
        <v>111</v>
      </c>
      <c r="Q3" s="11" t="s">
        <v>49</v>
      </c>
    </row>
    <row r="4" spans="2:22" x14ac:dyDescent="0.2">
      <c r="B4" t="s">
        <v>24</v>
      </c>
      <c r="C4" t="s">
        <v>49</v>
      </c>
      <c r="E4" s="7" t="s">
        <v>36</v>
      </c>
      <c r="F4" s="7" t="s">
        <v>222</v>
      </c>
      <c r="G4" s="7"/>
      <c r="H4" s="5" t="s">
        <v>27</v>
      </c>
      <c r="I4" s="5" t="s">
        <v>221</v>
      </c>
      <c r="J4" s="20" t="s">
        <v>226</v>
      </c>
      <c r="K4" s="20" t="s">
        <v>224</v>
      </c>
      <c r="M4" s="15" t="s">
        <v>51</v>
      </c>
      <c r="N4" s="8"/>
      <c r="O4" s="8"/>
      <c r="P4" s="8"/>
      <c r="Q4" s="8"/>
      <c r="U4" s="15" t="s">
        <v>216</v>
      </c>
      <c r="V4" s="22" t="s">
        <v>108</v>
      </c>
    </row>
    <row r="5" spans="2:22" x14ac:dyDescent="0.2">
      <c r="E5" s="39" t="s">
        <v>40</v>
      </c>
      <c r="F5" s="40">
        <v>12</v>
      </c>
      <c r="G5" s="16" t="s">
        <v>39</v>
      </c>
      <c r="H5" s="5"/>
      <c r="I5" s="18" t="s">
        <v>66</v>
      </c>
      <c r="J5" s="21">
        <f>'USDA tortilla &amp; dry corn kcal'!O10*K5</f>
        <v>400</v>
      </c>
      <c r="K5" s="21">
        <v>5</v>
      </c>
      <c r="M5" s="9" t="s">
        <v>43</v>
      </c>
      <c r="N5" s="9" t="s">
        <v>45</v>
      </c>
      <c r="O5" s="9" t="s">
        <v>44</v>
      </c>
      <c r="P5" s="9" t="s">
        <v>46</v>
      </c>
      <c r="Q5" s="9" t="s">
        <v>47</v>
      </c>
      <c r="U5" s="9" t="s">
        <v>45</v>
      </c>
      <c r="V5" s="12">
        <f>'USDA tortilla &amp; dry corn kcal'!N10*5</f>
        <v>400</v>
      </c>
    </row>
    <row r="6" spans="2:22" x14ac:dyDescent="0.2">
      <c r="B6" s="10" t="s">
        <v>33</v>
      </c>
    </row>
    <row r="7" spans="2:22" x14ac:dyDescent="0.2">
      <c r="B7" t="s">
        <v>28</v>
      </c>
      <c r="C7" t="s">
        <v>49</v>
      </c>
      <c r="G7" s="1">
        <f>I7*(F$5^0.75)</f>
        <v>838.16454682236281</v>
      </c>
      <c r="I7">
        <v>130</v>
      </c>
      <c r="J7" s="23">
        <f>(J$5*100)/G7</f>
        <v>47.72332610779997</v>
      </c>
      <c r="K7" s="23"/>
    </row>
    <row r="8" spans="2:22" x14ac:dyDescent="0.2">
      <c r="B8" t="s">
        <v>54</v>
      </c>
      <c r="C8" t="s">
        <v>49</v>
      </c>
      <c r="G8" s="1">
        <f t="shared" ref="G8:G14" si="0">I8*(F$5^0.75)</f>
        <v>612.50486113941895</v>
      </c>
      <c r="I8">
        <v>95</v>
      </c>
      <c r="J8" s="23">
        <f t="shared" ref="J8:J13" si="1">(J$5*100)/G8</f>
        <v>65.305604147515751</v>
      </c>
      <c r="K8" s="23"/>
      <c r="M8">
        <v>296</v>
      </c>
      <c r="N8">
        <v>674</v>
      </c>
      <c r="O8">
        <v>989</v>
      </c>
      <c r="P8">
        <v>1272</v>
      </c>
      <c r="Q8">
        <v>1540</v>
      </c>
      <c r="U8" s="23">
        <f>(V$5*100)/N8</f>
        <v>59.347181008902076</v>
      </c>
    </row>
    <row r="9" spans="2:22" x14ac:dyDescent="0.2">
      <c r="B9" t="s">
        <v>29</v>
      </c>
      <c r="C9" t="s">
        <v>49</v>
      </c>
      <c r="G9" s="1">
        <f t="shared" si="0"/>
        <v>676.97905704883146</v>
      </c>
      <c r="I9">
        <v>105</v>
      </c>
      <c r="J9" s="23">
        <f t="shared" si="1"/>
        <v>59.0860228001333</v>
      </c>
      <c r="K9" s="23"/>
      <c r="M9">
        <v>327</v>
      </c>
      <c r="N9">
        <v>745</v>
      </c>
      <c r="O9">
        <v>1093</v>
      </c>
      <c r="P9">
        <v>1407</v>
      </c>
      <c r="Q9">
        <v>1700</v>
      </c>
      <c r="U9" s="23">
        <f>(V$5*100)/N9</f>
        <v>53.691275167785236</v>
      </c>
    </row>
    <row r="10" spans="2:22" x14ac:dyDescent="0.2">
      <c r="B10" t="s">
        <v>32</v>
      </c>
      <c r="C10" t="s">
        <v>49</v>
      </c>
      <c r="G10" s="1">
        <f t="shared" si="0"/>
        <v>676.97905704883146</v>
      </c>
      <c r="I10">
        <v>105</v>
      </c>
      <c r="J10" s="23">
        <f t="shared" si="1"/>
        <v>59.0860228001333</v>
      </c>
      <c r="K10" s="23"/>
      <c r="U10" s="23"/>
    </row>
    <row r="11" spans="2:22" x14ac:dyDescent="0.2">
      <c r="B11" t="s">
        <v>53</v>
      </c>
      <c r="C11" t="s">
        <v>49</v>
      </c>
      <c r="G11" s="1"/>
      <c r="J11" s="23"/>
      <c r="K11" s="23"/>
      <c r="M11">
        <v>404</v>
      </c>
      <c r="N11">
        <v>922</v>
      </c>
      <c r="O11">
        <v>1353</v>
      </c>
      <c r="P11">
        <v>1740</v>
      </c>
      <c r="Q11">
        <v>2100</v>
      </c>
      <c r="U11" s="23">
        <f>(V$5*100)/N11</f>
        <v>43.38394793926247</v>
      </c>
    </row>
    <row r="12" spans="2:22" x14ac:dyDescent="0.2">
      <c r="B12" t="s">
        <v>37</v>
      </c>
      <c r="C12" t="s">
        <v>49</v>
      </c>
      <c r="G12" s="1">
        <f>I12*(F$5^0.75)</f>
        <v>902.63874273177532</v>
      </c>
      <c r="I12">
        <v>140</v>
      </c>
      <c r="J12" s="23">
        <f t="shared" si="1"/>
        <v>44.314517100099977</v>
      </c>
      <c r="K12" s="23"/>
      <c r="M12">
        <v>436</v>
      </c>
      <c r="N12">
        <v>993</v>
      </c>
      <c r="O12">
        <v>1451</v>
      </c>
      <c r="P12">
        <v>1876</v>
      </c>
      <c r="Q12">
        <v>2264</v>
      </c>
      <c r="U12" s="23">
        <f>(V$5*100)/N12</f>
        <v>40.28197381671702</v>
      </c>
    </row>
    <row r="13" spans="2:22" x14ac:dyDescent="0.2">
      <c r="B13" t="s">
        <v>30</v>
      </c>
      <c r="C13" t="s">
        <v>49</v>
      </c>
      <c r="G13" s="1">
        <f t="shared" si="0"/>
        <v>1160.5355263694255</v>
      </c>
      <c r="I13">
        <v>180</v>
      </c>
      <c r="J13" s="23">
        <f t="shared" si="1"/>
        <v>34.466846633411087</v>
      </c>
      <c r="K13" s="23"/>
    </row>
    <row r="14" spans="2:22" x14ac:dyDescent="0.2">
      <c r="B14" t="s">
        <v>31</v>
      </c>
      <c r="C14" t="s">
        <v>49</v>
      </c>
      <c r="G14" s="1">
        <f t="shared" si="0"/>
        <v>1289.4839181882505</v>
      </c>
      <c r="I14">
        <v>200</v>
      </c>
      <c r="J14" s="23">
        <f>(J$5*100)/G14</f>
        <v>31.020161970069982</v>
      </c>
      <c r="K14" s="23"/>
    </row>
    <row r="15" spans="2:22" x14ac:dyDescent="0.2">
      <c r="G15" s="1"/>
    </row>
    <row r="16" spans="2:22" x14ac:dyDescent="0.2">
      <c r="G16" s="1"/>
    </row>
    <row r="18" spans="2:21" x14ac:dyDescent="0.2">
      <c r="B18" s="10" t="s">
        <v>17</v>
      </c>
    </row>
    <row r="19" spans="2:21" x14ac:dyDescent="0.2">
      <c r="B19" t="s">
        <v>52</v>
      </c>
      <c r="C19" t="s">
        <v>49</v>
      </c>
      <c r="M19">
        <v>518</v>
      </c>
      <c r="N19">
        <v>1274</v>
      </c>
      <c r="O19">
        <v>1940</v>
      </c>
      <c r="P19">
        <v>2570</v>
      </c>
      <c r="Q19">
        <v>3170</v>
      </c>
      <c r="U19" s="23">
        <f>(V$5*100)/N19</f>
        <v>31.397174254317111</v>
      </c>
    </row>
    <row r="22" spans="2:21" x14ac:dyDescent="0.2">
      <c r="B22" s="13" t="s">
        <v>34</v>
      </c>
      <c r="M22" s="15" t="s">
        <v>64</v>
      </c>
      <c r="N22" s="8"/>
      <c r="O22" s="8"/>
      <c r="P22" s="8"/>
      <c r="Q22" s="8"/>
      <c r="R22" s="8"/>
      <c r="S22" s="8"/>
      <c r="T22" s="8"/>
      <c r="U22" s="24" t="s">
        <v>107</v>
      </c>
    </row>
    <row r="23" spans="2:21" x14ac:dyDescent="0.2">
      <c r="B23" t="s">
        <v>63</v>
      </c>
      <c r="C23" t="s">
        <v>49</v>
      </c>
      <c r="G23" s="1">
        <f>I23*(F$5^0.75)</f>
        <v>934.87584068648164</v>
      </c>
      <c r="I23">
        <v>145</v>
      </c>
      <c r="J23" s="23">
        <f>(J$5*100)/G23</f>
        <v>42.786430303544805</v>
      </c>
      <c r="K23" s="23"/>
      <c r="M23" s="9" t="s">
        <v>56</v>
      </c>
      <c r="N23" s="9" t="s">
        <v>55</v>
      </c>
      <c r="O23" s="9" t="s">
        <v>57</v>
      </c>
      <c r="P23" s="9" t="s">
        <v>58</v>
      </c>
      <c r="Q23" s="9" t="s">
        <v>59</v>
      </c>
      <c r="R23" s="9" t="s">
        <v>60</v>
      </c>
      <c r="S23" s="9" t="s">
        <v>61</v>
      </c>
      <c r="T23" s="9" t="s">
        <v>62</v>
      </c>
      <c r="U23" s="25" t="s">
        <v>56</v>
      </c>
    </row>
    <row r="24" spans="2:21" x14ac:dyDescent="0.2">
      <c r="B24" s="3">
        <v>2</v>
      </c>
      <c r="C24" t="s">
        <v>49</v>
      </c>
      <c r="M24">
        <v>1645</v>
      </c>
      <c r="N24">
        <v>2328</v>
      </c>
      <c r="O24">
        <v>1789</v>
      </c>
      <c r="P24">
        <v>2546</v>
      </c>
      <c r="Q24">
        <v>1897</v>
      </c>
      <c r="R24">
        <v>2709</v>
      </c>
      <c r="S24">
        <v>1969</v>
      </c>
      <c r="T24">
        <v>2818</v>
      </c>
      <c r="U24" s="23">
        <f>(V$5*100)/M24</f>
        <v>24.316109422492403</v>
      </c>
    </row>
    <row r="25" spans="2:21" x14ac:dyDescent="0.2">
      <c r="B25" s="3">
        <v>4</v>
      </c>
      <c r="C25" t="s">
        <v>49</v>
      </c>
      <c r="M25">
        <v>2185</v>
      </c>
      <c r="N25">
        <v>3146</v>
      </c>
      <c r="O25">
        <v>2473</v>
      </c>
      <c r="P25">
        <v>3581</v>
      </c>
      <c r="Q25">
        <v>2689</v>
      </c>
      <c r="R25">
        <v>3909</v>
      </c>
      <c r="S25">
        <v>2833</v>
      </c>
      <c r="T25">
        <v>4127</v>
      </c>
      <c r="U25" s="23">
        <f t="shared" ref="U25:U27" si="2">(V$5*100)/M25</f>
        <v>18.306636155606409</v>
      </c>
    </row>
    <row r="26" spans="2:21" x14ac:dyDescent="0.2">
      <c r="B26" s="3">
        <v>6</v>
      </c>
      <c r="C26" t="s">
        <v>49</v>
      </c>
      <c r="M26">
        <v>2455</v>
      </c>
      <c r="N26">
        <v>3555</v>
      </c>
      <c r="O26">
        <v>2815</v>
      </c>
      <c r="P26">
        <v>4100</v>
      </c>
      <c r="Q26">
        <v>3084</v>
      </c>
      <c r="R26">
        <v>4509</v>
      </c>
      <c r="S26">
        <v>3265</v>
      </c>
      <c r="T26">
        <v>4782</v>
      </c>
      <c r="U26" s="23">
        <f t="shared" si="2"/>
        <v>16.293279022403258</v>
      </c>
    </row>
    <row r="27" spans="2:21" x14ac:dyDescent="0.2">
      <c r="B27" s="3">
        <v>8</v>
      </c>
      <c r="C27" t="s">
        <v>49</v>
      </c>
      <c r="M27">
        <v>2725</v>
      </c>
      <c r="N27">
        <v>3964</v>
      </c>
      <c r="O27">
        <v>3157</v>
      </c>
      <c r="P27">
        <v>4618</v>
      </c>
      <c r="Q27">
        <v>3481</v>
      </c>
      <c r="R27">
        <v>5109</v>
      </c>
      <c r="S27">
        <v>3697</v>
      </c>
      <c r="T27">
        <v>5437</v>
      </c>
      <c r="U27" s="23">
        <f t="shared" si="2"/>
        <v>14.678899082568808</v>
      </c>
    </row>
    <row r="30" spans="2:21" x14ac:dyDescent="0.2">
      <c r="B30" s="13" t="s">
        <v>35</v>
      </c>
      <c r="M30" s="9"/>
      <c r="U30" s="24" t="s">
        <v>107</v>
      </c>
    </row>
    <row r="31" spans="2:21" x14ac:dyDescent="0.2">
      <c r="M31" s="9" t="s">
        <v>215</v>
      </c>
      <c r="U31" s="25" t="s">
        <v>43</v>
      </c>
    </row>
    <row r="32" spans="2:21" x14ac:dyDescent="0.2">
      <c r="B32" t="s">
        <v>50</v>
      </c>
      <c r="C32" t="s">
        <v>49</v>
      </c>
      <c r="M32">
        <v>990</v>
      </c>
      <c r="U32" s="23">
        <f>(V$5*100)/M32</f>
        <v>40.404040404040401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37"/>
  <sheetViews>
    <sheetView topLeftCell="G29" workbookViewId="0">
      <selection activeCell="N8" sqref="N8:O8"/>
    </sheetView>
  </sheetViews>
  <sheetFormatPr baseColWidth="10" defaultRowHeight="16" x14ac:dyDescent="0.2"/>
  <cols>
    <col min="1" max="1" width="4.1640625" customWidth="1"/>
    <col min="2" max="2" width="22.83203125" customWidth="1"/>
    <col min="6" max="6" width="17.83203125" bestFit="1" customWidth="1"/>
    <col min="7" max="7" width="17.83203125" customWidth="1"/>
    <col min="8" max="8" width="15" bestFit="1" customWidth="1"/>
    <col min="9" max="9" width="4.1640625" customWidth="1"/>
    <col min="10" max="10" width="22.83203125" customWidth="1"/>
    <col min="14" max="14" width="16.83203125" bestFit="1" customWidth="1"/>
    <col min="15" max="15" width="16.83203125" customWidth="1"/>
    <col min="16" max="16" width="15" bestFit="1" customWidth="1"/>
    <col min="17" max="17" width="4.1640625" customWidth="1"/>
    <col min="18" max="18" width="24.83203125" customWidth="1"/>
  </cols>
  <sheetData>
    <row r="2" spans="2:20" x14ac:dyDescent="0.2">
      <c r="B2" s="17" t="s">
        <v>67</v>
      </c>
      <c r="J2" s="17" t="s">
        <v>67</v>
      </c>
      <c r="R2" s="17" t="s">
        <v>179</v>
      </c>
    </row>
    <row r="3" spans="2:20" x14ac:dyDescent="0.2">
      <c r="B3" t="s">
        <v>68</v>
      </c>
      <c r="C3" t="s">
        <v>69</v>
      </c>
      <c r="J3" t="s">
        <v>68</v>
      </c>
      <c r="K3" t="s">
        <v>102</v>
      </c>
      <c r="R3" t="s">
        <v>180</v>
      </c>
      <c r="S3" t="s">
        <v>181</v>
      </c>
    </row>
    <row r="4" spans="2:20" x14ac:dyDescent="0.2">
      <c r="B4" s="17" t="s">
        <v>70</v>
      </c>
      <c r="J4" s="17" t="s">
        <v>103</v>
      </c>
      <c r="R4" s="17" t="s">
        <v>182</v>
      </c>
    </row>
    <row r="5" spans="2:20" x14ac:dyDescent="0.2">
      <c r="B5" t="s">
        <v>71</v>
      </c>
      <c r="J5" t="s">
        <v>71</v>
      </c>
    </row>
    <row r="6" spans="2:20" x14ac:dyDescent="0.2">
      <c r="B6" t="s">
        <v>72</v>
      </c>
      <c r="J6" t="s">
        <v>72</v>
      </c>
    </row>
    <row r="8" spans="2:20" x14ac:dyDescent="0.2">
      <c r="B8" t="s">
        <v>73</v>
      </c>
      <c r="C8" t="s">
        <v>74</v>
      </c>
      <c r="D8" t="s">
        <v>75</v>
      </c>
      <c r="E8" t="s">
        <v>76</v>
      </c>
      <c r="F8" s="28" t="s">
        <v>125</v>
      </c>
      <c r="G8" s="3">
        <v>36.67</v>
      </c>
      <c r="H8" t="s">
        <v>77</v>
      </c>
      <c r="J8" t="s">
        <v>73</v>
      </c>
      <c r="K8" t="s">
        <v>74</v>
      </c>
      <c r="L8" t="s">
        <v>75</v>
      </c>
      <c r="M8" t="s">
        <v>76</v>
      </c>
      <c r="N8" s="28" t="s">
        <v>125</v>
      </c>
      <c r="O8" s="3">
        <v>25.8</v>
      </c>
      <c r="P8" t="s">
        <v>77</v>
      </c>
      <c r="R8" t="s">
        <v>73</v>
      </c>
      <c r="S8" t="s">
        <v>74</v>
      </c>
      <c r="T8" t="s">
        <v>77</v>
      </c>
    </row>
    <row r="9" spans="2:20" x14ac:dyDescent="0.2">
      <c r="B9" t="s">
        <v>78</v>
      </c>
      <c r="J9" t="s">
        <v>78</v>
      </c>
      <c r="R9" t="s">
        <v>78</v>
      </c>
    </row>
    <row r="10" spans="2:20" x14ac:dyDescent="0.2">
      <c r="B10" t="s">
        <v>79</v>
      </c>
      <c r="C10" t="s">
        <v>38</v>
      </c>
      <c r="D10" t="s">
        <v>80</v>
      </c>
      <c r="E10" t="s">
        <v>80</v>
      </c>
      <c r="F10">
        <v>92</v>
      </c>
      <c r="G10">
        <v>92</v>
      </c>
      <c r="H10">
        <v>251</v>
      </c>
      <c r="J10" t="s">
        <v>79</v>
      </c>
      <c r="K10" t="s">
        <v>38</v>
      </c>
      <c r="L10" t="s">
        <v>80</v>
      </c>
      <c r="M10" t="s">
        <v>80</v>
      </c>
      <c r="N10">
        <v>80</v>
      </c>
      <c r="O10">
        <v>80</v>
      </c>
      <c r="P10">
        <v>310</v>
      </c>
      <c r="R10" t="s">
        <v>183</v>
      </c>
      <c r="S10" t="s">
        <v>82</v>
      </c>
      <c r="T10">
        <v>8.1</v>
      </c>
    </row>
    <row r="11" spans="2:20" x14ac:dyDescent="0.2">
      <c r="B11" t="s">
        <v>81</v>
      </c>
      <c r="C11" t="s">
        <v>82</v>
      </c>
      <c r="D11" t="s">
        <v>80</v>
      </c>
      <c r="E11" t="s">
        <v>80</v>
      </c>
      <c r="F11">
        <v>2.67</v>
      </c>
      <c r="G11">
        <v>2.67</v>
      </c>
      <c r="H11">
        <v>7.27</v>
      </c>
      <c r="J11" t="s">
        <v>81</v>
      </c>
      <c r="K11" t="s">
        <v>82</v>
      </c>
      <c r="L11" t="s">
        <v>80</v>
      </c>
      <c r="M11" t="s">
        <v>80</v>
      </c>
      <c r="N11">
        <v>2</v>
      </c>
      <c r="O11">
        <v>2</v>
      </c>
      <c r="P11">
        <v>7.75</v>
      </c>
      <c r="R11" t="s">
        <v>79</v>
      </c>
      <c r="S11" t="s">
        <v>38</v>
      </c>
      <c r="T11">
        <v>386</v>
      </c>
    </row>
    <row r="12" spans="2:20" x14ac:dyDescent="0.2">
      <c r="B12" t="s">
        <v>83</v>
      </c>
      <c r="C12" t="s">
        <v>82</v>
      </c>
      <c r="D12" t="s">
        <v>80</v>
      </c>
      <c r="E12" t="s">
        <v>80</v>
      </c>
      <c r="F12">
        <v>0.67</v>
      </c>
      <c r="G12">
        <v>0.67</v>
      </c>
      <c r="H12">
        <v>1.82</v>
      </c>
      <c r="J12" t="s">
        <v>83</v>
      </c>
      <c r="K12" t="s">
        <v>82</v>
      </c>
      <c r="L12" t="s">
        <v>80</v>
      </c>
      <c r="M12" t="s">
        <v>80</v>
      </c>
      <c r="N12">
        <v>1</v>
      </c>
      <c r="O12">
        <v>1</v>
      </c>
      <c r="P12">
        <v>3.88</v>
      </c>
      <c r="R12" t="s">
        <v>81</v>
      </c>
      <c r="S12" t="s">
        <v>82</v>
      </c>
      <c r="T12">
        <v>9.8800000000000008</v>
      </c>
    </row>
    <row r="13" spans="2:20" x14ac:dyDescent="0.2">
      <c r="B13" t="s">
        <v>84</v>
      </c>
      <c r="C13" t="s">
        <v>82</v>
      </c>
      <c r="D13" t="s">
        <v>80</v>
      </c>
      <c r="E13" t="s">
        <v>80</v>
      </c>
      <c r="F13">
        <v>18.670000000000002</v>
      </c>
      <c r="G13">
        <v>18.670000000000002</v>
      </c>
      <c r="H13">
        <v>50.91</v>
      </c>
      <c r="J13" t="s">
        <v>84</v>
      </c>
      <c r="K13" t="s">
        <v>82</v>
      </c>
      <c r="L13" t="s">
        <v>80</v>
      </c>
      <c r="M13" t="s">
        <v>80</v>
      </c>
      <c r="N13">
        <v>16</v>
      </c>
      <c r="O13">
        <v>16</v>
      </c>
      <c r="P13">
        <v>62.02</v>
      </c>
      <c r="R13" t="s">
        <v>83</v>
      </c>
      <c r="S13" t="s">
        <v>82</v>
      </c>
      <c r="T13">
        <v>5.22</v>
      </c>
    </row>
    <row r="14" spans="2:20" x14ac:dyDescent="0.2">
      <c r="B14" t="s">
        <v>85</v>
      </c>
      <c r="C14" t="s">
        <v>82</v>
      </c>
      <c r="D14" t="s">
        <v>80</v>
      </c>
      <c r="E14" t="s">
        <v>80</v>
      </c>
      <c r="F14">
        <v>2</v>
      </c>
      <c r="G14">
        <v>2</v>
      </c>
      <c r="H14">
        <v>5.5</v>
      </c>
      <c r="J14" t="s">
        <v>85</v>
      </c>
      <c r="K14" t="s">
        <v>82</v>
      </c>
      <c r="L14" t="s">
        <v>80</v>
      </c>
      <c r="M14" t="s">
        <v>80</v>
      </c>
      <c r="N14">
        <v>1</v>
      </c>
      <c r="O14">
        <v>1</v>
      </c>
      <c r="P14">
        <v>3.9</v>
      </c>
      <c r="R14" t="s">
        <v>84</v>
      </c>
      <c r="S14" t="s">
        <v>82</v>
      </c>
      <c r="T14">
        <v>74.930000000000007</v>
      </c>
    </row>
    <row r="15" spans="2:20" x14ac:dyDescent="0.2">
      <c r="B15" t="s">
        <v>86</v>
      </c>
      <c r="C15" t="s">
        <v>82</v>
      </c>
      <c r="D15" t="s">
        <v>80</v>
      </c>
      <c r="E15" t="s">
        <v>80</v>
      </c>
      <c r="F15">
        <v>0.04</v>
      </c>
      <c r="G15">
        <v>0.04</v>
      </c>
      <c r="H15">
        <v>0.11</v>
      </c>
      <c r="J15" t="s">
        <v>86</v>
      </c>
      <c r="K15" t="s">
        <v>82</v>
      </c>
      <c r="L15" t="s">
        <v>80</v>
      </c>
      <c r="M15" t="s">
        <v>80</v>
      </c>
      <c r="N15">
        <v>0</v>
      </c>
      <c r="O15">
        <v>0</v>
      </c>
      <c r="P15">
        <v>0</v>
      </c>
      <c r="R15" t="s">
        <v>86</v>
      </c>
      <c r="S15" t="s">
        <v>82</v>
      </c>
      <c r="T15">
        <v>5.38</v>
      </c>
    </row>
    <row r="16" spans="2:20" x14ac:dyDescent="0.2">
      <c r="B16" t="s">
        <v>87</v>
      </c>
      <c r="J16" t="s">
        <v>87</v>
      </c>
      <c r="R16" t="s">
        <v>87</v>
      </c>
    </row>
    <row r="17" spans="2:20" x14ac:dyDescent="0.2">
      <c r="B17" t="s">
        <v>88</v>
      </c>
      <c r="C17" t="s">
        <v>89</v>
      </c>
      <c r="D17" t="s">
        <v>80</v>
      </c>
      <c r="E17" t="s">
        <v>80</v>
      </c>
      <c r="F17">
        <v>33</v>
      </c>
      <c r="G17">
        <v>33</v>
      </c>
      <c r="H17">
        <v>91</v>
      </c>
      <c r="J17" t="s">
        <v>88</v>
      </c>
      <c r="K17" t="s">
        <v>89</v>
      </c>
      <c r="L17" t="s">
        <v>80</v>
      </c>
      <c r="M17" t="s">
        <v>80</v>
      </c>
      <c r="N17">
        <v>60</v>
      </c>
      <c r="O17">
        <v>60</v>
      </c>
      <c r="P17">
        <v>233</v>
      </c>
      <c r="R17" t="s">
        <v>88</v>
      </c>
      <c r="S17" t="s">
        <v>89</v>
      </c>
      <c r="T17">
        <v>15</v>
      </c>
    </row>
    <row r="18" spans="2:20" x14ac:dyDescent="0.2">
      <c r="B18" t="s">
        <v>90</v>
      </c>
      <c r="C18" t="s">
        <v>89</v>
      </c>
      <c r="D18" t="s">
        <v>80</v>
      </c>
      <c r="E18" t="s">
        <v>80</v>
      </c>
      <c r="F18">
        <v>0.33</v>
      </c>
      <c r="G18">
        <v>0.33</v>
      </c>
      <c r="H18">
        <v>0.89</v>
      </c>
      <c r="J18" t="s">
        <v>90</v>
      </c>
      <c r="K18" t="s">
        <v>89</v>
      </c>
      <c r="L18" t="s">
        <v>80</v>
      </c>
      <c r="M18" t="s">
        <v>80</v>
      </c>
      <c r="N18">
        <v>1.54</v>
      </c>
      <c r="O18">
        <v>1.54</v>
      </c>
      <c r="P18">
        <v>5.95</v>
      </c>
      <c r="R18" t="s">
        <v>90</v>
      </c>
      <c r="S18" t="s">
        <v>89</v>
      </c>
      <c r="T18">
        <v>1.92</v>
      </c>
    </row>
    <row r="19" spans="2:20" x14ac:dyDescent="0.2">
      <c r="B19" t="s">
        <v>91</v>
      </c>
      <c r="C19" t="s">
        <v>89</v>
      </c>
      <c r="D19" t="s">
        <v>80</v>
      </c>
      <c r="E19" t="s">
        <v>80</v>
      </c>
      <c r="F19">
        <v>7</v>
      </c>
      <c r="G19">
        <v>7</v>
      </c>
      <c r="H19">
        <v>18</v>
      </c>
      <c r="J19" t="s">
        <v>91</v>
      </c>
      <c r="K19" t="s">
        <v>89</v>
      </c>
      <c r="L19" t="s">
        <v>80</v>
      </c>
      <c r="M19" t="s">
        <v>80</v>
      </c>
      <c r="N19">
        <v>10</v>
      </c>
      <c r="O19">
        <v>10</v>
      </c>
      <c r="P19">
        <v>39</v>
      </c>
      <c r="R19" t="s">
        <v>184</v>
      </c>
      <c r="S19" t="s">
        <v>89</v>
      </c>
      <c r="T19">
        <v>124</v>
      </c>
    </row>
    <row r="20" spans="2:20" x14ac:dyDescent="0.2">
      <c r="B20" t="s">
        <v>92</v>
      </c>
      <c r="J20" t="s">
        <v>92</v>
      </c>
      <c r="R20" t="s">
        <v>185</v>
      </c>
      <c r="S20" t="s">
        <v>89</v>
      </c>
      <c r="T20">
        <v>337</v>
      </c>
    </row>
    <row r="21" spans="2:20" x14ac:dyDescent="0.2">
      <c r="B21" t="s">
        <v>93</v>
      </c>
      <c r="C21" t="s">
        <v>94</v>
      </c>
      <c r="D21" t="s">
        <v>80</v>
      </c>
      <c r="E21" t="s">
        <v>80</v>
      </c>
      <c r="F21">
        <v>0</v>
      </c>
      <c r="G21">
        <v>0</v>
      </c>
      <c r="H21">
        <v>0</v>
      </c>
      <c r="J21" t="s">
        <v>104</v>
      </c>
      <c r="K21" t="s">
        <v>89</v>
      </c>
      <c r="L21" t="s">
        <v>80</v>
      </c>
      <c r="M21" t="s">
        <v>80</v>
      </c>
      <c r="N21">
        <v>0</v>
      </c>
      <c r="O21">
        <v>0</v>
      </c>
      <c r="P21">
        <v>0</v>
      </c>
      <c r="R21" t="s">
        <v>186</v>
      </c>
      <c r="S21" t="s">
        <v>89</v>
      </c>
      <c r="T21">
        <v>511</v>
      </c>
    </row>
    <row r="22" spans="2:20" x14ac:dyDescent="0.2">
      <c r="B22" t="s">
        <v>95</v>
      </c>
      <c r="J22" t="s">
        <v>93</v>
      </c>
      <c r="K22" t="s">
        <v>94</v>
      </c>
      <c r="L22" t="s">
        <v>80</v>
      </c>
      <c r="M22" t="s">
        <v>80</v>
      </c>
      <c r="N22">
        <v>0</v>
      </c>
      <c r="O22">
        <v>0</v>
      </c>
      <c r="P22">
        <v>0</v>
      </c>
      <c r="R22" t="s">
        <v>91</v>
      </c>
      <c r="S22" t="s">
        <v>89</v>
      </c>
      <c r="T22">
        <v>13</v>
      </c>
    </row>
    <row r="23" spans="2:20" x14ac:dyDescent="0.2">
      <c r="B23" t="s">
        <v>96</v>
      </c>
      <c r="C23" t="s">
        <v>82</v>
      </c>
      <c r="D23" t="s">
        <v>80</v>
      </c>
      <c r="E23" t="s">
        <v>80</v>
      </c>
      <c r="F23">
        <v>0</v>
      </c>
      <c r="G23">
        <v>0</v>
      </c>
      <c r="H23">
        <v>0</v>
      </c>
      <c r="J23" t="s">
        <v>95</v>
      </c>
      <c r="R23" t="s">
        <v>187</v>
      </c>
      <c r="S23" t="s">
        <v>89</v>
      </c>
      <c r="T23">
        <v>3.05</v>
      </c>
    </row>
    <row r="24" spans="2:20" x14ac:dyDescent="0.2">
      <c r="B24" t="s">
        <v>97</v>
      </c>
      <c r="C24" t="s">
        <v>89</v>
      </c>
      <c r="D24" t="s">
        <v>80</v>
      </c>
      <c r="E24" t="s">
        <v>80</v>
      </c>
      <c r="F24">
        <v>0</v>
      </c>
      <c r="G24">
        <v>0</v>
      </c>
      <c r="H24">
        <v>0</v>
      </c>
      <c r="J24" t="s">
        <v>96</v>
      </c>
      <c r="K24" t="s">
        <v>82</v>
      </c>
      <c r="L24" t="s">
        <v>80</v>
      </c>
      <c r="M24" t="s">
        <v>80</v>
      </c>
      <c r="N24">
        <v>0</v>
      </c>
      <c r="O24">
        <v>0</v>
      </c>
      <c r="P24">
        <v>0</v>
      </c>
      <c r="R24" t="s">
        <v>92</v>
      </c>
    </row>
    <row r="25" spans="2:20" x14ac:dyDescent="0.2">
      <c r="B25" t="s">
        <v>98</v>
      </c>
      <c r="J25" t="s">
        <v>105</v>
      </c>
      <c r="K25" t="s">
        <v>82</v>
      </c>
      <c r="L25" t="s">
        <v>80</v>
      </c>
      <c r="M25" t="s">
        <v>80</v>
      </c>
      <c r="N25">
        <v>0</v>
      </c>
      <c r="O25">
        <v>0</v>
      </c>
      <c r="P25">
        <v>0</v>
      </c>
      <c r="R25" t="s">
        <v>104</v>
      </c>
      <c r="S25" t="s">
        <v>89</v>
      </c>
      <c r="T25">
        <v>0</v>
      </c>
    </row>
    <row r="26" spans="2:20" x14ac:dyDescent="0.2">
      <c r="B26" t="s">
        <v>99</v>
      </c>
      <c r="J26" t="s">
        <v>97</v>
      </c>
      <c r="K26" t="s">
        <v>89</v>
      </c>
      <c r="L26" t="s">
        <v>80</v>
      </c>
      <c r="M26" t="s">
        <v>80</v>
      </c>
      <c r="N26">
        <v>0</v>
      </c>
      <c r="O26">
        <v>0</v>
      </c>
      <c r="P26">
        <v>0</v>
      </c>
      <c r="R26" t="s">
        <v>188</v>
      </c>
      <c r="S26" t="s">
        <v>89</v>
      </c>
      <c r="T26">
        <v>0.2</v>
      </c>
    </row>
    <row r="27" spans="2:20" x14ac:dyDescent="0.2">
      <c r="B27" t="s">
        <v>100</v>
      </c>
      <c r="J27" t="s">
        <v>98</v>
      </c>
      <c r="R27" t="s">
        <v>189</v>
      </c>
      <c r="S27" t="s">
        <v>89</v>
      </c>
      <c r="T27">
        <v>6.8000000000000005E-2</v>
      </c>
    </row>
    <row r="28" spans="2:20" x14ac:dyDescent="0.2">
      <c r="B28" t="s">
        <v>101</v>
      </c>
      <c r="J28" t="s">
        <v>99</v>
      </c>
      <c r="R28" t="s">
        <v>190</v>
      </c>
      <c r="S28" t="s">
        <v>89</v>
      </c>
      <c r="T28">
        <v>3.3</v>
      </c>
    </row>
    <row r="29" spans="2:20" x14ac:dyDescent="0.2">
      <c r="J29" t="s">
        <v>100</v>
      </c>
      <c r="R29" t="s">
        <v>191</v>
      </c>
      <c r="S29" t="s">
        <v>89</v>
      </c>
      <c r="T29">
        <v>0.372</v>
      </c>
    </row>
    <row r="30" spans="2:20" x14ac:dyDescent="0.2">
      <c r="J30" t="s">
        <v>106</v>
      </c>
      <c r="R30" t="s">
        <v>192</v>
      </c>
      <c r="S30" t="s">
        <v>89</v>
      </c>
      <c r="T30">
        <v>0</v>
      </c>
    </row>
    <row r="31" spans="2:20" x14ac:dyDescent="0.2">
      <c r="R31" t="s">
        <v>193</v>
      </c>
      <c r="S31" t="s">
        <v>194</v>
      </c>
      <c r="T31">
        <v>0.9</v>
      </c>
    </row>
    <row r="32" spans="2:20" x14ac:dyDescent="0.2">
      <c r="R32" t="s">
        <v>95</v>
      </c>
    </row>
    <row r="33" spans="18:20" x14ac:dyDescent="0.2">
      <c r="R33" t="s">
        <v>96</v>
      </c>
      <c r="S33" t="s">
        <v>82</v>
      </c>
      <c r="T33">
        <v>0.82</v>
      </c>
    </row>
    <row r="34" spans="18:20" x14ac:dyDescent="0.2">
      <c r="R34" t="s">
        <v>195</v>
      </c>
      <c r="S34" t="s">
        <v>82</v>
      </c>
      <c r="T34">
        <v>1.4830000000000001</v>
      </c>
    </row>
    <row r="35" spans="18:20" x14ac:dyDescent="0.2">
      <c r="R35" t="s">
        <v>196</v>
      </c>
      <c r="S35" t="s">
        <v>82</v>
      </c>
      <c r="T35">
        <v>1.9</v>
      </c>
    </row>
    <row r="36" spans="18:20" x14ac:dyDescent="0.2">
      <c r="R36" t="s">
        <v>98</v>
      </c>
    </row>
    <row r="37" spans="18:20" x14ac:dyDescent="0.2">
      <c r="R37" t="s">
        <v>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1"/>
  <sheetViews>
    <sheetView workbookViewId="0">
      <pane ySplit="11" topLeftCell="A28" activePane="bottomLeft" state="frozen"/>
      <selection pane="bottomLeft" activeCell="B38" sqref="B38"/>
    </sheetView>
  </sheetViews>
  <sheetFormatPr baseColWidth="10" defaultRowHeight="16" x14ac:dyDescent="0.2"/>
  <cols>
    <col min="1" max="1" width="20.1640625" customWidth="1"/>
    <col min="2" max="2" width="15.83203125" customWidth="1"/>
    <col min="3" max="3" width="15.83203125" bestFit="1" customWidth="1"/>
    <col min="4" max="4" width="13.5" customWidth="1"/>
    <col min="5" max="5" width="15.83203125" customWidth="1"/>
    <col min="6" max="6" width="15.83203125" bestFit="1" customWidth="1"/>
    <col min="7" max="7" width="20.33203125" customWidth="1"/>
    <col min="8" max="8" width="20.33203125" bestFit="1" customWidth="1"/>
    <col min="9" max="9" width="15.83203125" bestFit="1" customWidth="1"/>
    <col min="10" max="10" width="11.5" customWidth="1"/>
    <col min="11" max="11" width="20.33203125" bestFit="1" customWidth="1"/>
  </cols>
  <sheetData>
    <row r="1" spans="1:12" x14ac:dyDescent="0.2">
      <c r="A1" s="11" t="s">
        <v>114</v>
      </c>
      <c r="L1" s="38"/>
    </row>
    <row r="2" spans="1:12" x14ac:dyDescent="0.2">
      <c r="A2" t="s">
        <v>217</v>
      </c>
      <c r="L2" s="38"/>
    </row>
    <row r="3" spans="1:12" x14ac:dyDescent="0.2">
      <c r="A3" t="s">
        <v>218</v>
      </c>
      <c r="L3" s="38"/>
    </row>
    <row r="4" spans="1:12" x14ac:dyDescent="0.2">
      <c r="B4" t="s">
        <v>117</v>
      </c>
      <c r="C4" t="s">
        <v>118</v>
      </c>
      <c r="D4" t="s">
        <v>119</v>
      </c>
      <c r="G4" s="38" t="s">
        <v>219</v>
      </c>
      <c r="H4" s="38"/>
      <c r="I4" s="38"/>
      <c r="J4" s="38"/>
    </row>
    <row r="5" spans="1:12" x14ac:dyDescent="0.2">
      <c r="A5" s="10" t="s">
        <v>115</v>
      </c>
      <c r="G5" s="30" t="s">
        <v>143</v>
      </c>
      <c r="H5" s="26" t="s">
        <v>220</v>
      </c>
      <c r="I5" s="26" t="s">
        <v>148</v>
      </c>
    </row>
    <row r="6" spans="1:12" x14ac:dyDescent="0.2">
      <c r="A6" t="s">
        <v>121</v>
      </c>
      <c r="B6">
        <v>2783</v>
      </c>
      <c r="C6">
        <v>300</v>
      </c>
      <c r="D6">
        <v>5630</v>
      </c>
      <c r="G6" s="26" t="s">
        <v>144</v>
      </c>
      <c r="H6" s="26">
        <v>7</v>
      </c>
      <c r="I6" s="26">
        <v>7</v>
      </c>
    </row>
    <row r="7" spans="1:12" x14ac:dyDescent="0.2">
      <c r="A7" t="s">
        <v>120</v>
      </c>
      <c r="B7">
        <v>2686</v>
      </c>
      <c r="C7">
        <v>126</v>
      </c>
      <c r="D7">
        <v>5705</v>
      </c>
      <c r="G7" s="26" t="s">
        <v>145</v>
      </c>
      <c r="H7" s="26">
        <v>5</v>
      </c>
      <c r="I7" s="26">
        <v>4</v>
      </c>
    </row>
    <row r="8" spans="1:12" x14ac:dyDescent="0.2">
      <c r="A8" s="10" t="s">
        <v>116</v>
      </c>
      <c r="G8" s="26" t="s">
        <v>146</v>
      </c>
      <c r="H8" s="26">
        <v>4</v>
      </c>
      <c r="I8" s="26">
        <v>2</v>
      </c>
    </row>
    <row r="9" spans="1:12" x14ac:dyDescent="0.2">
      <c r="A9" s="27" t="s">
        <v>123</v>
      </c>
      <c r="B9">
        <v>1830</v>
      </c>
      <c r="C9">
        <v>660</v>
      </c>
      <c r="D9">
        <v>3469</v>
      </c>
      <c r="G9" s="26" t="s">
        <v>147</v>
      </c>
      <c r="H9" s="26">
        <v>5</v>
      </c>
      <c r="I9" s="26">
        <v>4</v>
      </c>
    </row>
    <row r="10" spans="1:12" x14ac:dyDescent="0.2">
      <c r="A10" t="s">
        <v>122</v>
      </c>
      <c r="B10">
        <v>342</v>
      </c>
      <c r="C10">
        <v>0</v>
      </c>
      <c r="D10">
        <v>950</v>
      </c>
    </row>
    <row r="11" spans="1:12" x14ac:dyDescent="0.2">
      <c r="A11" s="10" t="s">
        <v>124</v>
      </c>
      <c r="B11">
        <v>19</v>
      </c>
      <c r="C11">
        <v>0</v>
      </c>
      <c r="D11">
        <v>27</v>
      </c>
    </row>
    <row r="14" spans="1:12" x14ac:dyDescent="0.2">
      <c r="A14" s="10" t="s">
        <v>133</v>
      </c>
      <c r="B14" t="s">
        <v>132</v>
      </c>
      <c r="C14" t="s">
        <v>129</v>
      </c>
      <c r="D14" t="s">
        <v>126</v>
      </c>
      <c r="E14" s="3" t="s">
        <v>49</v>
      </c>
      <c r="F14" t="s">
        <v>139</v>
      </c>
      <c r="G14" t="s">
        <v>136</v>
      </c>
      <c r="H14" t="s">
        <v>140</v>
      </c>
      <c r="I14" t="s">
        <v>141</v>
      </c>
      <c r="J14" t="s">
        <v>138</v>
      </c>
      <c r="K14" t="s">
        <v>142</v>
      </c>
    </row>
    <row r="15" spans="1:12" x14ac:dyDescent="0.2">
      <c r="A15" t="s">
        <v>127</v>
      </c>
      <c r="B15">
        <v>1</v>
      </c>
      <c r="C15">
        <v>5</v>
      </c>
      <c r="D15" s="1">
        <f>$C15*('USDA tortilla &amp; dry corn kcal'!$O$8/1000)</f>
        <v>0.129</v>
      </c>
      <c r="E15" s="3" t="s">
        <v>49</v>
      </c>
      <c r="F15">
        <f>$C15*3</f>
        <v>15</v>
      </c>
      <c r="G15" s="1">
        <f>($C15*('USDA tortilla &amp; dry corn kcal'!$O$8/1000))*3</f>
        <v>0.38700000000000001</v>
      </c>
      <c r="H15" s="1">
        <f>(G15*100)/$B$9</f>
        <v>2.114754098360656E-2</v>
      </c>
      <c r="I15">
        <f>$C15*5</f>
        <v>25</v>
      </c>
      <c r="J15" s="1">
        <f>($C15*('USDA tortilla &amp; dry corn kcal'!$O$8/1000))*5</f>
        <v>0.64500000000000002</v>
      </c>
      <c r="K15" s="1">
        <f>(J15*100)/$B$9</f>
        <v>3.5245901639344261E-2</v>
      </c>
    </row>
    <row r="16" spans="1:12" x14ac:dyDescent="0.2">
      <c r="A16" t="s">
        <v>128</v>
      </c>
      <c r="B16">
        <v>7</v>
      </c>
      <c r="C16">
        <f>C$15*B16</f>
        <v>35</v>
      </c>
      <c r="D16" s="1">
        <f>$C16*('USDA tortilla &amp; dry corn kcal'!$O$8/1000)</f>
        <v>0.90300000000000002</v>
      </c>
      <c r="E16" s="3" t="s">
        <v>49</v>
      </c>
      <c r="F16">
        <f t="shared" ref="F16:F17" si="0">$C16*3</f>
        <v>105</v>
      </c>
      <c r="G16" s="1">
        <f>($C16*('USDA tortilla &amp; dry corn kcal'!$O$8/1000))*3</f>
        <v>2.7090000000000001</v>
      </c>
      <c r="H16" s="1">
        <f>(G16*100)/$B$9</f>
        <v>0.14803278688524593</v>
      </c>
      <c r="I16">
        <f t="shared" ref="I16:I18" si="1">$C16*5</f>
        <v>175</v>
      </c>
      <c r="J16" s="1">
        <f>($C16*('USDA tortilla &amp; dry corn kcal'!$O$8/1000))*5</f>
        <v>4.5150000000000006</v>
      </c>
      <c r="K16" s="1">
        <f>(J16*100)/$B$9</f>
        <v>0.24672131147540988</v>
      </c>
    </row>
    <row r="17" spans="1:14" x14ac:dyDescent="0.2">
      <c r="A17" t="s">
        <v>130</v>
      </c>
      <c r="B17">
        <v>30</v>
      </c>
      <c r="C17">
        <f>C$15*B17</f>
        <v>150</v>
      </c>
      <c r="D17" s="1">
        <f>$C17*('USDA tortilla &amp; dry corn kcal'!$O$8/1000)</f>
        <v>3.87</v>
      </c>
      <c r="E17" s="3" t="s">
        <v>49</v>
      </c>
      <c r="F17">
        <f t="shared" si="0"/>
        <v>450</v>
      </c>
      <c r="G17" s="1">
        <f>($C17*('USDA tortilla &amp; dry corn kcal'!$O$8/1000))*3</f>
        <v>11.61</v>
      </c>
      <c r="H17" s="1">
        <f>(G17*100)/$B$9</f>
        <v>0.63442622950819672</v>
      </c>
      <c r="I17">
        <f t="shared" si="1"/>
        <v>750</v>
      </c>
      <c r="J17" s="1">
        <f>($C17*('USDA tortilla &amp; dry corn kcal'!$O$8/1000))*5</f>
        <v>19.350000000000001</v>
      </c>
      <c r="K17" s="1">
        <f>(J17*100)/$B$9</f>
        <v>1.057377049180328</v>
      </c>
    </row>
    <row r="18" spans="1:14" x14ac:dyDescent="0.2">
      <c r="A18" t="s">
        <v>131</v>
      </c>
      <c r="B18">
        <v>365</v>
      </c>
      <c r="C18">
        <f>C$15*B18</f>
        <v>1825</v>
      </c>
      <c r="D18" s="1">
        <f>$C18*('USDA tortilla &amp; dry corn kcal'!$O$8/1000)</f>
        <v>47.085000000000001</v>
      </c>
      <c r="E18" s="3" t="s">
        <v>49</v>
      </c>
      <c r="F18">
        <f>$C18*3</f>
        <v>5475</v>
      </c>
      <c r="G18" s="1">
        <f>($C18*('USDA tortilla &amp; dry corn kcal'!$O$8/1000))*3</f>
        <v>141.255</v>
      </c>
      <c r="H18" s="1">
        <f>(G18*100)/$B$9</f>
        <v>7.7188524590163938</v>
      </c>
      <c r="I18">
        <f t="shared" si="1"/>
        <v>9125</v>
      </c>
      <c r="J18" s="1">
        <f>($C18*('USDA tortilla &amp; dry corn kcal'!$O$8/1000))*5</f>
        <v>235.42500000000001</v>
      </c>
      <c r="K18" s="1">
        <f>(J18*100)/$B$9</f>
        <v>12.864754098360656</v>
      </c>
    </row>
    <row r="20" spans="1:14" x14ac:dyDescent="0.2">
      <c r="A20" s="29"/>
      <c r="B20" s="29"/>
    </row>
    <row r="21" spans="1:14" x14ac:dyDescent="0.2">
      <c r="A21" s="10" t="s">
        <v>137</v>
      </c>
      <c r="B21" s="36" t="s">
        <v>211</v>
      </c>
      <c r="C21" s="37">
        <v>1</v>
      </c>
      <c r="F21" s="34" t="s">
        <v>161</v>
      </c>
      <c r="J21" s="34" t="s">
        <v>163</v>
      </c>
    </row>
    <row r="22" spans="1:14" x14ac:dyDescent="0.2">
      <c r="D22" t="s">
        <v>134</v>
      </c>
      <c r="F22" t="s">
        <v>135</v>
      </c>
      <c r="G22" t="s">
        <v>199</v>
      </c>
      <c r="H22" t="s">
        <v>162</v>
      </c>
      <c r="J22" t="s">
        <v>135</v>
      </c>
      <c r="K22" t="s">
        <v>199</v>
      </c>
      <c r="L22" t="s">
        <v>162</v>
      </c>
    </row>
    <row r="23" spans="1:14" x14ac:dyDescent="0.2">
      <c r="A23" t="s">
        <v>127</v>
      </c>
      <c r="D23">
        <f>C15*C$21</f>
        <v>5</v>
      </c>
      <c r="F23" s="1">
        <f>($C15*('USDA tortilla &amp; dry corn kcal'!$O$8/1000))*C$21</f>
        <v>0.129</v>
      </c>
      <c r="G23" s="32">
        <f>(F23*('USDA tortilla &amp; dry corn kcal'!$P$10*10))/1</f>
        <v>399.90000000000003</v>
      </c>
      <c r="H23" s="1">
        <f>(F23*100)/$B$9</f>
        <v>7.0491803278688522E-3</v>
      </c>
      <c r="J23" s="1">
        <f>(($C15*('USDA tortilla &amp; dry corn kcal'!$O$8/1000))/2)*C$21</f>
        <v>6.4500000000000002E-2</v>
      </c>
      <c r="K23" s="32">
        <f>(J23*('USDA tortilla &amp; dry corn kcal'!$P$10*10))/1</f>
        <v>199.95000000000002</v>
      </c>
      <c r="L23" s="1">
        <f>(J23*100)/$B$9</f>
        <v>3.5245901639344261E-3</v>
      </c>
    </row>
    <row r="24" spans="1:14" x14ac:dyDescent="0.2">
      <c r="A24" t="s">
        <v>128</v>
      </c>
      <c r="D24">
        <f>C16*C$21</f>
        <v>35</v>
      </c>
      <c r="F24" s="1">
        <f>($C16*('USDA tortilla &amp; dry corn kcal'!$O$8/1000))*C$21</f>
        <v>0.90300000000000002</v>
      </c>
      <c r="G24" s="32">
        <f>(F24*('USDA tortilla &amp; dry corn kcal'!$P$10*10))/1</f>
        <v>2799.3</v>
      </c>
      <c r="H24" s="1">
        <f>(F24*100)/$B$9</f>
        <v>4.9344262295081966E-2</v>
      </c>
      <c r="J24" s="1">
        <f>(($C16*('USDA tortilla &amp; dry corn kcal'!$O$8/1000))/2)*C$21</f>
        <v>0.45150000000000001</v>
      </c>
      <c r="K24" s="32">
        <f>(J24*('USDA tortilla &amp; dry corn kcal'!$P$10*10))/1</f>
        <v>1399.65</v>
      </c>
      <c r="L24" s="1">
        <f>(J24*100)/$B$9</f>
        <v>2.4672131147540983E-2</v>
      </c>
    </row>
    <row r="25" spans="1:14" x14ac:dyDescent="0.2">
      <c r="A25" t="s">
        <v>130</v>
      </c>
      <c r="D25">
        <f>C17*C$21</f>
        <v>150</v>
      </c>
      <c r="F25" s="1">
        <f>($C17*('USDA tortilla &amp; dry corn kcal'!$O$8/1000))*C$21</f>
        <v>3.87</v>
      </c>
      <c r="G25" s="32">
        <f>(F25*('USDA tortilla &amp; dry corn kcal'!$P$10*10))/1</f>
        <v>11997</v>
      </c>
      <c r="H25" s="1">
        <f>(F25*100)/$B$9</f>
        <v>0.21147540983606558</v>
      </c>
      <c r="J25" s="1">
        <f>(($C17*('USDA tortilla &amp; dry corn kcal'!$O$8/1000))/2)*C$21</f>
        <v>1.9350000000000001</v>
      </c>
      <c r="K25" s="32">
        <f>(J25*('USDA tortilla &amp; dry corn kcal'!$P$10*10))/1</f>
        <v>5998.5</v>
      </c>
      <c r="L25" s="1">
        <f>(J25*100)/$B$9</f>
        <v>0.10573770491803279</v>
      </c>
    </row>
    <row r="26" spans="1:14" x14ac:dyDescent="0.2">
      <c r="A26" t="s">
        <v>131</v>
      </c>
      <c r="D26">
        <f>C18*C$21</f>
        <v>1825</v>
      </c>
      <c r="F26" s="1">
        <f>($C18*('USDA tortilla &amp; dry corn kcal'!$O$8/1000))*C$21</f>
        <v>47.085000000000001</v>
      </c>
      <c r="G26" s="32">
        <f>(F26*('USDA tortilla &amp; dry corn kcal'!$P$10*10))/1</f>
        <v>145963.5</v>
      </c>
      <c r="H26" s="1">
        <f>(F26*100)/$B$9</f>
        <v>2.5729508196721311</v>
      </c>
      <c r="J26" s="1">
        <f>(($C18*('USDA tortilla &amp; dry corn kcal'!$O$8/1000))/2)*C$21</f>
        <v>23.5425</v>
      </c>
      <c r="K26" s="32">
        <f>(J26*('USDA tortilla &amp; dry corn kcal'!$P$10*10))/1</f>
        <v>72981.75</v>
      </c>
      <c r="L26" s="1">
        <f>(J26*100)/$B$9</f>
        <v>1.2864754098360656</v>
      </c>
    </row>
    <row r="29" spans="1:14" x14ac:dyDescent="0.2">
      <c r="F29" s="35" t="s">
        <v>202</v>
      </c>
      <c r="I29" t="s">
        <v>49</v>
      </c>
      <c r="J29" s="35" t="s">
        <v>206</v>
      </c>
      <c r="N29" t="s">
        <v>49</v>
      </c>
    </row>
    <row r="30" spans="1:14" x14ac:dyDescent="0.2">
      <c r="F30" s="35" t="s">
        <v>203</v>
      </c>
      <c r="I30" t="s">
        <v>49</v>
      </c>
      <c r="J30" s="35" t="s">
        <v>205</v>
      </c>
      <c r="N30" t="s">
        <v>49</v>
      </c>
    </row>
    <row r="33" spans="1:11" x14ac:dyDescent="0.2">
      <c r="A33" s="5" t="s">
        <v>150</v>
      </c>
    </row>
    <row r="34" spans="1:11" x14ac:dyDescent="0.2">
      <c r="A34" s="28" t="s">
        <v>153</v>
      </c>
      <c r="B34" t="s">
        <v>228</v>
      </c>
    </row>
    <row r="35" spans="1:11" x14ac:dyDescent="0.2">
      <c r="B35" t="s">
        <v>154</v>
      </c>
    </row>
    <row r="36" spans="1:11" x14ac:dyDescent="0.2">
      <c r="A36" s="28" t="s">
        <v>153</v>
      </c>
      <c r="B36" t="s">
        <v>151</v>
      </c>
    </row>
    <row r="37" spans="1:11" x14ac:dyDescent="0.2">
      <c r="B37" t="s">
        <v>149</v>
      </c>
    </row>
    <row r="38" spans="1:11" x14ac:dyDescent="0.2">
      <c r="A38" s="28" t="s">
        <v>153</v>
      </c>
      <c r="B38" t="s">
        <v>152</v>
      </c>
    </row>
    <row r="41" spans="1:11" x14ac:dyDescent="0.2">
      <c r="A41" s="10" t="s">
        <v>159</v>
      </c>
      <c r="B41" t="s">
        <v>132</v>
      </c>
      <c r="C41" t="s">
        <v>129</v>
      </c>
      <c r="D41" t="s">
        <v>155</v>
      </c>
      <c r="E41" t="s">
        <v>204</v>
      </c>
      <c r="F41" t="s">
        <v>157</v>
      </c>
      <c r="I41" t="s">
        <v>160</v>
      </c>
      <c r="J41" t="s">
        <v>204</v>
      </c>
      <c r="K41" t="s">
        <v>156</v>
      </c>
    </row>
    <row r="42" spans="1:11" x14ac:dyDescent="0.2">
      <c r="A42" t="s">
        <v>127</v>
      </c>
      <c r="B42">
        <v>1</v>
      </c>
      <c r="C42" s="32">
        <f>D42/('USDA tortilla &amp; dry corn kcal'!$O$8/1000)</f>
        <v>108.52713178294573</v>
      </c>
      <c r="D42" s="31">
        <f>(1.4*2)*B42</f>
        <v>2.8</v>
      </c>
      <c r="E42" s="32">
        <f>(D42*('USDA tortilla &amp; dry corn kcal'!$P$10*10))/1</f>
        <v>8680</v>
      </c>
      <c r="F42" s="1">
        <f>(D42*100)/$B$9</f>
        <v>0.15300546448087432</v>
      </c>
      <c r="I42">
        <f>((1.4/2)*2)*B42</f>
        <v>1.4</v>
      </c>
      <c r="J42" s="32">
        <f>(I42*('USDA tortilla &amp; dry corn kcal'!$P$10*10))/1</f>
        <v>4340</v>
      </c>
      <c r="K42" s="1">
        <f>(I42*100)/$B$9</f>
        <v>7.650273224043716E-2</v>
      </c>
    </row>
    <row r="43" spans="1:11" x14ac:dyDescent="0.2">
      <c r="A43" t="s">
        <v>128</v>
      </c>
      <c r="B43">
        <v>7</v>
      </c>
      <c r="C43" s="32">
        <f>D43/('USDA tortilla &amp; dry corn kcal'!$O$8/1000)</f>
        <v>759.68992248062011</v>
      </c>
      <c r="D43" s="31">
        <f t="shared" ref="D43:D45" si="2">(1.4*2)*B43</f>
        <v>19.599999999999998</v>
      </c>
      <c r="E43" s="32">
        <f>(D43*('USDA tortilla &amp; dry corn kcal'!$P$10*10))/1</f>
        <v>60759.999999999993</v>
      </c>
      <c r="F43" s="1">
        <f>(D43*100)/$B$9</f>
        <v>1.0710382513661201</v>
      </c>
      <c r="I43">
        <f>((1.4/2)*2)*B43</f>
        <v>9.7999999999999989</v>
      </c>
      <c r="J43" s="32">
        <f>(I43*('USDA tortilla &amp; dry corn kcal'!$P$10*10))/1</f>
        <v>30379.999999999996</v>
      </c>
      <c r="K43" s="1">
        <f>(I43*100)/$B$9</f>
        <v>0.53551912568306004</v>
      </c>
    </row>
    <row r="44" spans="1:11" x14ac:dyDescent="0.2">
      <c r="A44" t="s">
        <v>130</v>
      </c>
      <c r="B44">
        <v>30</v>
      </c>
      <c r="C44" s="32">
        <f>D44/('USDA tortilla &amp; dry corn kcal'!$O$8/1000)</f>
        <v>3255.8139534883721</v>
      </c>
      <c r="D44" s="31">
        <f t="shared" si="2"/>
        <v>84</v>
      </c>
      <c r="E44" s="32">
        <f>(D44*('USDA tortilla &amp; dry corn kcal'!$P$10*10))/1</f>
        <v>260400</v>
      </c>
      <c r="F44" s="1">
        <f>(D44*100)/$B$9</f>
        <v>4.5901639344262293</v>
      </c>
      <c r="I44">
        <f>((1.4/2)*2)*B44</f>
        <v>42</v>
      </c>
      <c r="J44" s="32">
        <f>(I44*('USDA tortilla &amp; dry corn kcal'!$P$10*10))/1</f>
        <v>130200</v>
      </c>
      <c r="K44" s="1">
        <f>(I44*100)/$B$9</f>
        <v>2.2950819672131146</v>
      </c>
    </row>
    <row r="45" spans="1:11" x14ac:dyDescent="0.2">
      <c r="A45" t="s">
        <v>131</v>
      </c>
      <c r="B45">
        <v>365</v>
      </c>
      <c r="C45" s="32">
        <f>D45/('USDA tortilla &amp; dry corn kcal'!$O$8/1000)</f>
        <v>39612.403100775191</v>
      </c>
      <c r="D45" s="31">
        <f t="shared" si="2"/>
        <v>1021.9999999999999</v>
      </c>
      <c r="E45" s="32">
        <f>(D45*('USDA tortilla &amp; dry corn kcal'!$P$10*10))/1</f>
        <v>3168199.9999999995</v>
      </c>
      <c r="F45" s="1">
        <f>(D45*100)/$B$9</f>
        <v>55.846994535519116</v>
      </c>
      <c r="I45">
        <f>((1.4/2)*2)*B45</f>
        <v>510.99999999999994</v>
      </c>
      <c r="J45" s="32">
        <f>(I45*('USDA tortilla &amp; dry corn kcal'!$P$10*10))/1</f>
        <v>1584099.9999999998</v>
      </c>
      <c r="K45" s="1">
        <f>(I45*100)/$B$9</f>
        <v>27.923497267759558</v>
      </c>
    </row>
    <row r="47" spans="1:11" x14ac:dyDescent="0.2">
      <c r="A47" s="10" t="s">
        <v>158</v>
      </c>
      <c r="B47" t="s">
        <v>132</v>
      </c>
      <c r="C47" t="s">
        <v>129</v>
      </c>
      <c r="D47" t="s">
        <v>155</v>
      </c>
      <c r="E47" t="s">
        <v>204</v>
      </c>
      <c r="F47" t="s">
        <v>157</v>
      </c>
      <c r="I47" t="s">
        <v>160</v>
      </c>
      <c r="J47" t="s">
        <v>204</v>
      </c>
      <c r="K47" t="s">
        <v>156</v>
      </c>
    </row>
    <row r="48" spans="1:11" x14ac:dyDescent="0.2">
      <c r="A48" t="s">
        <v>127</v>
      </c>
      <c r="B48">
        <v>1</v>
      </c>
      <c r="C48" s="32">
        <f>D48/('USDA tortilla &amp; dry corn kcal'!$O$8/1000)</f>
        <v>248.06201550387598</v>
      </c>
      <c r="D48" s="31">
        <f>(3.2*2)*B48</f>
        <v>6.4</v>
      </c>
      <c r="E48" s="32">
        <f>(D48*('USDA tortilla &amp; dry corn kcal'!$P$10*10))/1</f>
        <v>19840</v>
      </c>
      <c r="F48" s="1">
        <f>(D48*100)/$B$9</f>
        <v>0.34972677595628415</v>
      </c>
      <c r="I48">
        <f>((3.2/2)*2)*B48</f>
        <v>3.2</v>
      </c>
      <c r="J48" s="32">
        <f>(I48*('USDA tortilla &amp; dry corn kcal'!$P$10*10))/1</f>
        <v>9920</v>
      </c>
      <c r="K48" s="1">
        <f>(I48*100)/$B$9</f>
        <v>0.17486338797814208</v>
      </c>
    </row>
    <row r="49" spans="1:11" x14ac:dyDescent="0.2">
      <c r="A49" t="s">
        <v>128</v>
      </c>
      <c r="B49">
        <v>7</v>
      </c>
      <c r="C49" s="32">
        <f>D49/('USDA tortilla &amp; dry corn kcal'!$O$8/1000)</f>
        <v>1736.4341085271319</v>
      </c>
      <c r="D49" s="31">
        <f t="shared" ref="D49:D51" si="3">(3.2*2)*B49</f>
        <v>44.800000000000004</v>
      </c>
      <c r="E49" s="32">
        <f>(D49*('USDA tortilla &amp; dry corn kcal'!$P$10*10))/1</f>
        <v>138880</v>
      </c>
      <c r="F49" s="1">
        <f>(D49*100)/$B$9</f>
        <v>2.4480874316939891</v>
      </c>
      <c r="I49">
        <f>((3.2/2)*2)*B49</f>
        <v>22.400000000000002</v>
      </c>
      <c r="J49" s="32">
        <f>(I49*('USDA tortilla &amp; dry corn kcal'!$P$10*10))/1</f>
        <v>69440</v>
      </c>
      <c r="K49" s="1">
        <f>(I49*100)/$B$9</f>
        <v>1.2240437158469946</v>
      </c>
    </row>
    <row r="50" spans="1:11" x14ac:dyDescent="0.2">
      <c r="A50" t="s">
        <v>130</v>
      </c>
      <c r="B50">
        <v>30</v>
      </c>
      <c r="C50" s="32">
        <f>D50/('USDA tortilla &amp; dry corn kcal'!$O$8/1000)</f>
        <v>7441.8604651162786</v>
      </c>
      <c r="D50" s="31">
        <f t="shared" si="3"/>
        <v>192</v>
      </c>
      <c r="E50" s="32">
        <f>(D50*('USDA tortilla &amp; dry corn kcal'!$P$10*10))/1</f>
        <v>595200</v>
      </c>
      <c r="F50" s="1">
        <f>(D50*100)/$B$9</f>
        <v>10.491803278688524</v>
      </c>
      <c r="I50">
        <f>((3.2/2)*2)*B50</f>
        <v>96</v>
      </c>
      <c r="J50" s="32">
        <f>(I50*('USDA tortilla &amp; dry corn kcal'!$P$10*10))/1</f>
        <v>297600</v>
      </c>
      <c r="K50" s="1">
        <f>(I50*100)/$B$9</f>
        <v>5.2459016393442619</v>
      </c>
    </row>
    <row r="51" spans="1:11" x14ac:dyDescent="0.2">
      <c r="A51" t="s">
        <v>131</v>
      </c>
      <c r="B51">
        <v>365</v>
      </c>
      <c r="C51" s="32">
        <f>D51/('USDA tortilla &amp; dry corn kcal'!$O$8/1000)</f>
        <v>90542.635658914733</v>
      </c>
      <c r="D51" s="31">
        <f t="shared" si="3"/>
        <v>2336</v>
      </c>
      <c r="E51" s="32">
        <f>(D51*('USDA tortilla &amp; dry corn kcal'!$P$10*10))/1</f>
        <v>7241600</v>
      </c>
      <c r="F51" s="1">
        <f>(D51*100)/$B$9</f>
        <v>127.65027322404372</v>
      </c>
      <c r="I51">
        <f>((3.2/2)*2)*B51</f>
        <v>1168</v>
      </c>
      <c r="J51" s="32">
        <f>(I51*('USDA tortilla &amp; dry corn kcal'!$P$10*10))/1</f>
        <v>3620800</v>
      </c>
      <c r="K51" s="1">
        <f>(I51*100)/$B$9</f>
        <v>63.825136612021858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20"/>
  <sheetViews>
    <sheetView tabSelected="1" workbookViewId="0">
      <selection activeCell="I11" sqref="I11"/>
    </sheetView>
  </sheetViews>
  <sheetFormatPr baseColWidth="10" defaultRowHeight="16" x14ac:dyDescent="0.2"/>
  <cols>
    <col min="1" max="2" width="15.33203125" customWidth="1"/>
    <col min="3" max="3" width="5.1640625" bestFit="1" customWidth="1"/>
    <col min="4" max="4" width="17" customWidth="1"/>
    <col min="5" max="6" width="13.83203125" bestFit="1" customWidth="1"/>
    <col min="7" max="7" width="11.83203125" bestFit="1" customWidth="1"/>
    <col min="8" max="8" width="13.1640625" bestFit="1" customWidth="1"/>
    <col min="9" max="9" width="27" bestFit="1" customWidth="1"/>
    <col min="10" max="10" width="15.83203125" customWidth="1"/>
  </cols>
  <sheetData>
    <row r="2" spans="2:12" x14ac:dyDescent="0.2">
      <c r="B2" s="11" t="s">
        <v>167</v>
      </c>
      <c r="K2" s="11" t="s">
        <v>168</v>
      </c>
    </row>
    <row r="3" spans="2:12" x14ac:dyDescent="0.2">
      <c r="B3" t="s">
        <v>164</v>
      </c>
      <c r="K3" s="33" t="s">
        <v>153</v>
      </c>
      <c r="L3" t="s">
        <v>169</v>
      </c>
    </row>
    <row r="4" spans="2:12" x14ac:dyDescent="0.2">
      <c r="B4" t="s">
        <v>165</v>
      </c>
      <c r="K4" s="33" t="s">
        <v>153</v>
      </c>
      <c r="L4" t="s">
        <v>229</v>
      </c>
    </row>
    <row r="5" spans="2:12" x14ac:dyDescent="0.2">
      <c r="B5" t="s">
        <v>166</v>
      </c>
      <c r="L5" t="s">
        <v>172</v>
      </c>
    </row>
    <row r="6" spans="2:12" x14ac:dyDescent="0.2">
      <c r="L6" t="s">
        <v>210</v>
      </c>
    </row>
    <row r="7" spans="2:12" x14ac:dyDescent="0.2">
      <c r="C7" s="28" t="s">
        <v>178</v>
      </c>
      <c r="D7" s="3">
        <f>'Maize to dogs'!B9</f>
        <v>1830</v>
      </c>
      <c r="E7" t="s">
        <v>174</v>
      </c>
      <c r="F7" s="28" t="s">
        <v>200</v>
      </c>
      <c r="G7" s="3">
        <f>D7*('USDA tortilla &amp; dry corn kcal'!$T$11*10)</f>
        <v>7063800</v>
      </c>
      <c r="H7" t="s">
        <v>201</v>
      </c>
      <c r="K7" s="33" t="s">
        <v>153</v>
      </c>
      <c r="L7" t="s">
        <v>209</v>
      </c>
    </row>
    <row r="8" spans="2:12" x14ac:dyDescent="0.2">
      <c r="C8" s="28" t="s">
        <v>173</v>
      </c>
      <c r="D8" s="3">
        <v>10000</v>
      </c>
      <c r="E8" t="s">
        <v>176</v>
      </c>
      <c r="K8" s="33"/>
      <c r="L8" t="s">
        <v>208</v>
      </c>
    </row>
    <row r="9" spans="2:12" x14ac:dyDescent="0.2">
      <c r="K9" s="33" t="s">
        <v>153</v>
      </c>
      <c r="L9" t="s">
        <v>207</v>
      </c>
    </row>
    <row r="10" spans="2:12" x14ac:dyDescent="0.2">
      <c r="C10" t="s">
        <v>132</v>
      </c>
      <c r="D10" t="s">
        <v>212</v>
      </c>
      <c r="E10" t="s">
        <v>177</v>
      </c>
      <c r="F10" t="s">
        <v>197</v>
      </c>
      <c r="G10" t="s">
        <v>198</v>
      </c>
      <c r="H10" t="s">
        <v>198</v>
      </c>
      <c r="I10" t="s">
        <v>214</v>
      </c>
      <c r="K10" s="33"/>
      <c r="L10" t="s">
        <v>170</v>
      </c>
    </row>
    <row r="11" spans="2:12" x14ac:dyDescent="0.2">
      <c r="B11" t="s">
        <v>175</v>
      </c>
      <c r="C11">
        <v>1</v>
      </c>
      <c r="D11">
        <v>75</v>
      </c>
      <c r="E11" s="1">
        <f>D11/$D$8</f>
        <v>7.4999999999999997E-3</v>
      </c>
      <c r="F11" s="31">
        <f>($D$7*D11)/$D$8</f>
        <v>13.725</v>
      </c>
      <c r="G11" s="32">
        <f>F11*('USDA tortilla &amp; dry corn kcal'!$P$10*10)/1</f>
        <v>42547.5</v>
      </c>
      <c r="H11" s="32">
        <f>F11*('USDA tortilla &amp; dry corn kcal'!$T$11*10)/1</f>
        <v>52978.5</v>
      </c>
      <c r="I11" s="31">
        <f>(F11*100)/$D$7</f>
        <v>0.75</v>
      </c>
      <c r="L11" t="s">
        <v>230</v>
      </c>
    </row>
    <row r="12" spans="2:12" x14ac:dyDescent="0.2">
      <c r="B12" t="s">
        <v>128</v>
      </c>
      <c r="C12">
        <v>7</v>
      </c>
      <c r="D12">
        <f>D11*7</f>
        <v>525</v>
      </c>
      <c r="E12" s="1">
        <f>D12/$D$8</f>
        <v>5.2499999999999998E-2</v>
      </c>
      <c r="F12" s="31">
        <f>($D$7*D12)/$D$8</f>
        <v>96.075000000000003</v>
      </c>
      <c r="G12" s="32">
        <f>F12*('USDA tortilla &amp; dry corn kcal'!$P$10*10)/1</f>
        <v>297832.5</v>
      </c>
      <c r="H12" s="32">
        <f>F12*('USDA tortilla &amp; dry corn kcal'!$T$11*10)/1</f>
        <v>370849.5</v>
      </c>
      <c r="I12" s="31">
        <f>(F12*100)/$D$7</f>
        <v>5.25</v>
      </c>
      <c r="K12" s="33" t="s">
        <v>153</v>
      </c>
      <c r="L12" t="s">
        <v>231</v>
      </c>
    </row>
    <row r="13" spans="2:12" x14ac:dyDescent="0.2">
      <c r="B13" t="s">
        <v>130</v>
      </c>
      <c r="C13">
        <v>30</v>
      </c>
      <c r="D13">
        <f>D12*7</f>
        <v>3675</v>
      </c>
      <c r="E13" s="1">
        <f>D13/$D$8</f>
        <v>0.36749999999999999</v>
      </c>
      <c r="F13" s="31">
        <f>($D$7*D13)/$D$8</f>
        <v>672.52499999999998</v>
      </c>
      <c r="G13" s="32">
        <f>F13*('USDA tortilla &amp; dry corn kcal'!$P$10*10)/1</f>
        <v>2084827.5</v>
      </c>
      <c r="H13" s="32">
        <f>F13*('USDA tortilla &amp; dry corn kcal'!$T$11*10)/1</f>
        <v>2595946.5</v>
      </c>
      <c r="I13" s="31">
        <f>(F13*100)/$D$7</f>
        <v>36.75</v>
      </c>
      <c r="L13" t="s">
        <v>171</v>
      </c>
    </row>
    <row r="14" spans="2:12" x14ac:dyDescent="0.2">
      <c r="K14" s="33" t="s">
        <v>153</v>
      </c>
      <c r="L14" t="s">
        <v>232</v>
      </c>
    </row>
    <row r="15" spans="2:12" x14ac:dyDescent="0.2">
      <c r="L15" t="s">
        <v>223</v>
      </c>
    </row>
    <row r="16" spans="2:12" x14ac:dyDescent="0.2">
      <c r="D16" s="34" t="s">
        <v>161</v>
      </c>
      <c r="G16" s="34" t="s">
        <v>163</v>
      </c>
    </row>
    <row r="17" spans="2:7" x14ac:dyDescent="0.2">
      <c r="D17" t="s">
        <v>213</v>
      </c>
      <c r="G17" t="s">
        <v>213</v>
      </c>
    </row>
    <row r="18" spans="2:7" x14ac:dyDescent="0.2">
      <c r="B18" t="s">
        <v>175</v>
      </c>
      <c r="C18">
        <v>1</v>
      </c>
      <c r="D18" s="32">
        <f>F11/'Maize to dogs'!D$15</f>
        <v>106.3953488372093</v>
      </c>
      <c r="G18" s="32">
        <f>F11*2/('Maize to dogs'!D$15)</f>
        <v>212.7906976744186</v>
      </c>
    </row>
    <row r="19" spans="2:7" x14ac:dyDescent="0.2">
      <c r="B19" t="s">
        <v>128</v>
      </c>
      <c r="C19">
        <v>7</v>
      </c>
      <c r="D19" s="32">
        <f>F12/'Maize to dogs'!D$15</f>
        <v>744.76744186046517</v>
      </c>
      <c r="G19" s="32">
        <f>F12*2/('Maize to dogs'!D$15)</f>
        <v>1489.5348837209303</v>
      </c>
    </row>
    <row r="20" spans="2:7" x14ac:dyDescent="0.2">
      <c r="B20" t="s">
        <v>130</v>
      </c>
      <c r="C20">
        <v>30</v>
      </c>
      <c r="D20" s="32">
        <f>F13/'Maize to dogs'!D$15</f>
        <v>5213.3720930232557</v>
      </c>
      <c r="G20" s="32">
        <f>F13*2/('Maize to dogs'!D$15)</f>
        <v>10426.744186046511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Thatcher et al. 2010</vt:lpstr>
      <vt:lpstr>NRC 2006</vt:lpstr>
      <vt:lpstr>USDA tortilla &amp; dry corn kcal</vt:lpstr>
      <vt:lpstr>Maize to dogs</vt:lpstr>
      <vt:lpstr>Milpa maize that dogs protect</vt:lpstr>
    </vt:vector>
  </TitlesOfParts>
  <Company>FB-X UV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Pacheco-Cobos</dc:creator>
  <cp:lastModifiedBy>Luis Pacheco-Cobos</cp:lastModifiedBy>
  <dcterms:created xsi:type="dcterms:W3CDTF">2017-10-24T14:20:32Z</dcterms:created>
  <dcterms:modified xsi:type="dcterms:W3CDTF">2021-02-17T04:34:17Z</dcterms:modified>
</cp:coreProperties>
</file>