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nders/Desktop/MgO_Ag_Project/Data Repo/pacigroup_nanocomposite_fem/raw_data/"/>
    </mc:Choice>
  </mc:AlternateContent>
  <xr:revisionPtr revIDLastSave="0" documentId="13_ncr:1_{FCF66D0F-48DB-214F-8E31-35469C1DBFBA}" xr6:coauthVersionLast="36" xr6:coauthVersionMax="36" xr10:uidLastSave="{00000000-0000-0000-0000-000000000000}"/>
  <bookViews>
    <workbookView xWindow="0" yWindow="460" windowWidth="28800" windowHeight="17540" activeTab="4" xr2:uid="{A2E4506C-B6DA-DA4B-99EC-878514BBC396}"/>
  </bookViews>
  <sheets>
    <sheet name="Isolated Ag Cluster Size Series" sheetId="7" r:id="rId1"/>
    <sheet name="Ag Rod Disk" sheetId="10" r:id="rId2"/>
    <sheet name="Isolated Au Cluster Size Series" sheetId="8" r:id="rId3"/>
    <sheet name="Au Rod Disk" sheetId="9" r:id="rId4"/>
    <sheet name="Benchmark Cell Size Ag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10" l="1"/>
  <c r="U6" i="10"/>
  <c r="T6" i="10"/>
  <c r="V6" i="10" s="1"/>
  <c r="N6" i="10"/>
  <c r="Q6" i="10" s="1"/>
  <c r="M6" i="10"/>
  <c r="P6" i="10" s="1"/>
  <c r="L6" i="10"/>
  <c r="O6" i="10" s="1"/>
  <c r="D6" i="10"/>
  <c r="Y5" i="10"/>
  <c r="U5" i="10"/>
  <c r="T5" i="10"/>
  <c r="V5" i="10" s="1"/>
  <c r="N5" i="10"/>
  <c r="Q5" i="10" s="1"/>
  <c r="M5" i="10"/>
  <c r="P5" i="10" s="1"/>
  <c r="L5" i="10"/>
  <c r="O5" i="10" s="1"/>
  <c r="D5" i="10"/>
  <c r="Y4" i="10"/>
  <c r="V4" i="10"/>
  <c r="W4" i="10" s="1"/>
  <c r="U4" i="10"/>
  <c r="T4" i="10"/>
  <c r="N4" i="10"/>
  <c r="Q4" i="10" s="1"/>
  <c r="M4" i="10"/>
  <c r="P4" i="10" s="1"/>
  <c r="L4" i="10"/>
  <c r="O4" i="10" s="1"/>
  <c r="D4" i="10"/>
  <c r="Y3" i="10"/>
  <c r="U3" i="10"/>
  <c r="T3" i="10"/>
  <c r="V3" i="10" s="1"/>
  <c r="W3" i="10" s="1"/>
  <c r="N3" i="10"/>
  <c r="Q3" i="10" s="1"/>
  <c r="M3" i="10"/>
  <c r="P3" i="10" s="1"/>
  <c r="L3" i="10"/>
  <c r="O3" i="10" s="1"/>
  <c r="D3" i="10"/>
  <c r="T4" i="9"/>
  <c r="S4" i="9"/>
  <c r="U4" i="9" s="1"/>
  <c r="M4" i="9"/>
  <c r="P4" i="9" s="1"/>
  <c r="L4" i="9"/>
  <c r="O4" i="9" s="1"/>
  <c r="K4" i="9"/>
  <c r="N4" i="9" s="1"/>
  <c r="C4" i="9"/>
  <c r="T3" i="9"/>
  <c r="S3" i="9"/>
  <c r="U3" i="9" s="1"/>
  <c r="M3" i="9"/>
  <c r="P3" i="9" s="1"/>
  <c r="L3" i="9"/>
  <c r="O3" i="9" s="1"/>
  <c r="K3" i="9"/>
  <c r="N3" i="9" s="1"/>
  <c r="C3" i="9"/>
  <c r="T9" i="8"/>
  <c r="S9" i="8"/>
  <c r="U9" i="8" s="1"/>
  <c r="M9" i="8"/>
  <c r="P9" i="8" s="1"/>
  <c r="L9" i="8"/>
  <c r="O9" i="8" s="1"/>
  <c r="K9" i="8"/>
  <c r="N9" i="8" s="1"/>
  <c r="C9" i="8"/>
  <c r="T8" i="8"/>
  <c r="S8" i="8"/>
  <c r="U8" i="8" s="1"/>
  <c r="M8" i="8"/>
  <c r="P8" i="8" s="1"/>
  <c r="L8" i="8"/>
  <c r="O8" i="8" s="1"/>
  <c r="K8" i="8"/>
  <c r="N8" i="8" s="1"/>
  <c r="C8" i="8"/>
  <c r="T7" i="8"/>
  <c r="S7" i="8"/>
  <c r="U7" i="8" s="1"/>
  <c r="M7" i="8"/>
  <c r="P7" i="8" s="1"/>
  <c r="L7" i="8"/>
  <c r="O7" i="8" s="1"/>
  <c r="K7" i="8"/>
  <c r="N7" i="8" s="1"/>
  <c r="C7" i="8"/>
  <c r="T6" i="8"/>
  <c r="S6" i="8"/>
  <c r="U6" i="8" s="1"/>
  <c r="M6" i="8"/>
  <c r="P6" i="8" s="1"/>
  <c r="L6" i="8"/>
  <c r="O6" i="8" s="1"/>
  <c r="K6" i="8"/>
  <c r="N6" i="8" s="1"/>
  <c r="C6" i="8"/>
  <c r="T5" i="8"/>
  <c r="S5" i="8"/>
  <c r="U5" i="8" s="1"/>
  <c r="M5" i="8"/>
  <c r="P5" i="8" s="1"/>
  <c r="L5" i="8"/>
  <c r="O5" i="8" s="1"/>
  <c r="K5" i="8"/>
  <c r="N5" i="8" s="1"/>
  <c r="C5" i="8"/>
  <c r="T4" i="8"/>
  <c r="S4" i="8"/>
  <c r="U4" i="8" s="1"/>
  <c r="M4" i="8"/>
  <c r="P4" i="8" s="1"/>
  <c r="L4" i="8"/>
  <c r="O4" i="8" s="1"/>
  <c r="K4" i="8"/>
  <c r="N4" i="8" s="1"/>
  <c r="C4" i="8"/>
  <c r="M3" i="8"/>
  <c r="P3" i="8" s="1"/>
  <c r="L3" i="8"/>
  <c r="O3" i="8" s="1"/>
  <c r="K3" i="8"/>
  <c r="N3" i="8" s="1"/>
  <c r="R6" i="10" l="1"/>
  <c r="R4" i="10"/>
  <c r="R5" i="10"/>
  <c r="R3" i="10"/>
  <c r="W6" i="10"/>
  <c r="W5" i="10"/>
  <c r="Q3" i="9"/>
  <c r="Q4" i="9"/>
  <c r="Q5" i="8"/>
  <c r="Q9" i="8"/>
  <c r="Q4" i="8"/>
  <c r="Q8" i="8"/>
  <c r="Q7" i="8"/>
  <c r="Q6" i="8"/>
  <c r="Q3" i="8"/>
  <c r="U23" i="7" l="1"/>
  <c r="U24" i="7"/>
  <c r="U25" i="7"/>
  <c r="U26" i="7"/>
  <c r="U27" i="7"/>
  <c r="U28" i="7"/>
  <c r="U29" i="7"/>
  <c r="U22" i="7"/>
  <c r="B66" i="7" l="1"/>
  <c r="B65" i="7"/>
  <c r="B58" i="7"/>
  <c r="B54" i="7" l="1"/>
  <c r="R3" i="7" l="1"/>
  <c r="AE5" i="7" l="1"/>
  <c r="AD5" i="7"/>
  <c r="AC5" i="7"/>
  <c r="AK5" i="7"/>
  <c r="AJ5" i="7"/>
  <c r="AI5" i="7"/>
  <c r="AH5" i="7"/>
  <c r="AG5" i="7"/>
  <c r="AF5" i="7"/>
  <c r="AF4" i="7"/>
  <c r="AE16" i="7"/>
  <c r="AD16" i="7"/>
  <c r="AC16" i="7"/>
  <c r="AK16" i="7"/>
  <c r="AJ16" i="7"/>
  <c r="AI16" i="7"/>
  <c r="AH16" i="7"/>
  <c r="AG16" i="7"/>
  <c r="AF16" i="7"/>
  <c r="AF15" i="7"/>
  <c r="AD15" i="7"/>
  <c r="AE15" i="7"/>
  <c r="AC15" i="7"/>
  <c r="AK15" i="7"/>
  <c r="AJ15" i="7"/>
  <c r="AI15" i="7"/>
  <c r="AH15" i="7"/>
  <c r="AG15" i="7"/>
  <c r="AE14" i="7"/>
  <c r="AD14" i="7"/>
  <c r="AC14" i="7"/>
  <c r="AJ14" i="7"/>
  <c r="AK14" i="7"/>
  <c r="AI14" i="7"/>
  <c r="AH14" i="7"/>
  <c r="AG14" i="7"/>
  <c r="AF14" i="7"/>
  <c r="AE13" i="7"/>
  <c r="AC13" i="7"/>
  <c r="AD13" i="7"/>
  <c r="AK13" i="7"/>
  <c r="AJ13" i="7"/>
  <c r="AI13" i="7"/>
  <c r="AH13" i="7"/>
  <c r="AG13" i="7"/>
  <c r="AF13" i="7"/>
  <c r="AE12" i="7"/>
  <c r="AD12" i="7"/>
  <c r="AC12" i="7"/>
  <c r="AK12" i="7"/>
  <c r="AJ12" i="7"/>
  <c r="AI12" i="7"/>
  <c r="AH12" i="7"/>
  <c r="AG12" i="7"/>
  <c r="AF12" i="7"/>
  <c r="AE11" i="7"/>
  <c r="AD11" i="7"/>
  <c r="AC11" i="7"/>
  <c r="AK11" i="7"/>
  <c r="AJ11" i="7"/>
  <c r="AI11" i="7"/>
  <c r="AH11" i="7"/>
  <c r="AG11" i="7"/>
  <c r="AF11" i="7"/>
  <c r="AK3" i="7"/>
  <c r="AJ3" i="7"/>
  <c r="AI3" i="7"/>
  <c r="AG3" i="7"/>
  <c r="AH3" i="7"/>
  <c r="AF3" i="7"/>
  <c r="AK4" i="7"/>
  <c r="AJ4" i="7"/>
  <c r="AI4" i="7"/>
  <c r="AI7" i="7"/>
  <c r="AH4" i="7"/>
  <c r="AG4" i="7"/>
  <c r="AK6" i="7"/>
  <c r="AJ6" i="7"/>
  <c r="AI6" i="7"/>
  <c r="AH6" i="7"/>
  <c r="AG6" i="7"/>
  <c r="AF6" i="7"/>
  <c r="AK7" i="7"/>
  <c r="AJ7" i="7"/>
  <c r="AH7" i="7"/>
  <c r="AG7" i="7"/>
  <c r="AF7" i="7"/>
  <c r="AK8" i="7"/>
  <c r="AJ8" i="7"/>
  <c r="AI8" i="7"/>
  <c r="AH8" i="7"/>
  <c r="AG8" i="7"/>
  <c r="AF8" i="7"/>
  <c r="AK9" i="7"/>
  <c r="AJ9" i="7"/>
  <c r="AI9" i="7"/>
  <c r="AH9" i="7"/>
  <c r="AG9" i="7"/>
  <c r="AF9" i="7"/>
  <c r="AF10" i="7"/>
  <c r="AE10" i="7"/>
  <c r="AD10" i="7"/>
  <c r="AC10" i="7"/>
  <c r="AK10" i="7"/>
  <c r="AJ10" i="7"/>
  <c r="AI10" i="7"/>
  <c r="AG10" i="7"/>
  <c r="AH10" i="7"/>
  <c r="AE9" i="7"/>
  <c r="AD9" i="7"/>
  <c r="AC9" i="7"/>
  <c r="AE8" i="7"/>
  <c r="AD8" i="7"/>
  <c r="AC8" i="7"/>
  <c r="AE7" i="7"/>
  <c r="AD7" i="7"/>
  <c r="AC7" i="7"/>
  <c r="AE6" i="7"/>
  <c r="AC6" i="7"/>
  <c r="AD6" i="7"/>
  <c r="AD3" i="7"/>
  <c r="AE3" i="7"/>
  <c r="AC3" i="7"/>
  <c r="AC4" i="7"/>
  <c r="AE4" i="7"/>
  <c r="AD4" i="7"/>
  <c r="Y3" i="7" l="1"/>
  <c r="U3" i="7"/>
  <c r="T3" i="7"/>
  <c r="V3" i="7" s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3" i="7"/>
  <c r="Y5" i="7"/>
  <c r="Y6" i="7"/>
  <c r="Y7" i="7"/>
  <c r="Y8" i="7"/>
  <c r="Y9" i="7"/>
  <c r="Y10" i="7"/>
  <c r="Y11" i="7"/>
  <c r="Y12" i="7"/>
  <c r="Y13" i="7"/>
  <c r="Y14" i="7"/>
  <c r="Y15" i="7"/>
  <c r="Y16" i="7"/>
  <c r="Y4" i="7"/>
  <c r="W3" i="7" l="1"/>
  <c r="M16" i="7"/>
  <c r="P16" i="7" s="1"/>
  <c r="L16" i="7"/>
  <c r="O16" i="7" s="1"/>
  <c r="K16" i="7"/>
  <c r="N16" i="7" s="1"/>
  <c r="M15" i="7"/>
  <c r="P15" i="7" s="1"/>
  <c r="L15" i="7"/>
  <c r="O15" i="7" s="1"/>
  <c r="K15" i="7"/>
  <c r="N15" i="7" s="1"/>
  <c r="M14" i="7"/>
  <c r="P14" i="7" s="1"/>
  <c r="L14" i="7"/>
  <c r="O14" i="7" s="1"/>
  <c r="K14" i="7"/>
  <c r="N14" i="7" s="1"/>
  <c r="M13" i="7"/>
  <c r="P13" i="7" s="1"/>
  <c r="L13" i="7"/>
  <c r="O13" i="7" s="1"/>
  <c r="K13" i="7"/>
  <c r="N13" i="7" s="1"/>
  <c r="M12" i="7"/>
  <c r="P12" i="7" s="1"/>
  <c r="L12" i="7"/>
  <c r="O12" i="7" s="1"/>
  <c r="K12" i="7"/>
  <c r="N12" i="7" s="1"/>
  <c r="Q12" i="7" s="1"/>
  <c r="R12" i="7" s="1"/>
  <c r="M11" i="7"/>
  <c r="P11" i="7" s="1"/>
  <c r="L11" i="7"/>
  <c r="O11" i="7" s="1"/>
  <c r="K11" i="7"/>
  <c r="N11" i="7" s="1"/>
  <c r="M10" i="7"/>
  <c r="P10" i="7" s="1"/>
  <c r="L10" i="7"/>
  <c r="O10" i="7" s="1"/>
  <c r="K10" i="7"/>
  <c r="N10" i="7" s="1"/>
  <c r="M9" i="7"/>
  <c r="P9" i="7" s="1"/>
  <c r="L9" i="7"/>
  <c r="O9" i="7" s="1"/>
  <c r="K9" i="7"/>
  <c r="N9" i="7" s="1"/>
  <c r="M8" i="7"/>
  <c r="L8" i="7"/>
  <c r="O8" i="7" s="1"/>
  <c r="K8" i="7"/>
  <c r="N8" i="7" s="1"/>
  <c r="M7" i="7"/>
  <c r="P7" i="7" s="1"/>
  <c r="L7" i="7"/>
  <c r="O7" i="7" s="1"/>
  <c r="K7" i="7"/>
  <c r="N7" i="7" s="1"/>
  <c r="M6" i="7"/>
  <c r="P6" i="7" s="1"/>
  <c r="L6" i="7"/>
  <c r="O6" i="7" s="1"/>
  <c r="K6" i="7"/>
  <c r="N6" i="7" s="1"/>
  <c r="M5" i="7"/>
  <c r="L5" i="7"/>
  <c r="K5" i="7"/>
  <c r="N5" i="7" s="1"/>
  <c r="M4" i="7"/>
  <c r="P4" i="7" s="1"/>
  <c r="L4" i="7"/>
  <c r="K4" i="7"/>
  <c r="N4" i="7" s="1"/>
  <c r="U16" i="7"/>
  <c r="T16" i="7"/>
  <c r="V16" i="7" s="1"/>
  <c r="W16" i="7" s="1"/>
  <c r="U8" i="7"/>
  <c r="T8" i="7"/>
  <c r="V8" i="7" s="1"/>
  <c r="W8" i="7" s="1"/>
  <c r="P8" i="7"/>
  <c r="U15" i="7"/>
  <c r="U14" i="7"/>
  <c r="U13" i="7"/>
  <c r="U12" i="7"/>
  <c r="U11" i="7"/>
  <c r="U10" i="7"/>
  <c r="U9" i="7"/>
  <c r="U7" i="7"/>
  <c r="U6" i="7"/>
  <c r="U5" i="7"/>
  <c r="U4" i="7"/>
  <c r="T15" i="7"/>
  <c r="V15" i="7" s="1"/>
  <c r="W15" i="7" s="1"/>
  <c r="T14" i="7"/>
  <c r="V14" i="7" s="1"/>
  <c r="W14" i="7" s="1"/>
  <c r="T13" i="7"/>
  <c r="V13" i="7" s="1"/>
  <c r="W13" i="7" s="1"/>
  <c r="T12" i="7"/>
  <c r="V12" i="7" s="1"/>
  <c r="W12" i="7" s="1"/>
  <c r="T11" i="7"/>
  <c r="V11" i="7" s="1"/>
  <c r="W11" i="7" s="1"/>
  <c r="T10" i="7"/>
  <c r="V10" i="7" s="1"/>
  <c r="W10" i="7" s="1"/>
  <c r="T9" i="7"/>
  <c r="V9" i="7" s="1"/>
  <c r="W9" i="7" s="1"/>
  <c r="T7" i="7"/>
  <c r="V7" i="7" s="1"/>
  <c r="W7" i="7" s="1"/>
  <c r="T6" i="7"/>
  <c r="V6" i="7" s="1"/>
  <c r="W6" i="7" s="1"/>
  <c r="T5" i="7"/>
  <c r="V5" i="7" s="1"/>
  <c r="W5" i="7" s="1"/>
  <c r="T4" i="7"/>
  <c r="V4" i="7" s="1"/>
  <c r="W4" i="7" s="1"/>
  <c r="O5" i="7"/>
  <c r="O4" i="7"/>
  <c r="P5" i="7"/>
  <c r="Q8" i="7" l="1"/>
  <c r="R8" i="7" s="1"/>
  <c r="Q16" i="7"/>
  <c r="R16" i="7" s="1"/>
  <c r="Q15" i="7"/>
  <c r="R15" i="7" s="1"/>
  <c r="Q9" i="7"/>
  <c r="R9" i="7" s="1"/>
  <c r="Q6" i="7"/>
  <c r="R6" i="7" s="1"/>
  <c r="Q7" i="7"/>
  <c r="R7" i="7" s="1"/>
  <c r="Q4" i="7"/>
  <c r="R4" i="7" s="1"/>
  <c r="Q13" i="7"/>
  <c r="R13" i="7" s="1"/>
  <c r="Q11" i="7"/>
  <c r="R11" i="7" s="1"/>
  <c r="Q5" i="7"/>
  <c r="R5" i="7" s="1"/>
  <c r="Q10" i="7"/>
  <c r="R10" i="7" s="1"/>
  <c r="Q14" i="7"/>
  <c r="R14" i="7" s="1"/>
  <c r="G3" i="5" l="1"/>
  <c r="J3" i="5" s="1"/>
  <c r="G4" i="5"/>
  <c r="J4" i="5" s="1"/>
  <c r="G5" i="5"/>
  <c r="J5" i="5" s="1"/>
  <c r="G2" i="5"/>
  <c r="J2" i="5" s="1"/>
  <c r="I3" i="5"/>
  <c r="I4" i="5"/>
  <c r="I5" i="5"/>
  <c r="I2" i="5"/>
</calcChain>
</file>

<file path=xl/sharedStrings.xml><?xml version="1.0" encoding="utf-8"?>
<sst xmlns="http://schemas.openxmlformats.org/spreadsheetml/2006/main" count="198" uniqueCount="73">
  <si>
    <t>Atoms</t>
  </si>
  <si>
    <t>Bader Volume</t>
  </si>
  <si>
    <t>Cell Volume</t>
  </si>
  <si>
    <t>Vol/Atom</t>
  </si>
  <si>
    <t>Energy / Atom</t>
  </si>
  <si>
    <t xml:space="preserve">Single Atom Energy </t>
  </si>
  <si>
    <t>Eb / Atom</t>
  </si>
  <si>
    <t>Pol X1</t>
  </si>
  <si>
    <t xml:space="preserve">Pol Y0 </t>
  </si>
  <si>
    <t>Pol Y1</t>
  </si>
  <si>
    <t xml:space="preserve">Pol Z0 </t>
  </si>
  <si>
    <t>Pol Z1</t>
  </si>
  <si>
    <t>Total Energy (eV)</t>
  </si>
  <si>
    <t>Delta PXX</t>
  </si>
  <si>
    <t>Delta PYY</t>
  </si>
  <si>
    <t>Delta PZZ</t>
  </si>
  <si>
    <t>Pol X0</t>
  </si>
  <si>
    <t>alpha XX</t>
  </si>
  <si>
    <t>alpha YY</t>
  </si>
  <si>
    <t>alpha ZZ</t>
  </si>
  <si>
    <t>Ave alpha</t>
  </si>
  <si>
    <t>Cell Length (Ang)</t>
  </si>
  <si>
    <t>Conclusion: For running PBC calculations in SIESTA, a cell size of 100 seems to eliminate the interaction of neighboring dipoles to an acceptable degree</t>
  </si>
  <si>
    <t>Total Energy (au)</t>
  </si>
  <si>
    <t>Energy/Atom(au)</t>
  </si>
  <si>
    <t>Single Atom Energy (au)</t>
  </si>
  <si>
    <t>Max XS X</t>
  </si>
  <si>
    <t>Max XS Y</t>
  </si>
  <si>
    <t>Max XS Z</t>
  </si>
  <si>
    <t>Max L X</t>
  </si>
  <si>
    <t>Max L Y</t>
  </si>
  <si>
    <t>Max L Z</t>
  </si>
  <si>
    <t>BBX</t>
  </si>
  <si>
    <t>BBY</t>
  </si>
  <si>
    <t>BBZ</t>
  </si>
  <si>
    <t>BBMaj</t>
  </si>
  <si>
    <t>BBMin</t>
  </si>
  <si>
    <t>BBMed</t>
  </si>
  <si>
    <t>a1x</t>
  </si>
  <si>
    <t>a1y</t>
  </si>
  <si>
    <t>a1z</t>
  </si>
  <si>
    <t>a2x</t>
  </si>
  <si>
    <t>a2y</t>
  </si>
  <si>
    <t>a2z</t>
  </si>
  <si>
    <t>a3x</t>
  </si>
  <si>
    <t>a3y</t>
  </si>
  <si>
    <t>a3z</t>
  </si>
  <si>
    <t>Ave Alpha / Atom</t>
  </si>
  <si>
    <t>System Description</t>
  </si>
  <si>
    <t>Dipole Moment in Zero field (0) and Applied Field (1)</t>
  </si>
  <si>
    <t>Energy and Energy per Atom</t>
  </si>
  <si>
    <t>Bader Volume Max Cross-Sectional Areas (Bohr^3)</t>
  </si>
  <si>
    <t>Bader Volume Max Length (Bohr)</t>
  </si>
  <si>
    <t>Polarizability (au / Bohr^3)</t>
  </si>
  <si>
    <t>Bader Bounding Box (Cartesian Axis Aligned, Bohr)</t>
  </si>
  <si>
    <t>Bader Bounding Box (Volume-Aligned)</t>
  </si>
  <si>
    <t>Bounding Box Axis Component Lengths of Bader Volume (Arbitrary units)</t>
  </si>
  <si>
    <t>b1 mag</t>
  </si>
  <si>
    <t>b2 mag</t>
  </si>
  <si>
    <t>b3 mag</t>
  </si>
  <si>
    <t>b1x</t>
  </si>
  <si>
    <t>b1y</t>
  </si>
  <si>
    <t>b1z</t>
  </si>
  <si>
    <t>b2x</t>
  </si>
  <si>
    <t>b2y</t>
  </si>
  <si>
    <t>b2z</t>
  </si>
  <si>
    <t>b3x</t>
  </si>
  <si>
    <t>b3y</t>
  </si>
  <si>
    <t>b3z</t>
  </si>
  <si>
    <t>Best Fit Axes Lengths</t>
  </si>
  <si>
    <t>Best Fit Axes Components of Bader Volume (Unit Vectors)</t>
  </si>
  <si>
    <t>Unrelaxed</t>
  </si>
  <si>
    <t>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</si>
</sst>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BFFFA"/>
        <bgColor indexed="64"/>
      </patternFill>
    </fill>
    <fill>
      <patternFill patternType="solid">
        <fgColor rgb="FFDBFFEB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6FF"/>
        <bgColor indexed="64"/>
      </patternFill>
    </fill>
    <fill>
      <patternFill patternType="solid">
        <fgColor rgb="FFE4D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5" fillId="0" borderId="1" xfId="0" applyFont="1" applyFill="1" applyBorder="1" applyAlignment="1"/>
    <xf numFmtId="0" fontId="5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6FF"/>
      <color rgb="FFBBFFFA"/>
      <color rgb="FFE4DBFF"/>
      <color rgb="FFFFDAC7"/>
      <color rgb="FFDBFFEB"/>
      <color rgb="FFA6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Iso vs. Bader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'Isolated Ag Cluster Size Series'!$B$4:$B$16</c:f>
              <c:numCache>
                <c:formatCode>General</c:formatCode>
                <c:ptCount val="13"/>
                <c:pt idx="0">
                  <c:v>1076.196154</c:v>
                </c:pt>
                <c:pt idx="1">
                  <c:v>1924.50189</c:v>
                </c:pt>
                <c:pt idx="2">
                  <c:v>2317.51611</c:v>
                </c:pt>
                <c:pt idx="3">
                  <c:v>2742.4252019999999</c:v>
                </c:pt>
                <c:pt idx="4">
                  <c:v>2913.5543130000001</c:v>
                </c:pt>
                <c:pt idx="5">
                  <c:v>3154.9233180000001</c:v>
                </c:pt>
                <c:pt idx="6">
                  <c:v>3519.6903349999998</c:v>
                </c:pt>
                <c:pt idx="7">
                  <c:v>3957.855595</c:v>
                </c:pt>
                <c:pt idx="8">
                  <c:v>4216.8846619999904</c:v>
                </c:pt>
                <c:pt idx="9">
                  <c:v>4625.5126909999899</c:v>
                </c:pt>
                <c:pt idx="10">
                  <c:v>4979.6925659999997</c:v>
                </c:pt>
                <c:pt idx="11">
                  <c:v>5246.5062969999999</c:v>
                </c:pt>
                <c:pt idx="12">
                  <c:v>10037.6321129999</c:v>
                </c:pt>
              </c:numCache>
            </c:numRef>
          </c:xVal>
          <c:yVal>
            <c:numRef>
              <c:f>'Isolated Ag Cluster Size Series'!$Q$4:$Q$16</c:f>
              <c:numCache>
                <c:formatCode>General</c:formatCode>
                <c:ptCount val="13"/>
                <c:pt idx="0">
                  <c:v>185.33541559808046</c:v>
                </c:pt>
                <c:pt idx="1">
                  <c:v>341.98417382004908</c:v>
                </c:pt>
                <c:pt idx="2">
                  <c:v>430.16616326623995</c:v>
                </c:pt>
                <c:pt idx="3">
                  <c:v>524.10399613194488</c:v>
                </c:pt>
                <c:pt idx="4">
                  <c:v>514.95772439682696</c:v>
                </c:pt>
                <c:pt idx="5">
                  <c:v>607.29461689510299</c:v>
                </c:pt>
                <c:pt idx="6">
                  <c:v>665.14444280594046</c:v>
                </c:pt>
                <c:pt idx="7">
                  <c:v>712.31561937086644</c:v>
                </c:pt>
                <c:pt idx="8">
                  <c:v>811.0254200983718</c:v>
                </c:pt>
                <c:pt idx="9">
                  <c:v>893.36929081708683</c:v>
                </c:pt>
                <c:pt idx="10">
                  <c:v>980.46456057061198</c:v>
                </c:pt>
                <c:pt idx="11">
                  <c:v>992.00710065012561</c:v>
                </c:pt>
                <c:pt idx="12">
                  <c:v>1934.1107988834181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D-FA45-AE7B-565DDEDC5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92767"/>
        <c:axId val="1018822447"/>
      </c:scatterChart>
      <c:valAx>
        <c:axId val="127539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Bader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822447"/>
        <c:crosses val="autoZero"/>
        <c:crossBetween val="midCat"/>
      </c:valAx>
      <c:valAx>
        <c:axId val="10188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 (isotropic)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9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Polarizability per atom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'Isolated Ag Cluster Size Series'!$A$4:$A$16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55</c:v>
                </c:pt>
              </c:numCache>
            </c:numRef>
          </c:xVal>
          <c:yVal>
            <c:numRef>
              <c:f>'Isolated Ag Cluster Size Series'!$R$4:$R$16</c:f>
              <c:numCache>
                <c:formatCode>General</c:formatCode>
                <c:ptCount val="13"/>
                <c:pt idx="0">
                  <c:v>46.333853899520115</c:v>
                </c:pt>
                <c:pt idx="1">
                  <c:v>42.748021727506135</c:v>
                </c:pt>
                <c:pt idx="2">
                  <c:v>43.016616326623996</c:v>
                </c:pt>
                <c:pt idx="3">
                  <c:v>43.675333010995409</c:v>
                </c:pt>
                <c:pt idx="4">
                  <c:v>39.612132645909767</c:v>
                </c:pt>
                <c:pt idx="5">
                  <c:v>43.378186921078786</c:v>
                </c:pt>
                <c:pt idx="6">
                  <c:v>41.571527675371279</c:v>
                </c:pt>
                <c:pt idx="7">
                  <c:v>39.573089965048133</c:v>
                </c:pt>
                <c:pt idx="8">
                  <c:v>40.55127100491859</c:v>
                </c:pt>
                <c:pt idx="9">
                  <c:v>40.60769503714031</c:v>
                </c:pt>
                <c:pt idx="10">
                  <c:v>40.852690023775502</c:v>
                </c:pt>
                <c:pt idx="11">
                  <c:v>38.154119255774063</c:v>
                </c:pt>
                <c:pt idx="12">
                  <c:v>35.165650888789422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5-7D44-BFB8-0E512A3CE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58191"/>
        <c:axId val="2001493824"/>
      </c:scatterChart>
      <c:valAx>
        <c:axId val="9385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Number of Atoms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93824"/>
        <c:crosses val="autoZero"/>
        <c:crossBetween val="midCat"/>
      </c:valAx>
      <c:valAx>
        <c:axId val="20014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Polarizability (a.u. / Atom)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5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 Cell Size Ag'!$J$1</c:f>
              <c:strCache>
                <c:ptCount val="1"/>
                <c:pt idx="0">
                  <c:v>alpha ZZ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 Cell Size Ag'!$B$2:$B$5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'Benchmark Cell Size Ag'!$J$2:$J$5</c:f>
              <c:numCache>
                <c:formatCode>General</c:formatCode>
                <c:ptCount val="4"/>
                <c:pt idx="0">
                  <c:v>941.42492694260488</c:v>
                </c:pt>
                <c:pt idx="1">
                  <c:v>925.66920546786685</c:v>
                </c:pt>
                <c:pt idx="2">
                  <c:v>922.69700996773656</c:v>
                </c:pt>
                <c:pt idx="3">
                  <c:v>921.98738543656373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8-7C4D-92FF-7A5D7041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237328"/>
        <c:axId val="1824239008"/>
      </c:scatterChart>
      <c:valAx>
        <c:axId val="182423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39008"/>
        <c:crosses val="autoZero"/>
        <c:crossBetween val="midCat"/>
      </c:valAx>
      <c:valAx>
        <c:axId val="18242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3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 Cell Size Ag'!$H$1</c:f>
              <c:strCache>
                <c:ptCount val="1"/>
                <c:pt idx="0">
                  <c:v>Total Energy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 Cell Size Ag'!$B$2:$B$5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'Benchmark Cell Size Ag'!$H$2:$H$5</c:f>
              <c:numCache>
                <c:formatCode>General</c:formatCode>
                <c:ptCount val="4"/>
                <c:pt idx="0">
                  <c:v>-26838.967245</c:v>
                </c:pt>
                <c:pt idx="1">
                  <c:v>-26838.966025000002</c:v>
                </c:pt>
                <c:pt idx="2">
                  <c:v>-26838.967229999998</c:v>
                </c:pt>
                <c:pt idx="3">
                  <c:v>-26838.966022000001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3-3649-92FA-680C8A2D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80912"/>
        <c:axId val="1821655520"/>
      </c:scatterChart>
      <c:valAx>
        <c:axId val="182188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55520"/>
        <c:crosses val="autoZero"/>
        <c:crossBetween val="midCat"/>
      </c:valAx>
      <c:valAx>
        <c:axId val="18216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8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680734</xdr:colOff>
      <xdr:row>17</xdr:row>
      <xdr:rowOff>80453</xdr:rowOff>
    </xdr:from>
    <xdr:to>
      <xdr:col>11</xdr:col>
      <xdr:colOff>472560</xdr:colOff>
      <xdr:row>41</xdr:row>
      <xdr:rowOff>14768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109AFD-F12C-6D4B-A618-8D3883243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567447</xdr:colOff>
      <xdr:row>17</xdr:row>
      <xdr:rowOff>59876</xdr:rowOff>
    </xdr:from>
    <xdr:to>
      <xdr:col>19</xdr:col>
      <xdr:colOff>160259</xdr:colOff>
      <xdr:row>41</xdr:row>
      <xdr:rowOff>32746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9F924-DB16-F548-9878-31560B899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6</xdr:row>
      <xdr:rowOff>88900</xdr:rowOff>
    </xdr:from>
    <xdr:to>
      <xdr:col>5</xdr:col>
      <xdr:colOff>374650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AE635-4CFD-F546-BF1A-4413A9CAB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749300</xdr:colOff>
      <xdr:row>6</xdr:row>
      <xdr:rowOff>101600</xdr:rowOff>
    </xdr:from>
    <xdr:to>
      <xdr:col>11</xdr:col>
      <xdr:colOff>368300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AA045B-6B7E-CA4E-AF44-1E1076709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119D-9F1C-8046-9AC2-381BC6CAFCD0}">
  <dimension ref="A1:AT66"/>
  <sheetViews>
    <sheetView zoomScale="86" workbookViewId="0">
      <selection activeCell="AL1" sqref="AL1:AT1"/>
    </sheetView>
  </sheetViews>
  <sheetFormatPr baseColWidth="10" defaultRowHeight="16" x14ac:dyDescent="0.2"/>
  <cols>
    <col min="18" max="18" width="15.6640625" customWidth="1"/>
    <col min="19" max="20" width="14.6640625" customWidth="1"/>
    <col min="21" max="22" width="15.83203125" customWidth="1"/>
    <col min="24" max="24" width="18.33203125" customWidth="1"/>
    <col min="25" max="25" width="21.1640625" customWidth="1"/>
    <col min="26" max="26" width="22.1640625" customWidth="1"/>
    <col min="27" max="27" width="19.5" customWidth="1"/>
    <col min="28" max="28" width="22.33203125" customWidth="1"/>
    <col min="29" max="29" width="14" customWidth="1"/>
    <col min="30" max="30" width="13.1640625" customWidth="1"/>
    <col min="31" max="31" width="13.33203125" customWidth="1"/>
    <col min="32" max="32" width="19.5" customWidth="1"/>
    <col min="33" max="33" width="20" customWidth="1"/>
    <col min="34" max="34" width="19" customWidth="1"/>
    <col min="35" max="35" width="14.83203125" customWidth="1"/>
    <col min="36" max="36" width="15.33203125" customWidth="1"/>
    <col min="37" max="37" width="16.5" customWidth="1"/>
  </cols>
  <sheetData>
    <row r="1" spans="1:46" ht="21" x14ac:dyDescent="0.25">
      <c r="A1" s="16" t="s">
        <v>48</v>
      </c>
      <c r="B1" s="16"/>
      <c r="C1" s="16"/>
      <c r="D1" s="16"/>
      <c r="E1" s="17" t="s">
        <v>49</v>
      </c>
      <c r="F1" s="17"/>
      <c r="G1" s="17"/>
      <c r="H1" s="17"/>
      <c r="I1" s="17"/>
      <c r="J1" s="17"/>
      <c r="K1" s="17"/>
      <c r="L1" s="17"/>
      <c r="M1" s="17"/>
      <c r="N1" s="19" t="s">
        <v>53</v>
      </c>
      <c r="O1" s="19"/>
      <c r="P1" s="19"/>
      <c r="Q1" s="19"/>
      <c r="R1" s="19"/>
      <c r="S1" s="18" t="s">
        <v>50</v>
      </c>
      <c r="T1" s="18"/>
      <c r="U1" s="18"/>
      <c r="V1" s="18"/>
      <c r="W1" s="18"/>
      <c r="X1" s="18"/>
      <c r="Y1" s="18"/>
      <c r="Z1" s="20" t="s">
        <v>51</v>
      </c>
      <c r="AA1" s="20"/>
      <c r="AB1" s="20"/>
      <c r="AC1" s="21" t="s">
        <v>52</v>
      </c>
      <c r="AD1" s="21"/>
      <c r="AE1" s="21"/>
      <c r="AF1" s="14" t="s">
        <v>54</v>
      </c>
      <c r="AG1" s="14"/>
      <c r="AH1" s="14"/>
      <c r="AI1" s="13" t="s">
        <v>55</v>
      </c>
      <c r="AJ1" s="13"/>
      <c r="AK1" s="13"/>
      <c r="AL1" s="15" t="s">
        <v>56</v>
      </c>
      <c r="AM1" s="15"/>
      <c r="AN1" s="15"/>
      <c r="AO1" s="15"/>
      <c r="AP1" s="15"/>
      <c r="AQ1" s="15"/>
      <c r="AR1" s="15"/>
      <c r="AS1" s="15"/>
      <c r="AT1" s="15"/>
    </row>
    <row r="2" spans="1:46" x14ac:dyDescent="0.2">
      <c r="A2" s="3" t="s">
        <v>0</v>
      </c>
      <c r="B2" s="3" t="s">
        <v>1</v>
      </c>
      <c r="C2" s="3" t="s">
        <v>3</v>
      </c>
      <c r="D2" s="3" t="s">
        <v>2</v>
      </c>
      <c r="E2" s="4" t="s">
        <v>16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13</v>
      </c>
      <c r="L2" s="4" t="s">
        <v>14</v>
      </c>
      <c r="M2" s="4" t="s">
        <v>15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47</v>
      </c>
      <c r="S2" s="5" t="s">
        <v>12</v>
      </c>
      <c r="T2" s="5" t="s">
        <v>23</v>
      </c>
      <c r="U2" s="5" t="s">
        <v>4</v>
      </c>
      <c r="V2" s="5" t="s">
        <v>24</v>
      </c>
      <c r="W2" s="5" t="s">
        <v>6</v>
      </c>
      <c r="X2" s="5" t="s">
        <v>5</v>
      </c>
      <c r="Y2" s="5" t="s">
        <v>25</v>
      </c>
      <c r="Z2" s="7" t="s">
        <v>26</v>
      </c>
      <c r="AA2" s="7" t="s">
        <v>27</v>
      </c>
      <c r="AB2" s="7" t="s">
        <v>28</v>
      </c>
      <c r="AC2" s="8" t="s">
        <v>29</v>
      </c>
      <c r="AD2" s="8" t="s">
        <v>30</v>
      </c>
      <c r="AE2" s="8" t="s">
        <v>31</v>
      </c>
      <c r="AF2" s="9" t="s">
        <v>32</v>
      </c>
      <c r="AG2" s="9" t="s">
        <v>33</v>
      </c>
      <c r="AH2" s="9" t="s">
        <v>34</v>
      </c>
      <c r="AI2" s="10" t="s">
        <v>35</v>
      </c>
      <c r="AJ2" s="10" t="s">
        <v>37</v>
      </c>
      <c r="AK2" s="10" t="s">
        <v>36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</row>
    <row r="3" spans="1:46" x14ac:dyDescent="0.2">
      <c r="A3">
        <v>1</v>
      </c>
      <c r="B3" s="1">
        <v>326.77786700000001</v>
      </c>
      <c r="C3">
        <f>B3/A3</f>
        <v>326.77786700000001</v>
      </c>
      <c r="D3" s="1">
        <v>6748376.0123199997</v>
      </c>
      <c r="E3">
        <v>0</v>
      </c>
      <c r="F3" s="1"/>
      <c r="G3">
        <v>0</v>
      </c>
      <c r="I3">
        <v>0</v>
      </c>
      <c r="R3">
        <f t="shared" ref="R3:R16" si="0">Q3/A3</f>
        <v>0</v>
      </c>
      <c r="S3" s="1">
        <v>-1030.5922089999999</v>
      </c>
      <c r="T3" s="1">
        <f>S3/27.211386245988</f>
        <v>-37.873565120260963</v>
      </c>
      <c r="U3">
        <f t="shared" ref="U3:U16" si="1">S3/A3</f>
        <v>-1030.5922089999999</v>
      </c>
      <c r="V3">
        <f t="shared" ref="V3:V16" si="2">T3/A3</f>
        <v>-37.873565120260963</v>
      </c>
      <c r="W3">
        <f>V3-Y3</f>
        <v>0</v>
      </c>
      <c r="X3" s="1">
        <v>-1030.5922089999999</v>
      </c>
      <c r="Y3">
        <f>X3/27.211386245988</f>
        <v>-37.873565120260963</v>
      </c>
      <c r="Z3">
        <v>57.366399999999999</v>
      </c>
      <c r="AA3">
        <v>57.366399999999999</v>
      </c>
      <c r="AB3">
        <v>57.366399999999999</v>
      </c>
      <c r="AC3">
        <f>24.1681 * 0.354324</f>
        <v>8.5633378643999993</v>
      </c>
      <c r="AD3">
        <f>24.1681 * 0.354324</f>
        <v>8.5633378643999993</v>
      </c>
      <c r="AE3">
        <f>24.1681 * 0.354324</f>
        <v>8.5633378643999993</v>
      </c>
      <c r="AF3">
        <f>24.185*0.354324</f>
        <v>8.5693259399999988</v>
      </c>
      <c r="AG3">
        <f>24.185*0.354324</f>
        <v>8.5693259399999988</v>
      </c>
      <c r="AH3">
        <f>24.185*0.354324</f>
        <v>8.5693259399999988</v>
      </c>
      <c r="AI3">
        <f>24.136*0.354324</f>
        <v>8.5519640639999999</v>
      </c>
      <c r="AJ3">
        <f>24.073*0.354324</f>
        <v>8.5296416519999987</v>
      </c>
      <c r="AK3">
        <f>24.061*0.354324</f>
        <v>8.5253897639999998</v>
      </c>
    </row>
    <row r="4" spans="1:46" x14ac:dyDescent="0.2">
      <c r="A4">
        <v>4</v>
      </c>
      <c r="B4" s="1">
        <v>1076.196154</v>
      </c>
      <c r="C4">
        <f t="shared" ref="C4:C16" si="3">B4/A4</f>
        <v>269.04903849999999</v>
      </c>
      <c r="D4" s="1">
        <v>6748376.0123199997</v>
      </c>
      <c r="E4" s="1">
        <v>-1.116E-3</v>
      </c>
      <c r="F4" s="1">
        <v>8.1919999999999996E-3</v>
      </c>
      <c r="G4" s="1">
        <v>4.3999999999999999E-5</v>
      </c>
      <c r="H4" s="1">
        <v>2.3460000000000002E-2</v>
      </c>
      <c r="I4" s="1">
        <v>6.2100000000000002E-4</v>
      </c>
      <c r="J4" s="1">
        <v>2.196E-2</v>
      </c>
      <c r="K4">
        <f>F4-E4</f>
        <v>9.3080000000000003E-3</v>
      </c>
      <c r="L4">
        <f>H4-G4</f>
        <v>2.3416000000000003E-2</v>
      </c>
      <c r="M4">
        <f>J4-I4</f>
        <v>2.1339E-2</v>
      </c>
      <c r="N4">
        <f t="shared" ref="N4:N16" si="4">K4/(0.005 /51.4220674763)</f>
        <v>95.727320813880084</v>
      </c>
      <c r="O4">
        <f t="shared" ref="O4:O16" si="5">L4/(0.005 /51.4220674763)</f>
        <v>240.81982640500817</v>
      </c>
      <c r="P4">
        <f t="shared" ref="P4:P16" si="6">M4/(0.005 /51.4220674763)</f>
        <v>219.45909957535312</v>
      </c>
      <c r="Q4">
        <f>(N4+O4+P4)/3</f>
        <v>185.33541559808046</v>
      </c>
      <c r="R4">
        <f t="shared" si="0"/>
        <v>46.333853899520115</v>
      </c>
      <c r="S4" s="1">
        <v>-4127.5322800000004</v>
      </c>
      <c r="T4" s="1">
        <f>S4/27.211386245988</f>
        <v>-151.68401354813582</v>
      </c>
      <c r="U4">
        <f t="shared" si="1"/>
        <v>-1031.8830700000001</v>
      </c>
      <c r="V4">
        <f t="shared" si="2"/>
        <v>-37.921003387033956</v>
      </c>
      <c r="W4">
        <f>V4-Y4</f>
        <v>-4.7438266772992677E-2</v>
      </c>
      <c r="X4" s="1">
        <v>-1030.5922089999999</v>
      </c>
      <c r="Y4">
        <f>X4/27.211386245988</f>
        <v>-37.873565120260963</v>
      </c>
      <c r="Z4">
        <v>167.31</v>
      </c>
      <c r="AA4">
        <v>88.828599999999994</v>
      </c>
      <c r="AB4">
        <v>94.036000000000001</v>
      </c>
      <c r="AC4">
        <f>22.4814*0.354324</f>
        <v>7.9656995735999994</v>
      </c>
      <c r="AD4">
        <f>38.1461*0.354324</f>
        <v>13.516078736399997</v>
      </c>
      <c r="AE4">
        <f>36.2132 * 0.354324</f>
        <v>12.831205876799999</v>
      </c>
      <c r="AF4">
        <f>24.989*0.354324</f>
        <v>8.8542024359999996</v>
      </c>
      <c r="AG4">
        <f>44.117*0.354324</f>
        <v>15.631711907999998</v>
      </c>
      <c r="AH4">
        <f>41.783*0.354324</f>
        <v>14.804719691999999</v>
      </c>
      <c r="AI4">
        <f>50.558*0.354324</f>
        <v>17.913912791999998</v>
      </c>
      <c r="AJ4">
        <f>36.623*0.354324</f>
        <v>12.976407851999998</v>
      </c>
      <c r="AK4">
        <f>24.884*0.354324</f>
        <v>8.8169984159999988</v>
      </c>
      <c r="AL4">
        <v>0.45399099999999998</v>
      </c>
      <c r="AM4">
        <v>38.1599</v>
      </c>
      <c r="AN4">
        <v>33.162300000000002</v>
      </c>
      <c r="AO4">
        <v>0.31841700000000001</v>
      </c>
      <c r="AP4">
        <v>24.0198</v>
      </c>
      <c r="AQ4">
        <v>-27.643899999999999</v>
      </c>
      <c r="AR4">
        <v>24.8825</v>
      </c>
      <c r="AS4">
        <v>-0.310585</v>
      </c>
      <c r="AT4">
        <v>1.6746500000000001E-2</v>
      </c>
    </row>
    <row r="5" spans="1:46" x14ac:dyDescent="0.2">
      <c r="A5">
        <v>8</v>
      </c>
      <c r="B5" s="1">
        <v>1924.50189</v>
      </c>
      <c r="C5">
        <f t="shared" si="3"/>
        <v>240.56273625</v>
      </c>
      <c r="D5" s="1">
        <v>6748376.0123199997</v>
      </c>
      <c r="E5" s="1">
        <v>-2.4499999999999999E-4</v>
      </c>
      <c r="F5" s="1">
        <v>3.3111000000000002E-2</v>
      </c>
      <c r="G5" s="1">
        <v>4.5000000000000003E-5</v>
      </c>
      <c r="H5" s="1">
        <v>3.3225999999999999E-2</v>
      </c>
      <c r="I5" s="1">
        <v>7.4299999999999995E-4</v>
      </c>
      <c r="J5" s="1">
        <v>3.3964000000000001E-2</v>
      </c>
      <c r="K5">
        <f>F5-E5</f>
        <v>3.3356000000000004E-2</v>
      </c>
      <c r="L5">
        <f>H5-G5</f>
        <v>3.3180999999999995E-2</v>
      </c>
      <c r="M5">
        <f>J5-I5</f>
        <v>3.3221000000000001E-2</v>
      </c>
      <c r="N5">
        <f t="shared" si="4"/>
        <v>343.04689654789257</v>
      </c>
      <c r="O5">
        <f t="shared" si="5"/>
        <v>341.24712418622198</v>
      </c>
      <c r="P5">
        <f t="shared" si="6"/>
        <v>341.65850072603246</v>
      </c>
      <c r="Q5">
        <f>(N5+O5+P5)/3</f>
        <v>341.98417382004908</v>
      </c>
      <c r="R5">
        <f t="shared" si="0"/>
        <v>42.748021727506135</v>
      </c>
      <c r="S5" s="1">
        <v>-8258.8080740000005</v>
      </c>
      <c r="T5" s="1">
        <f t="shared" ref="T5:T16" si="7">S5/27.211386245988</f>
        <v>-303.50559869832671</v>
      </c>
      <c r="U5">
        <f t="shared" si="1"/>
        <v>-1032.3510092500001</v>
      </c>
      <c r="V5">
        <f t="shared" si="2"/>
        <v>-37.938199837290838</v>
      </c>
      <c r="W5">
        <f t="shared" ref="W5:W16" si="8">V5-Y5</f>
        <v>-6.4634717029875333E-2</v>
      </c>
      <c r="X5" s="1">
        <v>-1030.5922089999999</v>
      </c>
      <c r="Y5">
        <f t="shared" ref="Y5:Y16" si="9">X5/27.211386245988</f>
        <v>-37.873565120260963</v>
      </c>
      <c r="Z5">
        <v>157.536</v>
      </c>
      <c r="AA5">
        <v>158.22300000000001</v>
      </c>
      <c r="AB5">
        <v>158.05500000000001</v>
      </c>
      <c r="AC5">
        <f>36.9691*0.354324</f>
        <v>13.099039388399998</v>
      </c>
      <c r="AD5">
        <f>36.9229*0.354324</f>
        <v>13.082669619599999</v>
      </c>
      <c r="AE5">
        <f>36.9062*0.354324</f>
        <v>13.076752408799999</v>
      </c>
      <c r="AF5">
        <f>41.749*0.354324</f>
        <v>14.792672676</v>
      </c>
      <c r="AG5">
        <f>41.6*0.354324</f>
        <v>14.739878399999998</v>
      </c>
      <c r="AH5">
        <f>41.636*0.354324</f>
        <v>14.752634064</v>
      </c>
      <c r="AI5">
        <f>43.559*0.354324</f>
        <v>15.433999115999997</v>
      </c>
      <c r="AJ5">
        <f>43.369*0.354324</f>
        <v>15.366677555999999</v>
      </c>
      <c r="AK5">
        <f>43.282*0.354324</f>
        <v>15.335851367999998</v>
      </c>
      <c r="AL5">
        <v>43.0593</v>
      </c>
      <c r="AM5">
        <v>5.01511</v>
      </c>
      <c r="AN5">
        <v>4.25542</v>
      </c>
      <c r="AO5">
        <v>4.7014300000000002</v>
      </c>
      <c r="AP5">
        <v>-3.93608</v>
      </c>
      <c r="AQ5">
        <v>-42.933700000000002</v>
      </c>
      <c r="AR5">
        <v>4.5494500000000002</v>
      </c>
      <c r="AS5">
        <v>-42.814500000000002</v>
      </c>
      <c r="AT5">
        <v>4.4233399999999996</v>
      </c>
    </row>
    <row r="6" spans="1:46" x14ac:dyDescent="0.2">
      <c r="A6">
        <v>10</v>
      </c>
      <c r="B6" s="1">
        <v>2317.51611</v>
      </c>
      <c r="C6">
        <f t="shared" si="3"/>
        <v>231.751611</v>
      </c>
      <c r="D6" s="1">
        <v>6748376.0123199997</v>
      </c>
      <c r="E6" s="1">
        <v>-1.0560000000000001E-3</v>
      </c>
      <c r="F6" s="1">
        <v>3.2510999999999998E-2</v>
      </c>
      <c r="G6" s="1">
        <v>1.17E-4</v>
      </c>
      <c r="H6" s="1">
        <v>5.8549999999999998E-2</v>
      </c>
      <c r="I6" s="1">
        <v>1.9040000000000001E-3</v>
      </c>
      <c r="J6" s="1">
        <v>3.5385E-2</v>
      </c>
      <c r="K6">
        <f t="shared" ref="K6:K16" si="10">F6-E6</f>
        <v>3.3567E-2</v>
      </c>
      <c r="L6">
        <f t="shared" ref="L6:L16" si="11">H6-G6</f>
        <v>5.8432999999999999E-2</v>
      </c>
      <c r="M6">
        <f t="shared" ref="M6:M16" si="12">J6-I6</f>
        <v>3.3480999999999997E-2</v>
      </c>
      <c r="N6">
        <f t="shared" si="4"/>
        <v>345.21690779539239</v>
      </c>
      <c r="O6">
        <f t="shared" si="5"/>
        <v>600.94913376852753</v>
      </c>
      <c r="P6">
        <f t="shared" si="6"/>
        <v>344.33244823480004</v>
      </c>
      <c r="Q6">
        <f t="shared" ref="Q6:Q16" si="13">(N6+O6+P6)/3</f>
        <v>430.16616326623995</v>
      </c>
      <c r="R6">
        <f t="shared" si="0"/>
        <v>43.016616326623996</v>
      </c>
      <c r="S6" s="1">
        <v>-10324.128011999999</v>
      </c>
      <c r="T6" s="1">
        <f t="shared" si="7"/>
        <v>-379.40470649569244</v>
      </c>
      <c r="U6">
        <f t="shared" si="1"/>
        <v>-1032.4128011999999</v>
      </c>
      <c r="V6">
        <f t="shared" si="2"/>
        <v>-37.940470649569242</v>
      </c>
      <c r="W6">
        <f t="shared" si="8"/>
        <v>-6.6905529308279199E-2</v>
      </c>
      <c r="X6" s="1">
        <v>-1030.5922089999999</v>
      </c>
      <c r="Y6">
        <f t="shared" si="9"/>
        <v>-37.873565120260963</v>
      </c>
      <c r="Z6">
        <v>224.45099999999999</v>
      </c>
      <c r="AA6">
        <v>155.34</v>
      </c>
      <c r="AB6">
        <v>224.68899999999999</v>
      </c>
      <c r="AC6">
        <f>36.8906 * 0.354324</f>
        <v>13.071224954399998</v>
      </c>
      <c r="AD6">
        <f>61.942 * 0.354324</f>
        <v>21.947537208</v>
      </c>
      <c r="AE6">
        <f>36.6672 * 0.354324</f>
        <v>12.992068972799999</v>
      </c>
      <c r="AF6">
        <f>40.98*0.354324</f>
        <v>14.520197519999998</v>
      </c>
      <c r="AG6">
        <f>61.949*0.354324</f>
        <v>21.950017475999999</v>
      </c>
      <c r="AH6">
        <f>40.883*0.354324</f>
        <v>14.485828092</v>
      </c>
      <c r="AI6">
        <f>61.948*0.354324</f>
        <v>21.949663151999999</v>
      </c>
      <c r="AJ6">
        <f>41.739*0.354324</f>
        <v>14.789129435999998</v>
      </c>
      <c r="AK6">
        <f>41.641*0.354324</f>
        <v>14.754405683999998</v>
      </c>
      <c r="AL6">
        <v>9.1789200000000001E-2</v>
      </c>
      <c r="AM6">
        <v>61.947200000000002</v>
      </c>
      <c r="AN6">
        <v>0.28589199999999998</v>
      </c>
      <c r="AO6">
        <v>41.694099999999999</v>
      </c>
      <c r="AP6">
        <v>-7.0739700000000003E-2</v>
      </c>
      <c r="AQ6">
        <v>1.9417599999999999</v>
      </c>
      <c r="AR6">
        <v>1.9375</v>
      </c>
      <c r="AS6">
        <v>0.18909799999999999</v>
      </c>
      <c r="AT6">
        <v>-41.595799999999997</v>
      </c>
    </row>
    <row r="7" spans="1:46" x14ac:dyDescent="0.2">
      <c r="A7">
        <v>12</v>
      </c>
      <c r="B7" s="1">
        <v>2742.4252019999999</v>
      </c>
      <c r="C7">
        <f t="shared" si="3"/>
        <v>228.53543349999998</v>
      </c>
      <c r="D7" s="1">
        <v>6748376.0123199997</v>
      </c>
      <c r="E7" s="1">
        <v>8.9149999999999993E-3</v>
      </c>
      <c r="F7" s="1">
        <v>6.7466999999999999E-2</v>
      </c>
      <c r="G7" s="1">
        <v>-8.8520000000000005E-3</v>
      </c>
      <c r="H7" s="1">
        <v>4.9938000000000003E-2</v>
      </c>
      <c r="I7" s="1">
        <v>-5.5999999999999999E-5</v>
      </c>
      <c r="J7" s="1">
        <v>3.5485000000000003E-2</v>
      </c>
      <c r="K7">
        <f t="shared" si="10"/>
        <v>5.8552E-2</v>
      </c>
      <c r="L7">
        <f t="shared" si="11"/>
        <v>5.8790000000000002E-2</v>
      </c>
      <c r="M7">
        <f t="shared" si="12"/>
        <v>3.5541000000000003E-2</v>
      </c>
      <c r="N7">
        <f t="shared" si="4"/>
        <v>602.17297897446349</v>
      </c>
      <c r="O7">
        <f t="shared" si="5"/>
        <v>604.62066938633541</v>
      </c>
      <c r="P7">
        <f t="shared" si="6"/>
        <v>365.51834003503569</v>
      </c>
      <c r="Q7">
        <f t="shared" si="13"/>
        <v>524.10399613194488</v>
      </c>
      <c r="R7">
        <f t="shared" si="0"/>
        <v>43.675333010995409</v>
      </c>
      <c r="S7" s="1">
        <v>-12389.524224999999</v>
      </c>
      <c r="T7" s="1">
        <f t="shared" si="7"/>
        <v>-455.30661734760719</v>
      </c>
      <c r="U7">
        <f t="shared" si="1"/>
        <v>-1032.4603520833332</v>
      </c>
      <c r="V7">
        <f t="shared" si="2"/>
        <v>-37.942218112300601</v>
      </c>
      <c r="W7">
        <f t="shared" si="8"/>
        <v>-6.865299203963815E-2</v>
      </c>
      <c r="X7" s="1">
        <v>-1030.5922089999999</v>
      </c>
      <c r="Y7">
        <f t="shared" si="9"/>
        <v>-37.873565120260963</v>
      </c>
      <c r="Z7">
        <v>226.07900000000001</v>
      </c>
      <c r="AA7">
        <v>225.03800000000001</v>
      </c>
      <c r="AB7">
        <v>284.34300000000002</v>
      </c>
      <c r="AC7">
        <f>61.2723 * 0.354324</f>
        <v>21.710246425199998</v>
      </c>
      <c r="AD7">
        <f>60.5344*0.354324</f>
        <v>21.448790745599997</v>
      </c>
      <c r="AE7">
        <f xml:space="preserve"> 38.3277 * 0.354324</f>
        <v>13.580423974799999</v>
      </c>
      <c r="AF7">
        <f>62.496*0.354324</f>
        <v>22.143832703999998</v>
      </c>
      <c r="AG7">
        <f>62.559*0.354324</f>
        <v>22.166155115999999</v>
      </c>
      <c r="AH7">
        <f>41.343*0.354324</f>
        <v>14.648817132</v>
      </c>
      <c r="AI7">
        <f>61.085*0.354324</f>
        <v>21.643881539999999</v>
      </c>
      <c r="AJ7">
        <f>48.374*0.354324</f>
        <v>17.140069176000001</v>
      </c>
      <c r="AK7">
        <f>38.763*0.354324</f>
        <v>13.734661211999999</v>
      </c>
      <c r="AL7">
        <v>41.6389</v>
      </c>
      <c r="AM7">
        <v>41.965200000000003</v>
      </c>
      <c r="AN7">
        <v>15.38</v>
      </c>
      <c r="AO7">
        <v>34.308900000000001</v>
      </c>
      <c r="AP7">
        <v>-34.101399999999998</v>
      </c>
      <c r="AQ7">
        <v>0.16167400000000001</v>
      </c>
      <c r="AR7">
        <v>6.9690899999999996</v>
      </c>
      <c r="AS7">
        <v>6.8336399999999999</v>
      </c>
      <c r="AT7">
        <v>-37.5137</v>
      </c>
    </row>
    <row r="8" spans="1:46" x14ac:dyDescent="0.2">
      <c r="A8">
        <v>13</v>
      </c>
      <c r="B8" s="1">
        <v>2913.5543130000001</v>
      </c>
      <c r="C8">
        <f t="shared" si="3"/>
        <v>224.11956253846154</v>
      </c>
      <c r="D8" s="1">
        <v>6748376.0123199997</v>
      </c>
      <c r="E8" s="1">
        <v>1.94E-4</v>
      </c>
      <c r="F8" s="1">
        <v>5.0266999999999999E-2</v>
      </c>
      <c r="G8" s="1">
        <v>-1.8E-5</v>
      </c>
      <c r="H8" s="1">
        <v>5.0051999999999999E-2</v>
      </c>
      <c r="I8" s="1">
        <v>4.3000000000000002E-5</v>
      </c>
      <c r="J8" s="1">
        <v>5.0115E-2</v>
      </c>
      <c r="K8">
        <f t="shared" si="10"/>
        <v>5.0072999999999999E-2</v>
      </c>
      <c r="L8">
        <f t="shared" si="11"/>
        <v>5.0069999999999996E-2</v>
      </c>
      <c r="M8">
        <f t="shared" si="12"/>
        <v>5.0071999999999998E-2</v>
      </c>
      <c r="N8">
        <f t="shared" si="4"/>
        <v>514.97143694815395</v>
      </c>
      <c r="O8">
        <f t="shared" si="5"/>
        <v>514.94058370766811</v>
      </c>
      <c r="P8">
        <f t="shared" si="6"/>
        <v>514.96115253465871</v>
      </c>
      <c r="Q8">
        <f t="shared" si="13"/>
        <v>514.95772439682696</v>
      </c>
      <c r="R8">
        <f t="shared" si="0"/>
        <v>39.612132645909767</v>
      </c>
      <c r="S8" s="1">
        <v>-13421.561288999999</v>
      </c>
      <c r="T8" s="1">
        <f t="shared" si="7"/>
        <v>-493.23327990976026</v>
      </c>
      <c r="U8">
        <f t="shared" si="1"/>
        <v>-1032.4277914615384</v>
      </c>
      <c r="V8">
        <f t="shared" si="2"/>
        <v>-37.941021531520022</v>
      </c>
      <c r="W8">
        <f t="shared" si="8"/>
        <v>-6.7456411259058768E-2</v>
      </c>
      <c r="X8" s="1">
        <v>-1030.5922089999999</v>
      </c>
      <c r="Y8">
        <f t="shared" si="9"/>
        <v>-37.873565120260963</v>
      </c>
      <c r="Z8">
        <v>237.40299999999999</v>
      </c>
      <c r="AA8">
        <v>253.67099999999999</v>
      </c>
      <c r="AB8">
        <v>270.93799999999999</v>
      </c>
      <c r="AC8">
        <f>54.5835*0.354324</f>
        <v>19.340244053999999</v>
      </c>
      <c r="AD8">
        <f>49.5511*0.354324</f>
        <v>17.557143956399997</v>
      </c>
      <c r="AE8">
        <f>49.4404*0.354324</f>
        <v>17.517920289599999</v>
      </c>
      <c r="AF8">
        <f>54.655*0.354324</f>
        <v>19.36557822</v>
      </c>
      <c r="AG8">
        <f>50.901*0.354324</f>
        <v>18.035445924000001</v>
      </c>
      <c r="AH8">
        <f>50.202*0.354324</f>
        <v>17.787773447999999</v>
      </c>
      <c r="AI8">
        <f>54.601*0.354324</f>
        <v>19.346444723999998</v>
      </c>
      <c r="AJ8">
        <f>54.469*0.354324</f>
        <v>19.299673955999999</v>
      </c>
      <c r="AK8">
        <f>47.46*0.354324</f>
        <v>16.816217039999998</v>
      </c>
      <c r="AL8">
        <v>54.4955</v>
      </c>
      <c r="AM8">
        <v>3.2583299999999999</v>
      </c>
      <c r="AN8">
        <v>0.93405899999999997</v>
      </c>
      <c r="AO8">
        <v>2.7742200000000001</v>
      </c>
      <c r="AP8">
        <v>-34.293700000000001</v>
      </c>
      <c r="AQ8">
        <v>-42.226700000000001</v>
      </c>
      <c r="AR8">
        <v>1.6844699999999999</v>
      </c>
      <c r="AS8">
        <v>-36.763399999999997</v>
      </c>
      <c r="AT8">
        <v>29.967400000000001</v>
      </c>
    </row>
    <row r="9" spans="1:46" x14ac:dyDescent="0.2">
      <c r="A9">
        <v>14</v>
      </c>
      <c r="B9" s="1">
        <v>3154.9233180000001</v>
      </c>
      <c r="C9">
        <f t="shared" si="3"/>
        <v>225.35166557142858</v>
      </c>
      <c r="D9" s="1">
        <v>6748376.0123199997</v>
      </c>
      <c r="E9" s="1">
        <v>-2.9750000000000002E-3</v>
      </c>
      <c r="F9" s="1">
        <v>5.5377000000000003E-2</v>
      </c>
      <c r="G9" s="1">
        <v>-6.4450000000000002E-3</v>
      </c>
      <c r="H9" s="1">
        <v>5.2130999999999997E-2</v>
      </c>
      <c r="I9" s="1">
        <v>-4.666E-3</v>
      </c>
      <c r="J9" s="1">
        <v>5.5556000000000001E-2</v>
      </c>
      <c r="K9">
        <f t="shared" si="10"/>
        <v>5.8352000000000001E-2</v>
      </c>
      <c r="L9">
        <f t="shared" si="11"/>
        <v>5.8575999999999996E-2</v>
      </c>
      <c r="M9">
        <f t="shared" si="12"/>
        <v>6.0221999999999998E-2</v>
      </c>
      <c r="N9">
        <f t="shared" si="4"/>
        <v>600.11609627541156</v>
      </c>
      <c r="O9">
        <f t="shared" si="5"/>
        <v>602.41980489834975</v>
      </c>
      <c r="P9">
        <f t="shared" si="6"/>
        <v>619.34794951154765</v>
      </c>
      <c r="Q9">
        <f t="shared" si="13"/>
        <v>607.29461689510299</v>
      </c>
      <c r="R9">
        <f t="shared" si="0"/>
        <v>43.378186921078786</v>
      </c>
      <c r="S9" s="1">
        <v>-14455.148638999999</v>
      </c>
      <c r="T9" s="1">
        <f t="shared" si="7"/>
        <v>-531.2169144315917</v>
      </c>
      <c r="U9">
        <f t="shared" si="1"/>
        <v>-1032.5106170714284</v>
      </c>
      <c r="V9">
        <f t="shared" si="2"/>
        <v>-37.944065316542265</v>
      </c>
      <c r="W9">
        <f t="shared" si="8"/>
        <v>-7.0500196281301442E-2</v>
      </c>
      <c r="X9" s="1">
        <v>-1030.5922089999999</v>
      </c>
      <c r="Y9">
        <f t="shared" si="9"/>
        <v>-37.873565120260963</v>
      </c>
      <c r="Z9">
        <v>291.40100000000001</v>
      </c>
      <c r="AA9">
        <v>285.392</v>
      </c>
      <c r="AB9">
        <v>280.61599999999999</v>
      </c>
      <c r="AC9">
        <f>60.4836 * 0.354324</f>
        <v>21.430791086399999</v>
      </c>
      <c r="AD9">
        <f>61.7695 * 0.354324</f>
        <v>21.886416317999998</v>
      </c>
      <c r="AE9">
        <f>62.3512 * 0.354324</f>
        <v>22.092526588799998</v>
      </c>
      <c r="AF9">
        <f>62.5277*0.354324</f>
        <v>22.1550647748</v>
      </c>
      <c r="AG9">
        <f>62.6267*0.354324</f>
        <v>22.190142850799997</v>
      </c>
      <c r="AH9">
        <f>64.11*0.354324</f>
        <v>22.715711639999999</v>
      </c>
      <c r="AI9">
        <f>59.859*0.354324</f>
        <v>21.209480316</v>
      </c>
      <c r="AJ9">
        <f>51.299*0.354324</f>
        <v>18.176466875999999</v>
      </c>
      <c r="AK9">
        <f>49.743*0.354324</f>
        <v>17.625138732</v>
      </c>
      <c r="AL9">
        <v>33.768300000000004</v>
      </c>
      <c r="AM9">
        <v>33.701999999999998</v>
      </c>
      <c r="AN9">
        <v>36.151899999999998</v>
      </c>
      <c r="AO9">
        <v>17.892499999999998</v>
      </c>
      <c r="AP9">
        <v>25.6751</v>
      </c>
      <c r="AQ9">
        <v>-40.648000000000003</v>
      </c>
      <c r="AR9">
        <v>37.227699999999999</v>
      </c>
      <c r="AS9">
        <v>-32.713700000000003</v>
      </c>
      <c r="AT9">
        <v>-4.27644</v>
      </c>
    </row>
    <row r="10" spans="1:46" x14ac:dyDescent="0.2">
      <c r="A10">
        <v>16</v>
      </c>
      <c r="B10" s="1">
        <v>3519.6903349999998</v>
      </c>
      <c r="C10">
        <f t="shared" si="3"/>
        <v>219.98064593749999</v>
      </c>
      <c r="D10" s="1">
        <v>6748376.0123199997</v>
      </c>
      <c r="E10" s="1">
        <v>1.9599999999999999E-4</v>
      </c>
      <c r="F10" s="1">
        <v>6.4004000000000005E-2</v>
      </c>
      <c r="G10" s="1">
        <v>-2.04E-4</v>
      </c>
      <c r="H10" s="1">
        <v>6.4174999999999996E-2</v>
      </c>
      <c r="I10" s="1">
        <v>-1.5410000000000001E-3</v>
      </c>
      <c r="J10" s="1">
        <v>6.4297000000000007E-2</v>
      </c>
      <c r="K10">
        <f t="shared" si="10"/>
        <v>6.3808000000000004E-2</v>
      </c>
      <c r="L10">
        <f t="shared" si="11"/>
        <v>6.4378999999999992E-2</v>
      </c>
      <c r="M10">
        <f t="shared" si="12"/>
        <v>6.5838000000000008E-2</v>
      </c>
      <c r="N10">
        <f t="shared" si="4"/>
        <v>656.22785630555006</v>
      </c>
      <c r="O10">
        <f t="shared" si="5"/>
        <v>662.10025641134348</v>
      </c>
      <c r="P10">
        <f t="shared" si="6"/>
        <v>677.10521570092794</v>
      </c>
      <c r="Q10">
        <f t="shared" si="13"/>
        <v>665.14444280594046</v>
      </c>
      <c r="R10">
        <f t="shared" si="0"/>
        <v>41.571527675371279</v>
      </c>
      <c r="S10" s="1">
        <v>-16520.789239000002</v>
      </c>
      <c r="T10" s="1">
        <f t="shared" si="7"/>
        <v>-607.12780634010505</v>
      </c>
      <c r="U10">
        <f t="shared" si="1"/>
        <v>-1032.5493274375001</v>
      </c>
      <c r="V10">
        <f t="shared" si="2"/>
        <v>-37.945487896256566</v>
      </c>
      <c r="W10">
        <f t="shared" si="8"/>
        <v>-7.1922775995602706E-2</v>
      </c>
      <c r="X10" s="1">
        <v>-1030.5922089999999</v>
      </c>
      <c r="Y10">
        <f t="shared" si="9"/>
        <v>-37.873565120260963</v>
      </c>
      <c r="Z10">
        <v>291.79399999999998</v>
      </c>
      <c r="AA10">
        <v>290.709</v>
      </c>
      <c r="AB10">
        <v>312.43200000000002</v>
      </c>
      <c r="AC10">
        <f>57.6059*0.354324</f>
        <v>20.411152911599999</v>
      </c>
      <c r="AD10">
        <f>57.7407*0.354324</f>
        <v>20.458915786799999</v>
      </c>
      <c r="AE10">
        <f>63.7247*0.354324</f>
        <v>22.579190602799997</v>
      </c>
      <c r="AF10">
        <f>57.8512*0.354324</f>
        <v>20.498068588799999</v>
      </c>
      <c r="AG10">
        <f>57.9598*0.354324</f>
        <v>20.5365481752</v>
      </c>
      <c r="AH10">
        <f>64.4269 * 0.354324</f>
        <v>22.8279969156</v>
      </c>
      <c r="AI10">
        <f>SQRT(48.8208^2 + 49.5264^2+0.574837^2)*0.354324</f>
        <v>24.641865638853933</v>
      </c>
      <c r="AJ10">
        <f>SQRT(0.074707^2+0.674129^2+64.4262^2)*0.354324</f>
        <v>22.829013867362171</v>
      </c>
      <c r="AK10">
        <f>SQRT(32.7439^2+32.2739^2+0.299736^2)*0.354324</f>
        <v>16.290650205192268</v>
      </c>
      <c r="AL10">
        <v>48.820799999999998</v>
      </c>
      <c r="AM10">
        <v>49.526400000000002</v>
      </c>
      <c r="AN10">
        <v>0.57483700000000004</v>
      </c>
      <c r="AO10">
        <v>0.57483700000000004</v>
      </c>
      <c r="AP10">
        <v>0.67412899999999998</v>
      </c>
      <c r="AQ10">
        <v>-64.426199999999994</v>
      </c>
      <c r="AR10">
        <v>32.743899999999996</v>
      </c>
      <c r="AS10">
        <v>-32.273899999999998</v>
      </c>
      <c r="AT10">
        <v>-0.299736</v>
      </c>
    </row>
    <row r="11" spans="1:46" x14ac:dyDescent="0.2">
      <c r="A11">
        <v>18</v>
      </c>
      <c r="B11" s="1">
        <v>3957.855595</v>
      </c>
      <c r="C11">
        <f t="shared" si="3"/>
        <v>219.88086638888888</v>
      </c>
      <c r="D11" s="1">
        <v>6748376.0123199997</v>
      </c>
      <c r="E11" s="1">
        <v>1.8940000000000001E-3</v>
      </c>
      <c r="F11" s="1">
        <v>7.1135000000000004E-2</v>
      </c>
      <c r="G11" s="1">
        <v>-1.84E-4</v>
      </c>
      <c r="H11" s="1">
        <v>6.8996000000000002E-2</v>
      </c>
      <c r="I11" s="1">
        <v>-5.6899999999999995E-4</v>
      </c>
      <c r="J11" s="1">
        <v>6.8794999999999995E-2</v>
      </c>
      <c r="K11">
        <f t="shared" si="10"/>
        <v>6.9240999999999997E-2</v>
      </c>
      <c r="L11">
        <f t="shared" si="11"/>
        <v>6.9180000000000005E-2</v>
      </c>
      <c r="M11">
        <f t="shared" si="12"/>
        <v>6.9363999999999995E-2</v>
      </c>
      <c r="N11">
        <f t="shared" si="4"/>
        <v>712.10307482529765</v>
      </c>
      <c r="O11">
        <f t="shared" si="5"/>
        <v>711.47572560208687</v>
      </c>
      <c r="P11">
        <f t="shared" si="6"/>
        <v>713.36805768521458</v>
      </c>
      <c r="Q11">
        <f t="shared" si="13"/>
        <v>712.31561937086644</v>
      </c>
      <c r="R11">
        <f t="shared" si="0"/>
        <v>39.573089965048133</v>
      </c>
      <c r="S11" s="1">
        <v>-18586.054938000001</v>
      </c>
      <c r="T11" s="1">
        <f t="shared" si="7"/>
        <v>-683.02492089098541</v>
      </c>
      <c r="U11">
        <f t="shared" si="1"/>
        <v>-1032.5586076666668</v>
      </c>
      <c r="V11">
        <f t="shared" si="2"/>
        <v>-37.945828938388075</v>
      </c>
      <c r="W11">
        <f t="shared" si="8"/>
        <v>-7.2263818127112245E-2</v>
      </c>
      <c r="X11" s="1">
        <v>-1030.5922089999999</v>
      </c>
      <c r="Y11">
        <f t="shared" si="9"/>
        <v>-37.873565120260963</v>
      </c>
      <c r="Z11">
        <v>296.08199999999999</v>
      </c>
      <c r="AA11">
        <v>296.33999999999997</v>
      </c>
      <c r="AB11">
        <v>346.084</v>
      </c>
      <c r="AC11">
        <f>55.2724*0.354324</f>
        <v>19.584337857599998</v>
      </c>
      <c r="AD11">
        <f>55.1681*0.354324</f>
        <v>19.547381864399998</v>
      </c>
      <c r="AE11">
        <f>65.6497*0.354324</f>
        <v>23.261264302799997</v>
      </c>
      <c r="AF11">
        <f>55.281*0.354324</f>
        <v>19.587385043999998</v>
      </c>
      <c r="AG11">
        <f>55.194*0.354324</f>
        <v>19.556558855999999</v>
      </c>
      <c r="AH11">
        <f>65.849*0.354324</f>
        <v>23.331881075999998</v>
      </c>
      <c r="AI11">
        <f>65.836*0.354324</f>
        <v>23.327274863999996</v>
      </c>
      <c r="AJ11">
        <f>62.685*0.354324</f>
        <v>22.210799939999998</v>
      </c>
      <c r="AK11">
        <f>62.612*0.354324</f>
        <v>22.184934287999997</v>
      </c>
      <c r="AL11">
        <v>0.86319000000000001</v>
      </c>
      <c r="AM11">
        <v>2.40042</v>
      </c>
      <c r="AN11">
        <v>65.786299999999997</v>
      </c>
      <c r="AO11">
        <v>23.6373</v>
      </c>
      <c r="AP11">
        <v>58.007199999999997</v>
      </c>
      <c r="AQ11">
        <v>-2.42672</v>
      </c>
      <c r="AR11">
        <v>57.9846</v>
      </c>
      <c r="AS11">
        <v>-23.623799999999999</v>
      </c>
      <c r="AT11">
        <v>0.101173</v>
      </c>
    </row>
    <row r="12" spans="1:46" x14ac:dyDescent="0.2">
      <c r="A12">
        <v>20</v>
      </c>
      <c r="B12" s="1">
        <v>4216.8846619999904</v>
      </c>
      <c r="C12">
        <f t="shared" si="3"/>
        <v>210.84423309999951</v>
      </c>
      <c r="D12" s="1">
        <v>6748376.0123199997</v>
      </c>
      <c r="E12" s="1">
        <v>-0.16658800000000001</v>
      </c>
      <c r="F12" s="1">
        <v>-9.1408000000000003E-2</v>
      </c>
      <c r="G12" s="1">
        <v>2.0305E-2</v>
      </c>
      <c r="H12" s="1">
        <v>9.6529000000000004E-2</v>
      </c>
      <c r="I12" s="1">
        <v>-4.2962E-2</v>
      </c>
      <c r="J12" s="1">
        <v>4.2213000000000001E-2</v>
      </c>
      <c r="K12">
        <f t="shared" si="10"/>
        <v>7.5180000000000011E-2</v>
      </c>
      <c r="L12">
        <f t="shared" si="11"/>
        <v>7.6224E-2</v>
      </c>
      <c r="M12">
        <f t="shared" si="12"/>
        <v>8.5175000000000001E-2</v>
      </c>
      <c r="N12">
        <f t="shared" si="4"/>
        <v>773.18220657364691</v>
      </c>
      <c r="O12">
        <f t="shared" si="5"/>
        <v>783.91913426269821</v>
      </c>
      <c r="P12">
        <f t="shared" si="6"/>
        <v>875.9749194587705</v>
      </c>
      <c r="Q12">
        <f t="shared" si="13"/>
        <v>811.0254200983718</v>
      </c>
      <c r="R12">
        <f t="shared" si="0"/>
        <v>40.55127100491859</v>
      </c>
      <c r="S12" s="1">
        <v>-20653.743139999999</v>
      </c>
      <c r="T12" s="1">
        <f t="shared" si="7"/>
        <v>-759.01106078508406</v>
      </c>
      <c r="U12">
        <f t="shared" si="1"/>
        <v>-1032.6871569999998</v>
      </c>
      <c r="V12">
        <f t="shared" si="2"/>
        <v>-37.950553039254203</v>
      </c>
      <c r="W12">
        <f t="shared" si="8"/>
        <v>-7.6987918993239646E-2</v>
      </c>
      <c r="X12" s="1">
        <v>-1030.5922089999999</v>
      </c>
      <c r="Y12">
        <f t="shared" si="9"/>
        <v>-37.873565120260963</v>
      </c>
      <c r="Z12">
        <v>323.09500000000003</v>
      </c>
      <c r="AA12">
        <v>310.279</v>
      </c>
      <c r="AB12">
        <v>303.101</v>
      </c>
      <c r="AC12">
        <f>54.3871*0.354324</f>
        <v>19.270654820399997</v>
      </c>
      <c r="AD12">
        <f>51.9773*0.354324</f>
        <v>18.416804845199998</v>
      </c>
      <c r="AE12">
        <f>65.5071*0.354324</f>
        <v>23.210737700399996</v>
      </c>
      <c r="AF12">
        <f>58.937*0.354324</f>
        <v>20.882793587999998</v>
      </c>
      <c r="AG12">
        <f>54.02*0.354324</f>
        <v>19.140582479999999</v>
      </c>
      <c r="AH12">
        <f>66.522*0.354324</f>
        <v>23.570341127999999</v>
      </c>
      <c r="AI12">
        <f>65.85*0.354324</f>
        <v>23.332235399999995</v>
      </c>
      <c r="AJ12">
        <f>53.951*0.354324</f>
        <v>19.116134123999998</v>
      </c>
      <c r="AK12">
        <f>55.378*0.354324</f>
        <v>19.621754471999999</v>
      </c>
      <c r="AL12">
        <v>19.357199999999999</v>
      </c>
      <c r="AM12">
        <v>2.83528</v>
      </c>
      <c r="AN12">
        <v>62.876300000000001</v>
      </c>
      <c r="AO12">
        <v>11.347099999999999</v>
      </c>
      <c r="AP12">
        <v>-52.732500000000002</v>
      </c>
      <c r="AQ12">
        <v>-1.1154599999999999</v>
      </c>
      <c r="AR12">
        <v>51.6342</v>
      </c>
      <c r="AS12">
        <v>11.4579</v>
      </c>
      <c r="AT12">
        <v>-16.4129</v>
      </c>
    </row>
    <row r="13" spans="1:46" x14ac:dyDescent="0.2">
      <c r="A13">
        <v>22</v>
      </c>
      <c r="B13" s="1">
        <v>4625.5126909999899</v>
      </c>
      <c r="C13">
        <f t="shared" si="3"/>
        <v>210.2505768636359</v>
      </c>
      <c r="D13" s="1">
        <v>6748376.0123199997</v>
      </c>
      <c r="E13" s="1">
        <v>-1.256E-3</v>
      </c>
      <c r="F13" s="1">
        <v>9.2483999999999997E-2</v>
      </c>
      <c r="G13" s="1">
        <v>-3.3799999999999998E-4</v>
      </c>
      <c r="H13" s="1">
        <v>8.3097000000000004E-2</v>
      </c>
      <c r="I13" s="1">
        <v>7.1199999999999996E-4</v>
      </c>
      <c r="J13" s="1">
        <v>8.4136000000000002E-2</v>
      </c>
      <c r="K13">
        <f t="shared" si="10"/>
        <v>9.373999999999999E-2</v>
      </c>
      <c r="L13">
        <f t="shared" si="11"/>
        <v>8.3435000000000009E-2</v>
      </c>
      <c r="M13">
        <f t="shared" si="12"/>
        <v>8.3423999999999998E-2</v>
      </c>
      <c r="N13">
        <f t="shared" si="4"/>
        <v>964.06092104567222</v>
      </c>
      <c r="O13">
        <f t="shared" si="5"/>
        <v>858.08003997701815</v>
      </c>
      <c r="P13">
        <f t="shared" si="6"/>
        <v>857.96691142857014</v>
      </c>
      <c r="Q13">
        <f t="shared" si="13"/>
        <v>893.36929081708683</v>
      </c>
      <c r="R13">
        <f t="shared" si="0"/>
        <v>40.60769503714031</v>
      </c>
      <c r="S13" s="1">
        <v>-22719.047449000002</v>
      </c>
      <c r="T13" s="1">
        <f t="shared" si="7"/>
        <v>-834.90959422729372</v>
      </c>
      <c r="U13">
        <f t="shared" si="1"/>
        <v>-1032.6839749545454</v>
      </c>
      <c r="V13">
        <f t="shared" si="2"/>
        <v>-37.950436101240626</v>
      </c>
      <c r="W13">
        <f t="shared" si="8"/>
        <v>-7.6870980979663273E-2</v>
      </c>
      <c r="X13" s="1">
        <v>-1030.5922089999999</v>
      </c>
      <c r="Y13">
        <f t="shared" si="9"/>
        <v>-37.873565120260963</v>
      </c>
      <c r="Z13">
        <v>287.76400000000001</v>
      </c>
      <c r="AA13">
        <v>375.267</v>
      </c>
      <c r="AB13">
        <v>375.315</v>
      </c>
      <c r="AC13">
        <f>59.9135*0.354324</f>
        <v>21.228790973999999</v>
      </c>
      <c r="AD13">
        <f>61.0426*0.354324</f>
        <v>21.6288582024</v>
      </c>
      <c r="AE13">
        <f>60.7683*0.354324</f>
        <v>21.531667129199999</v>
      </c>
      <c r="AF13">
        <f>59.864*0.354324</f>
        <v>21.211251935999996</v>
      </c>
      <c r="AG13">
        <f>60.902*0.354324</f>
        <v>21.579040247999998</v>
      </c>
      <c r="AH13">
        <f>60.915*0.354324</f>
        <v>21.583646459999997</v>
      </c>
      <c r="AI13">
        <f>59.86*0.354324</f>
        <v>21.209834639999997</v>
      </c>
      <c r="AJ13">
        <f>54.762*0.354324</f>
        <v>19.403490888</v>
      </c>
      <c r="AK13">
        <f>54.802*0.354324</f>
        <v>19.417663848</v>
      </c>
      <c r="AL13">
        <v>59.856000000000002</v>
      </c>
      <c r="AM13">
        <v>0.40929399999999999</v>
      </c>
      <c r="AN13">
        <v>0.53452299999999997</v>
      </c>
      <c r="AO13">
        <v>0.192944</v>
      </c>
      <c r="AP13">
        <v>30.8611</v>
      </c>
      <c r="AQ13">
        <v>-45.237099999999998</v>
      </c>
      <c r="AR13">
        <v>0.58531599999999995</v>
      </c>
      <c r="AS13">
        <v>-45.268999999999998</v>
      </c>
      <c r="AT13">
        <v>-30.880299999999998</v>
      </c>
    </row>
    <row r="14" spans="1:46" x14ac:dyDescent="0.2">
      <c r="A14">
        <v>24</v>
      </c>
      <c r="B14" s="1">
        <v>4979.6925659999997</v>
      </c>
      <c r="C14">
        <f t="shared" si="3"/>
        <v>207.48719025</v>
      </c>
      <c r="D14" s="1">
        <v>6748376.0123199997</v>
      </c>
      <c r="E14" s="1">
        <v>-0.27426</v>
      </c>
      <c r="F14" s="1">
        <v>-0.16717899999999999</v>
      </c>
      <c r="G14" s="1">
        <v>0.107352</v>
      </c>
      <c r="H14" s="1">
        <v>0.19905300000000001</v>
      </c>
      <c r="I14" s="1">
        <v>-9.1915999999999998E-2</v>
      </c>
      <c r="J14" s="1">
        <v>-4.6930000000000001E-3</v>
      </c>
      <c r="K14">
        <f t="shared" si="10"/>
        <v>0.10708100000000001</v>
      </c>
      <c r="L14">
        <f t="shared" si="11"/>
        <v>9.1701000000000005E-2</v>
      </c>
      <c r="M14">
        <f t="shared" si="12"/>
        <v>8.7222999999999995E-2</v>
      </c>
      <c r="N14">
        <f t="shared" si="4"/>
        <v>1101.2652814859362</v>
      </c>
      <c r="O14">
        <f t="shared" si="5"/>
        <v>943.09100192883727</v>
      </c>
      <c r="P14">
        <f t="shared" si="6"/>
        <v>897.03739829706285</v>
      </c>
      <c r="Q14">
        <f t="shared" si="13"/>
        <v>980.46456057061198</v>
      </c>
      <c r="R14">
        <f t="shared" si="0"/>
        <v>40.852690023775502</v>
      </c>
      <c r="S14" s="1">
        <v>-24785.188103</v>
      </c>
      <c r="T14" s="1">
        <f t="shared" si="7"/>
        <v>-910.83886278135822</v>
      </c>
      <c r="U14">
        <f t="shared" si="1"/>
        <v>-1032.7161709583334</v>
      </c>
      <c r="V14">
        <f t="shared" si="2"/>
        <v>-37.951619282556592</v>
      </c>
      <c r="W14">
        <f t="shared" si="8"/>
        <v>-7.8054162295629226E-2</v>
      </c>
      <c r="X14" s="1">
        <v>-1030.5922089999999</v>
      </c>
      <c r="Y14">
        <f t="shared" si="9"/>
        <v>-37.873565120260963</v>
      </c>
      <c r="Z14">
        <v>328.54599999999999</v>
      </c>
      <c r="AA14">
        <v>370.20800000000003</v>
      </c>
      <c r="AB14">
        <v>386.46499999999997</v>
      </c>
      <c r="AC14">
        <f>61.7496*0.354324</f>
        <v>21.879365270399997</v>
      </c>
      <c r="AD14">
        <f>60.3133*0.354324</f>
        <v>21.370449709199999</v>
      </c>
      <c r="AE14">
        <f>60.4007*0.354324</f>
        <v>21.401417626799997</v>
      </c>
      <c r="AF14">
        <f>67.179*0.354324</f>
        <v>23.803131995999998</v>
      </c>
      <c r="AG14">
        <f>61.239*0.354324</f>
        <v>21.698447435999999</v>
      </c>
      <c r="AH14">
        <f>60.495*0.354324</f>
        <v>21.434830379999998</v>
      </c>
      <c r="AI14">
        <f>71.628*0.354324</f>
        <v>25.379519471999998</v>
      </c>
      <c r="AJ14">
        <f>63.276*0.354324</f>
        <v>22.420205423999999</v>
      </c>
      <c r="AK14">
        <f>61.331*0.354324</f>
        <v>21.731045244000001</v>
      </c>
      <c r="AL14">
        <v>69.112899999999996</v>
      </c>
      <c r="AM14">
        <v>17.633299999999998</v>
      </c>
      <c r="AN14">
        <v>6.56264</v>
      </c>
      <c r="AO14">
        <v>16.603100000000001</v>
      </c>
      <c r="AP14">
        <v>-56.133400000000002</v>
      </c>
      <c r="AQ14">
        <v>-24.025600000000001</v>
      </c>
      <c r="AR14">
        <v>0.74788100000000002</v>
      </c>
      <c r="AS14">
        <v>-23.9438</v>
      </c>
      <c r="AT14">
        <v>56.459099999999999</v>
      </c>
    </row>
    <row r="15" spans="1:46" x14ac:dyDescent="0.2">
      <c r="A15">
        <v>26</v>
      </c>
      <c r="B15" s="1">
        <v>5246.5062969999999</v>
      </c>
      <c r="C15">
        <f t="shared" si="3"/>
        <v>201.78870373076921</v>
      </c>
      <c r="D15" s="1">
        <v>6748376.0123199997</v>
      </c>
      <c r="E15" s="1">
        <v>-3.8099999999999999E-4</v>
      </c>
      <c r="F15" s="1">
        <v>9.6073000000000006E-2</v>
      </c>
      <c r="G15" s="1">
        <v>2.0000000000000001E-4</v>
      </c>
      <c r="H15" s="1">
        <v>9.6664E-2</v>
      </c>
      <c r="I15" s="1">
        <v>5.9100000000000005E-4</v>
      </c>
      <c r="J15" s="1">
        <v>9.7045000000000006E-2</v>
      </c>
      <c r="K15">
        <f t="shared" si="10"/>
        <v>9.6454000000000012E-2</v>
      </c>
      <c r="L15">
        <f t="shared" si="11"/>
        <v>9.6463999999999994E-2</v>
      </c>
      <c r="M15">
        <f t="shared" si="12"/>
        <v>9.6454000000000012E-2</v>
      </c>
      <c r="N15">
        <f t="shared" si="4"/>
        <v>991.97281927180813</v>
      </c>
      <c r="O15">
        <f t="shared" si="5"/>
        <v>992.07566340676055</v>
      </c>
      <c r="P15">
        <f t="shared" si="6"/>
        <v>991.97281927180813</v>
      </c>
      <c r="Q15">
        <f t="shared" si="13"/>
        <v>992.00710065012561</v>
      </c>
      <c r="R15">
        <f t="shared" si="0"/>
        <v>38.154119255774063</v>
      </c>
      <c r="S15" s="1">
        <v>-26851.449314000001</v>
      </c>
      <c r="T15" s="1">
        <f t="shared" si="7"/>
        <v>-986.77256172345631</v>
      </c>
      <c r="U15">
        <f t="shared" si="1"/>
        <v>-1032.7480505384615</v>
      </c>
      <c r="V15">
        <f t="shared" si="2"/>
        <v>-37.952790835517547</v>
      </c>
      <c r="W15">
        <f t="shared" si="8"/>
        <v>-7.922571525658384E-2</v>
      </c>
      <c r="X15" s="1">
        <v>-1030.5922089999999</v>
      </c>
      <c r="Y15">
        <f t="shared" si="9"/>
        <v>-37.873565120260963</v>
      </c>
      <c r="Z15">
        <v>377.81299999999999</v>
      </c>
      <c r="AA15">
        <v>377.61</v>
      </c>
      <c r="AB15">
        <v>377.62599999999998</v>
      </c>
      <c r="AC15">
        <f>60*0.354324</f>
        <v>21.259439999999998</v>
      </c>
      <c r="AD15">
        <f>60.0149*0.354324</f>
        <v>21.264719427599996</v>
      </c>
      <c r="AE15">
        <f>59.8465*0.354324</f>
        <v>21.205051265999998</v>
      </c>
      <c r="AF15">
        <f>60.152*0.354324</f>
        <v>21.313297247999998</v>
      </c>
      <c r="AG15">
        <f>60.251*0.354324</f>
        <v>21.348375323999999</v>
      </c>
      <c r="AH15">
        <f>60.238*0.354324</f>
        <v>21.343769111999997</v>
      </c>
      <c r="AI15">
        <f>62.494*0.354324</f>
        <v>22.143124055999998</v>
      </c>
      <c r="AJ15">
        <f>62.901*0.354324</f>
        <v>22.287333923999999</v>
      </c>
      <c r="AK15">
        <f>59.928*0.354324</f>
        <v>21.233928671999998</v>
      </c>
      <c r="AL15">
        <v>8.2604900000000008</v>
      </c>
      <c r="AM15">
        <v>59.578699999999998</v>
      </c>
      <c r="AN15">
        <v>16.9603</v>
      </c>
      <c r="AO15">
        <v>6.4616199999999999</v>
      </c>
      <c r="AP15">
        <v>-17.957799999999999</v>
      </c>
      <c r="AQ15">
        <v>59.935699999999997</v>
      </c>
      <c r="AR15">
        <v>59.082000000000001</v>
      </c>
      <c r="AS15">
        <v>-5.8771199999999997</v>
      </c>
      <c r="AT15">
        <v>-8.1304700000000008</v>
      </c>
    </row>
    <row r="16" spans="1:46" x14ac:dyDescent="0.2">
      <c r="A16">
        <v>55</v>
      </c>
      <c r="B16" s="1">
        <v>10037.6321129999</v>
      </c>
      <c r="C16">
        <f t="shared" si="3"/>
        <v>182.50240205454364</v>
      </c>
      <c r="D16" s="1">
        <v>6748376.0123199997</v>
      </c>
      <c r="E16" s="1">
        <v>0</v>
      </c>
      <c r="F16" s="1">
        <v>0.18806200000000001</v>
      </c>
      <c r="G16" s="1">
        <v>-9.9999999999999995E-7</v>
      </c>
      <c r="H16" s="1">
        <v>0.18806200000000001</v>
      </c>
      <c r="I16" s="1">
        <v>0</v>
      </c>
      <c r="J16" s="1">
        <v>0.18806200000000001</v>
      </c>
      <c r="K16">
        <f t="shared" si="10"/>
        <v>0.18806200000000001</v>
      </c>
      <c r="L16">
        <f t="shared" si="11"/>
        <v>0.18806300000000001</v>
      </c>
      <c r="M16">
        <f t="shared" si="12"/>
        <v>0.18806200000000001</v>
      </c>
      <c r="N16">
        <f t="shared" si="4"/>
        <v>1934.1073707455862</v>
      </c>
      <c r="O16">
        <f t="shared" si="5"/>
        <v>1934.1176551590813</v>
      </c>
      <c r="P16">
        <f t="shared" si="6"/>
        <v>1934.1073707455862</v>
      </c>
      <c r="Q16">
        <f t="shared" si="13"/>
        <v>1934.1107988834181</v>
      </c>
      <c r="R16">
        <f t="shared" si="0"/>
        <v>35.165650888789422</v>
      </c>
      <c r="S16" s="1">
        <v>-56815.925793000002</v>
      </c>
      <c r="T16" s="1">
        <f t="shared" si="7"/>
        <v>-2087.9467616750635</v>
      </c>
      <c r="U16">
        <f t="shared" si="1"/>
        <v>-1033.0168326</v>
      </c>
      <c r="V16">
        <f t="shared" si="2"/>
        <v>-37.962668394092063</v>
      </c>
      <c r="W16">
        <f t="shared" si="8"/>
        <v>-8.9103273831099727E-2</v>
      </c>
      <c r="X16" s="1">
        <v>-1030.5922089999999</v>
      </c>
      <c r="Y16">
        <f t="shared" si="9"/>
        <v>-37.873565120260963</v>
      </c>
      <c r="Z16">
        <v>577.99400000000003</v>
      </c>
      <c r="AA16">
        <v>577.99400000000003</v>
      </c>
      <c r="AB16">
        <v>577.99400000000003</v>
      </c>
      <c r="AC16">
        <f t="shared" ref="AC16:AK16" si="14">75.934*0.354324</f>
        <v>26.905238615999998</v>
      </c>
      <c r="AD16">
        <f t="shared" si="14"/>
        <v>26.905238615999998</v>
      </c>
      <c r="AE16">
        <f t="shared" si="14"/>
        <v>26.905238615999998</v>
      </c>
      <c r="AF16">
        <f t="shared" si="14"/>
        <v>26.905238615999998</v>
      </c>
      <c r="AG16">
        <f t="shared" si="14"/>
        <v>26.905238615999998</v>
      </c>
      <c r="AH16">
        <f t="shared" si="14"/>
        <v>26.905238615999998</v>
      </c>
      <c r="AI16">
        <f t="shared" si="14"/>
        <v>26.905238615999998</v>
      </c>
      <c r="AJ16">
        <f t="shared" si="14"/>
        <v>26.905238615999998</v>
      </c>
      <c r="AK16">
        <f t="shared" si="14"/>
        <v>26.905238615999998</v>
      </c>
      <c r="AL16">
        <v>1.52588E-4</v>
      </c>
      <c r="AM16">
        <v>75.934100000000001</v>
      </c>
      <c r="AN16">
        <v>5.1879900000000002E-4</v>
      </c>
      <c r="AO16">
        <v>2.13623E-4</v>
      </c>
      <c r="AP16">
        <v>5.1879900000000002E-4</v>
      </c>
      <c r="AQ16">
        <v>-75.934100000000001</v>
      </c>
      <c r="AR16">
        <v>75.933999999999997</v>
      </c>
      <c r="AS16">
        <v>-1.4495799999999999E-4</v>
      </c>
      <c r="AT16">
        <v>2.13623E-4</v>
      </c>
    </row>
    <row r="22" spans="6:21" x14ac:dyDescent="0.2">
      <c r="F22" s="1"/>
      <c r="T22">
        <v>0</v>
      </c>
      <c r="U22">
        <f>T22^0.67 * 100</f>
        <v>0</v>
      </c>
    </row>
    <row r="23" spans="6:21" x14ac:dyDescent="0.2">
      <c r="T23">
        <v>10</v>
      </c>
      <c r="U23">
        <f t="shared" ref="U23:U29" si="15">T23^0.67 * 100</f>
        <v>467.73514128719836</v>
      </c>
    </row>
    <row r="24" spans="6:21" x14ac:dyDescent="0.2">
      <c r="T24">
        <v>20</v>
      </c>
      <c r="U24">
        <f t="shared" si="15"/>
        <v>744.20073925645545</v>
      </c>
    </row>
    <row r="25" spans="6:21" x14ac:dyDescent="0.2">
      <c r="T25">
        <v>30</v>
      </c>
      <c r="U25">
        <f t="shared" si="15"/>
        <v>976.49773587507923</v>
      </c>
    </row>
    <row r="26" spans="6:21" x14ac:dyDescent="0.2">
      <c r="T26">
        <v>40</v>
      </c>
      <c r="U26">
        <f t="shared" si="15"/>
        <v>1184.0776786317833</v>
      </c>
    </row>
    <row r="27" spans="6:21" x14ac:dyDescent="0.2">
      <c r="T27">
        <v>50</v>
      </c>
      <c r="U27">
        <f t="shared" si="15"/>
        <v>1375.022810785091</v>
      </c>
    </row>
    <row r="28" spans="6:21" x14ac:dyDescent="0.2">
      <c r="T28">
        <v>60</v>
      </c>
      <c r="U28">
        <f t="shared" si="15"/>
        <v>1553.6791503853995</v>
      </c>
    </row>
    <row r="29" spans="6:21" x14ac:dyDescent="0.2">
      <c r="T29">
        <v>70</v>
      </c>
      <c r="U29">
        <f t="shared" si="15"/>
        <v>1722.7239314130404</v>
      </c>
    </row>
    <row r="54" spans="2:2" x14ac:dyDescent="0.2">
      <c r="B54">
        <f>B5*0.529^3</f>
        <v>284.8953481683302</v>
      </c>
    </row>
    <row r="58" spans="2:2" x14ac:dyDescent="0.2">
      <c r="B58">
        <f>13 / (8/285)</f>
        <v>463.125</v>
      </c>
    </row>
    <row r="65" spans="2:2" x14ac:dyDescent="0.2">
      <c r="B65">
        <f>110 / (8/146)</f>
        <v>2007.5</v>
      </c>
    </row>
    <row r="66" spans="2:2" x14ac:dyDescent="0.2">
      <c r="B66">
        <f>310 / (24 / 180)</f>
        <v>2325</v>
      </c>
    </row>
  </sheetData>
  <mergeCells count="9">
    <mergeCell ref="AI1:AK1"/>
    <mergeCell ref="AF1:AH1"/>
    <mergeCell ref="AL1:AT1"/>
    <mergeCell ref="A1:D1"/>
    <mergeCell ref="E1:M1"/>
    <mergeCell ref="S1:Y1"/>
    <mergeCell ref="N1:R1"/>
    <mergeCell ref="Z1:AB1"/>
    <mergeCell ref="AC1:A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EBC4-A531-324A-A600-11220A2C20D1}">
  <dimension ref="A1:AT6"/>
  <sheetViews>
    <sheetView workbookViewId="0">
      <selection activeCell="AG22" sqref="AG22"/>
    </sheetView>
  </sheetViews>
  <sheetFormatPr baseColWidth="10" defaultRowHeight="16" x14ac:dyDescent="0.2"/>
  <cols>
    <col min="1" max="1" width="14.5" customWidth="1"/>
    <col min="15" max="15" width="16" customWidth="1"/>
    <col min="16" max="16" width="16.5" customWidth="1"/>
    <col min="17" max="17" width="15.6640625" customWidth="1"/>
    <col min="18" max="18" width="16" customWidth="1"/>
    <col min="20" max="20" width="20" customWidth="1"/>
    <col min="21" max="21" width="21.6640625" customWidth="1"/>
  </cols>
  <sheetData>
    <row r="1" spans="1:46" ht="21" x14ac:dyDescent="0.25">
      <c r="B1" s="16" t="s">
        <v>48</v>
      </c>
      <c r="C1" s="16"/>
      <c r="D1" s="16"/>
      <c r="E1" s="16"/>
      <c r="F1" s="17" t="s">
        <v>49</v>
      </c>
      <c r="G1" s="17"/>
      <c r="H1" s="17"/>
      <c r="I1" s="17"/>
      <c r="J1" s="17"/>
      <c r="K1" s="17"/>
      <c r="L1" s="17"/>
      <c r="M1" s="17"/>
      <c r="N1" s="17"/>
      <c r="O1" s="19" t="s">
        <v>53</v>
      </c>
      <c r="P1" s="19"/>
      <c r="Q1" s="19"/>
      <c r="R1" s="19"/>
      <c r="S1" s="18" t="s">
        <v>50</v>
      </c>
      <c r="T1" s="18"/>
      <c r="U1" s="18"/>
      <c r="V1" s="18"/>
      <c r="W1" s="18"/>
      <c r="X1" s="18"/>
      <c r="Y1" s="18"/>
      <c r="Z1" s="15" t="s">
        <v>56</v>
      </c>
      <c r="AA1" s="15"/>
      <c r="AB1" s="15"/>
      <c r="AC1" s="15"/>
      <c r="AD1" s="15"/>
      <c r="AE1" s="15"/>
      <c r="AF1" s="15"/>
      <c r="AG1" s="15"/>
      <c r="AH1" s="15"/>
      <c r="AI1" s="20" t="s">
        <v>69</v>
      </c>
      <c r="AJ1" s="20"/>
      <c r="AK1" s="20"/>
      <c r="AL1" s="13" t="s">
        <v>70</v>
      </c>
      <c r="AM1" s="13"/>
      <c r="AN1" s="13"/>
      <c r="AO1" s="13"/>
      <c r="AP1" s="13"/>
      <c r="AQ1" s="13"/>
      <c r="AR1" s="13"/>
      <c r="AS1" s="13"/>
      <c r="AT1" s="13"/>
    </row>
    <row r="2" spans="1:46" x14ac:dyDescent="0.2">
      <c r="B2" s="3" t="s">
        <v>0</v>
      </c>
      <c r="C2" s="3" t="s">
        <v>1</v>
      </c>
      <c r="D2" s="3" t="s">
        <v>3</v>
      </c>
      <c r="E2" s="3" t="s">
        <v>2</v>
      </c>
      <c r="F2" s="4" t="s">
        <v>16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13</v>
      </c>
      <c r="M2" s="4" t="s">
        <v>14</v>
      </c>
      <c r="N2" s="4" t="s">
        <v>15</v>
      </c>
      <c r="O2" s="6" t="s">
        <v>17</v>
      </c>
      <c r="P2" s="6" t="s">
        <v>18</v>
      </c>
      <c r="Q2" s="6" t="s">
        <v>19</v>
      </c>
      <c r="R2" s="6" t="s">
        <v>20</v>
      </c>
      <c r="S2" s="5" t="s">
        <v>12</v>
      </c>
      <c r="T2" s="5" t="s">
        <v>23</v>
      </c>
      <c r="U2" s="5" t="s">
        <v>4</v>
      </c>
      <c r="V2" s="5" t="s">
        <v>24</v>
      </c>
      <c r="W2" s="5" t="s">
        <v>6</v>
      </c>
      <c r="X2" s="5" t="s">
        <v>5</v>
      </c>
      <c r="Y2" s="5" t="s">
        <v>25</v>
      </c>
      <c r="Z2" s="11" t="s">
        <v>38</v>
      </c>
      <c r="AA2" s="11" t="s">
        <v>39</v>
      </c>
      <c r="AB2" s="11" t="s">
        <v>40</v>
      </c>
      <c r="AC2" s="11" t="s">
        <v>41</v>
      </c>
      <c r="AD2" s="11" t="s">
        <v>42</v>
      </c>
      <c r="AE2" s="11" t="s">
        <v>43</v>
      </c>
      <c r="AF2" s="11" t="s">
        <v>44</v>
      </c>
      <c r="AG2" s="11" t="s">
        <v>45</v>
      </c>
      <c r="AH2" s="11" t="s">
        <v>46</v>
      </c>
      <c r="AI2" s="7" t="s">
        <v>57</v>
      </c>
      <c r="AJ2" s="7" t="s">
        <v>58</v>
      </c>
      <c r="AK2" s="7" t="s">
        <v>59</v>
      </c>
      <c r="AL2" s="10" t="s">
        <v>60</v>
      </c>
      <c r="AM2" s="10" t="s">
        <v>61</v>
      </c>
      <c r="AN2" s="10" t="s">
        <v>62</v>
      </c>
      <c r="AO2" s="10" t="s">
        <v>63</v>
      </c>
      <c r="AP2" s="10" t="s">
        <v>64</v>
      </c>
      <c r="AQ2" s="10" t="s">
        <v>65</v>
      </c>
      <c r="AR2" s="10" t="s">
        <v>66</v>
      </c>
      <c r="AS2" s="10" t="s">
        <v>67</v>
      </c>
      <c r="AT2" s="10" t="s">
        <v>68</v>
      </c>
    </row>
    <row r="3" spans="1:46" x14ac:dyDescent="0.2">
      <c r="A3" s="22" t="s">
        <v>71</v>
      </c>
      <c r="B3">
        <v>12</v>
      </c>
      <c r="C3" s="1">
        <v>2424.0102869999901</v>
      </c>
      <c r="D3">
        <f>C3/B3</f>
        <v>202.00085724999917</v>
      </c>
      <c r="E3">
        <v>6748376.0123199997</v>
      </c>
      <c r="F3" s="1">
        <v>1.0000000000000001E-5</v>
      </c>
      <c r="G3" s="1">
        <v>3.7288000000000002E-2</v>
      </c>
      <c r="H3" s="1">
        <v>1.0000000000000001E-5</v>
      </c>
      <c r="I3" s="1">
        <v>3.7262999999999998E-2</v>
      </c>
      <c r="J3" s="1">
        <v>4.3800000000000002E-4</v>
      </c>
      <c r="K3" s="1">
        <v>5.3983999999999997E-2</v>
      </c>
      <c r="L3">
        <f>G3-F3</f>
        <v>3.7277999999999999E-2</v>
      </c>
      <c r="M3">
        <f>I3-H3</f>
        <v>3.7252999999999994E-2</v>
      </c>
      <c r="N3">
        <f>K3-J3</f>
        <v>5.3545999999999996E-2</v>
      </c>
      <c r="O3">
        <f t="shared" ref="O3:Q6" si="0">L3/(0.005 /51.4220674763)</f>
        <v>383.38236627630226</v>
      </c>
      <c r="P3">
        <f t="shared" si="0"/>
        <v>383.1252559389207</v>
      </c>
      <c r="Q3">
        <f t="shared" si="0"/>
        <v>550.68920501719185</v>
      </c>
      <c r="R3">
        <f>(O3+P3+Q3)/3</f>
        <v>439.06560907747161</v>
      </c>
      <c r="S3" s="1">
        <v>-12380.492478</v>
      </c>
      <c r="T3" s="1">
        <f>S3/27.211386245988</f>
        <v>-454.97470676729523</v>
      </c>
      <c r="U3">
        <f>S3/B3</f>
        <v>-1031.7077065000001</v>
      </c>
      <c r="V3">
        <f>T3/B3</f>
        <v>-37.914558897274603</v>
      </c>
      <c r="W3">
        <f>V3-Y3</f>
        <v>-4.0993777013639487E-2</v>
      </c>
      <c r="X3" s="1">
        <v>-1030.5922089999999</v>
      </c>
      <c r="Y3">
        <f>X3/27.211386245988</f>
        <v>-37.873565120260963</v>
      </c>
      <c r="Z3">
        <v>5.6762699999999998E-3</v>
      </c>
      <c r="AA3">
        <v>5.6762699999999998E-3</v>
      </c>
      <c r="AB3">
        <v>51.1492</v>
      </c>
      <c r="AC3">
        <v>32.619599999999998</v>
      </c>
      <c r="AD3">
        <v>-32.619599999999998</v>
      </c>
      <c r="AE3">
        <v>0</v>
      </c>
      <c r="AF3">
        <v>33.547899999999998</v>
      </c>
      <c r="AG3">
        <v>33.547800000000002</v>
      </c>
      <c r="AH3">
        <v>-7.4462900000000004E-3</v>
      </c>
      <c r="AI3">
        <v>8.9665999999999997</v>
      </c>
      <c r="AJ3">
        <v>6.6734</v>
      </c>
      <c r="AK3">
        <v>5.7794999999999996</v>
      </c>
      <c r="AL3">
        <v>1E-4</v>
      </c>
      <c r="AM3">
        <v>1E-4</v>
      </c>
      <c r="AN3">
        <v>1</v>
      </c>
      <c r="AO3">
        <v>-0.70709999999999995</v>
      </c>
      <c r="AP3">
        <v>0.70709999999999995</v>
      </c>
      <c r="AQ3">
        <v>0</v>
      </c>
      <c r="AR3">
        <v>-0.70709999999999995</v>
      </c>
      <c r="AS3">
        <v>-0.70709999999999995</v>
      </c>
      <c r="AT3">
        <v>1E-4</v>
      </c>
    </row>
    <row r="4" spans="1:46" x14ac:dyDescent="0.2">
      <c r="A4" s="22"/>
      <c r="B4">
        <v>18</v>
      </c>
      <c r="C4" s="1">
        <v>3406.7904950000002</v>
      </c>
      <c r="D4">
        <f>C4/B4</f>
        <v>189.26613861111113</v>
      </c>
      <c r="E4">
        <v>6748376.0123199997</v>
      </c>
      <c r="F4" s="1">
        <v>6.4999999999999994E-5</v>
      </c>
      <c r="G4" s="1">
        <v>6.8043999999999993E-2</v>
      </c>
      <c r="H4" s="1">
        <v>-0.13167599999999999</v>
      </c>
      <c r="I4">
        <v>-8.1021999999999997E-2</v>
      </c>
      <c r="J4" s="1">
        <v>-9.0000000000000002E-6</v>
      </c>
      <c r="K4" s="1">
        <v>6.8082000000000004E-2</v>
      </c>
      <c r="L4">
        <f>G4-F4</f>
        <v>6.7978999999999998E-2</v>
      </c>
      <c r="M4">
        <f>I4-H4</f>
        <v>5.0653999999999991E-2</v>
      </c>
      <c r="N4">
        <f>K4-J4</f>
        <v>6.8090999999999999E-2</v>
      </c>
      <c r="O4">
        <f t="shared" si="0"/>
        <v>699.1241449942795</v>
      </c>
      <c r="P4">
        <f t="shared" si="0"/>
        <v>520.9466811888999</v>
      </c>
      <c r="Q4">
        <f t="shared" si="0"/>
        <v>700.27599930574866</v>
      </c>
      <c r="R4">
        <f>(O4+P4+Q4)/3</f>
        <v>640.11560849630939</v>
      </c>
      <c r="S4" s="1">
        <v>-18572.918126</v>
      </c>
      <c r="T4" s="1">
        <f>S4/27.211386245988</f>
        <v>-682.54215195443635</v>
      </c>
      <c r="U4">
        <f>S4/B4</f>
        <v>-1031.8287847777779</v>
      </c>
      <c r="V4">
        <f>T4/B4</f>
        <v>-37.919008441913128</v>
      </c>
      <c r="W4">
        <f>V4-Y4</f>
        <v>-4.5443321652165025E-2</v>
      </c>
      <c r="X4" s="1">
        <v>-1030.5922089999999</v>
      </c>
      <c r="Y4">
        <f>X4/27.211386245988</f>
        <v>-37.873565120260963</v>
      </c>
      <c r="Z4">
        <v>26.884399999999999</v>
      </c>
      <c r="AA4">
        <v>2.51446E-2</v>
      </c>
      <c r="AB4">
        <v>51.678600000000003</v>
      </c>
      <c r="AC4">
        <v>51.667499999999997</v>
      </c>
      <c r="AD4">
        <v>-2.7702299999999999E-2</v>
      </c>
      <c r="AE4">
        <v>-26.878599999999999</v>
      </c>
      <c r="AF4">
        <v>9.4680800000000002E-3</v>
      </c>
      <c r="AG4">
        <v>42.501100000000001</v>
      </c>
      <c r="AH4">
        <v>-2.5604200000000001E-2</v>
      </c>
      <c r="AI4">
        <v>8.6606000000000005</v>
      </c>
      <c r="AJ4">
        <v>8.6529000000000007</v>
      </c>
      <c r="AK4">
        <v>6.3228</v>
      </c>
      <c r="AL4">
        <v>-0.60419999999999996</v>
      </c>
      <c r="AM4">
        <v>-4.0000000000000002E-4</v>
      </c>
      <c r="AN4">
        <v>0.79679999999999995</v>
      </c>
      <c r="AO4">
        <v>0.79679999999999995</v>
      </c>
      <c r="AP4">
        <v>-8.0000000000000004E-4</v>
      </c>
      <c r="AQ4">
        <v>0.60419999999999996</v>
      </c>
      <c r="AR4">
        <v>4.0000000000000002E-4</v>
      </c>
      <c r="AS4">
        <v>1</v>
      </c>
      <c r="AT4">
        <v>8.0000000000000004E-4</v>
      </c>
    </row>
    <row r="5" spans="1:46" x14ac:dyDescent="0.2">
      <c r="A5" s="23" t="s">
        <v>72</v>
      </c>
      <c r="B5">
        <v>12</v>
      </c>
      <c r="C5" s="1">
        <v>2788.3769499999999</v>
      </c>
      <c r="D5">
        <f>C5/B5</f>
        <v>232.36474583333333</v>
      </c>
      <c r="E5">
        <v>6748376.0123199997</v>
      </c>
      <c r="F5" s="1">
        <v>-1.26E-4</v>
      </c>
      <c r="G5" s="1">
        <v>4.5933000000000002E-2</v>
      </c>
      <c r="H5" s="1">
        <v>-1.26E-4</v>
      </c>
      <c r="I5" s="1">
        <v>4.5920999999999997E-2</v>
      </c>
      <c r="J5" s="1">
        <v>1.08E-4</v>
      </c>
      <c r="K5" s="1">
        <v>6.1963999999999998E-2</v>
      </c>
      <c r="L5">
        <f>G5-F5</f>
        <v>4.6059000000000003E-2</v>
      </c>
      <c r="M5">
        <f>I5-H5</f>
        <v>4.6046999999999998E-2</v>
      </c>
      <c r="N5">
        <f>K5-J5</f>
        <v>6.1856000000000001E-2</v>
      </c>
      <c r="O5">
        <f t="shared" si="0"/>
        <v>473.68980117818035</v>
      </c>
      <c r="P5">
        <f t="shared" si="0"/>
        <v>473.56638821623716</v>
      </c>
      <c r="Q5">
        <f t="shared" si="0"/>
        <v>636.15268116280254</v>
      </c>
      <c r="R5">
        <f>(O5+P5+Q5)/3</f>
        <v>527.80295685240674</v>
      </c>
      <c r="S5">
        <v>-12388.537641999999</v>
      </c>
      <c r="T5" s="1">
        <f>S5/27.211386245988</f>
        <v>-455.27036109108718</v>
      </c>
      <c r="U5">
        <f>S5/B5</f>
        <v>-1032.3781368333332</v>
      </c>
      <c r="V5">
        <f>T5/B5</f>
        <v>-37.939196757590601</v>
      </c>
      <c r="W5">
        <f>V5-Y5</f>
        <v>-6.5631637329637726E-2</v>
      </c>
      <c r="X5" s="1">
        <v>-1030.5922089999999</v>
      </c>
      <c r="Y5">
        <f>X5/27.211386245988</f>
        <v>-37.873565120260963</v>
      </c>
      <c r="Z5">
        <v>1.16577E-2</v>
      </c>
      <c r="AA5">
        <v>1.16577E-2</v>
      </c>
      <c r="AB5">
        <v>53.657499999999999</v>
      </c>
      <c r="AC5">
        <v>35.4467</v>
      </c>
      <c r="AD5">
        <v>-35.4467</v>
      </c>
      <c r="AE5">
        <v>0</v>
      </c>
      <c r="AF5">
        <v>36.6449</v>
      </c>
      <c r="AG5">
        <v>36.6449</v>
      </c>
      <c r="AH5">
        <v>-1.5922499999999999E-2</v>
      </c>
      <c r="AI5">
        <v>9.2873000000000001</v>
      </c>
      <c r="AJ5">
        <v>7.2462999999999997</v>
      </c>
      <c r="AK5">
        <v>6.0627000000000004</v>
      </c>
      <c r="AL5">
        <v>0</v>
      </c>
      <c r="AM5">
        <v>0</v>
      </c>
      <c r="AN5">
        <v>1</v>
      </c>
      <c r="AO5">
        <v>-0.70709999999999995</v>
      </c>
      <c r="AP5">
        <v>0.70709999999999995</v>
      </c>
      <c r="AQ5">
        <v>0</v>
      </c>
      <c r="AR5">
        <v>-0.70709999999999995</v>
      </c>
      <c r="AS5">
        <v>-0.70709999999999995</v>
      </c>
      <c r="AT5">
        <v>0</v>
      </c>
    </row>
    <row r="6" spans="1:46" x14ac:dyDescent="0.2">
      <c r="A6" s="23"/>
      <c r="B6">
        <v>18</v>
      </c>
      <c r="C6" s="1">
        <v>3932.9446759999901</v>
      </c>
      <c r="D6">
        <f>C6/B6</f>
        <v>218.49692644444389</v>
      </c>
      <c r="E6">
        <v>6748376.0123199997</v>
      </c>
      <c r="F6" s="1">
        <v>1.1310000000000001E-3</v>
      </c>
      <c r="G6" s="1">
        <v>7.8064999999999996E-2</v>
      </c>
      <c r="H6" s="1">
        <v>-8.9138999999999996E-2</v>
      </c>
      <c r="I6" s="1">
        <v>-2.2898999999999999E-2</v>
      </c>
      <c r="J6" s="1">
        <v>2.0690000000000001E-3</v>
      </c>
      <c r="K6" s="1">
        <v>7.8996999999999998E-2</v>
      </c>
      <c r="L6">
        <f>G6-F6</f>
        <v>7.6934000000000002E-2</v>
      </c>
      <c r="M6">
        <f>I6-H6</f>
        <v>6.6239999999999993E-2</v>
      </c>
      <c r="N6">
        <f>K6-J6</f>
        <v>7.6927999999999996E-2</v>
      </c>
      <c r="O6">
        <f t="shared" si="0"/>
        <v>791.22106784433288</v>
      </c>
      <c r="P6">
        <f t="shared" si="0"/>
        <v>681.23954992602228</v>
      </c>
      <c r="Q6">
        <f t="shared" si="0"/>
        <v>791.1593613633612</v>
      </c>
      <c r="R6">
        <f>(O6+P6+Q6)/3</f>
        <v>754.53999304457204</v>
      </c>
      <c r="S6" s="1">
        <v>-18586.463672000002</v>
      </c>
      <c r="T6" s="1">
        <f>S6/27.211386245988</f>
        <v>-683.03994158843557</v>
      </c>
      <c r="U6">
        <f>S6/B6</f>
        <v>-1032.5813151111113</v>
      </c>
      <c r="V6">
        <f>T6/B6</f>
        <v>-37.946663421579757</v>
      </c>
      <c r="W6">
        <f>V6-Y6</f>
        <v>-7.3098301318793801E-2</v>
      </c>
      <c r="X6" s="1">
        <v>-1030.5922089999999</v>
      </c>
      <c r="Y6">
        <f>X6/27.211386245988</f>
        <v>-37.873565120260963</v>
      </c>
      <c r="Z6">
        <v>48.146099999999997</v>
      </c>
      <c r="AA6">
        <v>0.47439399999999998</v>
      </c>
      <c r="AB6">
        <v>37.660200000000003</v>
      </c>
      <c r="AC6">
        <v>37.665700000000001</v>
      </c>
      <c r="AD6">
        <v>-5.6985899999999999E-2</v>
      </c>
      <c r="AE6">
        <v>-48.1524</v>
      </c>
      <c r="AF6">
        <v>0.26616699999999999</v>
      </c>
      <c r="AG6">
        <v>-48.055999999999997</v>
      </c>
      <c r="AH6">
        <v>0.26507599999999998</v>
      </c>
      <c r="AI6">
        <v>8.6105</v>
      </c>
      <c r="AJ6">
        <v>8.6044999999999998</v>
      </c>
      <c r="AK6">
        <v>7.3628999999999998</v>
      </c>
      <c r="AL6">
        <v>-0.76329999999999998</v>
      </c>
      <c r="AM6">
        <v>7.6E-3</v>
      </c>
      <c r="AN6">
        <v>-0.64600000000000002</v>
      </c>
      <c r="AO6">
        <v>-0.64600000000000002</v>
      </c>
      <c r="AP6">
        <v>-8.9999999999999998E-4</v>
      </c>
      <c r="AQ6">
        <v>0.76329999999999998</v>
      </c>
      <c r="AR6">
        <v>-5.1999999999999998E-3</v>
      </c>
      <c r="AS6">
        <v>-1</v>
      </c>
      <c r="AT6">
        <v>-5.5999999999999999E-3</v>
      </c>
    </row>
  </sheetData>
  <mergeCells count="9">
    <mergeCell ref="A5:A6"/>
    <mergeCell ref="B1:E1"/>
    <mergeCell ref="F1:N1"/>
    <mergeCell ref="O1:R1"/>
    <mergeCell ref="AI1:AK1"/>
    <mergeCell ref="AL1:AT1"/>
    <mergeCell ref="S1:Y1"/>
    <mergeCell ref="Z1:AH1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EB38-C75A-A04D-83D0-23294DAD6A2A}">
  <dimension ref="A1:AQ9"/>
  <sheetViews>
    <sheetView topLeftCell="C1" workbookViewId="0">
      <selection sqref="A1:AG1"/>
    </sheetView>
  </sheetViews>
  <sheetFormatPr baseColWidth="10" defaultRowHeight="16" x14ac:dyDescent="0.2"/>
  <cols>
    <col min="18" max="18" width="13" customWidth="1"/>
    <col min="19" max="19" width="15" customWidth="1"/>
    <col min="20" max="20" width="13.83203125" customWidth="1"/>
    <col min="21" max="21" width="16.5" customWidth="1"/>
  </cols>
  <sheetData>
    <row r="1" spans="1:43" ht="21" x14ac:dyDescent="0.25">
      <c r="A1" s="16" t="s">
        <v>48</v>
      </c>
      <c r="B1" s="16"/>
      <c r="C1" s="16"/>
      <c r="D1" s="16"/>
      <c r="E1" s="17" t="s">
        <v>49</v>
      </c>
      <c r="F1" s="17"/>
      <c r="G1" s="17"/>
      <c r="H1" s="17"/>
      <c r="I1" s="17"/>
      <c r="J1" s="17"/>
      <c r="K1" s="17"/>
      <c r="L1" s="17"/>
      <c r="M1" s="17"/>
      <c r="N1" s="19" t="s">
        <v>53</v>
      </c>
      <c r="O1" s="19"/>
      <c r="P1" s="19"/>
      <c r="Q1" s="19"/>
      <c r="R1" s="18" t="s">
        <v>50</v>
      </c>
      <c r="S1" s="18"/>
      <c r="T1" s="18"/>
      <c r="U1" s="18"/>
      <c r="V1" s="20" t="s">
        <v>69</v>
      </c>
      <c r="W1" s="20"/>
      <c r="X1" s="20"/>
      <c r="Y1" s="13" t="s">
        <v>70</v>
      </c>
      <c r="Z1" s="13"/>
      <c r="AA1" s="13"/>
      <c r="AB1" s="13"/>
      <c r="AC1" s="13"/>
      <c r="AD1" s="13"/>
      <c r="AE1" s="13"/>
      <c r="AF1" s="13"/>
      <c r="AG1" s="13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2">
      <c r="A2" s="3" t="s">
        <v>0</v>
      </c>
      <c r="B2" s="3" t="s">
        <v>1</v>
      </c>
      <c r="C2" s="3" t="s">
        <v>3</v>
      </c>
      <c r="D2" s="3" t="s">
        <v>2</v>
      </c>
      <c r="E2" s="4" t="s">
        <v>16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13</v>
      </c>
      <c r="L2" s="4" t="s">
        <v>14</v>
      </c>
      <c r="M2" s="4" t="s">
        <v>15</v>
      </c>
      <c r="N2" s="6" t="s">
        <v>17</v>
      </c>
      <c r="O2" s="6" t="s">
        <v>18</v>
      </c>
      <c r="P2" s="6" t="s">
        <v>19</v>
      </c>
      <c r="Q2" s="6" t="s">
        <v>20</v>
      </c>
      <c r="R2" s="5" t="s">
        <v>12</v>
      </c>
      <c r="S2" s="5" t="s">
        <v>23</v>
      </c>
      <c r="T2" s="5" t="s">
        <v>4</v>
      </c>
      <c r="U2" s="5" t="s">
        <v>24</v>
      </c>
      <c r="V2" s="7" t="s">
        <v>57</v>
      </c>
      <c r="W2" s="7" t="s">
        <v>58</v>
      </c>
      <c r="X2" s="7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10" t="s">
        <v>65</v>
      </c>
      <c r="AE2" s="10" t="s">
        <v>66</v>
      </c>
      <c r="AF2" s="10" t="s">
        <v>67</v>
      </c>
      <c r="AG2" s="10" t="s">
        <v>68</v>
      </c>
    </row>
    <row r="3" spans="1:43" x14ac:dyDescent="0.2">
      <c r="A3">
        <v>1</v>
      </c>
      <c r="E3">
        <v>0</v>
      </c>
      <c r="F3" s="1">
        <v>3.7520000000000001E-3</v>
      </c>
      <c r="G3">
        <v>0</v>
      </c>
      <c r="H3" s="1">
        <v>3.7520000000000001E-3</v>
      </c>
      <c r="I3">
        <v>0</v>
      </c>
      <c r="J3" s="1">
        <v>3.7520000000000001E-3</v>
      </c>
      <c r="K3">
        <f t="shared" ref="K3:K9" si="0">F3-E3</f>
        <v>3.7520000000000001E-3</v>
      </c>
      <c r="L3">
        <f t="shared" ref="L3:L9" si="1">H3-G3</f>
        <v>3.7520000000000001E-3</v>
      </c>
      <c r="M3">
        <f t="shared" ref="M3:M9" si="2">J3-I3</f>
        <v>3.7520000000000001E-3</v>
      </c>
      <c r="N3">
        <f t="shared" ref="N3:P9" si="3">K3/(0.005 /51.4220674763)</f>
        <v>38.587119434215516</v>
      </c>
      <c r="O3">
        <f t="shared" si="3"/>
        <v>38.587119434215516</v>
      </c>
      <c r="P3">
        <f t="shared" si="3"/>
        <v>38.587119434215516</v>
      </c>
      <c r="Q3">
        <f t="shared" ref="Q3:Q9" si="4">(N3+O3+P3)/3</f>
        <v>38.587119434215516</v>
      </c>
    </row>
    <row r="4" spans="1:43" x14ac:dyDescent="0.2">
      <c r="A4">
        <v>4</v>
      </c>
      <c r="B4" s="1">
        <v>1166.94307</v>
      </c>
      <c r="C4">
        <f t="shared" ref="C4:C9" si="5">B4/A4</f>
        <v>291.73576750000001</v>
      </c>
      <c r="D4">
        <v>6748376.0123199997</v>
      </c>
      <c r="E4" s="1">
        <v>2.9199999999999999E-3</v>
      </c>
      <c r="F4" s="1">
        <v>1.7521999999999999E-2</v>
      </c>
      <c r="G4" s="1">
        <v>4.8500000000000003E-4</v>
      </c>
      <c r="H4" s="1">
        <v>2.4102999999999999E-2</v>
      </c>
      <c r="I4" s="1">
        <v>3.4859999999999999E-3</v>
      </c>
      <c r="J4" s="1">
        <v>2.3310000000000001E-2</v>
      </c>
      <c r="K4">
        <f t="shared" si="0"/>
        <v>1.4602E-2</v>
      </c>
      <c r="L4">
        <f t="shared" si="1"/>
        <v>2.3618E-2</v>
      </c>
      <c r="M4">
        <f t="shared" si="2"/>
        <v>1.9824000000000001E-2</v>
      </c>
      <c r="N4">
        <f t="shared" si="3"/>
        <v>150.17300585778651</v>
      </c>
      <c r="O4">
        <f t="shared" si="3"/>
        <v>242.89727793105067</v>
      </c>
      <c r="P4">
        <f t="shared" si="3"/>
        <v>203.87821313003425</v>
      </c>
      <c r="Q4">
        <f t="shared" si="4"/>
        <v>198.98283230629048</v>
      </c>
      <c r="R4" s="1">
        <v>-3857.784263</v>
      </c>
      <c r="S4" s="1">
        <f t="shared" ref="S4:S9" si="6">R4/27.211386245988</f>
        <v>-141.77095676515876</v>
      </c>
      <c r="T4">
        <f t="shared" ref="T4:T9" si="7">R4/A4</f>
        <v>-964.44606575</v>
      </c>
      <c r="U4">
        <f t="shared" ref="U4:U9" si="8">S4/A4</f>
        <v>-35.442739191289689</v>
      </c>
      <c r="V4">
        <v>9.7162000000000006</v>
      </c>
      <c r="W4">
        <v>6.2900999999999998</v>
      </c>
      <c r="X4">
        <v>4.6504000000000003</v>
      </c>
      <c r="Y4">
        <v>-0.41220000000000001</v>
      </c>
      <c r="Z4">
        <v>0.74709999999999999</v>
      </c>
      <c r="AA4">
        <v>0.52149999999999996</v>
      </c>
      <c r="AB4">
        <v>0.38740000000000002</v>
      </c>
      <c r="AC4">
        <v>-0.37430000000000002</v>
      </c>
      <c r="AD4">
        <v>0.84250000000000003</v>
      </c>
      <c r="AE4">
        <v>-0.8246</v>
      </c>
      <c r="AF4">
        <v>-0.54930000000000001</v>
      </c>
      <c r="AG4">
        <v>0.13519999999999999</v>
      </c>
    </row>
    <row r="5" spans="1:43" x14ac:dyDescent="0.2">
      <c r="A5">
        <v>8</v>
      </c>
      <c r="B5" s="1">
        <v>2119.20740599999</v>
      </c>
      <c r="C5">
        <f t="shared" si="5"/>
        <v>264.90092574999875</v>
      </c>
      <c r="D5">
        <v>6748376.0123199997</v>
      </c>
      <c r="E5" s="1">
        <v>4.3999999999999999E-5</v>
      </c>
      <c r="F5" s="1">
        <v>3.6459999999999999E-2</v>
      </c>
      <c r="G5" s="1">
        <v>1.5740000000000001E-3</v>
      </c>
      <c r="H5" s="1">
        <v>3.7990000000000003E-2</v>
      </c>
      <c r="I5" s="1">
        <v>-8.5300000000000003E-4</v>
      </c>
      <c r="J5" s="1">
        <v>3.5573E-2</v>
      </c>
      <c r="K5">
        <f t="shared" si="0"/>
        <v>3.6415999999999997E-2</v>
      </c>
      <c r="L5">
        <f t="shared" si="1"/>
        <v>3.6416000000000004E-2</v>
      </c>
      <c r="M5">
        <f t="shared" si="2"/>
        <v>3.6426E-2</v>
      </c>
      <c r="N5">
        <f t="shared" si="3"/>
        <v>374.51720184338814</v>
      </c>
      <c r="O5">
        <f t="shared" si="3"/>
        <v>374.51720184338819</v>
      </c>
      <c r="P5">
        <f t="shared" si="3"/>
        <v>374.62004597834073</v>
      </c>
      <c r="Q5">
        <f t="shared" si="4"/>
        <v>374.55148322170572</v>
      </c>
      <c r="R5" s="1">
        <v>-7718.9420209999998</v>
      </c>
      <c r="S5" s="1">
        <f t="shared" si="6"/>
        <v>-283.66588718493045</v>
      </c>
      <c r="T5">
        <f t="shared" si="7"/>
        <v>-964.86775262499998</v>
      </c>
      <c r="U5">
        <f t="shared" si="8"/>
        <v>-35.458235898116307</v>
      </c>
      <c r="V5">
        <v>8.2050999999999998</v>
      </c>
      <c r="W5">
        <v>8.1455000000000002</v>
      </c>
      <c r="X5">
        <v>8.1367999999999991</v>
      </c>
      <c r="Y5">
        <v>0.95930000000000004</v>
      </c>
      <c r="Z5">
        <v>0.28199999999999997</v>
      </c>
      <c r="AA5">
        <v>1.0800000000000001E-2</v>
      </c>
      <c r="AB5">
        <v>0.16139999999999999</v>
      </c>
      <c r="AC5">
        <v>-0.51680000000000004</v>
      </c>
      <c r="AD5">
        <v>-0.84079999999999999</v>
      </c>
      <c r="AE5">
        <v>-0.2316</v>
      </c>
      <c r="AF5">
        <v>0.80830000000000002</v>
      </c>
      <c r="AG5">
        <v>-0.5413</v>
      </c>
    </row>
    <row r="6" spans="1:43" x14ac:dyDescent="0.2">
      <c r="A6">
        <v>13</v>
      </c>
      <c r="B6" s="1">
        <v>3249.0954860000002</v>
      </c>
      <c r="C6">
        <f t="shared" si="5"/>
        <v>249.93042200000002</v>
      </c>
      <c r="D6">
        <v>6748377.0123199997</v>
      </c>
      <c r="E6" s="1">
        <v>1.55E-4</v>
      </c>
      <c r="F6" s="1">
        <v>5.5308999999999997E-2</v>
      </c>
      <c r="G6" s="1">
        <v>-1.2899999999999999E-4</v>
      </c>
      <c r="H6" s="1">
        <v>5.5045999999999998E-2</v>
      </c>
      <c r="I6" s="1">
        <v>0</v>
      </c>
      <c r="J6" s="1">
        <v>5.5174000000000001E-2</v>
      </c>
      <c r="K6">
        <f t="shared" si="0"/>
        <v>5.5153999999999995E-2</v>
      </c>
      <c r="L6">
        <f t="shared" si="1"/>
        <v>5.5174999999999995E-2</v>
      </c>
      <c r="M6">
        <f t="shared" si="2"/>
        <v>5.5174000000000001E-2</v>
      </c>
      <c r="N6">
        <f t="shared" si="3"/>
        <v>567.22654191756999</v>
      </c>
      <c r="O6">
        <f t="shared" si="3"/>
        <v>567.44251460097041</v>
      </c>
      <c r="P6">
        <f t="shared" si="3"/>
        <v>567.43223018747528</v>
      </c>
      <c r="Q6">
        <f t="shared" si="4"/>
        <v>567.36709556867197</v>
      </c>
      <c r="R6" s="1">
        <v>-12544.189334999999</v>
      </c>
      <c r="S6" s="1">
        <f t="shared" si="6"/>
        <v>-460.99045530433028</v>
      </c>
      <c r="T6">
        <f t="shared" si="7"/>
        <v>-964.93764115384613</v>
      </c>
      <c r="U6">
        <f t="shared" si="8"/>
        <v>-35.460804254179251</v>
      </c>
      <c r="V6">
        <v>9.2416</v>
      </c>
      <c r="W6">
        <v>9.2225000000000001</v>
      </c>
      <c r="X6">
        <v>9.2040000000000006</v>
      </c>
      <c r="Y6">
        <v>-4.1599999999999998E-2</v>
      </c>
      <c r="Z6">
        <v>0.80279999999999996</v>
      </c>
      <c r="AA6">
        <v>-0.59399999999999997</v>
      </c>
      <c r="AB6">
        <v>4.8399999999999999E-2</v>
      </c>
      <c r="AC6">
        <v>0.59619999999999995</v>
      </c>
      <c r="AD6">
        <v>0.8014</v>
      </c>
      <c r="AE6">
        <v>-0.998</v>
      </c>
      <c r="AF6">
        <v>-4.4999999999999997E-3</v>
      </c>
      <c r="AG6">
        <v>6.3600000000000004E-2</v>
      </c>
    </row>
    <row r="7" spans="1:43" x14ac:dyDescent="0.2">
      <c r="A7">
        <v>16</v>
      </c>
      <c r="B7" s="1">
        <v>3932.7667409999999</v>
      </c>
      <c r="C7">
        <f t="shared" si="5"/>
        <v>245.79792131249999</v>
      </c>
      <c r="D7">
        <v>6748378.0123199997</v>
      </c>
      <c r="E7" s="1">
        <v>-2.9E-4</v>
      </c>
      <c r="F7" s="1">
        <v>7.1751999999999996E-2</v>
      </c>
      <c r="G7" s="1">
        <v>-1.091E-3</v>
      </c>
      <c r="H7" s="1">
        <v>7.0487999999999995E-2</v>
      </c>
      <c r="I7" s="1">
        <v>-2.3E-5</v>
      </c>
      <c r="J7" s="1">
        <v>7.1754999999999999E-2</v>
      </c>
      <c r="K7">
        <f t="shared" si="0"/>
        <v>7.2041999999999995E-2</v>
      </c>
      <c r="L7">
        <f t="shared" si="1"/>
        <v>7.157899999999999E-2</v>
      </c>
      <c r="M7">
        <f t="shared" si="2"/>
        <v>7.1777999999999995E-2</v>
      </c>
      <c r="N7">
        <f t="shared" si="3"/>
        <v>740.90971702552088</v>
      </c>
      <c r="O7">
        <f t="shared" si="3"/>
        <v>736.14803357721541</v>
      </c>
      <c r="P7">
        <f t="shared" si="3"/>
        <v>738.19463186277221</v>
      </c>
      <c r="Q7">
        <f t="shared" si="4"/>
        <v>738.41746082183602</v>
      </c>
      <c r="R7" s="1">
        <v>-15440.853422</v>
      </c>
      <c r="S7" s="1">
        <f t="shared" si="6"/>
        <v>-567.44089707214289</v>
      </c>
      <c r="T7">
        <f t="shared" si="7"/>
        <v>-965.05333887500001</v>
      </c>
      <c r="U7">
        <f t="shared" si="8"/>
        <v>-35.465056067008931</v>
      </c>
      <c r="V7">
        <v>11.853899999999999</v>
      </c>
      <c r="W7">
        <v>10.203900000000001</v>
      </c>
      <c r="X7">
        <v>7.9364999999999997</v>
      </c>
      <c r="Y7">
        <v>0.71120000000000005</v>
      </c>
      <c r="Z7">
        <v>0.70299999999999996</v>
      </c>
      <c r="AA7">
        <v>-7.4000000000000003E-3</v>
      </c>
      <c r="AB7">
        <v>-0.1699</v>
      </c>
      <c r="AC7">
        <v>0.182</v>
      </c>
      <c r="AD7">
        <v>0.96850000000000003</v>
      </c>
      <c r="AE7">
        <v>0.68220000000000003</v>
      </c>
      <c r="AF7">
        <v>-0.6875</v>
      </c>
      <c r="AG7">
        <v>0.24890000000000001</v>
      </c>
    </row>
    <row r="8" spans="1:43" x14ac:dyDescent="0.2">
      <c r="A8">
        <v>26</v>
      </c>
      <c r="B8" s="1">
        <v>5921.77011699999</v>
      </c>
      <c r="C8">
        <f t="shared" si="5"/>
        <v>227.76038911538424</v>
      </c>
      <c r="D8">
        <v>6748379.0123199997</v>
      </c>
      <c r="E8" s="1">
        <v>2.1090000000000002E-3</v>
      </c>
      <c r="F8" s="1">
        <v>0.110625</v>
      </c>
      <c r="G8" s="1">
        <v>3.0699999999999998E-4</v>
      </c>
      <c r="H8" s="1">
        <v>0.10892300000000001</v>
      </c>
      <c r="I8" s="1">
        <v>1.353E-3</v>
      </c>
      <c r="J8" s="1">
        <v>0.109985</v>
      </c>
      <c r="K8">
        <f t="shared" si="0"/>
        <v>0.108516</v>
      </c>
      <c r="L8">
        <f t="shared" si="1"/>
        <v>0.108616</v>
      </c>
      <c r="M8">
        <f t="shared" si="2"/>
        <v>0.10863200000000001</v>
      </c>
      <c r="N8">
        <f t="shared" si="3"/>
        <v>1116.0234148516342</v>
      </c>
      <c r="O8">
        <f t="shared" si="3"/>
        <v>1117.0518562011603</v>
      </c>
      <c r="P8">
        <f t="shared" si="3"/>
        <v>1117.2164068170844</v>
      </c>
      <c r="Q8">
        <f t="shared" si="4"/>
        <v>1116.763892623293</v>
      </c>
      <c r="R8" s="1">
        <v>-25095.926100000001</v>
      </c>
      <c r="S8" s="1">
        <f t="shared" si="6"/>
        <v>-922.25827354532896</v>
      </c>
      <c r="T8">
        <f t="shared" si="7"/>
        <v>-965.22792692307689</v>
      </c>
      <c r="U8">
        <f t="shared" si="8"/>
        <v>-35.471472059435726</v>
      </c>
      <c r="V8">
        <v>11.311299999999999</v>
      </c>
      <c r="W8">
        <v>11.305</v>
      </c>
      <c r="X8">
        <v>11.3026</v>
      </c>
      <c r="Y8">
        <v>0.2157</v>
      </c>
      <c r="Z8">
        <v>-0.80630000000000002</v>
      </c>
      <c r="AA8">
        <v>0.55079999999999996</v>
      </c>
      <c r="AB8">
        <v>0.2336</v>
      </c>
      <c r="AC8">
        <v>0.59030000000000005</v>
      </c>
      <c r="AD8">
        <v>0.77270000000000005</v>
      </c>
      <c r="AE8">
        <v>0.94810000000000005</v>
      </c>
      <c r="AF8">
        <v>3.7999999999999999E-2</v>
      </c>
      <c r="AG8">
        <v>-0.31569999999999998</v>
      </c>
    </row>
    <row r="9" spans="1:43" x14ac:dyDescent="0.2">
      <c r="A9">
        <v>55</v>
      </c>
      <c r="B9" s="1">
        <v>11502.749978</v>
      </c>
      <c r="C9">
        <f t="shared" si="5"/>
        <v>209.1409086909091</v>
      </c>
      <c r="D9">
        <v>6748380.0123199997</v>
      </c>
      <c r="E9">
        <v>0</v>
      </c>
      <c r="F9" s="1">
        <v>0.21506</v>
      </c>
      <c r="G9">
        <v>0</v>
      </c>
      <c r="H9" s="1">
        <v>0.215118</v>
      </c>
      <c r="I9">
        <v>0</v>
      </c>
      <c r="J9" s="1">
        <v>0.215118</v>
      </c>
      <c r="K9">
        <f t="shared" si="0"/>
        <v>0.21506</v>
      </c>
      <c r="L9">
        <f t="shared" si="1"/>
        <v>0.215118</v>
      </c>
      <c r="M9">
        <f t="shared" si="2"/>
        <v>0.215118</v>
      </c>
      <c r="N9">
        <f t="shared" si="3"/>
        <v>2211.7659662906153</v>
      </c>
      <c r="O9">
        <f t="shared" si="3"/>
        <v>2212.3624622733405</v>
      </c>
      <c r="P9">
        <f t="shared" si="3"/>
        <v>2212.3624622733405</v>
      </c>
      <c r="Q9">
        <f t="shared" si="4"/>
        <v>2212.1636302790989</v>
      </c>
      <c r="R9" s="1">
        <v>-53100.998596999998</v>
      </c>
      <c r="S9" s="1">
        <f t="shared" si="6"/>
        <v>-1951.4257052901567</v>
      </c>
      <c r="T9">
        <f t="shared" si="7"/>
        <v>-965.47270176363634</v>
      </c>
      <c r="U9">
        <f t="shared" si="8"/>
        <v>-35.480467368911938</v>
      </c>
      <c r="V9">
        <v>14.057600000000001</v>
      </c>
      <c r="W9">
        <v>14.057600000000001</v>
      </c>
      <c r="X9">
        <v>14.057600000000001</v>
      </c>
      <c r="Y9">
        <v>-0.72729999999999995</v>
      </c>
      <c r="Z9">
        <v>0.54869999999999997</v>
      </c>
      <c r="AA9">
        <v>-0.4123</v>
      </c>
      <c r="AB9">
        <v>-0.56359999999999999</v>
      </c>
      <c r="AC9">
        <v>-0.13469999999999999</v>
      </c>
      <c r="AD9">
        <v>0.81499999999999995</v>
      </c>
      <c r="AE9">
        <v>0.39169999999999999</v>
      </c>
      <c r="AF9">
        <v>0.82509999999999994</v>
      </c>
      <c r="AG9">
        <v>0.4073</v>
      </c>
    </row>
  </sheetData>
  <mergeCells count="6">
    <mergeCell ref="N1:Q1"/>
    <mergeCell ref="R1:U1"/>
    <mergeCell ref="V1:X1"/>
    <mergeCell ref="Y1:AG1"/>
    <mergeCell ref="A1:D1"/>
    <mergeCell ref="E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63D1-45B6-C349-BE8A-E70F82A2D9A4}">
  <dimension ref="A1:AG4"/>
  <sheetViews>
    <sheetView workbookViewId="0">
      <selection activeCell="O16" sqref="O16"/>
    </sheetView>
  </sheetViews>
  <sheetFormatPr baseColWidth="10" defaultRowHeight="16" x14ac:dyDescent="0.2"/>
  <cols>
    <col min="18" max="18" width="15.6640625" customWidth="1"/>
    <col min="19" max="19" width="16.1640625" customWidth="1"/>
    <col min="20" max="21" width="16" customWidth="1"/>
  </cols>
  <sheetData>
    <row r="1" spans="1:33" ht="21" x14ac:dyDescent="0.25">
      <c r="A1" s="16" t="s">
        <v>48</v>
      </c>
      <c r="B1" s="16"/>
      <c r="C1" s="16"/>
      <c r="D1" s="16"/>
      <c r="E1" s="17" t="s">
        <v>49</v>
      </c>
      <c r="F1" s="17"/>
      <c r="G1" s="17"/>
      <c r="H1" s="17"/>
      <c r="I1" s="17"/>
      <c r="J1" s="17"/>
      <c r="K1" s="17"/>
      <c r="L1" s="17"/>
      <c r="M1" s="17"/>
      <c r="N1" s="19" t="s">
        <v>53</v>
      </c>
      <c r="O1" s="19"/>
      <c r="P1" s="19"/>
      <c r="Q1" s="19"/>
      <c r="R1" s="18" t="s">
        <v>50</v>
      </c>
      <c r="S1" s="18"/>
      <c r="T1" s="18"/>
      <c r="U1" s="18"/>
      <c r="V1" s="20" t="s">
        <v>69</v>
      </c>
      <c r="W1" s="20"/>
      <c r="X1" s="20"/>
      <c r="Y1" s="13" t="s">
        <v>70</v>
      </c>
      <c r="Z1" s="13"/>
      <c r="AA1" s="13"/>
      <c r="AB1" s="13"/>
      <c r="AC1" s="13"/>
      <c r="AD1" s="13"/>
      <c r="AE1" s="13"/>
      <c r="AF1" s="13"/>
      <c r="AG1" s="13"/>
    </row>
    <row r="2" spans="1:33" x14ac:dyDescent="0.2">
      <c r="A2" s="3" t="s">
        <v>0</v>
      </c>
      <c r="B2" s="3" t="s">
        <v>1</v>
      </c>
      <c r="C2" s="3" t="s">
        <v>3</v>
      </c>
      <c r="D2" s="3" t="s">
        <v>2</v>
      </c>
      <c r="E2" s="4" t="s">
        <v>16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13</v>
      </c>
      <c r="L2" s="4" t="s">
        <v>14</v>
      </c>
      <c r="M2" s="4" t="s">
        <v>15</v>
      </c>
      <c r="N2" s="6" t="s">
        <v>17</v>
      </c>
      <c r="O2" s="6" t="s">
        <v>18</v>
      </c>
      <c r="P2" s="6" t="s">
        <v>19</v>
      </c>
      <c r="Q2" s="6" t="s">
        <v>20</v>
      </c>
      <c r="R2" s="5" t="s">
        <v>12</v>
      </c>
      <c r="S2" s="5" t="s">
        <v>23</v>
      </c>
      <c r="T2" s="5" t="s">
        <v>4</v>
      </c>
      <c r="U2" s="5" t="s">
        <v>24</v>
      </c>
      <c r="V2" s="7" t="s">
        <v>57</v>
      </c>
      <c r="W2" s="7" t="s">
        <v>58</v>
      </c>
      <c r="X2" s="7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10" t="s">
        <v>65</v>
      </c>
      <c r="AE2" s="10" t="s">
        <v>66</v>
      </c>
      <c r="AF2" s="10" t="s">
        <v>67</v>
      </c>
      <c r="AG2" s="10" t="s">
        <v>68</v>
      </c>
    </row>
    <row r="3" spans="1:33" x14ac:dyDescent="0.2">
      <c r="A3">
        <v>12</v>
      </c>
      <c r="B3" s="1">
        <v>3087.44142099999</v>
      </c>
      <c r="C3">
        <f>B3/A3</f>
        <v>257.28678508333252</v>
      </c>
      <c r="D3">
        <v>6748376.0123199997</v>
      </c>
      <c r="E3" s="1">
        <v>-2.23E-4</v>
      </c>
      <c r="F3" s="1">
        <v>5.0700000000000002E-2</v>
      </c>
      <c r="G3" s="1">
        <v>-2.23E-4</v>
      </c>
      <c r="H3" s="1">
        <v>5.0727000000000001E-2</v>
      </c>
      <c r="I3" s="1">
        <v>1.4200000000000001E-4</v>
      </c>
      <c r="J3" s="1">
        <v>6.7335999999999993E-2</v>
      </c>
      <c r="K3">
        <f>F3-E3</f>
        <v>5.0923000000000003E-2</v>
      </c>
      <c r="L3">
        <f>H3-G3</f>
        <v>5.0950000000000002E-2</v>
      </c>
      <c r="M3">
        <f>J3-I3</f>
        <v>6.719399999999999E-2</v>
      </c>
      <c r="N3">
        <f t="shared" ref="N3:P4" si="0">K3/(0.005 /51.4220674763)</f>
        <v>523.713188419125</v>
      </c>
      <c r="O3">
        <f t="shared" si="0"/>
        <v>523.99086758349699</v>
      </c>
      <c r="P3">
        <f t="shared" si="0"/>
        <v>691.05088040050032</v>
      </c>
      <c r="Q3">
        <f>(N3+O3+P3)/3</f>
        <v>579.58497880104085</v>
      </c>
      <c r="R3" s="1">
        <v>-11578.777994</v>
      </c>
      <c r="S3" s="1">
        <f>R3/27.211386245988</f>
        <v>-425.5122429018902</v>
      </c>
      <c r="T3">
        <f>R3/A3</f>
        <v>-964.89816616666667</v>
      </c>
      <c r="U3">
        <f>S3/A3</f>
        <v>-35.459353575157515</v>
      </c>
      <c r="V3">
        <v>11.028726471713799</v>
      </c>
      <c r="W3">
        <v>9.0546812140705892</v>
      </c>
      <c r="X3">
        <v>7.8740120275972503</v>
      </c>
      <c r="Y3">
        <v>6.2178302499999996E-7</v>
      </c>
      <c r="Z3">
        <v>6.6625069399999995E-7</v>
      </c>
      <c r="AA3">
        <v>0.999999999999585</v>
      </c>
      <c r="AB3">
        <v>-0.70710676554459895</v>
      </c>
      <c r="AC3">
        <v>0.70710679682849498</v>
      </c>
      <c r="AD3">
        <v>-3.1443411000000001E-8</v>
      </c>
      <c r="AE3">
        <v>-0.70710679682822297</v>
      </c>
      <c r="AF3">
        <v>-0.70710676554428598</v>
      </c>
      <c r="AG3">
        <v>9.1077737600000002E-7</v>
      </c>
    </row>
    <row r="4" spans="1:33" x14ac:dyDescent="0.2">
      <c r="A4">
        <v>18</v>
      </c>
      <c r="B4" s="1">
        <v>4379.4284040000002</v>
      </c>
      <c r="C4">
        <f>B4/A4</f>
        <v>243.30157800000001</v>
      </c>
      <c r="D4">
        <v>6748376.0123199997</v>
      </c>
      <c r="E4" s="1">
        <v>2.9399999999999999E-4</v>
      </c>
      <c r="F4" s="1">
        <v>8.4627999999999995E-2</v>
      </c>
      <c r="G4" s="1">
        <v>-4.3409000000000003E-2</v>
      </c>
      <c r="H4" s="1">
        <v>2.9985999999999999E-2</v>
      </c>
      <c r="I4" s="1">
        <v>3.8299999999999999E-4</v>
      </c>
      <c r="J4" s="1">
        <v>8.4737999999999994E-2</v>
      </c>
      <c r="K4">
        <f>F4-E4</f>
        <v>8.4333999999999992E-2</v>
      </c>
      <c r="L4">
        <f>H4-G4</f>
        <v>7.3395000000000002E-2</v>
      </c>
      <c r="M4">
        <f>J4-I4</f>
        <v>8.4354999999999999E-2</v>
      </c>
      <c r="N4">
        <f t="shared" si="0"/>
        <v>867.32572770925674</v>
      </c>
      <c r="O4">
        <f t="shared" si="0"/>
        <v>754.82452848460764</v>
      </c>
      <c r="P4">
        <f t="shared" si="0"/>
        <v>867.54170039265728</v>
      </c>
      <c r="Q4">
        <f>(N4+O4+P4)/3</f>
        <v>829.89731886217396</v>
      </c>
      <c r="R4" s="1">
        <v>-17371.241362000001</v>
      </c>
      <c r="S4" s="1">
        <f>R4/27.211386245988</f>
        <v>-638.38134540320186</v>
      </c>
      <c r="T4">
        <f>R4/A4</f>
        <v>-965.06896455555557</v>
      </c>
      <c r="U4">
        <f>S4/A4</f>
        <v>-35.465630300177878</v>
      </c>
      <c r="V4">
        <v>10.8209124144476</v>
      </c>
      <c r="W4">
        <v>10.7687136684851</v>
      </c>
      <c r="X4">
        <v>9.4112208821870205</v>
      </c>
      <c r="Y4">
        <v>0.99943550933756498</v>
      </c>
      <c r="Z4">
        <v>-8.6791438171099995E-4</v>
      </c>
      <c r="AA4">
        <v>-3.3584362429387997E-2</v>
      </c>
      <c r="AB4">
        <v>3.3582861723438003E-2</v>
      </c>
      <c r="AC4">
        <v>-1.689401007814E-3</v>
      </c>
      <c r="AD4">
        <v>0.999434508771185</v>
      </c>
      <c r="AE4">
        <v>9.24161039476E-4</v>
      </c>
      <c r="AF4">
        <v>0.99999819632280396</v>
      </c>
      <c r="AG4">
        <v>1.6593003080509999E-3</v>
      </c>
    </row>
  </sheetData>
  <mergeCells count="6">
    <mergeCell ref="Y1:AG1"/>
    <mergeCell ref="A1:D1"/>
    <mergeCell ref="E1:M1"/>
    <mergeCell ref="N1:Q1"/>
    <mergeCell ref="R1:U1"/>
    <mergeCell ref="V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721A-0226-4B47-8AA7-6339AFE70D96}">
  <dimension ref="A1:J24"/>
  <sheetViews>
    <sheetView tabSelected="1" workbookViewId="0">
      <selection activeCell="J28" sqref="J28"/>
    </sheetView>
  </sheetViews>
  <sheetFormatPr baseColWidth="10" defaultRowHeight="16" x14ac:dyDescent="0.2"/>
  <cols>
    <col min="2" max="2" width="18.1640625" customWidth="1"/>
  </cols>
  <sheetData>
    <row r="1" spans="1:10" x14ac:dyDescent="0.2">
      <c r="A1" s="2" t="s">
        <v>0</v>
      </c>
      <c r="B1" s="2" t="s">
        <v>21</v>
      </c>
      <c r="C1" s="2" t="s">
        <v>16</v>
      </c>
      <c r="D1" s="2" t="s">
        <v>8</v>
      </c>
      <c r="E1" s="2" t="s">
        <v>10</v>
      </c>
      <c r="F1" s="2" t="s">
        <v>11</v>
      </c>
      <c r="G1" s="2" t="s">
        <v>15</v>
      </c>
      <c r="H1" s="2" t="s">
        <v>12</v>
      </c>
      <c r="I1" s="2" t="s">
        <v>4</v>
      </c>
      <c r="J1" s="2" t="s">
        <v>19</v>
      </c>
    </row>
    <row r="2" spans="1:10" x14ac:dyDescent="0.2">
      <c r="A2">
        <v>26</v>
      </c>
      <c r="B2">
        <v>30</v>
      </c>
      <c r="C2" s="1">
        <v>3.7703E-2</v>
      </c>
      <c r="D2" s="1">
        <v>-0.13622300000000001</v>
      </c>
      <c r="E2" s="1">
        <v>0.15328800000000001</v>
      </c>
      <c r="F2" s="1">
        <v>0.24482699999999999</v>
      </c>
      <c r="G2">
        <f>F2-E2</f>
        <v>9.1538999999999981E-2</v>
      </c>
      <c r="H2" s="1">
        <v>-26838.967245</v>
      </c>
      <c r="I2">
        <f>H2/A2</f>
        <v>-1032.2679709615384</v>
      </c>
      <c r="J2">
        <f>G2/(0.005 /51.4220674763)</f>
        <v>941.42492694260488</v>
      </c>
    </row>
    <row r="3" spans="1:10" x14ac:dyDescent="0.2">
      <c r="A3">
        <v>26</v>
      </c>
      <c r="B3">
        <v>50</v>
      </c>
      <c r="C3" s="1">
        <v>3.7283999999999998E-2</v>
      </c>
      <c r="D3" s="1">
        <v>-0.13412099999999999</v>
      </c>
      <c r="E3" s="1">
        <v>0.15087600000000001</v>
      </c>
      <c r="F3" s="1">
        <v>0.24088300000000001</v>
      </c>
      <c r="G3">
        <f>F3-E3</f>
        <v>9.0007000000000004E-2</v>
      </c>
      <c r="H3" s="1">
        <v>-26838.966025000002</v>
      </c>
      <c r="I3">
        <f>H3/A3</f>
        <v>-1032.2679240384616</v>
      </c>
      <c r="J3">
        <f>G3/(0.005 /51.4220674763)</f>
        <v>925.66920546786685</v>
      </c>
    </row>
    <row r="4" spans="1:10" x14ac:dyDescent="0.2">
      <c r="A4">
        <v>26</v>
      </c>
      <c r="B4">
        <v>75</v>
      </c>
      <c r="C4" s="1">
        <v>3.7214999999999998E-2</v>
      </c>
      <c r="D4" s="1">
        <v>-0.133711</v>
      </c>
      <c r="E4" s="1">
        <v>0.150366</v>
      </c>
      <c r="F4" s="1">
        <v>0.24008399999999999</v>
      </c>
      <c r="G4">
        <f>F4-E4</f>
        <v>8.9717999999999992E-2</v>
      </c>
      <c r="H4" s="1">
        <v>-26838.967229999998</v>
      </c>
      <c r="I4">
        <f>H4/A4</f>
        <v>-1032.2679703846154</v>
      </c>
      <c r="J4">
        <f>G4/(0.005 /51.4220674763)</f>
        <v>922.69700996773656</v>
      </c>
    </row>
    <row r="5" spans="1:10" x14ac:dyDescent="0.2">
      <c r="A5">
        <v>26</v>
      </c>
      <c r="B5">
        <v>100</v>
      </c>
      <c r="C5" s="1">
        <v>3.7164000000000003E-2</v>
      </c>
      <c r="D5" s="1">
        <v>-0.133604</v>
      </c>
      <c r="E5" s="1">
        <v>0.15027699999999999</v>
      </c>
      <c r="F5" s="1">
        <v>0.239926</v>
      </c>
      <c r="G5">
        <f>F5-E5</f>
        <v>8.9649000000000006E-2</v>
      </c>
      <c r="H5" s="1">
        <v>-26838.966022000001</v>
      </c>
      <c r="I5">
        <f>H5/A5</f>
        <v>-1032.267923923077</v>
      </c>
      <c r="J5">
        <f>G5/(0.005 /51.4220674763)</f>
        <v>921.98738543656373</v>
      </c>
    </row>
    <row r="21" spans="2:7" x14ac:dyDescent="0.2">
      <c r="B21" s="24" t="s">
        <v>22</v>
      </c>
      <c r="C21" s="24"/>
      <c r="D21" s="24"/>
      <c r="E21" s="24"/>
      <c r="F21" s="24"/>
      <c r="G21" s="24"/>
    </row>
    <row r="22" spans="2:7" ht="16" customHeight="1" x14ac:dyDescent="0.2">
      <c r="B22" s="24"/>
      <c r="C22" s="24"/>
      <c r="D22" s="24"/>
      <c r="E22" s="24"/>
      <c r="F22" s="24"/>
      <c r="G22" s="24"/>
    </row>
    <row r="23" spans="2:7" ht="16" customHeight="1" x14ac:dyDescent="0.2">
      <c r="B23" s="24"/>
      <c r="C23" s="24"/>
      <c r="D23" s="24"/>
      <c r="E23" s="24"/>
      <c r="F23" s="24"/>
      <c r="G23" s="24"/>
    </row>
    <row r="24" spans="2:7" ht="16" customHeight="1" x14ac:dyDescent="0.2">
      <c r="B24" s="24"/>
      <c r="C24" s="24"/>
      <c r="D24" s="24"/>
      <c r="E24" s="24"/>
      <c r="F24" s="24"/>
      <c r="G24" s="24"/>
    </row>
  </sheetData>
  <mergeCells count="1">
    <mergeCell ref="B21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Isolated Ag Cluster Size Series</vt:lpstr>
      <vt:lpstr>Ag Rod Disk</vt:lpstr>
      <vt:lpstr>Isolated Au Cluster Size Series</vt:lpstr>
      <vt:lpstr>Au Rod Disk</vt:lpstr>
      <vt:lpstr>Benchmark Cell Size 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Henderson</dc:creator>
  <cp:lastModifiedBy>Brett Henderson</cp:lastModifiedBy>
  <dcterms:created xsi:type="dcterms:W3CDTF">2021-05-10T02:17:44Z</dcterms:created>
  <dcterms:modified xsi:type="dcterms:W3CDTF">2023-05-18T01:52:02Z</dcterms:modified>
</cp:coreProperties>
</file>