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henders/Desktop/MgO_Ag_Project/Data Repo/pacigroup_nanocomposite_fem/raw_data/"/>
    </mc:Choice>
  </mc:AlternateContent>
  <xr:revisionPtr revIDLastSave="0" documentId="13_ncr:1_{6A141119-F6E7-E24E-9506-EA49701AC895}" xr6:coauthVersionLast="36" xr6:coauthVersionMax="36" xr10:uidLastSave="{00000000-0000-0000-0000-000000000000}"/>
  <bookViews>
    <workbookView xWindow="0" yWindow="0" windowWidth="28800" windowHeight="18000" xr2:uid="{96C2613B-E2A2-6A4C-A7ED-EC69E00185A3}"/>
  </bookViews>
  <sheets>
    <sheet name="NC" sheetId="1" r:id="rId1"/>
    <sheet name="Large_Rods" sheetId="10" r:id="rId2"/>
    <sheet name="Large_Disks" sheetId="11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6" i="1" l="1"/>
  <c r="AH7" i="1"/>
  <c r="I47" i="10"/>
  <c r="G47" i="10"/>
  <c r="H47" i="10"/>
  <c r="I46" i="10"/>
  <c r="H46" i="10"/>
  <c r="G46" i="10"/>
  <c r="Z31" i="10" l="1"/>
  <c r="Z30" i="10"/>
  <c r="Z29" i="10"/>
  <c r="Z28" i="10"/>
  <c r="Z27" i="10"/>
  <c r="Z26" i="10"/>
  <c r="Z25" i="10"/>
  <c r="Z24" i="10"/>
  <c r="Z23" i="10"/>
  <c r="Z22" i="10"/>
  <c r="Z21" i="10"/>
  <c r="Z20" i="10"/>
  <c r="Z19" i="10"/>
  <c r="Z18" i="10"/>
  <c r="Z17" i="10"/>
  <c r="Z16" i="10"/>
  <c r="Z15" i="10"/>
  <c r="Z14" i="10"/>
  <c r="Z13" i="10"/>
  <c r="Z12" i="10"/>
  <c r="Z11" i="10"/>
  <c r="Z10" i="10"/>
  <c r="Z9" i="10"/>
  <c r="Z8" i="10"/>
  <c r="Z7" i="10"/>
  <c r="Z6" i="10"/>
  <c r="Z5" i="10"/>
  <c r="Z4" i="10"/>
  <c r="Z3" i="10"/>
  <c r="Z2" i="10"/>
  <c r="N3" i="11" l="1"/>
  <c r="N4" i="11"/>
  <c r="N5" i="11"/>
  <c r="N6" i="11"/>
  <c r="N7" i="11"/>
  <c r="N8" i="11"/>
  <c r="N9" i="11"/>
  <c r="N10" i="11"/>
  <c r="N11" i="11"/>
  <c r="N12" i="11"/>
  <c r="N13" i="11"/>
  <c r="N14" i="11"/>
  <c r="N15" i="11"/>
  <c r="N16" i="11"/>
  <c r="N17" i="11"/>
  <c r="N18" i="11"/>
  <c r="N19" i="11"/>
  <c r="N20" i="11"/>
  <c r="N21" i="11"/>
  <c r="N22" i="11"/>
  <c r="N23" i="11"/>
  <c r="N24" i="11"/>
  <c r="N25" i="11"/>
  <c r="N26" i="11"/>
  <c r="N27" i="11"/>
  <c r="N28" i="11"/>
  <c r="N29" i="11"/>
  <c r="N30" i="11"/>
  <c r="N31" i="11"/>
  <c r="N32" i="11"/>
  <c r="N33" i="11"/>
  <c r="N34" i="11"/>
  <c r="N35" i="11"/>
  <c r="N36" i="11"/>
  <c r="N37" i="11"/>
  <c r="N2" i="11"/>
  <c r="Q50" i="11"/>
  <c r="M6" i="11" s="1"/>
  <c r="H46" i="11"/>
  <c r="Q44" i="11"/>
  <c r="R44" i="11" s="1"/>
  <c r="P47" i="11"/>
  <c r="P46" i="11"/>
  <c r="D3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2" i="11"/>
  <c r="F2" i="11"/>
  <c r="F3" i="11"/>
  <c r="F4" i="11"/>
  <c r="K4" i="11" s="1"/>
  <c r="F5" i="11"/>
  <c r="F6" i="11"/>
  <c r="F7" i="11"/>
  <c r="G46" i="11"/>
  <c r="O44" i="11"/>
  <c r="J44" i="11"/>
  <c r="G44" i="11"/>
  <c r="F37" i="11"/>
  <c r="F36" i="11"/>
  <c r="K36" i="11" s="1"/>
  <c r="F35" i="11"/>
  <c r="F34" i="11"/>
  <c r="F33" i="11"/>
  <c r="F32" i="11"/>
  <c r="F31" i="11"/>
  <c r="K31" i="11" s="1"/>
  <c r="F30" i="11"/>
  <c r="F29" i="11"/>
  <c r="F28" i="11"/>
  <c r="K28" i="11" s="1"/>
  <c r="F27" i="11"/>
  <c r="F26" i="11"/>
  <c r="F25" i="11"/>
  <c r="F24" i="11"/>
  <c r="F23" i="11"/>
  <c r="K23" i="11" s="1"/>
  <c r="F22" i="11"/>
  <c r="F21" i="11"/>
  <c r="F20" i="11"/>
  <c r="K20" i="11" s="1"/>
  <c r="F19" i="11"/>
  <c r="F18" i="11"/>
  <c r="F17" i="11"/>
  <c r="F16" i="11"/>
  <c r="F15" i="11"/>
  <c r="K15" i="11" s="1"/>
  <c r="F14" i="11"/>
  <c r="F13" i="11"/>
  <c r="F12" i="11"/>
  <c r="K12" i="11" s="1"/>
  <c r="F11" i="11"/>
  <c r="F10" i="11"/>
  <c r="F9" i="11"/>
  <c r="F8" i="11"/>
  <c r="V36" i="10"/>
  <c r="W36" i="10"/>
  <c r="U36" i="10"/>
  <c r="Q3" i="10"/>
  <c r="Q4" i="10"/>
  <c r="Q5" i="10"/>
  <c r="Q6" i="10"/>
  <c r="Q7" i="10"/>
  <c r="Q8" i="10"/>
  <c r="Q9" i="10"/>
  <c r="Q10" i="10"/>
  <c r="Q11" i="10"/>
  <c r="Q12" i="10"/>
  <c r="Q13" i="10"/>
  <c r="Q14" i="10"/>
  <c r="Q15" i="10"/>
  <c r="I15" i="10" s="1"/>
  <c r="J15" i="10" s="1"/>
  <c r="Q16" i="10"/>
  <c r="I16" i="10" s="1"/>
  <c r="J16" i="10" s="1"/>
  <c r="Q17" i="10"/>
  <c r="Q18" i="10"/>
  <c r="I18" i="10" s="1"/>
  <c r="J18" i="10" s="1"/>
  <c r="Q19" i="10"/>
  <c r="Q20" i="10"/>
  <c r="Q21" i="10"/>
  <c r="Q22" i="10"/>
  <c r="Q23" i="10"/>
  <c r="Q24" i="10"/>
  <c r="Q25" i="10"/>
  <c r="Q26" i="10"/>
  <c r="Q27" i="10"/>
  <c r="Q28" i="10"/>
  <c r="Q29" i="10"/>
  <c r="Q30" i="10"/>
  <c r="Q31" i="10"/>
  <c r="P3" i="10"/>
  <c r="P4" i="10"/>
  <c r="P5" i="10"/>
  <c r="P6" i="10"/>
  <c r="P7" i="10"/>
  <c r="P8" i="10"/>
  <c r="P9" i="10"/>
  <c r="P10" i="10"/>
  <c r="P11" i="10"/>
  <c r="P12" i="10"/>
  <c r="P13" i="10"/>
  <c r="P14" i="10"/>
  <c r="P15" i="10"/>
  <c r="P16" i="10"/>
  <c r="P17" i="10"/>
  <c r="P18" i="10"/>
  <c r="P19" i="10"/>
  <c r="P20" i="10"/>
  <c r="P21" i="10"/>
  <c r="P22" i="10"/>
  <c r="P23" i="10"/>
  <c r="P24" i="10"/>
  <c r="P25" i="10"/>
  <c r="P26" i="10"/>
  <c r="P27" i="10"/>
  <c r="P28" i="10"/>
  <c r="P29" i="10"/>
  <c r="P30" i="10"/>
  <c r="P31" i="10"/>
  <c r="P2" i="10"/>
  <c r="Q2" i="10"/>
  <c r="Y11" i="10"/>
  <c r="Y12" i="10"/>
  <c r="Y13" i="10"/>
  <c r="Y14" i="10"/>
  <c r="Y15" i="10"/>
  <c r="Y16" i="10"/>
  <c r="Y17" i="10"/>
  <c r="Y18" i="10"/>
  <c r="Y19" i="10"/>
  <c r="Y20" i="10"/>
  <c r="Y21" i="10"/>
  <c r="Y22" i="10"/>
  <c r="Y23" i="10"/>
  <c r="Y24" i="10"/>
  <c r="Y25" i="10"/>
  <c r="X11" i="10"/>
  <c r="X12" i="10"/>
  <c r="X13" i="10"/>
  <c r="X14" i="10"/>
  <c r="X15" i="10"/>
  <c r="X16" i="10"/>
  <c r="X17" i="10"/>
  <c r="X18" i="10"/>
  <c r="X19" i="10"/>
  <c r="X20" i="10"/>
  <c r="X21" i="10"/>
  <c r="X22" i="10"/>
  <c r="X23" i="10"/>
  <c r="X24" i="10"/>
  <c r="X25" i="10"/>
  <c r="W11" i="10"/>
  <c r="W12" i="10"/>
  <c r="W13" i="10"/>
  <c r="W14" i="10"/>
  <c r="W15" i="10"/>
  <c r="W16" i="10"/>
  <c r="W17" i="10"/>
  <c r="W18" i="10"/>
  <c r="W19" i="10"/>
  <c r="W20" i="10"/>
  <c r="W21" i="10"/>
  <c r="W22" i="10"/>
  <c r="W23" i="10"/>
  <c r="W24" i="10"/>
  <c r="W25" i="10"/>
  <c r="V11" i="10"/>
  <c r="V12" i="10"/>
  <c r="V13" i="10"/>
  <c r="V14" i="10"/>
  <c r="V15" i="10"/>
  <c r="V16" i="10"/>
  <c r="V17" i="10"/>
  <c r="V18" i="10"/>
  <c r="V19" i="10"/>
  <c r="V20" i="10"/>
  <c r="V21" i="10"/>
  <c r="V22" i="10"/>
  <c r="V23" i="10"/>
  <c r="V24" i="10"/>
  <c r="V25" i="10"/>
  <c r="U11" i="10"/>
  <c r="U12" i="10"/>
  <c r="U13" i="10"/>
  <c r="U14" i="10"/>
  <c r="U15" i="10"/>
  <c r="U16" i="10"/>
  <c r="U17" i="10"/>
  <c r="U18" i="10"/>
  <c r="U19" i="10"/>
  <c r="U20" i="10"/>
  <c r="U21" i="10"/>
  <c r="U22" i="10"/>
  <c r="U23" i="10"/>
  <c r="U24" i="10"/>
  <c r="U25" i="10"/>
  <c r="T11" i="10"/>
  <c r="T12" i="10"/>
  <c r="T13" i="10"/>
  <c r="T14" i="10"/>
  <c r="T15" i="10"/>
  <c r="T16" i="10"/>
  <c r="T17" i="10"/>
  <c r="T18" i="10"/>
  <c r="T19" i="10"/>
  <c r="T20" i="10"/>
  <c r="T21" i="10"/>
  <c r="T22" i="10"/>
  <c r="T23" i="10"/>
  <c r="T24" i="10"/>
  <c r="T25" i="10"/>
  <c r="S23" i="10"/>
  <c r="S24" i="10"/>
  <c r="S25" i="10"/>
  <c r="S17" i="10"/>
  <c r="S18" i="10"/>
  <c r="S19" i="10"/>
  <c r="S11" i="10"/>
  <c r="S12" i="10"/>
  <c r="S13" i="10"/>
  <c r="O17" i="10"/>
  <c r="O18" i="10"/>
  <c r="O19" i="10"/>
  <c r="O20" i="10"/>
  <c r="O21" i="10"/>
  <c r="O22" i="10"/>
  <c r="O23" i="10"/>
  <c r="O24" i="10"/>
  <c r="O25" i="10"/>
  <c r="O11" i="10"/>
  <c r="O12" i="10"/>
  <c r="O13" i="10"/>
  <c r="N23" i="10"/>
  <c r="N24" i="10"/>
  <c r="N25" i="10"/>
  <c r="N17" i="10"/>
  <c r="N18" i="10"/>
  <c r="N19" i="10"/>
  <c r="N11" i="10"/>
  <c r="N12" i="10"/>
  <c r="N13" i="10"/>
  <c r="M11" i="10"/>
  <c r="M12" i="10"/>
  <c r="M13" i="10"/>
  <c r="M14" i="10"/>
  <c r="M15" i="10"/>
  <c r="M16" i="10"/>
  <c r="M17" i="10"/>
  <c r="M18" i="10"/>
  <c r="M19" i="10"/>
  <c r="M20" i="10"/>
  <c r="M21" i="10"/>
  <c r="M22" i="10"/>
  <c r="M23" i="10"/>
  <c r="M24" i="10"/>
  <c r="M25" i="10"/>
  <c r="M26" i="10"/>
  <c r="L11" i="10"/>
  <c r="L12" i="10"/>
  <c r="L13" i="10"/>
  <c r="L14" i="10"/>
  <c r="L15" i="10"/>
  <c r="L16" i="10"/>
  <c r="O16" i="10" s="1"/>
  <c r="L17" i="10"/>
  <c r="L18" i="10"/>
  <c r="L19" i="10"/>
  <c r="L20" i="10"/>
  <c r="L21" i="10"/>
  <c r="L22" i="10"/>
  <c r="L23" i="10"/>
  <c r="L24" i="10"/>
  <c r="L25" i="10"/>
  <c r="K17" i="10"/>
  <c r="K18" i="10"/>
  <c r="K19" i="10"/>
  <c r="K20" i="10"/>
  <c r="K21" i="10"/>
  <c r="K22" i="10"/>
  <c r="K23" i="10"/>
  <c r="K24" i="10"/>
  <c r="K25" i="10"/>
  <c r="K14" i="10"/>
  <c r="K11" i="10"/>
  <c r="K12" i="10"/>
  <c r="K13" i="10"/>
  <c r="J22" i="10"/>
  <c r="I24" i="10"/>
  <c r="J24" i="10" s="1"/>
  <c r="I17" i="10"/>
  <c r="J17" i="10" s="1"/>
  <c r="I19" i="10"/>
  <c r="J19" i="10" s="1"/>
  <c r="I11" i="10"/>
  <c r="J11" i="10" s="1"/>
  <c r="I12" i="10"/>
  <c r="J12" i="10" s="1"/>
  <c r="I13" i="10"/>
  <c r="J13" i="10" s="1"/>
  <c r="I14" i="10"/>
  <c r="J14" i="10" s="1"/>
  <c r="N14" i="10"/>
  <c r="O14" i="10"/>
  <c r="K15" i="10"/>
  <c r="N15" i="10"/>
  <c r="O15" i="10"/>
  <c r="K16" i="10"/>
  <c r="N16" i="10"/>
  <c r="I20" i="10"/>
  <c r="J20" i="10" s="1"/>
  <c r="N20" i="10"/>
  <c r="I21" i="10"/>
  <c r="J21" i="10" s="1"/>
  <c r="N21" i="10"/>
  <c r="I22" i="10"/>
  <c r="N22" i="10"/>
  <c r="R11" i="10"/>
  <c r="R12" i="10"/>
  <c r="R13" i="10"/>
  <c r="R14" i="10"/>
  <c r="R15" i="10"/>
  <c r="R16" i="10"/>
  <c r="R17" i="10"/>
  <c r="R18" i="10"/>
  <c r="R19" i="10"/>
  <c r="R20" i="10"/>
  <c r="R21" i="10"/>
  <c r="R22" i="10"/>
  <c r="R23" i="10"/>
  <c r="R24" i="10"/>
  <c r="R25" i="10"/>
  <c r="R26" i="10"/>
  <c r="R27" i="10"/>
  <c r="R28" i="10"/>
  <c r="R29" i="10"/>
  <c r="I29" i="10" s="1"/>
  <c r="R30" i="10"/>
  <c r="R31" i="10"/>
  <c r="R9" i="10"/>
  <c r="R10" i="10"/>
  <c r="R8" i="10"/>
  <c r="R5" i="10"/>
  <c r="I5" i="10" s="1"/>
  <c r="R6" i="10"/>
  <c r="R7" i="10"/>
  <c r="R4" i="10"/>
  <c r="R3" i="10"/>
  <c r="R2" i="10"/>
  <c r="G43" i="10"/>
  <c r="H40" i="10"/>
  <c r="H23" i="10"/>
  <c r="H24" i="10"/>
  <c r="H25" i="10"/>
  <c r="H17" i="10"/>
  <c r="H18" i="10"/>
  <c r="H19" i="10"/>
  <c r="H11" i="10"/>
  <c r="H12" i="10"/>
  <c r="H13" i="10"/>
  <c r="K31" i="10"/>
  <c r="I31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K26" i="10" s="1"/>
  <c r="F27" i="10"/>
  <c r="K27" i="10" s="1"/>
  <c r="F28" i="10"/>
  <c r="K28" i="10" s="1"/>
  <c r="F29" i="10"/>
  <c r="K29" i="10" s="1"/>
  <c r="F30" i="10"/>
  <c r="K30" i="10" s="1"/>
  <c r="F31" i="10"/>
  <c r="F6" i="10"/>
  <c r="K6" i="10" s="1"/>
  <c r="F5" i="10"/>
  <c r="K5" i="10" s="1"/>
  <c r="F4" i="10"/>
  <c r="F3" i="10"/>
  <c r="F2" i="10"/>
  <c r="I7" i="10"/>
  <c r="K7" i="10"/>
  <c r="I7" i="1"/>
  <c r="I8" i="1"/>
  <c r="I9" i="1"/>
  <c r="I6" i="1"/>
  <c r="K9" i="11" l="1"/>
  <c r="K17" i="11"/>
  <c r="N46" i="11"/>
  <c r="H19" i="11"/>
  <c r="H6" i="11"/>
  <c r="H22" i="11"/>
  <c r="H2" i="11"/>
  <c r="H30" i="11"/>
  <c r="H25" i="11"/>
  <c r="H27" i="11"/>
  <c r="H9" i="11"/>
  <c r="H33" i="11"/>
  <c r="H14" i="11"/>
  <c r="H35" i="11"/>
  <c r="H17" i="11"/>
  <c r="H3" i="11"/>
  <c r="L10" i="11"/>
  <c r="L30" i="11"/>
  <c r="M31" i="11"/>
  <c r="M15" i="11"/>
  <c r="L14" i="11"/>
  <c r="L28" i="11"/>
  <c r="M29" i="11"/>
  <c r="M13" i="11"/>
  <c r="L18" i="11"/>
  <c r="L32" i="11"/>
  <c r="M27" i="11"/>
  <c r="M11" i="11"/>
  <c r="L7" i="11"/>
  <c r="L35" i="11"/>
  <c r="M24" i="11"/>
  <c r="M5" i="11"/>
  <c r="K7" i="11"/>
  <c r="O51" i="11"/>
  <c r="L6" i="11"/>
  <c r="O6" i="11" s="1"/>
  <c r="L20" i="11"/>
  <c r="L34" i="11"/>
  <c r="M23" i="11"/>
  <c r="K3" i="11"/>
  <c r="O52" i="11"/>
  <c r="L4" i="11"/>
  <c r="L24" i="11"/>
  <c r="M37" i="11"/>
  <c r="M21" i="11"/>
  <c r="K5" i="11"/>
  <c r="L8" i="11"/>
  <c r="L22" i="11"/>
  <c r="M35" i="11"/>
  <c r="M19" i="11"/>
  <c r="L15" i="11"/>
  <c r="K13" i="11"/>
  <c r="K21" i="11"/>
  <c r="K29" i="11"/>
  <c r="K37" i="11"/>
  <c r="L11" i="11"/>
  <c r="L31" i="11"/>
  <c r="M32" i="11"/>
  <c r="M16" i="11"/>
  <c r="H11" i="11"/>
  <c r="K24" i="11"/>
  <c r="N47" i="11"/>
  <c r="H7" i="11"/>
  <c r="H34" i="11"/>
  <c r="H26" i="11"/>
  <c r="H18" i="11"/>
  <c r="H10" i="11"/>
  <c r="L3" i="11"/>
  <c r="L19" i="11"/>
  <c r="L23" i="11"/>
  <c r="L27" i="11"/>
  <c r="M36" i="11"/>
  <c r="M28" i="11"/>
  <c r="M20" i="11"/>
  <c r="M12" i="11"/>
  <c r="M4" i="11"/>
  <c r="M3" i="11"/>
  <c r="H5" i="11"/>
  <c r="H32" i="11"/>
  <c r="H24" i="11"/>
  <c r="H16" i="11"/>
  <c r="H8" i="11"/>
  <c r="L13" i="11"/>
  <c r="L17" i="11"/>
  <c r="L21" i="11"/>
  <c r="L37" i="11"/>
  <c r="M34" i="11"/>
  <c r="M26" i="11"/>
  <c r="M18" i="11"/>
  <c r="M10" i="11"/>
  <c r="M2" i="11"/>
  <c r="K35" i="11"/>
  <c r="K6" i="11"/>
  <c r="N51" i="11"/>
  <c r="H4" i="11"/>
  <c r="H31" i="11"/>
  <c r="H23" i="11"/>
  <c r="H15" i="11"/>
  <c r="L2" i="11"/>
  <c r="S2" i="11" s="1"/>
  <c r="L12" i="11"/>
  <c r="L16" i="11"/>
  <c r="L26" i="11"/>
  <c r="L36" i="11"/>
  <c r="M33" i="11"/>
  <c r="M25" i="11"/>
  <c r="M17" i="11"/>
  <c r="M9" i="11"/>
  <c r="M8" i="11"/>
  <c r="H37" i="11"/>
  <c r="H29" i="11"/>
  <c r="H21" i="11"/>
  <c r="H13" i="11"/>
  <c r="M7" i="11"/>
  <c r="O7" i="11" s="1"/>
  <c r="K14" i="11"/>
  <c r="K22" i="11"/>
  <c r="K30" i="11"/>
  <c r="N52" i="11"/>
  <c r="H36" i="11"/>
  <c r="H28" i="11"/>
  <c r="H20" i="11"/>
  <c r="H12" i="11"/>
  <c r="L5" i="11"/>
  <c r="L9" i="11"/>
  <c r="L25" i="11"/>
  <c r="L29" i="11"/>
  <c r="L33" i="11"/>
  <c r="M30" i="11"/>
  <c r="M22" i="11"/>
  <c r="M14" i="11"/>
  <c r="K18" i="11"/>
  <c r="K10" i="11"/>
  <c r="K25" i="11"/>
  <c r="K26" i="11"/>
  <c r="K32" i="11"/>
  <c r="K11" i="11"/>
  <c r="K19" i="11"/>
  <c r="K27" i="11"/>
  <c r="K33" i="11"/>
  <c r="K16" i="11"/>
  <c r="K8" i="11"/>
  <c r="K34" i="11"/>
  <c r="K2" i="11"/>
  <c r="G49" i="11"/>
  <c r="R16" i="11" s="1"/>
  <c r="P44" i="11"/>
  <c r="I25" i="10"/>
  <c r="J25" i="10" s="1"/>
  <c r="I23" i="10"/>
  <c r="J23" i="10" s="1"/>
  <c r="I26" i="10"/>
  <c r="I30" i="10"/>
  <c r="I6" i="10"/>
  <c r="G40" i="10"/>
  <c r="G38" i="10"/>
  <c r="O46" i="10"/>
  <c r="N46" i="10"/>
  <c r="O45" i="10"/>
  <c r="N45" i="10"/>
  <c r="Q44" i="10"/>
  <c r="P41" i="10"/>
  <c r="P40" i="10"/>
  <c r="O38" i="10"/>
  <c r="J38" i="10"/>
  <c r="S5" i="11" l="1"/>
  <c r="O4" i="11"/>
  <c r="O16" i="11"/>
  <c r="S14" i="11"/>
  <c r="T14" i="11" s="1"/>
  <c r="W14" i="11" s="1"/>
  <c r="S4" i="11"/>
  <c r="T4" i="11" s="1"/>
  <c r="V4" i="11" s="1"/>
  <c r="O9" i="11"/>
  <c r="O13" i="11"/>
  <c r="O28" i="11"/>
  <c r="S10" i="11"/>
  <c r="T10" i="11" s="1"/>
  <c r="W10" i="11" s="1"/>
  <c r="O20" i="11"/>
  <c r="O25" i="11"/>
  <c r="S7" i="11"/>
  <c r="T7" i="11" s="1"/>
  <c r="O5" i="11"/>
  <c r="O3" i="11"/>
  <c r="S3" i="11"/>
  <c r="T3" i="11" s="1"/>
  <c r="O31" i="11"/>
  <c r="S18" i="11"/>
  <c r="T18" i="11" s="1"/>
  <c r="W18" i="11" s="1"/>
  <c r="O30" i="11"/>
  <c r="S33" i="11"/>
  <c r="T33" i="11" s="1"/>
  <c r="O24" i="11"/>
  <c r="O8" i="11"/>
  <c r="O11" i="11"/>
  <c r="O36" i="11"/>
  <c r="O12" i="11"/>
  <c r="O2" i="11"/>
  <c r="S6" i="11"/>
  <c r="T6" i="11" s="1"/>
  <c r="R31" i="11"/>
  <c r="Q13" i="11"/>
  <c r="P35" i="11"/>
  <c r="R37" i="11"/>
  <c r="Q23" i="11"/>
  <c r="R19" i="11"/>
  <c r="Q33" i="11"/>
  <c r="R17" i="11"/>
  <c r="Q18" i="11"/>
  <c r="P10" i="11"/>
  <c r="Q10" i="11"/>
  <c r="P18" i="11"/>
  <c r="P28" i="11"/>
  <c r="R28" i="11"/>
  <c r="I28" i="11" s="1"/>
  <c r="J28" i="11" s="1"/>
  <c r="R13" i="11"/>
  <c r="Q21" i="11"/>
  <c r="Q31" i="11"/>
  <c r="P30" i="11"/>
  <c r="Q22" i="11"/>
  <c r="P36" i="11"/>
  <c r="Q20" i="11"/>
  <c r="Q29" i="11"/>
  <c r="P11" i="11"/>
  <c r="P16" i="11"/>
  <c r="P12" i="11"/>
  <c r="Q26" i="11"/>
  <c r="Q12" i="11"/>
  <c r="P24" i="11"/>
  <c r="R24" i="11"/>
  <c r="R30" i="11"/>
  <c r="R34" i="11"/>
  <c r="Q37" i="11"/>
  <c r="Q27" i="11"/>
  <c r="R32" i="11"/>
  <c r="P25" i="11"/>
  <c r="Q17" i="11"/>
  <c r="R25" i="11"/>
  <c r="Q8" i="11"/>
  <c r="R12" i="11"/>
  <c r="Q9" i="11"/>
  <c r="P22" i="11"/>
  <c r="Q14" i="11"/>
  <c r="Q24" i="11"/>
  <c r="P15" i="11"/>
  <c r="Q34" i="11"/>
  <c r="Q35" i="11"/>
  <c r="R27" i="11"/>
  <c r="R22" i="11"/>
  <c r="Q28" i="11"/>
  <c r="P19" i="11"/>
  <c r="R21" i="11"/>
  <c r="Q15" i="11"/>
  <c r="P8" i="11"/>
  <c r="R36" i="11"/>
  <c r="P32" i="11"/>
  <c r="P37" i="11"/>
  <c r="P9" i="11"/>
  <c r="P33" i="11"/>
  <c r="Q25" i="11"/>
  <c r="P31" i="11"/>
  <c r="P29" i="11"/>
  <c r="P26" i="11"/>
  <c r="Z26" i="11" s="1"/>
  <c r="AA26" i="11" s="1"/>
  <c r="Q16" i="11"/>
  <c r="R15" i="11"/>
  <c r="P27" i="11"/>
  <c r="Q36" i="11"/>
  <c r="P17" i="11"/>
  <c r="R29" i="11"/>
  <c r="P34" i="11"/>
  <c r="R11" i="11"/>
  <c r="R35" i="11"/>
  <c r="R9" i="11"/>
  <c r="R33" i="11"/>
  <c r="P13" i="11"/>
  <c r="Q19" i="11"/>
  <c r="R20" i="11"/>
  <c r="R23" i="11"/>
  <c r="R8" i="11"/>
  <c r="P21" i="11"/>
  <c r="Q11" i="11"/>
  <c r="Q32" i="11"/>
  <c r="P3" i="11"/>
  <c r="P7" i="11"/>
  <c r="Q2" i="11"/>
  <c r="P5" i="11"/>
  <c r="R2" i="11"/>
  <c r="Q5" i="11"/>
  <c r="R4" i="11"/>
  <c r="P6" i="11"/>
  <c r="Q6" i="11"/>
  <c r="Q4" i="11"/>
  <c r="R6" i="11"/>
  <c r="P2" i="11"/>
  <c r="Q3" i="11"/>
  <c r="AI3" i="11" s="1"/>
  <c r="Q7" i="11"/>
  <c r="R3" i="11"/>
  <c r="R7" i="11"/>
  <c r="R5" i="11"/>
  <c r="P4" i="11"/>
  <c r="Q30" i="11"/>
  <c r="P20" i="11"/>
  <c r="P23" i="11"/>
  <c r="R26" i="11"/>
  <c r="R18" i="11"/>
  <c r="P14" i="11"/>
  <c r="R10" i="11"/>
  <c r="R14" i="11"/>
  <c r="T2" i="11"/>
  <c r="W2" i="11" s="1"/>
  <c r="T5" i="11"/>
  <c r="W5" i="11" s="1"/>
  <c r="S9" i="11"/>
  <c r="T9" i="11" s="1"/>
  <c r="O17" i="11"/>
  <c r="S35" i="11"/>
  <c r="T35" i="11" s="1"/>
  <c r="V35" i="11" s="1"/>
  <c r="S25" i="11"/>
  <c r="T25" i="11" s="1"/>
  <c r="S34" i="11"/>
  <c r="T34" i="11" s="1"/>
  <c r="S36" i="11"/>
  <c r="T36" i="11" s="1"/>
  <c r="O10" i="11"/>
  <c r="S12" i="11"/>
  <c r="T12" i="11" s="1"/>
  <c r="W12" i="11" s="1"/>
  <c r="S23" i="11"/>
  <c r="T23" i="11" s="1"/>
  <c r="S19" i="11"/>
  <c r="T19" i="11" s="1"/>
  <c r="W19" i="11" s="1"/>
  <c r="O35" i="11"/>
  <c r="O22" i="11"/>
  <c r="O14" i="11"/>
  <c r="S26" i="11"/>
  <c r="T26" i="11" s="1"/>
  <c r="U26" i="11" s="1"/>
  <c r="S17" i="11"/>
  <c r="T17" i="11" s="1"/>
  <c r="O19" i="11"/>
  <c r="O33" i="11"/>
  <c r="S11" i="11"/>
  <c r="T11" i="11" s="1"/>
  <c r="W11" i="11" s="1"/>
  <c r="S8" i="11"/>
  <c r="T8" i="11" s="1"/>
  <c r="U8" i="11" s="1"/>
  <c r="S30" i="11"/>
  <c r="T30" i="11" s="1"/>
  <c r="W30" i="11" s="1"/>
  <c r="S24" i="11"/>
  <c r="T24" i="11" s="1"/>
  <c r="W24" i="11" s="1"/>
  <c r="S15" i="11"/>
  <c r="T15" i="11" s="1"/>
  <c r="S22" i="11"/>
  <c r="T22" i="11" s="1"/>
  <c r="V22" i="11" s="1"/>
  <c r="S28" i="11"/>
  <c r="T28" i="11" s="1"/>
  <c r="S20" i="11"/>
  <c r="T20" i="11" s="1"/>
  <c r="S16" i="11"/>
  <c r="T16" i="11" s="1"/>
  <c r="O23" i="11"/>
  <c r="O18" i="11"/>
  <c r="S13" i="11"/>
  <c r="T13" i="11" s="1"/>
  <c r="W13" i="11" s="1"/>
  <c r="S31" i="11"/>
  <c r="T31" i="11" s="1"/>
  <c r="O34" i="11"/>
  <c r="O15" i="11"/>
  <c r="S32" i="11"/>
  <c r="T32" i="11" s="1"/>
  <c r="O32" i="11"/>
  <c r="O21" i="11"/>
  <c r="S21" i="11"/>
  <c r="T21" i="11" s="1"/>
  <c r="O29" i="11"/>
  <c r="S29" i="11"/>
  <c r="T29" i="11" s="1"/>
  <c r="S27" i="11"/>
  <c r="T27" i="11" s="1"/>
  <c r="O27" i="11"/>
  <c r="O26" i="11"/>
  <c r="S37" i="11"/>
  <c r="T37" i="11" s="1"/>
  <c r="O37" i="11"/>
  <c r="H29" i="10"/>
  <c r="H6" i="10"/>
  <c r="H5" i="10"/>
  <c r="J5" i="10" s="1"/>
  <c r="H7" i="10"/>
  <c r="J7" i="10" s="1"/>
  <c r="H30" i="10"/>
  <c r="H31" i="10"/>
  <c r="N31" i="10"/>
  <c r="N30" i="10"/>
  <c r="N6" i="10"/>
  <c r="N7" i="10"/>
  <c r="N5" i="10"/>
  <c r="N29" i="10"/>
  <c r="L31" i="10"/>
  <c r="L30" i="10"/>
  <c r="L6" i="10"/>
  <c r="L7" i="10"/>
  <c r="L29" i="10"/>
  <c r="L5" i="10"/>
  <c r="J6" i="10"/>
  <c r="M31" i="10"/>
  <c r="M30" i="10"/>
  <c r="M6" i="10"/>
  <c r="M7" i="10"/>
  <c r="M29" i="10"/>
  <c r="M5" i="10"/>
  <c r="N27" i="10"/>
  <c r="N28" i="10"/>
  <c r="N26" i="10"/>
  <c r="M8" i="10"/>
  <c r="M27" i="10"/>
  <c r="M28" i="10"/>
  <c r="I28" i="10"/>
  <c r="I27" i="10"/>
  <c r="H22" i="10"/>
  <c r="H27" i="10"/>
  <c r="H20" i="10"/>
  <c r="H21" i="10"/>
  <c r="H28" i="10"/>
  <c r="H26" i="10"/>
  <c r="M10" i="10"/>
  <c r="L27" i="10"/>
  <c r="L28" i="10"/>
  <c r="L26" i="10"/>
  <c r="L4" i="10"/>
  <c r="M3" i="10"/>
  <c r="L3" i="10"/>
  <c r="P45" i="10"/>
  <c r="L10" i="10"/>
  <c r="M9" i="10"/>
  <c r="N2" i="10"/>
  <c r="L9" i="10"/>
  <c r="N4" i="10"/>
  <c r="S4" i="10" s="1"/>
  <c r="N41" i="10"/>
  <c r="H8" i="10"/>
  <c r="H3" i="10"/>
  <c r="H16" i="10"/>
  <c r="H14" i="10"/>
  <c r="H10" i="10"/>
  <c r="H4" i="10"/>
  <c r="H15" i="10"/>
  <c r="H2" i="10"/>
  <c r="H9" i="10"/>
  <c r="L2" i="10"/>
  <c r="N3" i="10"/>
  <c r="N10" i="10"/>
  <c r="L8" i="10"/>
  <c r="S8" i="10" s="1"/>
  <c r="N9" i="10"/>
  <c r="P46" i="10"/>
  <c r="N8" i="10"/>
  <c r="M2" i="10"/>
  <c r="M4" i="10"/>
  <c r="N40" i="10"/>
  <c r="P38" i="10"/>
  <c r="K2" i="10"/>
  <c r="K10" i="10"/>
  <c r="K9" i="10"/>
  <c r="K8" i="10"/>
  <c r="K4" i="10"/>
  <c r="K3" i="10"/>
  <c r="L23" i="1"/>
  <c r="K23" i="1"/>
  <c r="L22" i="1"/>
  <c r="K22" i="1"/>
  <c r="N21" i="1"/>
  <c r="K7" i="1"/>
  <c r="K8" i="1"/>
  <c r="K9" i="1"/>
  <c r="O7" i="1"/>
  <c r="O8" i="1"/>
  <c r="O9" i="1"/>
  <c r="S7" i="1"/>
  <c r="S8" i="1"/>
  <c r="S9" i="1"/>
  <c r="K6" i="1"/>
  <c r="O6" i="1"/>
  <c r="S6" i="1"/>
  <c r="M18" i="1"/>
  <c r="M17" i="1"/>
  <c r="L15" i="1"/>
  <c r="K17" i="1" s="1"/>
  <c r="I24" i="11" l="1"/>
  <c r="J24" i="11" s="1"/>
  <c r="I10" i="11"/>
  <c r="J10" i="11" s="1"/>
  <c r="Y24" i="11"/>
  <c r="AG3" i="11"/>
  <c r="Y11" i="11"/>
  <c r="Y19" i="11"/>
  <c r="I26" i="11"/>
  <c r="J26" i="11" s="1"/>
  <c r="I27" i="11"/>
  <c r="J27" i="11" s="1"/>
  <c r="I12" i="11"/>
  <c r="J12" i="11" s="1"/>
  <c r="I13" i="11"/>
  <c r="J13" i="11" s="1"/>
  <c r="I33" i="11"/>
  <c r="J33" i="11" s="1"/>
  <c r="Y10" i="11"/>
  <c r="M23" i="1"/>
  <c r="M22" i="1"/>
  <c r="H7" i="1"/>
  <c r="J7" i="1" s="1"/>
  <c r="H6" i="1"/>
  <c r="J6" i="1" s="1"/>
  <c r="I36" i="11"/>
  <c r="J36" i="11" s="1"/>
  <c r="I19" i="11"/>
  <c r="J19" i="11" s="1"/>
  <c r="Z8" i="11"/>
  <c r="AA8" i="11" s="1"/>
  <c r="I31" i="11"/>
  <c r="J31" i="11" s="1"/>
  <c r="I32" i="11"/>
  <c r="J32" i="11" s="1"/>
  <c r="Z6" i="11"/>
  <c r="AA6" i="11" s="1"/>
  <c r="I18" i="11"/>
  <c r="J18" i="11" s="1"/>
  <c r="I37" i="11"/>
  <c r="J37" i="11" s="1"/>
  <c r="I22" i="11"/>
  <c r="J22" i="11" s="1"/>
  <c r="Y5" i="11"/>
  <c r="I29" i="11"/>
  <c r="J29" i="11" s="1"/>
  <c r="I30" i="11"/>
  <c r="J30" i="11" s="1"/>
  <c r="I14" i="11"/>
  <c r="J14" i="11" s="1"/>
  <c r="I25" i="11"/>
  <c r="J25" i="11" s="1"/>
  <c r="I16" i="11"/>
  <c r="J16" i="11" s="1"/>
  <c r="I17" i="11"/>
  <c r="J17" i="11" s="1"/>
  <c r="U5" i="11"/>
  <c r="Z5" i="11" s="1"/>
  <c r="AA5" i="11" s="1"/>
  <c r="U30" i="11"/>
  <c r="Z30" i="11" s="1"/>
  <c r="AA30" i="11" s="1"/>
  <c r="W4" i="11"/>
  <c r="Y4" i="11" s="1"/>
  <c r="U14" i="11"/>
  <c r="Z14" i="11" s="1"/>
  <c r="AA14" i="11" s="1"/>
  <c r="V14" i="11"/>
  <c r="X14" i="11" s="1"/>
  <c r="U18" i="11"/>
  <c r="Z18" i="11" s="1"/>
  <c r="AA18" i="11" s="1"/>
  <c r="U4" i="11"/>
  <c r="V5" i="11"/>
  <c r="V18" i="11"/>
  <c r="U11" i="11"/>
  <c r="Z11" i="11" s="1"/>
  <c r="AA11" i="11" s="1"/>
  <c r="W6" i="11"/>
  <c r="Y6" i="11" s="1"/>
  <c r="U6" i="11"/>
  <c r="V6" i="11"/>
  <c r="U3" i="11"/>
  <c r="Z3" i="11" s="1"/>
  <c r="AA3" i="11" s="1"/>
  <c r="W3" i="11"/>
  <c r="Y3" i="11" s="1"/>
  <c r="V3" i="11"/>
  <c r="V7" i="11"/>
  <c r="U7" i="11"/>
  <c r="Z7" i="11" s="1"/>
  <c r="AA7" i="11" s="1"/>
  <c r="W7" i="11"/>
  <c r="Y7" i="11" s="1"/>
  <c r="U19" i="11"/>
  <c r="Z19" i="11" s="1"/>
  <c r="AA19" i="11" s="1"/>
  <c r="W35" i="11"/>
  <c r="Y35" i="11" s="1"/>
  <c r="U35" i="11"/>
  <c r="Z35" i="11" s="1"/>
  <c r="AA35" i="11" s="1"/>
  <c r="W8" i="11"/>
  <c r="Y8" i="11" s="1"/>
  <c r="I34" i="11"/>
  <c r="J34" i="11" s="1"/>
  <c r="I23" i="11"/>
  <c r="J23" i="11" s="1"/>
  <c r="I8" i="11"/>
  <c r="J8" i="11" s="1"/>
  <c r="I15" i="11"/>
  <c r="J15" i="11" s="1"/>
  <c r="Y14" i="11"/>
  <c r="I35" i="11"/>
  <c r="J35" i="11" s="1"/>
  <c r="I20" i="11"/>
  <c r="J20" i="11" s="1"/>
  <c r="I9" i="11"/>
  <c r="J9" i="11" s="1"/>
  <c r="Y12" i="11"/>
  <c r="Y13" i="11"/>
  <c r="I6" i="11"/>
  <c r="J6" i="11" s="1"/>
  <c r="Y30" i="11"/>
  <c r="I11" i="11"/>
  <c r="J11" i="11" s="1"/>
  <c r="I21" i="11"/>
  <c r="J21" i="11" s="1"/>
  <c r="I3" i="11"/>
  <c r="J3" i="11" s="1"/>
  <c r="I5" i="11"/>
  <c r="J5" i="11" s="1"/>
  <c r="I2" i="11"/>
  <c r="J2" i="11" s="1"/>
  <c r="I4" i="11"/>
  <c r="J4" i="11" s="1"/>
  <c r="I7" i="11"/>
  <c r="J7" i="11" s="1"/>
  <c r="Y2" i="11"/>
  <c r="Y18" i="11"/>
  <c r="U10" i="11"/>
  <c r="Z10" i="11" s="1"/>
  <c r="AA10" i="11" s="1"/>
  <c r="V19" i="11"/>
  <c r="V10" i="11"/>
  <c r="V2" i="11"/>
  <c r="W22" i="11"/>
  <c r="Y22" i="11" s="1"/>
  <c r="U2" i="11"/>
  <c r="Z2" i="11" s="1"/>
  <c r="AA2" i="11" s="1"/>
  <c r="V26" i="11"/>
  <c r="W26" i="11"/>
  <c r="Y26" i="11" s="1"/>
  <c r="V11" i="11"/>
  <c r="V12" i="11"/>
  <c r="U12" i="11"/>
  <c r="Z12" i="11" s="1"/>
  <c r="AA12" i="11" s="1"/>
  <c r="V8" i="11"/>
  <c r="V13" i="11"/>
  <c r="V30" i="11"/>
  <c r="U22" i="11"/>
  <c r="Z22" i="11" s="1"/>
  <c r="AA22" i="11" s="1"/>
  <c r="V24" i="11"/>
  <c r="U24" i="11"/>
  <c r="Z24" i="11" s="1"/>
  <c r="AA24" i="11" s="1"/>
  <c r="U13" i="11"/>
  <c r="Z13" i="11" s="1"/>
  <c r="AA13" i="11" s="1"/>
  <c r="U16" i="11"/>
  <c r="Z16" i="11" s="1"/>
  <c r="AA16" i="11" s="1"/>
  <c r="W16" i="11"/>
  <c r="Y16" i="11" s="1"/>
  <c r="V16" i="11"/>
  <c r="V37" i="11"/>
  <c r="U37" i="11"/>
  <c r="Z37" i="11" s="1"/>
  <c r="AA37" i="11" s="1"/>
  <c r="W37" i="11"/>
  <c r="Y37" i="11" s="1"/>
  <c r="U32" i="11"/>
  <c r="Z32" i="11" s="1"/>
  <c r="AA32" i="11" s="1"/>
  <c r="W32" i="11"/>
  <c r="V32" i="11"/>
  <c r="W25" i="11"/>
  <c r="Y25" i="11" s="1"/>
  <c r="V25" i="11"/>
  <c r="U25" i="11"/>
  <c r="Z25" i="11" s="1"/>
  <c r="AA25" i="11" s="1"/>
  <c r="V15" i="11"/>
  <c r="U15" i="11"/>
  <c r="Z15" i="11" s="1"/>
  <c r="AA15" i="11" s="1"/>
  <c r="W15" i="11"/>
  <c r="Y15" i="11" s="1"/>
  <c r="W31" i="11"/>
  <c r="Y31" i="11" s="1"/>
  <c r="V31" i="11"/>
  <c r="U31" i="11"/>
  <c r="Z31" i="11" s="1"/>
  <c r="AA31" i="11" s="1"/>
  <c r="W20" i="11"/>
  <c r="Y20" i="11" s="1"/>
  <c r="V20" i="11"/>
  <c r="U20" i="11"/>
  <c r="Z20" i="11" s="1"/>
  <c r="AA20" i="11" s="1"/>
  <c r="V9" i="11"/>
  <c r="U9" i="11"/>
  <c r="Z9" i="11" s="1"/>
  <c r="AA9" i="11" s="1"/>
  <c r="W9" i="11"/>
  <c r="Y9" i="11" s="1"/>
  <c r="V29" i="11"/>
  <c r="U29" i="11"/>
  <c r="Z29" i="11" s="1"/>
  <c r="AA29" i="11" s="1"/>
  <c r="W29" i="11"/>
  <c r="Y29" i="11" s="1"/>
  <c r="W17" i="11"/>
  <c r="Y17" i="11" s="1"/>
  <c r="V17" i="11"/>
  <c r="U17" i="11"/>
  <c r="Z17" i="11" s="1"/>
  <c r="AA17" i="11" s="1"/>
  <c r="V21" i="11"/>
  <c r="U21" i="11"/>
  <c r="Z21" i="11" s="1"/>
  <c r="AA21" i="11" s="1"/>
  <c r="W21" i="11"/>
  <c r="Y21" i="11" s="1"/>
  <c r="W27" i="11"/>
  <c r="V27" i="11"/>
  <c r="U27" i="11"/>
  <c r="W34" i="11"/>
  <c r="Y34" i="11" s="1"/>
  <c r="V34" i="11"/>
  <c r="U34" i="11"/>
  <c r="Z34" i="11" s="1"/>
  <c r="AA34" i="11" s="1"/>
  <c r="W28" i="11"/>
  <c r="Y28" i="11" s="1"/>
  <c r="V28" i="11"/>
  <c r="U28" i="11"/>
  <c r="Z28" i="11" s="1"/>
  <c r="AA28" i="11" s="1"/>
  <c r="W36" i="11"/>
  <c r="Y36" i="11" s="1"/>
  <c r="V36" i="11"/>
  <c r="U36" i="11"/>
  <c r="Z36" i="11" s="1"/>
  <c r="AA36" i="11" s="1"/>
  <c r="W33" i="11"/>
  <c r="Y33" i="11" s="1"/>
  <c r="V33" i="11"/>
  <c r="U33" i="11"/>
  <c r="Z33" i="11" s="1"/>
  <c r="AA33" i="11" s="1"/>
  <c r="W23" i="11"/>
  <c r="Y23" i="11" s="1"/>
  <c r="V23" i="11"/>
  <c r="U23" i="11"/>
  <c r="Z23" i="11" s="1"/>
  <c r="AA23" i="11" s="1"/>
  <c r="S30" i="10"/>
  <c r="T30" i="10" s="1"/>
  <c r="O30" i="10"/>
  <c r="J31" i="10"/>
  <c r="O6" i="10"/>
  <c r="S6" i="10"/>
  <c r="T6" i="10" s="1"/>
  <c r="S31" i="10"/>
  <c r="T31" i="10" s="1"/>
  <c r="O31" i="10"/>
  <c r="J30" i="10"/>
  <c r="S7" i="10"/>
  <c r="T7" i="10" s="1"/>
  <c r="O7" i="10"/>
  <c r="O5" i="10"/>
  <c r="S5" i="10"/>
  <c r="T5" i="10" s="1"/>
  <c r="O27" i="10"/>
  <c r="S29" i="10"/>
  <c r="T29" i="10" s="1"/>
  <c r="O29" i="10"/>
  <c r="J29" i="10"/>
  <c r="S28" i="10"/>
  <c r="T28" i="10" s="1"/>
  <c r="O28" i="10"/>
  <c r="S27" i="10"/>
  <c r="T27" i="10" s="1"/>
  <c r="J27" i="10"/>
  <c r="J26" i="10"/>
  <c r="O26" i="10"/>
  <c r="S26" i="10"/>
  <c r="T26" i="10" s="1"/>
  <c r="S14" i="10"/>
  <c r="S21" i="10"/>
  <c r="S2" i="10"/>
  <c r="T2" i="10" s="1"/>
  <c r="S9" i="10"/>
  <c r="T9" i="10" s="1"/>
  <c r="U9" i="10" s="1"/>
  <c r="S3" i="10"/>
  <c r="T3" i="10" s="1"/>
  <c r="S22" i="10"/>
  <c r="J28" i="10"/>
  <c r="S20" i="10"/>
  <c r="S15" i="10"/>
  <c r="S16" i="10"/>
  <c r="O10" i="10"/>
  <c r="O8" i="10"/>
  <c r="O3" i="10"/>
  <c r="O4" i="10"/>
  <c r="T4" i="10"/>
  <c r="T8" i="10"/>
  <c r="I4" i="10"/>
  <c r="J4" i="10" s="1"/>
  <c r="S10" i="10"/>
  <c r="T10" i="10" s="1"/>
  <c r="I9" i="10"/>
  <c r="J9" i="10" s="1"/>
  <c r="O2" i="10"/>
  <c r="I10" i="10"/>
  <c r="J10" i="10" s="1"/>
  <c r="I2" i="10"/>
  <c r="J2" i="10" s="1"/>
  <c r="I8" i="10"/>
  <c r="J8" i="10" s="1"/>
  <c r="I3" i="10"/>
  <c r="J3" i="10" s="1"/>
  <c r="O9" i="10"/>
  <c r="K18" i="1"/>
  <c r="M15" i="1"/>
  <c r="X10" i="11" l="1"/>
  <c r="X4" i="11"/>
  <c r="T7" i="1"/>
  <c r="V7" i="1" s="1"/>
  <c r="H9" i="1"/>
  <c r="H8" i="1"/>
  <c r="T6" i="1"/>
  <c r="W6" i="1" s="1"/>
  <c r="Y27" i="11"/>
  <c r="Z27" i="11"/>
  <c r="AA27" i="11" s="1"/>
  <c r="Z4" i="11"/>
  <c r="AA4" i="11" s="1"/>
  <c r="X5" i="11"/>
  <c r="X19" i="11"/>
  <c r="X18" i="11"/>
  <c r="X24" i="11"/>
  <c r="X30" i="11"/>
  <c r="X2" i="11"/>
  <c r="X11" i="11"/>
  <c r="X35" i="11"/>
  <c r="X7" i="11"/>
  <c r="X8" i="11"/>
  <c r="X3" i="11"/>
  <c r="X6" i="11"/>
  <c r="X23" i="11"/>
  <c r="X22" i="11"/>
  <c r="X13" i="11"/>
  <c r="X26" i="11"/>
  <c r="X12" i="11"/>
  <c r="X36" i="11"/>
  <c r="X31" i="11"/>
  <c r="X16" i="11"/>
  <c r="X28" i="11"/>
  <c r="X34" i="11"/>
  <c r="X21" i="11"/>
  <c r="X17" i="11"/>
  <c r="X27" i="11"/>
  <c r="X9" i="11"/>
  <c r="Y32" i="11"/>
  <c r="X32" i="11"/>
  <c r="X37" i="11"/>
  <c r="X15" i="11"/>
  <c r="X33" i="11"/>
  <c r="X20" i="11"/>
  <c r="X29" i="11"/>
  <c r="X25" i="11"/>
  <c r="V29" i="10"/>
  <c r="W29" i="10"/>
  <c r="Y29" i="10" s="1"/>
  <c r="U29" i="10"/>
  <c r="V31" i="10"/>
  <c r="W31" i="10"/>
  <c r="Y31" i="10" s="1"/>
  <c r="U31" i="10"/>
  <c r="X31" i="10" s="1"/>
  <c r="W30" i="10"/>
  <c r="Y30" i="10" s="1"/>
  <c r="U30" i="10"/>
  <c r="X30" i="10" s="1"/>
  <c r="V30" i="10"/>
  <c r="U6" i="10"/>
  <c r="W6" i="10"/>
  <c r="Y6" i="10" s="1"/>
  <c r="V6" i="10"/>
  <c r="W7" i="10"/>
  <c r="Y7" i="10" s="1"/>
  <c r="U7" i="10"/>
  <c r="V7" i="10"/>
  <c r="U5" i="10"/>
  <c r="X5" i="10" s="1"/>
  <c r="V5" i="10"/>
  <c r="W5" i="10"/>
  <c r="Y5" i="10" s="1"/>
  <c r="U27" i="10"/>
  <c r="V27" i="10"/>
  <c r="W27" i="10"/>
  <c r="Y27" i="10" s="1"/>
  <c r="V26" i="10"/>
  <c r="U26" i="10"/>
  <c r="W26" i="10"/>
  <c r="Y26" i="10" s="1"/>
  <c r="W28" i="10"/>
  <c r="Y28" i="10" s="1"/>
  <c r="U28" i="10"/>
  <c r="V28" i="10"/>
  <c r="W9" i="10"/>
  <c r="Y9" i="10" s="1"/>
  <c r="V9" i="10"/>
  <c r="U10" i="10"/>
  <c r="V10" i="10"/>
  <c r="W10" i="10"/>
  <c r="Y10" i="10" s="1"/>
  <c r="U3" i="10"/>
  <c r="W3" i="10"/>
  <c r="Y3" i="10" s="1"/>
  <c r="V3" i="10"/>
  <c r="V2" i="10"/>
  <c r="U2" i="10"/>
  <c r="W2" i="10"/>
  <c r="Y2" i="10" s="1"/>
  <c r="I2" i="1"/>
  <c r="W7" i="1" l="1"/>
  <c r="U7" i="1"/>
  <c r="V6" i="1"/>
  <c r="J8" i="1"/>
  <c r="T8" i="1"/>
  <c r="V8" i="1" s="1"/>
  <c r="U6" i="1"/>
  <c r="J9" i="1"/>
  <c r="T9" i="1"/>
  <c r="U9" i="1" s="1"/>
  <c r="X7" i="1"/>
  <c r="X7" i="10"/>
  <c r="X29" i="10"/>
  <c r="X6" i="10"/>
  <c r="X9" i="10"/>
  <c r="X26" i="10"/>
  <c r="X27" i="10"/>
  <c r="X28" i="10"/>
  <c r="X10" i="10"/>
  <c r="X2" i="10"/>
  <c r="X3" i="10"/>
  <c r="X6" i="1" l="1"/>
  <c r="U8" i="1"/>
  <c r="X8" i="1" s="1"/>
  <c r="W8" i="1"/>
  <c r="W9" i="1"/>
  <c r="V9" i="1"/>
  <c r="X9" i="1" s="1"/>
  <c r="R3" i="1" l="1"/>
  <c r="N3" i="1"/>
  <c r="P4" i="1"/>
  <c r="R4" i="1" l="1"/>
  <c r="K2" i="1" l="1"/>
  <c r="K3" i="1"/>
  <c r="K4" i="1"/>
  <c r="K5" i="1"/>
  <c r="I3" i="1" l="1"/>
  <c r="I4" i="1"/>
  <c r="I5" i="1"/>
  <c r="Q3" i="1" l="1"/>
  <c r="Q2" i="1"/>
  <c r="Q4" i="1"/>
  <c r="N4" i="1"/>
  <c r="M4" i="1"/>
  <c r="L4" i="1"/>
  <c r="U4" i="1" s="1"/>
  <c r="F4" i="1"/>
  <c r="H4" i="1" s="1"/>
  <c r="P3" i="1"/>
  <c r="W3" i="1"/>
  <c r="M3" i="1"/>
  <c r="V3" i="1" s="1"/>
  <c r="L3" i="1"/>
  <c r="F3" i="1"/>
  <c r="H3" i="1" s="1"/>
  <c r="R5" i="1"/>
  <c r="R2" i="1"/>
  <c r="Q5" i="1"/>
  <c r="P5" i="1"/>
  <c r="P2" i="1"/>
  <c r="N5" i="1"/>
  <c r="N2" i="1"/>
  <c r="M5" i="1"/>
  <c r="M2" i="1"/>
  <c r="L5" i="1"/>
  <c r="L2" i="1"/>
  <c r="F5" i="1"/>
  <c r="H5" i="1" s="1"/>
  <c r="F2" i="1"/>
  <c r="H2" i="1" s="1"/>
  <c r="J5" i="1" l="1"/>
  <c r="J3" i="1"/>
  <c r="J4" i="1"/>
  <c r="J2" i="1"/>
  <c r="S4" i="1"/>
  <c r="S3" i="1"/>
  <c r="V2" i="1"/>
  <c r="O3" i="1"/>
  <c r="V4" i="1"/>
  <c r="W4" i="1"/>
  <c r="O4" i="1"/>
  <c r="U3" i="1"/>
  <c r="X3" i="1" s="1"/>
  <c r="S2" i="1"/>
  <c r="W2" i="1"/>
  <c r="W5" i="1"/>
  <c r="S5" i="1"/>
  <c r="O5" i="1"/>
  <c r="V5" i="1"/>
  <c r="U5" i="1"/>
  <c r="O2" i="1"/>
  <c r="U2" i="1"/>
  <c r="Y3" i="1" l="1"/>
  <c r="W4" i="10"/>
  <c r="Y4" i="10" s="1"/>
  <c r="V4" i="10"/>
  <c r="U4" i="10"/>
  <c r="U8" i="10"/>
  <c r="V8" i="10"/>
  <c r="W8" i="10"/>
  <c r="Y8" i="10" s="1"/>
  <c r="X4" i="1"/>
  <c r="Y4" i="1" s="1"/>
  <c r="X5" i="1"/>
  <c r="Y5" i="1" s="1"/>
  <c r="X2" i="1"/>
  <c r="Y2" i="1" l="1"/>
  <c r="AA4" i="1"/>
  <c r="AB4" i="1"/>
  <c r="Z4" i="1"/>
  <c r="Z5" i="1"/>
  <c r="AB5" i="1"/>
  <c r="AA5" i="1"/>
  <c r="AB3" i="1"/>
  <c r="Z3" i="1"/>
  <c r="AA3" i="1"/>
  <c r="X8" i="10"/>
  <c r="X4" i="10"/>
  <c r="AC4" i="1" l="1"/>
  <c r="AC5" i="1"/>
  <c r="AC3" i="1"/>
  <c r="Z2" i="1"/>
  <c r="AB2" i="1"/>
  <c r="AA2" i="1"/>
  <c r="AC2" i="1" l="1"/>
</calcChain>
</file>

<file path=xl/sharedStrings.xml><?xml version="1.0" encoding="utf-8"?>
<sst xmlns="http://schemas.openxmlformats.org/spreadsheetml/2006/main" count="264" uniqueCount="109">
  <si>
    <t>inclusion</t>
  </si>
  <si>
    <t>Volume</t>
  </si>
  <si>
    <t>BB X</t>
  </si>
  <si>
    <t>BB Y</t>
  </si>
  <si>
    <t>BB Z</t>
  </si>
  <si>
    <t>Cell Volume</t>
  </si>
  <si>
    <t>Cell X</t>
  </si>
  <si>
    <t>Cell Y</t>
  </si>
  <si>
    <t>Cell Z</t>
  </si>
  <si>
    <t>V Ellipsoid BB</t>
  </si>
  <si>
    <t>Proportional X</t>
  </si>
  <si>
    <t>Proportional Y</t>
  </si>
  <si>
    <t>Proportional Z</t>
  </si>
  <si>
    <t>V Ellipsoid Proportional</t>
  </si>
  <si>
    <t>Proportional BB X</t>
  </si>
  <si>
    <t>Proportional BB Y</t>
  </si>
  <si>
    <t>Proportional BB Z</t>
  </si>
  <si>
    <t>V BB Proportional</t>
  </si>
  <si>
    <t>Vcell</t>
  </si>
  <si>
    <t>Ncell</t>
  </si>
  <si>
    <t>V BB</t>
  </si>
  <si>
    <t>Ellipsoid Multiplier</t>
  </si>
  <si>
    <t>BB Multiplier</t>
  </si>
  <si>
    <t>Unit Conversion</t>
  </si>
  <si>
    <t>Orientation</t>
  </si>
  <si>
    <t>Parallel</t>
  </si>
  <si>
    <t>Perpendicular</t>
  </si>
  <si>
    <t>E Ellipsoid 110 310</t>
  </si>
  <si>
    <t>Eps Ellipsoid 110 310</t>
  </si>
  <si>
    <t>Used lcoarse=1 and per2pi = 50</t>
  </si>
  <si>
    <t>Volume Loading</t>
  </si>
  <si>
    <t>Atomic Loading</t>
  </si>
  <si>
    <t>N Silver</t>
  </si>
  <si>
    <t>N at</t>
  </si>
  <si>
    <t>E Cuboid 60 160</t>
  </si>
  <si>
    <t>cuboid X</t>
  </si>
  <si>
    <t>cuboid Y</t>
  </si>
  <si>
    <t>cuboid Z</t>
  </si>
  <si>
    <t>Eps Cuboid 60 160</t>
  </si>
  <si>
    <t>lcoarse = 0.5 for the cuboid</t>
  </si>
  <si>
    <t>Ag8 Volume</t>
  </si>
  <si>
    <t>Ag12 Volume</t>
  </si>
  <si>
    <t>dV</t>
  </si>
  <si>
    <t>dV % Ag8</t>
  </si>
  <si>
    <t>Extrapolate</t>
  </si>
  <si>
    <t xml:space="preserve">Ag16 Volume </t>
  </si>
  <si>
    <t>Or Using Simple Multiples of Ag8</t>
  </si>
  <si>
    <t>Ag20 Volume</t>
  </si>
  <si>
    <t>Or Using Simple Multiples of Ag9</t>
  </si>
  <si>
    <t>Volumes of Larger Rods</t>
  </si>
  <si>
    <t>Dimensions of Larger Rods</t>
  </si>
  <si>
    <t>Ag12</t>
  </si>
  <si>
    <t>BBX</t>
  </si>
  <si>
    <t>BBY</t>
  </si>
  <si>
    <t>BBZ</t>
  </si>
  <si>
    <t>Think of Z as a BBX / Y plus one middle unit of the rod</t>
  </si>
  <si>
    <t>Mid Unit</t>
  </si>
  <si>
    <t>Ag16</t>
  </si>
  <si>
    <t>Ag20</t>
  </si>
  <si>
    <t>Eps Ellipsoid 460 15 Perp</t>
  </si>
  <si>
    <t>Eps Ellipsoid 110 310 Para</t>
  </si>
  <si>
    <t>Eps Ellipsoid 110 310 Perp</t>
  </si>
  <si>
    <t>Eps Ellipsoid 460 15 Para</t>
  </si>
  <si>
    <t>Matrix Cell Dimensions</t>
  </si>
  <si>
    <t>3x3x3</t>
  </si>
  <si>
    <t>unit</t>
  </si>
  <si>
    <t>NC Cell Dimensions</t>
  </si>
  <si>
    <t>2x2x2</t>
  </si>
  <si>
    <t>2x2x3</t>
  </si>
  <si>
    <t xml:space="preserve">Cell Unit Len </t>
  </si>
  <si>
    <t>Padding (single layers per side)</t>
  </si>
  <si>
    <t>inc xy</t>
  </si>
  <si>
    <t>inc z</t>
  </si>
  <si>
    <t>Volumes of Larger Disks</t>
  </si>
  <si>
    <t>Ag18 Volume</t>
  </si>
  <si>
    <t>Outer</t>
  </si>
  <si>
    <t xml:space="preserve">Ag32 Volume </t>
  </si>
  <si>
    <t>Inner</t>
  </si>
  <si>
    <t>Ag72 Volume</t>
  </si>
  <si>
    <t>3x3x2</t>
  </si>
  <si>
    <t>Ag18</t>
  </si>
  <si>
    <t>Ag32</t>
  </si>
  <si>
    <t>Ag72</t>
  </si>
  <si>
    <t>Interface-Cell Boundary Gap Z</t>
  </si>
  <si>
    <t>Interface-Cell Boundary Gap XY</t>
  </si>
  <si>
    <t>Gap Big Enough</t>
  </si>
  <si>
    <t>Eps Ellipsoid 110 310 Para Rounded</t>
  </si>
  <si>
    <t>Eps Ellipsoid 460 15 Para Rounded</t>
  </si>
  <si>
    <t>Eps Ellipsoid 110 310 Perp Rounded</t>
  </si>
  <si>
    <t>Eps Ellipsoid 460 15 Perp Rounded</t>
  </si>
  <si>
    <t>2 2 6</t>
  </si>
  <si>
    <t>2 2 8</t>
  </si>
  <si>
    <t>2 2 10</t>
  </si>
  <si>
    <t>2 2 12</t>
  </si>
  <si>
    <t>2 2 14</t>
  </si>
  <si>
    <t>4 4 2</t>
  </si>
  <si>
    <t>6 6 2</t>
  </si>
  <si>
    <t>8 8 2</t>
  </si>
  <si>
    <t>10 10 2</t>
  </si>
  <si>
    <t>12 12 2</t>
  </si>
  <si>
    <t>14 14 2</t>
  </si>
  <si>
    <t>Dimensions of Larger Cells</t>
  </si>
  <si>
    <t>2x2x4</t>
  </si>
  <si>
    <t>2x2x5</t>
  </si>
  <si>
    <t>Eps Ellipsoid 32 63 (t=1)</t>
  </si>
  <si>
    <t>E Ellipsoid 32 63 Para</t>
  </si>
  <si>
    <t>E Ellipsoid 32 63 Perp</t>
  </si>
  <si>
    <t>Eps Ellipsoid 32 63 Para</t>
  </si>
  <si>
    <t>Eps Ellipsoid 32 63 Perp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</si>
</sst>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scheme val="minor"/>
    </font>
    <font>
      <sz val="11"/>
      <color rgb="FF000000"/>
      <name val="Menlo"/>
      <family val="2"/>
    </font>
    <font>
      <sz val="10"/>
      <color theme="1"/>
      <name val="Var(--jp-code-font-family)"/>
    </font>
    <font>
      <sz val="12"/>
      <color rgb="FF000000"/>
      <name val="Calibri"/>
      <family val="2"/>
      <scheme val="minor"/>
    </font>
    <font>
      <sz val="17"/>
      <color theme="1"/>
      <name val="STIXMathJax_Main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2">
    <border>
      <left/>
      <right/>
      <top/>
      <bottom/>
      <diagonal/>
    </border>
    <border>
      <left/>
      <right/>
      <top/>
      <bottom style="thin">
        <color theme="1"/>
      </bottom>
      <diagonal/>
    </border>
  </borders>
  <cellStyleXfs count="1">
    <xf numFmtId="0" fontId="0" fillId="0" borderId="0"/>
  </cellStyleXfs>
  <cellXfs count="27">
    <xf numFmtId="0" fontId="0" fillId="0" borderId="0" xfId="0"/>
    <xf numFmtId="11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2" borderId="0" xfId="0" applyFont="1" applyFill="1"/>
    <xf numFmtId="0" fontId="0" fillId="0" borderId="0" xfId="0" applyFont="1"/>
    <xf numFmtId="0" fontId="0" fillId="0" borderId="0" xfId="0" applyNumberFormat="1"/>
    <xf numFmtId="0" fontId="0" fillId="2" borderId="1" xfId="0" applyFont="1" applyFill="1" applyBorder="1"/>
    <xf numFmtId="0" fontId="0" fillId="2" borderId="0" xfId="0" applyNumberFormat="1" applyFont="1" applyFill="1"/>
    <xf numFmtId="0" fontId="0" fillId="2" borderId="0" xfId="0" applyFont="1" applyFill="1" applyAlignment="1"/>
    <xf numFmtId="0" fontId="0" fillId="0" borderId="0" xfId="0" applyFont="1" applyAlignment="1"/>
    <xf numFmtId="11" fontId="0" fillId="2" borderId="0" xfId="0" applyNumberFormat="1" applyFont="1" applyFill="1" applyAlignment="1"/>
    <xf numFmtId="11" fontId="0" fillId="0" borderId="0" xfId="0" applyNumberFormat="1" applyFont="1" applyAlignment="1"/>
    <xf numFmtId="0" fontId="0" fillId="2" borderId="1" xfId="0" applyFont="1" applyFill="1" applyBorder="1" applyAlignment="1"/>
    <xf numFmtId="11" fontId="0" fillId="2" borderId="1" xfId="0" applyNumberFormat="1" applyFont="1" applyFill="1" applyBorder="1" applyAlignment="1"/>
    <xf numFmtId="0" fontId="0" fillId="2" borderId="0" xfId="0" applyFont="1" applyFill="1" applyBorder="1"/>
    <xf numFmtId="0" fontId="4" fillId="0" borderId="0" xfId="0" applyFont="1"/>
    <xf numFmtId="0" fontId="0" fillId="0" borderId="0" xfId="0" applyFill="1"/>
    <xf numFmtId="0" fontId="3" fillId="0" borderId="0" xfId="0" applyFont="1" applyFill="1"/>
    <xf numFmtId="11" fontId="0" fillId="0" borderId="0" xfId="0" applyNumberFormat="1" applyFill="1"/>
    <xf numFmtId="0" fontId="0" fillId="0" borderId="0" xfId="0" applyFont="1" applyFill="1"/>
    <xf numFmtId="11" fontId="0" fillId="0" borderId="0" xfId="0" applyNumberFormat="1" applyFont="1" applyFill="1"/>
    <xf numFmtId="11" fontId="0" fillId="0" borderId="0" xfId="0" applyNumberFormat="1" applyFont="1" applyFill="1" applyAlignment="1"/>
    <xf numFmtId="0" fontId="0" fillId="0" borderId="0" xfId="0" applyFont="1" applyFill="1" applyAlignment="1"/>
    <xf numFmtId="0" fontId="0" fillId="0" borderId="0" xfId="0" applyFont="1" applyFill="1" applyBorder="1"/>
    <xf numFmtId="0" fontId="0" fillId="0" borderId="0" xfId="0" applyNumberFormat="1" applyFont="1" applyFill="1" applyBorder="1"/>
  </cellXfs>
  <cellStyles count="1">
    <cellStyle name="Normal" xfId="0" builtinId="0"/>
  </cellStyles>
  <dxfs count="4">
    <dxf>
      <numFmt numFmtId="0" formatCode="General"/>
    </dxf>
    <dxf>
      <numFmt numFmtId="15" formatCode="0.00E+00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9843D33-AD86-AA44-890A-9F76D6D6C25F}" name="Table1" displayName="Table1" ref="A1:AK9" totalsRowShown="0">
  <autoFilter ref="A1:AK9" xr:uid="{E6213752-C02B-E640-A9F9-A36D6388A747}"/>
  <sortState ref="A2:AH5">
    <sortCondition ref="A2:A5"/>
    <sortCondition ref="B2:B5"/>
  </sortState>
  <tableColumns count="37">
    <tableColumn id="1" xr3:uid="{01064C98-E0AB-E84E-AD12-10BE1853E924}" name="inclusion"/>
    <tableColumn id="2" xr3:uid="{3DA681C5-ABF7-3140-8E4D-1894D59C570E}" name="Orientation"/>
    <tableColumn id="32" xr3:uid="{D2E87E15-9150-0F43-9216-ABCF730CE9CA}" name="N Silver"/>
    <tableColumn id="33" xr3:uid="{8939A0FE-D8CD-5141-AF09-EE0FBD7704FC}" name="N at"/>
    <tableColumn id="3" xr3:uid="{EF1C30F6-F558-5445-86A6-9AD3DC216F1C}" name="Unit Conversion"/>
    <tableColumn id="4" xr3:uid="{FF1A9988-D45C-B447-B5C0-172972CE7D08}" name="Vcell"/>
    <tableColumn id="5" xr3:uid="{E651ECFA-FD46-2C4B-855E-9B80DCD4CD4E}" name="Ncell"/>
    <tableColumn id="6" xr3:uid="{FDFAA41D-7CE2-C249-B1FE-3967CB661D0C}" name="Volume">
      <calculatedColumnFormula>G2*F2</calculatedColumnFormula>
    </tableColumn>
    <tableColumn id="7" xr3:uid="{B376D99F-29EE-934A-95D2-D7D1AE5C45E0}" name="Cell Volume"/>
    <tableColumn id="30" xr3:uid="{4BE25890-5123-C34D-8252-4F9D1C39DE04}" name="Volume Loading" dataDxfId="3">
      <calculatedColumnFormula>Table1[[#This Row],[Volume]]/Table1[[#This Row],[Cell Volume]]</calculatedColumnFormula>
    </tableColumn>
    <tableColumn id="31" xr3:uid="{1483B161-6B49-BF43-961E-7668278129D0}" name="Atomic Loading" dataDxfId="2">
      <calculatedColumnFormula>Table1[[#This Row],[N Silver]]/Table1[[#This Row],[N at]]</calculatedColumnFormula>
    </tableColumn>
    <tableColumn id="8" xr3:uid="{AA513C6E-A767-4A44-9FCD-2483C8C02713}" name="BB X"/>
    <tableColumn id="9" xr3:uid="{4BB5E2D1-B4DD-214B-B8A7-15D68CEC39EC}" name="BB Y"/>
    <tableColumn id="10" xr3:uid="{6033ABE3-82E4-8A45-8733-B20AD45EFF32}" name="BB Z"/>
    <tableColumn id="11" xr3:uid="{9EDE4793-A0D8-AF42-AB51-842D81F00E3E}" name="V BB">
      <calculatedColumnFormula>L2*M2*N2</calculatedColumnFormula>
    </tableColumn>
    <tableColumn id="12" xr3:uid="{F5749277-6118-964E-BFE6-21F86B7C9697}" name="Cell X"/>
    <tableColumn id="13" xr3:uid="{9817F0AD-F39F-D942-9C80-63FE80A8BF03}" name="Cell Y"/>
    <tableColumn id="14" xr3:uid="{62142DE3-4111-704C-8CF8-3DAC6A866FA8}" name="Cell Z"/>
    <tableColumn id="15" xr3:uid="{4F51B72A-CC97-4B41-B481-6CD37FA72035}" name="V Ellipsoid BB">
      <calculatedColumnFormula>4/3*PI()*L2*M2*N2 / 8</calculatedColumnFormula>
    </tableColumn>
    <tableColumn id="16" xr3:uid="{02F06A7E-F61E-8841-A34A-46BDF7AED095}" name="Ellipsoid Multiplier"/>
    <tableColumn id="17" xr3:uid="{14B06D8B-2EDE-AD48-8107-9079553813A8}" name="Proportional X">
      <calculatedColumnFormula>T2*L2</calculatedColumnFormula>
    </tableColumn>
    <tableColumn id="18" xr3:uid="{FC82E35E-E154-9A47-898D-4F6BE36454B9}" name="Proportional Y">
      <calculatedColumnFormula>T2*M2</calculatedColumnFormula>
    </tableColumn>
    <tableColumn id="19" xr3:uid="{6D19E0EA-30EE-C948-BF23-17E7E413A358}" name="Proportional Z">
      <calculatedColumnFormula>T2*N2</calculatedColumnFormula>
    </tableColumn>
    <tableColumn id="20" xr3:uid="{52667CA3-42BC-5949-851C-B555A79D7F63}" name="V Ellipsoid Proportional">
      <calculatedColumnFormula>4/3*PI()*U2/2*V2/2*W2/2</calculatedColumnFormula>
    </tableColumn>
    <tableColumn id="21" xr3:uid="{62DACBBB-7181-7B41-91E8-D4B9A34BE9DA}" name="BB Multiplier"/>
    <tableColumn id="22" xr3:uid="{10F1133C-AE5B-1F4C-A154-F2F9C4663EF0}" name="Proportional BB X">
      <calculatedColumnFormula>Y2*L2</calculatedColumnFormula>
    </tableColumn>
    <tableColumn id="23" xr3:uid="{1FD9802A-9F94-B248-8AB3-67B1AD94DFC2}" name="Proportional BB Y">
      <calculatedColumnFormula>Y2*M2</calculatedColumnFormula>
    </tableColumn>
    <tableColumn id="24" xr3:uid="{9FE965BA-3788-C74D-BE27-1A4B127F8D14}" name="Proportional BB Z">
      <calculatedColumnFormula>Y2*N2</calculatedColumnFormula>
    </tableColumn>
    <tableColumn id="25" xr3:uid="{8F03686B-E8E5-6D4F-861E-DC723FAF4E10}" name="V BB Proportional">
      <calculatedColumnFormula>Z2*AA2*AB2</calculatedColumnFormula>
    </tableColumn>
    <tableColumn id="37" xr3:uid="{971431BA-B114-F44B-8EE0-77974F05AAF3}" name="cuboid X"/>
    <tableColumn id="36" xr3:uid="{0D53855B-54D4-EE4C-BAE6-D3D8B09A4F62}" name="cuboid Y"/>
    <tableColumn id="35" xr3:uid="{2EEF166F-BF3A-0F43-A619-E64205896085}" name="cuboid Z"/>
    <tableColumn id="28" xr3:uid="{DDBE49DC-455C-D14D-A90C-468BCF80BDE5}" name="E Ellipsoid 110 310" dataDxfId="1"/>
    <tableColumn id="29" xr3:uid="{52EB5627-630F-C649-A169-973B270BADA2}" name="Eps Ellipsoid 110 310"/>
    <tableColumn id="34" xr3:uid="{79A16D7F-ABFE-B446-BA03-48CAB7D64E70}" name="E Cuboid 60 160"/>
    <tableColumn id="38" xr3:uid="{1E288E49-121D-4442-AD90-FA0308522F7A}" name="Eps Cuboid 60 160" dataDxfId="0">
      <calculatedColumnFormula>2*AI2*R2/2/(P2/2*Q2/2*0.5^2*8.85418782E-12)</calculatedColumnFormula>
    </tableColumn>
    <tableColumn id="47" xr3:uid="{29FB2374-2137-DB44-8B6F-517CF077F5D5}" name="Eps Ellipsoid 32 63 (t=1)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6FD5D-5775-6547-8210-96E24ACD2563}">
  <dimension ref="A1:AN32"/>
  <sheetViews>
    <sheetView tabSelected="1" zoomScale="84" workbookViewId="0">
      <selection activeCell="M21" sqref="M21"/>
    </sheetView>
  </sheetViews>
  <sheetFormatPr baseColWidth="10" defaultRowHeight="16"/>
  <cols>
    <col min="2" max="4" width="13.33203125" customWidth="1"/>
    <col min="5" max="5" width="16.33203125" customWidth="1"/>
    <col min="9" max="11" width="13.33203125" customWidth="1"/>
    <col min="16" max="16" width="13" customWidth="1"/>
    <col min="17" max="17" width="12.33203125" bestFit="1" customWidth="1"/>
    <col min="19" max="19" width="14.83203125" customWidth="1"/>
    <col min="20" max="20" width="18.83203125" customWidth="1"/>
    <col min="21" max="23" width="15" customWidth="1"/>
    <col min="24" max="24" width="22.5" customWidth="1"/>
    <col min="25" max="25" width="20.6640625" customWidth="1"/>
    <col min="26" max="26" width="18.33203125" customWidth="1"/>
    <col min="27" max="27" width="17.83203125" customWidth="1"/>
    <col min="28" max="28" width="19.6640625" customWidth="1"/>
    <col min="29" max="32" width="18" customWidth="1"/>
    <col min="33" max="33" width="18.83203125" customWidth="1"/>
    <col min="34" max="34" width="20.6640625" customWidth="1"/>
    <col min="35" max="35" width="18.1640625" customWidth="1"/>
    <col min="36" max="36" width="17.83203125" customWidth="1"/>
    <col min="37" max="37" width="24.6640625" customWidth="1"/>
  </cols>
  <sheetData>
    <row r="1" spans="1:40">
      <c r="A1" t="s">
        <v>0</v>
      </c>
      <c r="B1" t="s">
        <v>24</v>
      </c>
      <c r="C1" t="s">
        <v>32</v>
      </c>
      <c r="D1" t="s">
        <v>33</v>
      </c>
      <c r="E1" t="s">
        <v>23</v>
      </c>
      <c r="F1" t="s">
        <v>18</v>
      </c>
      <c r="G1" t="s">
        <v>19</v>
      </c>
      <c r="H1" t="s">
        <v>1</v>
      </c>
      <c r="I1" t="s">
        <v>5</v>
      </c>
      <c r="J1" t="s">
        <v>30</v>
      </c>
      <c r="K1" t="s">
        <v>31</v>
      </c>
      <c r="L1" t="s">
        <v>2</v>
      </c>
      <c r="M1" t="s">
        <v>3</v>
      </c>
      <c r="N1" t="s">
        <v>4</v>
      </c>
      <c r="O1" t="s">
        <v>20</v>
      </c>
      <c r="P1" t="s">
        <v>6</v>
      </c>
      <c r="Q1" t="s">
        <v>7</v>
      </c>
      <c r="R1" t="s">
        <v>8</v>
      </c>
      <c r="S1" t="s">
        <v>9</v>
      </c>
      <c r="T1" t="s">
        <v>21</v>
      </c>
      <c r="U1" t="s">
        <v>10</v>
      </c>
      <c r="V1" t="s">
        <v>11</v>
      </c>
      <c r="W1" t="s">
        <v>12</v>
      </c>
      <c r="X1" t="s">
        <v>13</v>
      </c>
      <c r="Y1" t="s">
        <v>22</v>
      </c>
      <c r="Z1" t="s">
        <v>14</v>
      </c>
      <c r="AA1" t="s">
        <v>15</v>
      </c>
      <c r="AB1" t="s">
        <v>16</v>
      </c>
      <c r="AC1" t="s">
        <v>17</v>
      </c>
      <c r="AD1" t="s">
        <v>35</v>
      </c>
      <c r="AE1" t="s">
        <v>36</v>
      </c>
      <c r="AF1" t="s">
        <v>37</v>
      </c>
      <c r="AG1" t="s">
        <v>27</v>
      </c>
      <c r="AH1" t="s">
        <v>28</v>
      </c>
      <c r="AI1" t="s">
        <v>34</v>
      </c>
      <c r="AJ1" t="s">
        <v>38</v>
      </c>
      <c r="AK1" t="s">
        <v>104</v>
      </c>
    </row>
    <row r="2" spans="1:40">
      <c r="A2">
        <v>223</v>
      </c>
      <c r="B2" t="s">
        <v>25</v>
      </c>
      <c r="C2">
        <v>12</v>
      </c>
      <c r="D2">
        <v>288</v>
      </c>
      <c r="E2">
        <v>0.52917700000000001</v>
      </c>
      <c r="F2">
        <f>0.00207140609*E2^3</f>
        <v>3.0695034678386107E-4</v>
      </c>
      <c r="G2">
        <v>712978</v>
      </c>
      <c r="H2">
        <f>G2*F2</f>
        <v>218.84884434926371</v>
      </c>
      <c r="I2">
        <f>19548.2404721*Table1[[#This Row],[Unit Conversion]]^3</f>
        <v>2896.7469106578724</v>
      </c>
      <c r="J2">
        <f>Table1[[#This Row],[Volume]]/Table1[[#This Row],[Cell Volume]]</f>
        <v>7.5549867178269142E-2</v>
      </c>
      <c r="K2">
        <f>Table1[[#This Row],[N Silver]]/Table1[[#This Row],[N at]]</f>
        <v>4.1666666666666664E-2</v>
      </c>
      <c r="L2">
        <f>(81.099+19.493)*0.127825 * E2</f>
        <v>6.8042490961147992</v>
      </c>
      <c r="M2">
        <f>103.9*0.127824*E2</f>
        <v>7.0279540161072003</v>
      </c>
      <c r="N2">
        <f>137.21 * 0.126776*E2</f>
        <v>9.2049994973279201</v>
      </c>
      <c r="O2">
        <f t="shared" ref="O2:O9" si="0">L2*M2*N2</f>
        <v>440.18261351808547</v>
      </c>
      <c r="P2">
        <f>192*0.127825*E2</f>
        <v>12.9872736048</v>
      </c>
      <c r="Q2">
        <f>192*0.127824*E2</f>
        <v>12.987172002815999</v>
      </c>
      <c r="R2">
        <f>256*0.126776*E2</f>
        <v>17.174257498111999</v>
      </c>
      <c r="S2">
        <f t="shared" ref="S2:S9" si="1">4/3*PI()*L2*M2*N2 / 8</f>
        <v>230.47907747772868</v>
      </c>
      <c r="T2">
        <v>0.98288849193862105</v>
      </c>
      <c r="U2">
        <f t="shared" ref="U2:U9" si="2">T2*L2</f>
        <v>6.6878181328549999</v>
      </c>
      <c r="V2">
        <f t="shared" ref="V2:V9" si="3">T2*M2</f>
        <v>6.9076951243055813</v>
      </c>
      <c r="W2">
        <f t="shared" ref="W2:W9" si="4">T2*N2</f>
        <v>9.0474880742244039</v>
      </c>
      <c r="X2">
        <f t="shared" ref="X2:X9" si="5">4/3*PI()*U2/2*V2/2*W2/2</f>
        <v>218.84884431428856</v>
      </c>
      <c r="Y2">
        <f>(X2/O2)^(1/3)</f>
        <v>0.79220417035021928</v>
      </c>
      <c r="Z2">
        <f t="shared" ref="Z2:Z5" si="6">Y2*L2</f>
        <v>5.3903545100438537</v>
      </c>
      <c r="AA2">
        <f t="shared" ref="AA2:AA5" si="7">Y2*M2</f>
        <v>5.5675744805896965</v>
      </c>
      <c r="AB2">
        <f t="shared" ref="AB2:AB5" si="8">Y2*N2</f>
        <v>7.2922389898548508</v>
      </c>
      <c r="AC2">
        <f t="shared" ref="AC2:AC5" si="9">Z2*AA2*AB2</f>
        <v>218.8488443142885</v>
      </c>
      <c r="AD2" s="3">
        <v>5.7177419338740103</v>
      </c>
      <c r="AE2" s="3">
        <v>5.9057254988275503</v>
      </c>
      <c r="AF2" s="3">
        <v>7.7351388643644201</v>
      </c>
      <c r="AG2" s="1">
        <v>7.6215153133979901E-11</v>
      </c>
      <c r="AH2">
        <v>14.0238208931755</v>
      </c>
      <c r="AI2" s="1">
        <v>7.8407884718105498E-11</v>
      </c>
      <c r="AJ2">
        <v>14.4270115043233</v>
      </c>
      <c r="AK2">
        <v>12.12341895546</v>
      </c>
    </row>
    <row r="3" spans="1:40">
      <c r="A3">
        <v>223</v>
      </c>
      <c r="B3" t="s">
        <v>26</v>
      </c>
      <c r="C3">
        <v>12</v>
      </c>
      <c r="D3">
        <v>288</v>
      </c>
      <c r="E3">
        <v>0.52917700000000001</v>
      </c>
      <c r="F3">
        <f>0.00207140609*E3^3</f>
        <v>3.0695034678386107E-4</v>
      </c>
      <c r="G3">
        <v>712978</v>
      </c>
      <c r="H3">
        <f>G3*F3</f>
        <v>218.84884434926371</v>
      </c>
      <c r="I3">
        <f>19548.2404721*Table1[[#This Row],[Unit Conversion]]^3</f>
        <v>2896.7469106578724</v>
      </c>
      <c r="J3">
        <f>Table1[[#This Row],[Volume]]/Table1[[#This Row],[Cell Volume]]</f>
        <v>7.5549867178269142E-2</v>
      </c>
      <c r="K3">
        <f>Table1[[#This Row],[N Silver]]/Table1[[#This Row],[N at]]</f>
        <v>4.1666666666666664E-2</v>
      </c>
      <c r="L3">
        <f>(81.099+19.493)*0.127825 * E3</f>
        <v>6.8042490961147992</v>
      </c>
      <c r="M3">
        <f>103.9*0.127824*E3</f>
        <v>7.0279540161072003</v>
      </c>
      <c r="N3">
        <f>137.21 * 0.126776*E3</f>
        <v>9.2049994973279201</v>
      </c>
      <c r="O3">
        <f t="shared" si="0"/>
        <v>440.18261351808547</v>
      </c>
      <c r="P3">
        <f>192*0.127825*E3</f>
        <v>12.9872736048</v>
      </c>
      <c r="Q3">
        <f>192*0.127824*E3</f>
        <v>12.987172002815999</v>
      </c>
      <c r="R3">
        <f>256*0.126776*E3</f>
        <v>17.174257498111999</v>
      </c>
      <c r="S3">
        <f t="shared" si="1"/>
        <v>230.47907747772868</v>
      </c>
      <c r="T3">
        <v>0.98288849193862105</v>
      </c>
      <c r="U3">
        <f t="shared" si="2"/>
        <v>6.6878181328549999</v>
      </c>
      <c r="V3">
        <f t="shared" si="3"/>
        <v>6.9076951243055813</v>
      </c>
      <c r="W3">
        <f t="shared" si="4"/>
        <v>9.0474880742244039</v>
      </c>
      <c r="X3">
        <f t="shared" si="5"/>
        <v>218.84884431428856</v>
      </c>
      <c r="Y3">
        <f>(X3/O3)^(1/3)</f>
        <v>0.79220417035021928</v>
      </c>
      <c r="Z3">
        <f t="shared" si="6"/>
        <v>5.3903545100438537</v>
      </c>
      <c r="AA3">
        <f t="shared" si="7"/>
        <v>5.5675744805896965</v>
      </c>
      <c r="AB3">
        <f t="shared" si="8"/>
        <v>7.2922389898548508</v>
      </c>
      <c r="AC3">
        <f t="shared" si="9"/>
        <v>218.8488443142885</v>
      </c>
      <c r="AD3" s="3">
        <v>5.7177419338740103</v>
      </c>
      <c r="AE3" s="3">
        <v>7.7351388643644201</v>
      </c>
      <c r="AF3" s="3">
        <v>5.9057254988275503</v>
      </c>
      <c r="AG3" s="1">
        <v>1.28750712509865E-10</v>
      </c>
      <c r="AH3">
        <v>13.5471966480617</v>
      </c>
      <c r="AI3" s="1">
        <v>1.34957090235789E-10</v>
      </c>
      <c r="AJ3">
        <v>14.199909965727599</v>
      </c>
      <c r="AK3">
        <v>11.931106245315499</v>
      </c>
    </row>
    <row r="4" spans="1:40">
      <c r="A4">
        <v>332</v>
      </c>
      <c r="B4" t="s">
        <v>25</v>
      </c>
      <c r="C4">
        <v>18</v>
      </c>
      <c r="D4">
        <v>384</v>
      </c>
      <c r="E4">
        <v>0.52917700000000001</v>
      </c>
      <c r="F4">
        <f>0.00200077524*E4^3</f>
        <v>2.9648394716970389E-4</v>
      </c>
      <c r="G4">
        <v>1088940</v>
      </c>
      <c r="H4">
        <f>G4*F4</f>
        <v>322.85322943097736</v>
      </c>
      <c r="I4">
        <f>26224.5612972*Table1[[#This Row],[Unit Conversion]]^3</f>
        <v>3886.074402933788</v>
      </c>
      <c r="J4">
        <f>Table1[[#This Row],[Volume]]/Table1[[#This Row],[Cell Volume]]</f>
        <v>8.3079528582170131E-2</v>
      </c>
      <c r="K4">
        <f>Table1[[#This Row],[N Silver]]/Table1[[#This Row],[N at]]</f>
        <v>4.6875E-2</v>
      </c>
      <c r="L4">
        <f>136.63*0.126926 * E4</f>
        <v>9.1769342882102602</v>
      </c>
      <c r="M4">
        <f>137.25*0.126926*E4</f>
        <v>9.2185774065495014</v>
      </c>
      <c r="N4">
        <f>106.3*0.124193*E4</f>
        <v>6.9860444148142999</v>
      </c>
      <c r="O4">
        <f t="shared" si="0"/>
        <v>591.00733514437809</v>
      </c>
      <c r="P4">
        <f>256*0.126926*E4</f>
        <v>17.194577894912001</v>
      </c>
      <c r="Q4">
        <f>256*0.126926*E4</f>
        <v>17.194577894912001</v>
      </c>
      <c r="R4">
        <f>200*0.124193*E4</f>
        <v>13.144015832199999</v>
      </c>
      <c r="S4">
        <f t="shared" si="1"/>
        <v>309.45071705120984</v>
      </c>
      <c r="T4">
        <v>1.01423333509707</v>
      </c>
      <c r="U4">
        <f t="shared" si="2"/>
        <v>9.3075526690981487</v>
      </c>
      <c r="V4">
        <f t="shared" si="3"/>
        <v>9.3497885078951999</v>
      </c>
      <c r="W4">
        <f t="shared" si="4"/>
        <v>7.0854791259733663</v>
      </c>
      <c r="X4">
        <f t="shared" si="5"/>
        <v>322.85322945385258</v>
      </c>
      <c r="Y4">
        <f>(X4/O4)^(1/3)</f>
        <v>0.81746798783588337</v>
      </c>
      <c r="Z4">
        <f t="shared" si="6"/>
        <v>7.5018500070853662</v>
      </c>
      <c r="AA4">
        <f t="shared" si="7"/>
        <v>7.5358919232413575</v>
      </c>
      <c r="AB4">
        <f t="shared" si="8"/>
        <v>5.7108676707103569</v>
      </c>
      <c r="AC4">
        <f t="shared" si="9"/>
        <v>322.85322945385258</v>
      </c>
      <c r="AD4" s="3">
        <v>7.8593245385059598</v>
      </c>
      <c r="AE4" s="3">
        <v>5.9829991775900604</v>
      </c>
      <c r="AF4" s="3">
        <v>7.8949886041672501</v>
      </c>
      <c r="AG4" s="1">
        <v>1.00941504693065E-10</v>
      </c>
      <c r="AH4">
        <v>13.877571586356501</v>
      </c>
      <c r="AI4" s="1">
        <v>1.03734630562155E-10</v>
      </c>
      <c r="AJ4">
        <v>14.261557049535901</v>
      </c>
      <c r="AK4">
        <v>12.049989736962701</v>
      </c>
    </row>
    <row r="5" spans="1:40">
      <c r="A5">
        <v>332</v>
      </c>
      <c r="B5" t="s">
        <v>26</v>
      </c>
      <c r="C5">
        <v>18</v>
      </c>
      <c r="D5">
        <v>384</v>
      </c>
      <c r="E5">
        <v>0.52917700000000001</v>
      </c>
      <c r="F5">
        <f>0.00200077524*E5^3</f>
        <v>2.9648394716970389E-4</v>
      </c>
      <c r="G5">
        <v>1088940</v>
      </c>
      <c r="H5">
        <f>G5*F5</f>
        <v>322.85322943097736</v>
      </c>
      <c r="I5">
        <f>26224.5612972 * Table1[[#This Row],[Unit Conversion]]^3</f>
        <v>3886.074402933788</v>
      </c>
      <c r="J5">
        <f>Table1[[#This Row],[Volume]]/Table1[[#This Row],[Cell Volume]]</f>
        <v>8.3079528582170131E-2</v>
      </c>
      <c r="K5">
        <f>Table1[[#This Row],[N Silver]]/Table1[[#This Row],[N at]]</f>
        <v>4.6875E-2</v>
      </c>
      <c r="L5">
        <f>136.63*0.126926 * E5</f>
        <v>9.1769342882102602</v>
      </c>
      <c r="M5">
        <f>137.25*0.126926*E5</f>
        <v>9.2185774065495014</v>
      </c>
      <c r="N5">
        <f>106.3*0.124193*E5</f>
        <v>6.9860444148142999</v>
      </c>
      <c r="O5">
        <f t="shared" si="0"/>
        <v>591.00733514437809</v>
      </c>
      <c r="P5">
        <f>256*0.126926*E5</f>
        <v>17.194577894912001</v>
      </c>
      <c r="Q5">
        <f>256*0.126926*E5</f>
        <v>17.194577894912001</v>
      </c>
      <c r="R5">
        <f>200*0.124193*E5</f>
        <v>13.144015832199999</v>
      </c>
      <c r="S5">
        <f t="shared" si="1"/>
        <v>309.45071705120984</v>
      </c>
      <c r="T5">
        <v>1.01423333509707</v>
      </c>
      <c r="U5">
        <f t="shared" si="2"/>
        <v>9.3075526690981487</v>
      </c>
      <c r="V5">
        <f t="shared" si="3"/>
        <v>9.3497885078951999</v>
      </c>
      <c r="W5">
        <f t="shared" si="4"/>
        <v>7.0854791259733663</v>
      </c>
      <c r="X5">
        <f t="shared" si="5"/>
        <v>322.85322945385258</v>
      </c>
      <c r="Y5">
        <f>(X5/O5)^(1/3)</f>
        <v>0.81746798783588337</v>
      </c>
      <c r="Z5">
        <f t="shared" si="6"/>
        <v>7.5018500070853662</v>
      </c>
      <c r="AA5">
        <f t="shared" si="7"/>
        <v>7.5358919232413575</v>
      </c>
      <c r="AB5">
        <f t="shared" si="8"/>
        <v>5.7108676707103569</v>
      </c>
      <c r="AC5">
        <f t="shared" si="9"/>
        <v>322.85322945385258</v>
      </c>
      <c r="AD5" s="3">
        <v>7.8593245385059598</v>
      </c>
      <c r="AE5" s="3">
        <v>7.8949886041672501</v>
      </c>
      <c r="AF5" s="3">
        <v>5.9829991775900604</v>
      </c>
      <c r="AG5" s="1">
        <v>1.6648621768012999E-10</v>
      </c>
      <c r="AH5">
        <v>13.374351390108201</v>
      </c>
      <c r="AI5" s="1">
        <v>1.7394221962224601E-10</v>
      </c>
      <c r="AJ5">
        <v>13.974017924382499</v>
      </c>
      <c r="AK5">
        <v>11.842508731650501</v>
      </c>
    </row>
    <row r="6" spans="1:40">
      <c r="A6">
        <v>224</v>
      </c>
      <c r="B6" t="s">
        <v>25</v>
      </c>
      <c r="C6">
        <v>16</v>
      </c>
      <c r="D6">
        <v>288</v>
      </c>
      <c r="E6">
        <v>0.52917700000000001</v>
      </c>
      <c r="H6">
        <f>$K$17</f>
        <v>291.201311321959</v>
      </c>
      <c r="I6">
        <f>Table1[[#This Row],[Cell X]]*Table1[[#This Row],[Cell Y]]*Table1[[#This Row],[Cell Z]]</f>
        <v>2883.1520025441123</v>
      </c>
      <c r="J6" s="7">
        <f>Table1[[#This Row],[Volume]]/Table1[[#This Row],[Cell Volume]]</f>
        <v>0.10100102632986434</v>
      </c>
      <c r="K6" s="7">
        <f>Table1[[#This Row],[N Silver]]/Table1[[#This Row],[N at]]</f>
        <v>5.5555555555555552E-2</v>
      </c>
      <c r="L6">
        <v>6.9161015561110002</v>
      </c>
      <c r="M6">
        <v>6.9161015561110002</v>
      </c>
      <c r="N6">
        <v>11.49389743854484</v>
      </c>
      <c r="O6">
        <f t="shared" si="0"/>
        <v>549.78139791488809</v>
      </c>
      <c r="P6">
        <v>12.931322242794668</v>
      </c>
      <c r="Q6">
        <v>12.931322242794668</v>
      </c>
      <c r="R6">
        <v>17.241762990392889</v>
      </c>
      <c r="S6">
        <f t="shared" si="1"/>
        <v>287.86486679495647</v>
      </c>
      <c r="T6">
        <f>(Table1[[#This Row],[Volume]]/Table1[[#This Row],[V Ellipsoid BB]])^(1/3)</f>
        <v>1.0038486076015591</v>
      </c>
      <c r="U6">
        <f t="shared" si="2"/>
        <v>6.9427189171330044</v>
      </c>
      <c r="V6">
        <f t="shared" si="3"/>
        <v>6.9427189171330044</v>
      </c>
      <c r="W6">
        <f t="shared" si="4"/>
        <v>11.538132939598365</v>
      </c>
      <c r="X6">
        <f t="shared" si="5"/>
        <v>291.20131132195905</v>
      </c>
      <c r="AG6" s="1">
        <v>9.0845700000000001E-11</v>
      </c>
      <c r="AH6">
        <f>2*AG6*R6/2/(P6/2*Q6/2*0.5^2*8.85418782E-12)</f>
        <v>16.926666222596268</v>
      </c>
      <c r="AI6" s="1">
        <v>9.1394822581196006E-11</v>
      </c>
      <c r="AJ6">
        <v>17.0289805344526</v>
      </c>
      <c r="AK6">
        <v>13.399436642548965</v>
      </c>
    </row>
    <row r="7" spans="1:40">
      <c r="A7">
        <v>224</v>
      </c>
      <c r="B7" t="s">
        <v>26</v>
      </c>
      <c r="C7">
        <v>16</v>
      </c>
      <c r="D7">
        <v>288</v>
      </c>
      <c r="E7">
        <v>0.52917700000000001</v>
      </c>
      <c r="H7">
        <f>$K$17</f>
        <v>291.201311321959</v>
      </c>
      <c r="I7">
        <f>Table1[[#This Row],[Cell X]]*Table1[[#This Row],[Cell Y]]*Table1[[#This Row],[Cell Z]]</f>
        <v>2883.1520025441118</v>
      </c>
      <c r="J7" s="7">
        <f>Table1[[#This Row],[Volume]]/Table1[[#This Row],[Cell Volume]]</f>
        <v>0.10100102632986437</v>
      </c>
      <c r="K7" s="7">
        <f>Table1[[#This Row],[N Silver]]/Table1[[#This Row],[N at]]</f>
        <v>5.5555555555555552E-2</v>
      </c>
      <c r="L7">
        <v>6.9161015561110002</v>
      </c>
      <c r="M7">
        <v>11.49389743854484</v>
      </c>
      <c r="N7">
        <v>6.9161015561110002</v>
      </c>
      <c r="O7">
        <f t="shared" si="0"/>
        <v>549.78139791488809</v>
      </c>
      <c r="P7">
        <v>12.931322242794668</v>
      </c>
      <c r="Q7">
        <v>17.241762990392889</v>
      </c>
      <c r="R7">
        <v>12.931322242794668</v>
      </c>
      <c r="S7">
        <f t="shared" si="1"/>
        <v>287.86486679495647</v>
      </c>
      <c r="T7">
        <f>(Table1[[#This Row],[Volume]]/Table1[[#This Row],[V Ellipsoid BB]])^(1/3)</f>
        <v>1.0038486076015591</v>
      </c>
      <c r="U7">
        <f t="shared" si="2"/>
        <v>6.9427189171330044</v>
      </c>
      <c r="V7">
        <f t="shared" si="3"/>
        <v>11.538132939598365</v>
      </c>
      <c r="W7">
        <f t="shared" si="4"/>
        <v>6.9427189171330044</v>
      </c>
      <c r="X7">
        <f t="shared" si="5"/>
        <v>291.20131132195911</v>
      </c>
      <c r="AG7" s="1">
        <v>1.38083E-10</v>
      </c>
      <c r="AH7">
        <f>2*AG7*R7/2/(P7/2*Q7/2*0.5^2*8.85418782E-12)</f>
        <v>14.472041376293022</v>
      </c>
      <c r="AI7" s="1">
        <v>1.4500872356212301E-10</v>
      </c>
      <c r="AJ7">
        <v>15.1979045020915</v>
      </c>
      <c r="AK7">
        <v>12.532066970499523</v>
      </c>
      <c r="AN7" s="1"/>
    </row>
    <row r="8" spans="1:40">
      <c r="A8">
        <v>225</v>
      </c>
      <c r="B8" t="s">
        <v>25</v>
      </c>
      <c r="C8">
        <v>20</v>
      </c>
      <c r="D8">
        <v>360</v>
      </c>
      <c r="E8">
        <v>0.52917700000000001</v>
      </c>
      <c r="H8">
        <f>$K$18</f>
        <v>363.55377829465419</v>
      </c>
      <c r="I8">
        <f>Table1[[#This Row],[Cell X]]*Table1[[#This Row],[Cell Y]]*Table1[[#This Row],[Cell Z]]</f>
        <v>3603.9400031801401</v>
      </c>
      <c r="J8" s="7">
        <f>Table1[[#This Row],[Volume]]/Table1[[#This Row],[Cell Volume]]</f>
        <v>0.10087675654252068</v>
      </c>
      <c r="K8" s="7">
        <f>Table1[[#This Row],[N Silver]]/Table1[[#This Row],[N at]]</f>
        <v>5.5555555555555552E-2</v>
      </c>
      <c r="L8">
        <v>6.9161015561110002</v>
      </c>
      <c r="M8">
        <v>6.9161015561110002</v>
      </c>
      <c r="N8">
        <v>13.78279537976176</v>
      </c>
      <c r="O8">
        <f t="shared" si="0"/>
        <v>659.2650188132892</v>
      </c>
      <c r="P8">
        <v>12.931322242794668</v>
      </c>
      <c r="Q8">
        <v>12.931322242794668</v>
      </c>
      <c r="R8">
        <v>21.55220373799111</v>
      </c>
      <c r="S8">
        <f t="shared" si="1"/>
        <v>345.19035664542764</v>
      </c>
      <c r="T8">
        <f>(Table1[[#This Row],[Volume]]/Table1[[#This Row],[V Ellipsoid BB]])^(1/3)</f>
        <v>1.0174271813367433</v>
      </c>
      <c r="U8">
        <f t="shared" si="2"/>
        <v>7.0366297120726786</v>
      </c>
      <c r="V8">
        <f t="shared" si="3"/>
        <v>7.0366297120726786</v>
      </c>
      <c r="W8">
        <f t="shared" si="4"/>
        <v>14.022990654172096</v>
      </c>
      <c r="X8">
        <f t="shared" si="5"/>
        <v>363.55377829465414</v>
      </c>
      <c r="AG8" s="1">
        <v>7.1740026307815404E-11</v>
      </c>
      <c r="AH8">
        <v>16.709218531538401</v>
      </c>
      <c r="AI8" s="1">
        <v>7.10248388536193E-11</v>
      </c>
      <c r="AJ8">
        <v>16.5419736627682</v>
      </c>
      <c r="AK8" s="5">
        <v>13.2553197385869</v>
      </c>
      <c r="AN8" s="1"/>
    </row>
    <row r="9" spans="1:40">
      <c r="A9">
        <v>225</v>
      </c>
      <c r="B9" t="s">
        <v>26</v>
      </c>
      <c r="C9">
        <v>20</v>
      </c>
      <c r="D9">
        <v>360</v>
      </c>
      <c r="E9">
        <v>0.52917700000000001</v>
      </c>
      <c r="H9">
        <f>$K$18</f>
        <v>363.55377829465419</v>
      </c>
      <c r="I9">
        <f>Table1[[#This Row],[Cell X]]*Table1[[#This Row],[Cell Y]]*Table1[[#This Row],[Cell Z]]</f>
        <v>3603.9400031801397</v>
      </c>
      <c r="J9" s="7">
        <f>Table1[[#This Row],[Volume]]/Table1[[#This Row],[Cell Volume]]</f>
        <v>0.10087675654252069</v>
      </c>
      <c r="K9" s="7">
        <f>Table1[[#This Row],[N Silver]]/Table1[[#This Row],[N at]]</f>
        <v>5.5555555555555552E-2</v>
      </c>
      <c r="L9">
        <v>6.9161015561110002</v>
      </c>
      <c r="M9">
        <v>13.78279537976176</v>
      </c>
      <c r="N9">
        <v>6.9161015561110002</v>
      </c>
      <c r="O9">
        <f t="shared" si="0"/>
        <v>659.2650188132892</v>
      </c>
      <c r="P9">
        <v>12.931322242794668</v>
      </c>
      <c r="Q9">
        <v>21.55220373799111</v>
      </c>
      <c r="R9">
        <v>12.931322242794668</v>
      </c>
      <c r="S9">
        <f t="shared" si="1"/>
        <v>345.19035664542764</v>
      </c>
      <c r="T9">
        <f>(Table1[[#This Row],[Volume]]/Table1[[#This Row],[V Ellipsoid BB]])^(1/3)</f>
        <v>1.0174271813367433</v>
      </c>
      <c r="U9">
        <f t="shared" si="2"/>
        <v>7.0366297120726786</v>
      </c>
      <c r="V9">
        <f t="shared" si="3"/>
        <v>14.022990654172096</v>
      </c>
      <c r="W9">
        <f t="shared" si="4"/>
        <v>7.0366297120726786</v>
      </c>
      <c r="X9">
        <f t="shared" si="5"/>
        <v>363.55377829465414</v>
      </c>
      <c r="AG9" s="1">
        <v>1.6936990318573899E-10</v>
      </c>
      <c r="AH9">
        <v>14.2010322377515</v>
      </c>
      <c r="AI9" s="1">
        <v>1.7753172089857699E-10</v>
      </c>
      <c r="AJ9">
        <v>14.885229377746599</v>
      </c>
      <c r="AK9" s="6">
        <v>12.366058164776099</v>
      </c>
      <c r="AN9" s="1"/>
    </row>
    <row r="10" spans="1:40">
      <c r="AN10" s="1"/>
    </row>
    <row r="11" spans="1:40">
      <c r="AI11" s="1"/>
      <c r="AN11" s="1"/>
    </row>
    <row r="12" spans="1:40">
      <c r="AI12" s="22"/>
      <c r="AN12" s="1"/>
    </row>
    <row r="13" spans="1:40">
      <c r="I13" t="s">
        <v>49</v>
      </c>
    </row>
    <row r="14" spans="1:40">
      <c r="A14" s="18"/>
      <c r="B14" s="18"/>
      <c r="C14" s="18"/>
      <c r="D14" s="18"/>
      <c r="E14" s="18"/>
      <c r="F14" s="18"/>
      <c r="G14" s="18"/>
      <c r="H14" s="18"/>
      <c r="L14" t="s">
        <v>42</v>
      </c>
      <c r="M14" t="s">
        <v>43</v>
      </c>
      <c r="P14" s="18"/>
      <c r="Q14" s="18"/>
      <c r="R14" s="19"/>
      <c r="S14" s="19"/>
      <c r="T14" s="18"/>
      <c r="U14" s="18"/>
      <c r="AH14" s="21"/>
    </row>
    <row r="15" spans="1:40">
      <c r="A15" s="18"/>
      <c r="B15" s="18"/>
      <c r="C15" s="18"/>
      <c r="D15" s="18"/>
      <c r="E15" s="18"/>
      <c r="F15" s="18"/>
      <c r="G15" s="18"/>
      <c r="H15" s="18"/>
      <c r="J15" t="s">
        <v>40</v>
      </c>
      <c r="K15">
        <v>146.49637737656846</v>
      </c>
      <c r="L15">
        <f>K16-K15</f>
        <v>72.352466972695254</v>
      </c>
      <c r="M15">
        <f>L15/K15*100</f>
        <v>49.388570740362731</v>
      </c>
      <c r="P15" s="18"/>
      <c r="Q15" s="18"/>
      <c r="R15" s="20"/>
      <c r="S15" s="18"/>
      <c r="T15" s="18"/>
      <c r="U15" s="18"/>
      <c r="AH15" s="6"/>
    </row>
    <row r="16" spans="1:40">
      <c r="A16" s="18"/>
      <c r="B16" s="18"/>
      <c r="C16" s="18"/>
      <c r="D16" s="18"/>
      <c r="E16" s="18"/>
      <c r="F16" s="18"/>
      <c r="G16" s="18"/>
      <c r="H16" s="18"/>
      <c r="J16" t="s">
        <v>41</v>
      </c>
      <c r="K16">
        <v>218.84884434926371</v>
      </c>
      <c r="P16" s="18"/>
      <c r="Q16" s="18"/>
      <c r="R16" s="20"/>
      <c r="S16" s="18"/>
      <c r="T16" s="18"/>
      <c r="U16" s="18"/>
    </row>
    <row r="17" spans="1:35">
      <c r="A17" s="18"/>
      <c r="B17" s="18"/>
      <c r="C17" s="18"/>
      <c r="D17" s="18"/>
      <c r="E17" s="18"/>
      <c r="F17" s="18"/>
      <c r="G17" s="18"/>
      <c r="H17" s="18"/>
      <c r="I17" t="s">
        <v>44</v>
      </c>
      <c r="J17" t="s">
        <v>45</v>
      </c>
      <c r="K17">
        <f>K15+2*L15</f>
        <v>291.201311321959</v>
      </c>
      <c r="L17" t="s">
        <v>46</v>
      </c>
      <c r="M17">
        <f>K15*2</f>
        <v>292.99275475313692</v>
      </c>
      <c r="P17" s="18"/>
      <c r="Q17" s="18"/>
      <c r="R17" s="20"/>
      <c r="S17" s="18"/>
      <c r="T17" s="18"/>
      <c r="U17" s="18"/>
    </row>
    <row r="18" spans="1:35">
      <c r="A18" s="18"/>
      <c r="B18" s="18"/>
      <c r="C18" s="18"/>
      <c r="D18" s="18"/>
      <c r="E18" s="18"/>
      <c r="F18" s="18"/>
      <c r="G18" s="18"/>
      <c r="H18" s="18"/>
      <c r="J18" t="s">
        <v>47</v>
      </c>
      <c r="K18">
        <f>K15+3*L15</f>
        <v>363.55377829465419</v>
      </c>
      <c r="L18" t="s">
        <v>48</v>
      </c>
      <c r="M18">
        <f>5/2*K15</f>
        <v>366.24094344142117</v>
      </c>
      <c r="P18" s="18"/>
      <c r="Q18" s="18"/>
      <c r="R18" s="20"/>
      <c r="S18" s="18"/>
      <c r="T18" s="18"/>
      <c r="U18" s="18"/>
      <c r="Z18" t="s">
        <v>29</v>
      </c>
    </row>
    <row r="19" spans="1:35">
      <c r="A19" s="18"/>
      <c r="B19" s="18"/>
      <c r="C19" s="18"/>
      <c r="D19" s="18"/>
      <c r="E19" s="18"/>
      <c r="F19" s="18"/>
      <c r="G19" s="18"/>
      <c r="H19" s="18"/>
      <c r="P19" s="18"/>
      <c r="Q19" s="18"/>
      <c r="R19" s="20"/>
      <c r="S19" s="18"/>
      <c r="T19" s="18"/>
      <c r="U19" s="18"/>
      <c r="Z19" t="s">
        <v>39</v>
      </c>
    </row>
    <row r="20" spans="1:35">
      <c r="A20" s="18"/>
      <c r="B20" s="18"/>
      <c r="C20" s="18"/>
      <c r="D20" s="18"/>
      <c r="E20" s="18"/>
      <c r="F20" s="18"/>
      <c r="G20" s="18"/>
      <c r="H20" s="18"/>
      <c r="I20" t="s">
        <v>50</v>
      </c>
      <c r="K20" t="s">
        <v>52</v>
      </c>
      <c r="L20" t="s">
        <v>53</v>
      </c>
      <c r="M20" t="s">
        <v>54</v>
      </c>
      <c r="N20" t="s">
        <v>56</v>
      </c>
      <c r="O20" t="s">
        <v>55</v>
      </c>
      <c r="P20" s="18"/>
      <c r="Q20" s="18"/>
      <c r="R20" s="20"/>
      <c r="S20" s="18"/>
      <c r="T20" s="18"/>
      <c r="U20" s="18"/>
    </row>
    <row r="21" spans="1:35">
      <c r="J21" t="s">
        <v>51</v>
      </c>
      <c r="K21">
        <v>6.8042490961147992</v>
      </c>
      <c r="L21">
        <v>7.0279540161072003</v>
      </c>
      <c r="M21">
        <v>9.2049994973279201</v>
      </c>
      <c r="N21">
        <f>M21-(AVERAGE(K21:L21))</f>
        <v>2.2888979412169199</v>
      </c>
    </row>
    <row r="22" spans="1:35">
      <c r="J22" t="s">
        <v>57</v>
      </c>
      <c r="K22">
        <f>AVERAGE(K21:L21)</f>
        <v>6.9161015561110002</v>
      </c>
      <c r="L22">
        <f>AVERAGE(K21:L21)</f>
        <v>6.9161015561110002</v>
      </c>
      <c r="M22">
        <f>M21+N21</f>
        <v>11.49389743854484</v>
      </c>
    </row>
    <row r="23" spans="1:35">
      <c r="J23" t="s">
        <v>58</v>
      </c>
      <c r="K23">
        <f>AVERAGE(K21:L21)</f>
        <v>6.9161015561110002</v>
      </c>
      <c r="L23">
        <f>AVERAGE(K21:L21)</f>
        <v>6.9161015561110002</v>
      </c>
      <c r="M23">
        <f>M21+2*N21</f>
        <v>13.78279537976176</v>
      </c>
    </row>
    <row r="32" spans="1:35" ht="22">
      <c r="AI32" s="17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99A69-006D-E44E-BF4A-ED2965AC2A06}">
  <dimension ref="A1:AN47"/>
  <sheetViews>
    <sheetView workbookViewId="0">
      <pane xSplit="1" topLeftCell="AG1" activePane="topRight" state="frozen"/>
      <selection pane="topRight" activeCell="H27" sqref="H27"/>
    </sheetView>
  </sheetViews>
  <sheetFormatPr baseColWidth="10" defaultRowHeight="16"/>
  <cols>
    <col min="10" max="10" width="18.83203125" customWidth="1"/>
    <col min="24" max="24" width="21.83203125" customWidth="1"/>
    <col min="25" max="26" width="30.1640625" customWidth="1"/>
    <col min="28" max="28" width="24.33203125" customWidth="1"/>
    <col min="29" max="30" width="25.1640625" customWidth="1"/>
    <col min="31" max="31" width="22.6640625" customWidth="1"/>
    <col min="32" max="32" width="31" customWidth="1"/>
    <col min="33" max="33" width="26" customWidth="1"/>
    <col min="34" max="34" width="31" customWidth="1"/>
    <col min="35" max="35" width="22.83203125" customWidth="1"/>
    <col min="36" max="36" width="29.5" customWidth="1"/>
    <col min="37" max="37" width="23.5" customWidth="1"/>
    <col min="38" max="38" width="30.83203125" customWidth="1"/>
    <col min="39" max="39" width="23.1640625" customWidth="1"/>
    <col min="40" max="40" width="24.5" customWidth="1"/>
  </cols>
  <sheetData>
    <row r="1" spans="1:40">
      <c r="A1" t="s">
        <v>0</v>
      </c>
      <c r="B1" t="s">
        <v>71</v>
      </c>
      <c r="C1" t="s">
        <v>72</v>
      </c>
      <c r="D1" t="s">
        <v>32</v>
      </c>
      <c r="E1" t="s">
        <v>70</v>
      </c>
      <c r="F1" t="s">
        <v>33</v>
      </c>
      <c r="G1" t="s">
        <v>23</v>
      </c>
      <c r="H1" t="s">
        <v>1</v>
      </c>
      <c r="I1" t="s">
        <v>5</v>
      </c>
      <c r="J1" t="s">
        <v>30</v>
      </c>
      <c r="K1" t="s">
        <v>31</v>
      </c>
      <c r="L1" t="s">
        <v>2</v>
      </c>
      <c r="M1" t="s">
        <v>3</v>
      </c>
      <c r="N1" t="s">
        <v>4</v>
      </c>
      <c r="O1" t="s">
        <v>20</v>
      </c>
      <c r="P1" t="s">
        <v>6</v>
      </c>
      <c r="Q1" t="s">
        <v>7</v>
      </c>
      <c r="R1" t="s">
        <v>8</v>
      </c>
      <c r="S1" t="s">
        <v>9</v>
      </c>
      <c r="T1" t="s">
        <v>21</v>
      </c>
      <c r="U1" t="s">
        <v>10</v>
      </c>
      <c r="V1" t="s">
        <v>11</v>
      </c>
      <c r="W1" t="s">
        <v>12</v>
      </c>
      <c r="X1" t="s">
        <v>13</v>
      </c>
      <c r="Y1" t="s">
        <v>83</v>
      </c>
      <c r="Z1" t="s">
        <v>84</v>
      </c>
      <c r="AA1" t="s">
        <v>35</v>
      </c>
      <c r="AB1" t="s">
        <v>36</v>
      </c>
      <c r="AC1" t="s">
        <v>37</v>
      </c>
      <c r="AD1" t="s">
        <v>30</v>
      </c>
      <c r="AE1" t="s">
        <v>60</v>
      </c>
      <c r="AF1" t="s">
        <v>86</v>
      </c>
      <c r="AG1" t="s">
        <v>61</v>
      </c>
      <c r="AH1" t="s">
        <v>88</v>
      </c>
      <c r="AI1" t="s">
        <v>62</v>
      </c>
      <c r="AJ1" t="s">
        <v>87</v>
      </c>
      <c r="AK1" t="s">
        <v>59</v>
      </c>
      <c r="AL1" t="s">
        <v>89</v>
      </c>
    </row>
    <row r="2" spans="1:40">
      <c r="A2" s="5" t="s">
        <v>90</v>
      </c>
      <c r="B2" s="5">
        <v>2</v>
      </c>
      <c r="C2" s="5">
        <v>6</v>
      </c>
      <c r="D2" s="5">
        <v>24</v>
      </c>
      <c r="E2" s="5">
        <v>2</v>
      </c>
      <c r="F2" s="5">
        <f>(B2+2*E2)^2*(C2+2*E2)</f>
        <v>360</v>
      </c>
      <c r="G2" s="5">
        <v>0.52917700000000001</v>
      </c>
      <c r="H2" s="5">
        <f t="shared" ref="H2:H7" si="0">$N$38+4*$O$38</f>
        <v>435.9062452673495</v>
      </c>
      <c r="I2" s="5">
        <f t="shared" ref="I2:I31" si="1">P2*Q2*R2</f>
        <v>3603.9400031801401</v>
      </c>
      <c r="J2" s="9">
        <f t="shared" ref="J2:J10" si="2">H2/I2</f>
        <v>0.1209526920211499</v>
      </c>
      <c r="K2" s="9">
        <f t="shared" ref="K2:K10" si="3">D2/F2</f>
        <v>6.6666666666666666E-2</v>
      </c>
      <c r="L2" s="5">
        <f t="shared" ref="L2:L10" si="4">$N$45</f>
        <v>6.9161015561110002</v>
      </c>
      <c r="M2" s="5">
        <f t="shared" ref="M2:M10" si="5">$O$46</f>
        <v>6.9161015561110002</v>
      </c>
      <c r="N2" s="5">
        <f t="shared" ref="N2:N7" si="6">$P$44+3*$Q$44</f>
        <v>16.071693320978682</v>
      </c>
      <c r="O2" s="5">
        <f t="shared" ref="O2:O16" si="7">L2*M2*N2</f>
        <v>768.74863971169043</v>
      </c>
      <c r="P2" s="5">
        <f>$G$43 * (B2/2 + E2)</f>
        <v>12.931322242794668</v>
      </c>
      <c r="Q2" s="5">
        <f>$G$43 * (B2/2 + E2)</f>
        <v>12.931322242794668</v>
      </c>
      <c r="R2" s="5">
        <f t="shared" ref="R2:R10" si="8">$G$43 * (C2/2 + E2)</f>
        <v>21.55220373799111</v>
      </c>
      <c r="S2" s="5">
        <f t="shared" ref="S2:S31" si="9">4/3*PI()*L2*M2*N2 / 8</f>
        <v>402.51584649589887</v>
      </c>
      <c r="T2" s="5">
        <f t="shared" ref="T2:T10" si="10">(H2/S2)^(1/3)</f>
        <v>1.0269202145575118</v>
      </c>
      <c r="U2" s="5">
        <f t="shared" ref="U2:U10" si="11">T2*L2</f>
        <v>7.1022844939030501</v>
      </c>
      <c r="V2" s="5">
        <f t="shared" ref="V2:V10" si="12">T2*M2</f>
        <v>7.1022844939030501</v>
      </c>
      <c r="W2" s="5">
        <f t="shared" ref="W2:W10" si="13">T2*N2</f>
        <v>16.504346753481958</v>
      </c>
      <c r="X2" s="5">
        <f t="shared" ref="X2:X10" si="14">4/3*PI()*U2/2*V2/2*W2/2</f>
        <v>435.90624526734973</v>
      </c>
      <c r="Y2">
        <f t="shared" ref="Y2:Y10" si="15">(R2-(W2+2)) / 2</f>
        <v>1.5239284922545764</v>
      </c>
      <c r="Z2">
        <f>(P2-(U2+2)) / 2</f>
        <v>1.9145188744458093</v>
      </c>
      <c r="AA2" s="5"/>
      <c r="AB2" s="5"/>
      <c r="AC2" s="5"/>
      <c r="AD2" s="5">
        <v>0.1209526920211499</v>
      </c>
      <c r="AE2">
        <v>20.118232488335799</v>
      </c>
      <c r="AF2">
        <v>20.117754155147601</v>
      </c>
      <c r="AG2">
        <v>14.9413522439432</v>
      </c>
      <c r="AH2">
        <v>14.935641397741399</v>
      </c>
      <c r="AI2">
        <v>17.776412322839398</v>
      </c>
      <c r="AJ2">
        <v>17.781523840879299</v>
      </c>
      <c r="AK2">
        <v>13.1117104756618</v>
      </c>
      <c r="AL2">
        <v>13.107756058735299</v>
      </c>
      <c r="AM2" s="12"/>
      <c r="AN2" s="10"/>
    </row>
    <row r="3" spans="1:40">
      <c r="A3" s="6" t="s">
        <v>90</v>
      </c>
      <c r="B3" s="6">
        <v>2</v>
      </c>
      <c r="C3" s="6">
        <v>6</v>
      </c>
      <c r="D3" s="6">
        <v>24</v>
      </c>
      <c r="E3" s="6">
        <v>3</v>
      </c>
      <c r="F3" s="5">
        <f>(B3+2*E3)^2*(C3+2*E3)</f>
        <v>768</v>
      </c>
      <c r="G3" s="5">
        <v>0.52917700000000001</v>
      </c>
      <c r="H3" s="5">
        <f t="shared" si="0"/>
        <v>435.9062452673495</v>
      </c>
      <c r="I3" s="5">
        <f t="shared" si="1"/>
        <v>7688.4053401176316</v>
      </c>
      <c r="J3" s="9">
        <f t="shared" si="2"/>
        <v>5.6696574384914024E-2</v>
      </c>
      <c r="K3" s="9">
        <f t="shared" si="3"/>
        <v>3.125E-2</v>
      </c>
      <c r="L3" s="5">
        <f t="shared" si="4"/>
        <v>6.9161015561110002</v>
      </c>
      <c r="M3" s="5">
        <f t="shared" si="5"/>
        <v>6.9161015561110002</v>
      </c>
      <c r="N3" s="5">
        <f t="shared" si="6"/>
        <v>16.071693320978682</v>
      </c>
      <c r="O3" s="6">
        <f t="shared" si="7"/>
        <v>768.74863971169043</v>
      </c>
      <c r="P3" s="5">
        <f t="shared" ref="P3:P31" si="16">$G$43 * (B3/2 + E3)</f>
        <v>17.241762990392889</v>
      </c>
      <c r="Q3" s="5">
        <f t="shared" ref="Q3:Q31" si="17">$G$43 * (B3/2 + E3)</f>
        <v>17.241762990392889</v>
      </c>
      <c r="R3" s="5">
        <f t="shared" si="8"/>
        <v>25.862644485589335</v>
      </c>
      <c r="S3" s="6">
        <f t="shared" si="9"/>
        <v>402.51584649589887</v>
      </c>
      <c r="T3" s="5">
        <f t="shared" si="10"/>
        <v>1.0269202145575118</v>
      </c>
      <c r="U3" s="6">
        <f t="shared" si="11"/>
        <v>7.1022844939030501</v>
      </c>
      <c r="V3" s="6">
        <f t="shared" si="12"/>
        <v>7.1022844939030501</v>
      </c>
      <c r="W3" s="6">
        <f t="shared" si="13"/>
        <v>16.504346753481958</v>
      </c>
      <c r="X3" s="6">
        <f t="shared" si="14"/>
        <v>435.90624526734973</v>
      </c>
      <c r="Y3">
        <f t="shared" si="15"/>
        <v>3.6791488660536888</v>
      </c>
      <c r="Z3">
        <f t="shared" ref="Z3:Z31" si="18">(P3-(U3+2)) / 2</f>
        <v>4.0697392482449199</v>
      </c>
      <c r="AA3" s="6"/>
      <c r="AB3" s="6"/>
      <c r="AC3" s="6"/>
      <c r="AD3" s="6">
        <v>5.6696574384914024E-2</v>
      </c>
      <c r="AE3">
        <v>13.951061565656399</v>
      </c>
      <c r="AF3">
        <v>13.9486247911804</v>
      </c>
      <c r="AG3">
        <v>11.576476678641299</v>
      </c>
      <c r="AH3">
        <v>11.5738741828788</v>
      </c>
      <c r="AI3">
        <v>13.0808570100666</v>
      </c>
      <c r="AJ3">
        <v>13.0865107537482</v>
      </c>
      <c r="AK3">
        <v>10.8976622653284</v>
      </c>
      <c r="AL3">
        <v>10.8959071173135</v>
      </c>
      <c r="AM3" s="13"/>
      <c r="AN3" s="11"/>
    </row>
    <row r="4" spans="1:40">
      <c r="A4" s="5" t="s">
        <v>90</v>
      </c>
      <c r="B4" s="5">
        <v>2</v>
      </c>
      <c r="C4" s="5">
        <v>6</v>
      </c>
      <c r="D4" s="5">
        <v>24</v>
      </c>
      <c r="E4" s="5">
        <v>4</v>
      </c>
      <c r="F4" s="5">
        <f>(B4+2*E4)^2*(C4+2*E4)</f>
        <v>1400</v>
      </c>
      <c r="G4" s="5">
        <v>0.52917700000000001</v>
      </c>
      <c r="H4" s="5">
        <f t="shared" si="0"/>
        <v>435.9062452673495</v>
      </c>
      <c r="I4" s="5">
        <f t="shared" si="1"/>
        <v>14015.322234589432</v>
      </c>
      <c r="J4" s="9">
        <f t="shared" si="2"/>
        <v>3.1102120805438553E-2</v>
      </c>
      <c r="K4" s="9">
        <f t="shared" si="3"/>
        <v>1.7142857142857144E-2</v>
      </c>
      <c r="L4" s="5">
        <f t="shared" si="4"/>
        <v>6.9161015561110002</v>
      </c>
      <c r="M4" s="5">
        <f t="shared" si="5"/>
        <v>6.9161015561110002</v>
      </c>
      <c r="N4" s="5">
        <f t="shared" si="6"/>
        <v>16.071693320978682</v>
      </c>
      <c r="O4" s="6">
        <f t="shared" si="7"/>
        <v>768.74863971169043</v>
      </c>
      <c r="P4" s="5">
        <f t="shared" si="16"/>
        <v>21.55220373799111</v>
      </c>
      <c r="Q4" s="5">
        <f t="shared" si="17"/>
        <v>21.55220373799111</v>
      </c>
      <c r="R4" s="5">
        <f t="shared" si="8"/>
        <v>30.173085233187557</v>
      </c>
      <c r="S4" s="5">
        <f t="shared" si="9"/>
        <v>402.51584649589887</v>
      </c>
      <c r="T4" s="5">
        <f t="shared" si="10"/>
        <v>1.0269202145575118</v>
      </c>
      <c r="U4" s="5">
        <f t="shared" si="11"/>
        <v>7.1022844939030501</v>
      </c>
      <c r="V4" s="5">
        <f t="shared" si="12"/>
        <v>7.1022844939030501</v>
      </c>
      <c r="W4" s="5">
        <f t="shared" si="13"/>
        <v>16.504346753481958</v>
      </c>
      <c r="X4" s="5">
        <f t="shared" si="14"/>
        <v>435.90624526734973</v>
      </c>
      <c r="Y4">
        <f t="shared" si="15"/>
        <v>5.8343692398527995</v>
      </c>
      <c r="Z4">
        <f t="shared" si="18"/>
        <v>6.2249596220440306</v>
      </c>
      <c r="AA4" s="5"/>
      <c r="AB4" s="5"/>
      <c r="AC4" s="5"/>
      <c r="AD4" s="5">
        <v>3.1102120805438553E-2</v>
      </c>
      <c r="AE4">
        <v>11.7720830046584</v>
      </c>
      <c r="AF4">
        <v>11.7719842169399</v>
      </c>
      <c r="AG4">
        <v>10.467798763213001</v>
      </c>
      <c r="AH4">
        <v>10.467100666132801</v>
      </c>
      <c r="AI4">
        <v>11.3260323014674</v>
      </c>
      <c r="AJ4">
        <v>11.3291448676089</v>
      </c>
      <c r="AK4">
        <v>10.1258726821313</v>
      </c>
      <c r="AL4">
        <v>10.1253124479402</v>
      </c>
      <c r="AM4" s="12"/>
      <c r="AN4" s="10"/>
    </row>
    <row r="5" spans="1:40">
      <c r="A5" s="5" t="s">
        <v>90</v>
      </c>
      <c r="B5" s="5">
        <v>2</v>
      </c>
      <c r="C5" s="5">
        <v>6</v>
      </c>
      <c r="D5" s="5">
        <v>24</v>
      </c>
      <c r="E5" s="5">
        <v>6</v>
      </c>
      <c r="F5" s="5">
        <f>(B5+2*E5)^2*(C5+2*E5)</f>
        <v>3528</v>
      </c>
      <c r="G5" s="5">
        <v>1.529177</v>
      </c>
      <c r="H5" s="5">
        <f t="shared" si="0"/>
        <v>435.9062452673495</v>
      </c>
      <c r="I5" s="5">
        <f t="shared" si="1"/>
        <v>35318.612031165372</v>
      </c>
      <c r="J5" s="9">
        <f t="shared" si="2"/>
        <v>1.2342111430729583E-2</v>
      </c>
      <c r="K5" s="9">
        <f t="shared" si="3"/>
        <v>6.8027210884353739E-3</v>
      </c>
      <c r="L5" s="5">
        <f t="shared" si="4"/>
        <v>6.9161015561110002</v>
      </c>
      <c r="M5" s="5">
        <f t="shared" si="5"/>
        <v>6.9161015561110002</v>
      </c>
      <c r="N5" s="5">
        <f t="shared" si="6"/>
        <v>16.071693320978682</v>
      </c>
      <c r="O5" s="6">
        <f t="shared" si="7"/>
        <v>768.74863971169043</v>
      </c>
      <c r="P5" s="5">
        <f t="shared" si="16"/>
        <v>30.173085233187557</v>
      </c>
      <c r="Q5" s="5">
        <f t="shared" si="17"/>
        <v>30.173085233187557</v>
      </c>
      <c r="R5" s="5">
        <f t="shared" si="8"/>
        <v>38.793966728384</v>
      </c>
      <c r="S5" s="5">
        <f t="shared" si="9"/>
        <v>402.51584649589887</v>
      </c>
      <c r="T5" s="5">
        <f t="shared" si="10"/>
        <v>1.0269202145575118</v>
      </c>
      <c r="U5" s="5">
        <f t="shared" si="11"/>
        <v>7.1022844939030501</v>
      </c>
      <c r="V5" s="5">
        <f t="shared" si="12"/>
        <v>7.1022844939030501</v>
      </c>
      <c r="W5" s="5">
        <f t="shared" si="13"/>
        <v>16.504346753481958</v>
      </c>
      <c r="X5" s="5">
        <f t="shared" si="14"/>
        <v>435.90624526734973</v>
      </c>
      <c r="Y5">
        <f t="shared" si="15"/>
        <v>10.144809987451021</v>
      </c>
      <c r="Z5">
        <f t="shared" si="18"/>
        <v>10.535400369642254</v>
      </c>
      <c r="AA5" s="5"/>
      <c r="AB5" s="5"/>
      <c r="AC5" s="5"/>
      <c r="AD5" s="5">
        <v>1.2342111430729583E-2</v>
      </c>
      <c r="AE5">
        <v>10.2408082974988</v>
      </c>
      <c r="AF5">
        <v>10.241057797595801</v>
      </c>
      <c r="AG5">
        <v>9.7239771654586793</v>
      </c>
      <c r="AH5">
        <v>9.7234795996104104</v>
      </c>
      <c r="AI5">
        <v>10.0712485018948</v>
      </c>
      <c r="AJ5">
        <v>10.0721617147973</v>
      </c>
      <c r="AK5">
        <v>9.59551432924866</v>
      </c>
      <c r="AL5">
        <v>9.5952197106136996</v>
      </c>
    </row>
    <row r="6" spans="1:40">
      <c r="A6" s="5" t="s">
        <v>90</v>
      </c>
      <c r="B6" s="5">
        <v>2</v>
      </c>
      <c r="C6" s="5">
        <v>6</v>
      </c>
      <c r="D6" s="5">
        <v>24</v>
      </c>
      <c r="E6" s="5">
        <v>8</v>
      </c>
      <c r="F6" s="5">
        <f>(B6+2*E6)^2*(C6+2*E6)</f>
        <v>7128</v>
      </c>
      <c r="G6" s="5">
        <v>2.5291769999999998</v>
      </c>
      <c r="H6" s="5">
        <f t="shared" si="0"/>
        <v>435.9062452673495</v>
      </c>
      <c r="I6" s="5">
        <f t="shared" si="1"/>
        <v>71358.012062966765</v>
      </c>
      <c r="J6" s="9">
        <f t="shared" si="2"/>
        <v>6.1087218192499961E-3</v>
      </c>
      <c r="K6" s="9">
        <f t="shared" si="3"/>
        <v>3.3670033670033669E-3</v>
      </c>
      <c r="L6" s="5">
        <f t="shared" si="4"/>
        <v>6.9161015561110002</v>
      </c>
      <c r="M6" s="5">
        <f t="shared" si="5"/>
        <v>6.9161015561110002</v>
      </c>
      <c r="N6" s="5">
        <f t="shared" si="6"/>
        <v>16.071693320978682</v>
      </c>
      <c r="O6" s="6">
        <f t="shared" si="7"/>
        <v>768.74863971169043</v>
      </c>
      <c r="P6" s="5">
        <f t="shared" si="16"/>
        <v>38.793966728384</v>
      </c>
      <c r="Q6" s="5">
        <f t="shared" si="17"/>
        <v>38.793966728384</v>
      </c>
      <c r="R6" s="5">
        <f t="shared" si="8"/>
        <v>47.414848223580442</v>
      </c>
      <c r="S6" s="5">
        <f t="shared" si="9"/>
        <v>402.51584649589887</v>
      </c>
      <c r="T6" s="5">
        <f t="shared" si="10"/>
        <v>1.0269202145575118</v>
      </c>
      <c r="U6" s="5">
        <f t="shared" si="11"/>
        <v>7.1022844939030501</v>
      </c>
      <c r="V6" s="5">
        <f t="shared" si="12"/>
        <v>7.1022844939030501</v>
      </c>
      <c r="W6" s="5">
        <f t="shared" si="13"/>
        <v>16.504346753481958</v>
      </c>
      <c r="X6" s="5">
        <f t="shared" si="14"/>
        <v>435.90624526734973</v>
      </c>
      <c r="Y6">
        <f t="shared" si="15"/>
        <v>14.455250735049242</v>
      </c>
      <c r="Z6">
        <f t="shared" si="18"/>
        <v>14.845841117240475</v>
      </c>
      <c r="AA6" s="5"/>
      <c r="AB6" s="5"/>
      <c r="AC6" s="5"/>
      <c r="AD6" s="5">
        <v>6.1087218192499961E-3</v>
      </c>
      <c r="AE6">
        <v>9.7423900867990394</v>
      </c>
      <c r="AF6">
        <v>9.7426561168765105</v>
      </c>
      <c r="AG6">
        <v>9.4870468831981807</v>
      </c>
      <c r="AH6">
        <v>9.4869463240969694</v>
      </c>
      <c r="AI6">
        <v>9.6597146678481298</v>
      </c>
      <c r="AJ6">
        <v>9.6601306616463507</v>
      </c>
      <c r="AK6">
        <v>9.4246894792341909</v>
      </c>
      <c r="AL6">
        <v>9.4246049057368904</v>
      </c>
    </row>
    <row r="7" spans="1:40">
      <c r="A7" s="5" t="s">
        <v>90</v>
      </c>
      <c r="B7" s="5">
        <v>2</v>
      </c>
      <c r="C7" s="5">
        <v>6</v>
      </c>
      <c r="D7" s="5">
        <v>24</v>
      </c>
      <c r="E7" s="5">
        <v>10</v>
      </c>
      <c r="F7" s="5">
        <f t="shared" ref="F7:F31" si="19">(B7+2*E7)^2*(C7+2*E7)</f>
        <v>12584</v>
      </c>
      <c r="G7" s="5">
        <v>3.5291769999999998</v>
      </c>
      <c r="H7" s="5">
        <f t="shared" si="0"/>
        <v>435.9062452673495</v>
      </c>
      <c r="I7" s="5">
        <f t="shared" si="1"/>
        <v>125977.72500005244</v>
      </c>
      <c r="J7" s="9">
        <f t="shared" si="2"/>
        <v>3.4601850864283195E-3</v>
      </c>
      <c r="K7" s="9">
        <f t="shared" si="3"/>
        <v>1.9071837253655435E-3</v>
      </c>
      <c r="L7" s="5">
        <f t="shared" si="4"/>
        <v>6.9161015561110002</v>
      </c>
      <c r="M7" s="5">
        <f t="shared" si="5"/>
        <v>6.9161015561110002</v>
      </c>
      <c r="N7" s="5">
        <f t="shared" si="6"/>
        <v>16.071693320978682</v>
      </c>
      <c r="O7" s="6">
        <f t="shared" si="7"/>
        <v>768.74863971169043</v>
      </c>
      <c r="P7" s="5">
        <f t="shared" si="16"/>
        <v>47.414848223580442</v>
      </c>
      <c r="Q7" s="5">
        <f t="shared" si="17"/>
        <v>47.414848223580442</v>
      </c>
      <c r="R7" s="5">
        <f t="shared" si="8"/>
        <v>56.035729718776892</v>
      </c>
      <c r="S7" s="5">
        <f t="shared" si="9"/>
        <v>402.51584649589887</v>
      </c>
      <c r="T7" s="5">
        <f t="shared" si="10"/>
        <v>1.0269202145575118</v>
      </c>
      <c r="U7" s="5">
        <f t="shared" si="11"/>
        <v>7.1022844939030501</v>
      </c>
      <c r="V7" s="5">
        <f t="shared" si="12"/>
        <v>7.1022844939030501</v>
      </c>
      <c r="W7" s="5">
        <f t="shared" si="13"/>
        <v>16.504346753481958</v>
      </c>
      <c r="X7" s="5">
        <f t="shared" si="14"/>
        <v>435.90624526734973</v>
      </c>
      <c r="Y7">
        <f t="shared" si="15"/>
        <v>18.765691482647469</v>
      </c>
      <c r="Z7">
        <f t="shared" si="18"/>
        <v>19.156281864838697</v>
      </c>
      <c r="AA7" s="5"/>
      <c r="AB7" s="5"/>
      <c r="AC7" s="5"/>
      <c r="AD7" s="5">
        <v>3.4601850864283195E-3</v>
      </c>
      <c r="AE7">
        <v>9.5326059932210008</v>
      </c>
      <c r="AF7">
        <v>9.5325709679968806</v>
      </c>
      <c r="AG7">
        <v>9.3880683966422893</v>
      </c>
      <c r="AH7">
        <v>9.3881132985679692</v>
      </c>
      <c r="AI7">
        <v>9.4860639742791193</v>
      </c>
      <c r="AJ7">
        <v>9.4861216407299302</v>
      </c>
      <c r="AK7">
        <v>9.3530073504505005</v>
      </c>
      <c r="AL7">
        <v>9.3530143342024097</v>
      </c>
    </row>
    <row r="8" spans="1:40">
      <c r="A8" s="6" t="s">
        <v>91</v>
      </c>
      <c r="B8" s="5">
        <v>2</v>
      </c>
      <c r="C8" s="5">
        <v>8</v>
      </c>
      <c r="D8" s="6">
        <v>32</v>
      </c>
      <c r="E8" s="5">
        <v>2</v>
      </c>
      <c r="F8" s="5">
        <f t="shared" si="19"/>
        <v>432</v>
      </c>
      <c r="G8" s="6">
        <v>0.52917700000000001</v>
      </c>
      <c r="H8" s="5">
        <f t="shared" ref="H8:H13" si="20">$N$38+6*$O$38</f>
        <v>580.61117921274001</v>
      </c>
      <c r="I8" s="5">
        <f t="shared" si="1"/>
        <v>4324.728003816168</v>
      </c>
      <c r="J8" s="9">
        <f t="shared" si="2"/>
        <v>0.13425380248200694</v>
      </c>
      <c r="K8" s="9">
        <f t="shared" si="3"/>
        <v>7.407407407407407E-2</v>
      </c>
      <c r="L8" s="5">
        <f t="shared" si="4"/>
        <v>6.9161015561110002</v>
      </c>
      <c r="M8" s="5">
        <f t="shared" si="5"/>
        <v>6.9161015561110002</v>
      </c>
      <c r="N8" s="6">
        <f t="shared" ref="N8:N13" si="21">$P$44+4*$Q$44</f>
        <v>18.360591262195598</v>
      </c>
      <c r="O8" s="6">
        <f t="shared" si="7"/>
        <v>878.23226061009143</v>
      </c>
      <c r="P8" s="5">
        <f t="shared" si="16"/>
        <v>12.931322242794668</v>
      </c>
      <c r="Q8" s="5">
        <f t="shared" si="17"/>
        <v>12.931322242794668</v>
      </c>
      <c r="R8" s="5">
        <f t="shared" si="8"/>
        <v>25.862644485589335</v>
      </c>
      <c r="S8" s="6">
        <f t="shared" si="9"/>
        <v>459.84133634636999</v>
      </c>
      <c r="T8" s="5">
        <f t="shared" si="10"/>
        <v>1.0808343245920606</v>
      </c>
      <c r="U8" s="6">
        <f t="shared" si="11"/>
        <v>7.4751599542093325</v>
      </c>
      <c r="V8" s="6">
        <f t="shared" si="12"/>
        <v>7.4751599542093325</v>
      </c>
      <c r="W8" s="6">
        <f t="shared" si="13"/>
        <v>19.844757255986071</v>
      </c>
      <c r="X8" s="6">
        <f t="shared" si="14"/>
        <v>580.61117921274024</v>
      </c>
      <c r="Y8">
        <f t="shared" si="15"/>
        <v>2.0089436148016322</v>
      </c>
      <c r="Z8">
        <f t="shared" si="18"/>
        <v>1.728081144292668</v>
      </c>
      <c r="AA8" s="6"/>
      <c r="AB8" s="6"/>
      <c r="AC8" s="6"/>
      <c r="AD8" s="6">
        <v>0.13425380248200694</v>
      </c>
      <c r="AE8">
        <v>20.875280260244899</v>
      </c>
      <c r="AF8">
        <v>20.878090712508399</v>
      </c>
      <c r="AG8">
        <v>15.445399037509899</v>
      </c>
      <c r="AH8">
        <v>15.456613485473399</v>
      </c>
      <c r="AI8">
        <v>18.959399634036998</v>
      </c>
      <c r="AJ8">
        <v>18.9869525944077</v>
      </c>
      <c r="AK8">
        <v>13.5278401126952</v>
      </c>
      <c r="AL8">
        <v>13.5338555034938</v>
      </c>
      <c r="AM8" s="13"/>
      <c r="AN8" s="11"/>
    </row>
    <row r="9" spans="1:40">
      <c r="A9" s="6" t="s">
        <v>91</v>
      </c>
      <c r="B9" s="5">
        <v>2</v>
      </c>
      <c r="C9" s="5">
        <v>8</v>
      </c>
      <c r="D9" s="6">
        <v>32</v>
      </c>
      <c r="E9" s="5">
        <v>3</v>
      </c>
      <c r="F9" s="5">
        <f t="shared" si="19"/>
        <v>896</v>
      </c>
      <c r="G9" s="6">
        <v>0.52917700000000001</v>
      </c>
      <c r="H9" s="5">
        <f t="shared" si="20"/>
        <v>580.61117921274001</v>
      </c>
      <c r="I9" s="5">
        <f t="shared" si="1"/>
        <v>8969.8062301372356</v>
      </c>
      <c r="J9" s="9">
        <f t="shared" si="2"/>
        <v>6.4729511910967652E-2</v>
      </c>
      <c r="K9" s="9">
        <f t="shared" si="3"/>
        <v>3.5714285714285712E-2</v>
      </c>
      <c r="L9" s="5">
        <f t="shared" si="4"/>
        <v>6.9161015561110002</v>
      </c>
      <c r="M9" s="5">
        <f t="shared" si="5"/>
        <v>6.9161015561110002</v>
      </c>
      <c r="N9" s="6">
        <f t="shared" si="21"/>
        <v>18.360591262195598</v>
      </c>
      <c r="O9" s="6">
        <f t="shared" si="7"/>
        <v>878.23226061009143</v>
      </c>
      <c r="P9" s="5">
        <f t="shared" si="16"/>
        <v>17.241762990392889</v>
      </c>
      <c r="Q9" s="5">
        <f t="shared" si="17"/>
        <v>17.241762990392889</v>
      </c>
      <c r="R9" s="5">
        <f t="shared" si="8"/>
        <v>30.173085233187557</v>
      </c>
      <c r="S9" s="6">
        <f t="shared" si="9"/>
        <v>459.84133634636999</v>
      </c>
      <c r="T9" s="5">
        <f t="shared" si="10"/>
        <v>1.0808343245920606</v>
      </c>
      <c r="U9" s="6">
        <f t="shared" si="11"/>
        <v>7.4751599542093325</v>
      </c>
      <c r="V9" s="6">
        <f t="shared" si="12"/>
        <v>7.4751599542093325</v>
      </c>
      <c r="W9" s="6">
        <f t="shared" si="13"/>
        <v>19.844757255986071</v>
      </c>
      <c r="X9" s="6">
        <f t="shared" si="14"/>
        <v>580.61117921274024</v>
      </c>
      <c r="Y9">
        <f t="shared" si="15"/>
        <v>4.1641639886007429</v>
      </c>
      <c r="Z9">
        <f t="shared" si="18"/>
        <v>3.8833015180917787</v>
      </c>
      <c r="AA9" s="6"/>
      <c r="AB9" s="6"/>
      <c r="AC9" s="6"/>
      <c r="AD9" s="6">
        <v>6.4729511910967652E-2</v>
      </c>
      <c r="AE9">
        <v>14.712941322281701</v>
      </c>
      <c r="AF9">
        <v>14.713413675462901</v>
      </c>
      <c r="AG9">
        <v>11.7826853908762</v>
      </c>
      <c r="AH9">
        <v>11.7813393131814</v>
      </c>
      <c r="AI9">
        <v>13.9551048389228</v>
      </c>
      <c r="AJ9">
        <v>13.9657025264186</v>
      </c>
      <c r="AK9">
        <v>11.087408494607899</v>
      </c>
      <c r="AL9">
        <v>11.0866183998747</v>
      </c>
      <c r="AM9" s="13"/>
      <c r="AN9" s="11"/>
    </row>
    <row r="10" spans="1:40">
      <c r="A10" s="6" t="s">
        <v>91</v>
      </c>
      <c r="B10" s="5">
        <v>2</v>
      </c>
      <c r="C10" s="5">
        <v>8</v>
      </c>
      <c r="D10" s="6">
        <v>32</v>
      </c>
      <c r="E10" s="5">
        <v>4</v>
      </c>
      <c r="F10" s="5">
        <f t="shared" si="19"/>
        <v>1600</v>
      </c>
      <c r="G10" s="6">
        <v>0.52917700000000001</v>
      </c>
      <c r="H10" s="5">
        <f t="shared" si="20"/>
        <v>580.61117921274001</v>
      </c>
      <c r="I10" s="5">
        <f t="shared" si="1"/>
        <v>16017.511125245064</v>
      </c>
      <c r="J10" s="9">
        <f t="shared" si="2"/>
        <v>3.6248526670141883E-2</v>
      </c>
      <c r="K10" s="9">
        <f t="shared" si="3"/>
        <v>0.02</v>
      </c>
      <c r="L10" s="5">
        <f t="shared" si="4"/>
        <v>6.9161015561110002</v>
      </c>
      <c r="M10" s="5">
        <f t="shared" si="5"/>
        <v>6.9161015561110002</v>
      </c>
      <c r="N10" s="6">
        <f t="shared" si="21"/>
        <v>18.360591262195598</v>
      </c>
      <c r="O10" s="6">
        <f t="shared" si="7"/>
        <v>878.23226061009143</v>
      </c>
      <c r="P10" s="5">
        <f t="shared" si="16"/>
        <v>21.55220373799111</v>
      </c>
      <c r="Q10" s="5">
        <f t="shared" si="17"/>
        <v>21.55220373799111</v>
      </c>
      <c r="R10" s="5">
        <f t="shared" si="8"/>
        <v>34.483525980785778</v>
      </c>
      <c r="S10" s="6">
        <f t="shared" si="9"/>
        <v>459.84133634636999</v>
      </c>
      <c r="T10" s="5">
        <f t="shared" si="10"/>
        <v>1.0808343245920606</v>
      </c>
      <c r="U10" s="6">
        <f t="shared" si="11"/>
        <v>7.4751599542093325</v>
      </c>
      <c r="V10" s="6">
        <f t="shared" si="12"/>
        <v>7.4751599542093325</v>
      </c>
      <c r="W10" s="6">
        <f t="shared" si="13"/>
        <v>19.844757255986071</v>
      </c>
      <c r="X10" s="6">
        <f t="shared" si="14"/>
        <v>580.61117921274024</v>
      </c>
      <c r="Y10">
        <f t="shared" si="15"/>
        <v>6.3193843623998536</v>
      </c>
      <c r="Z10">
        <f t="shared" si="18"/>
        <v>6.0385218918908894</v>
      </c>
      <c r="AA10" s="6"/>
      <c r="AB10" s="6"/>
      <c r="AC10" s="6"/>
      <c r="AD10" s="6">
        <v>3.6248526670141883E-2</v>
      </c>
      <c r="AE10">
        <v>12.306846861051699</v>
      </c>
      <c r="AF10">
        <v>12.3068856387134</v>
      </c>
      <c r="AG10">
        <v>10.5922888471845</v>
      </c>
      <c r="AH10">
        <v>10.5918418359404</v>
      </c>
      <c r="AI10">
        <v>11.903507279031601</v>
      </c>
      <c r="AJ10">
        <v>11.908480499487601</v>
      </c>
      <c r="AK10">
        <v>10.2396251313391</v>
      </c>
      <c r="AL10">
        <v>10.2394885995595</v>
      </c>
      <c r="AM10" s="13"/>
      <c r="AN10" s="11"/>
    </row>
    <row r="11" spans="1:40">
      <c r="A11" s="6" t="s">
        <v>91</v>
      </c>
      <c r="B11" s="5">
        <v>2</v>
      </c>
      <c r="C11" s="5">
        <v>8</v>
      </c>
      <c r="D11" s="6">
        <v>32</v>
      </c>
      <c r="E11" s="5">
        <v>6</v>
      </c>
      <c r="F11" s="5">
        <f t="shared" si="19"/>
        <v>3920</v>
      </c>
      <c r="G11" s="6">
        <v>0.52917700000000001</v>
      </c>
      <c r="H11" s="5">
        <f t="shared" si="20"/>
        <v>580.61117921274001</v>
      </c>
      <c r="I11" s="5">
        <f t="shared" si="1"/>
        <v>39242.902256850408</v>
      </c>
      <c r="J11" s="9">
        <f t="shared" ref="J11:J25" si="22">H11/I11</f>
        <v>1.4795317008221176E-2</v>
      </c>
      <c r="K11" s="9">
        <f t="shared" ref="K11:K16" si="23">D11/F11</f>
        <v>8.1632653061224497E-3</v>
      </c>
      <c r="L11" s="5">
        <f t="shared" ref="L11:L25" si="24">$N$45</f>
        <v>6.9161015561110002</v>
      </c>
      <c r="M11" s="5">
        <f t="shared" ref="M11:M26" si="25">$O$46</f>
        <v>6.9161015561110002</v>
      </c>
      <c r="N11" s="6">
        <f t="shared" si="21"/>
        <v>18.360591262195598</v>
      </c>
      <c r="O11" s="6">
        <f t="shared" si="7"/>
        <v>878.23226061009143</v>
      </c>
      <c r="P11" s="5">
        <f t="shared" si="16"/>
        <v>30.173085233187557</v>
      </c>
      <c r="Q11" s="5">
        <f t="shared" si="17"/>
        <v>30.173085233187557</v>
      </c>
      <c r="R11" s="5">
        <f t="shared" ref="R11:R31" si="26">$G$43 * (C11/2 + E11)</f>
        <v>43.104407475982221</v>
      </c>
      <c r="S11" s="6">
        <f t="shared" si="9"/>
        <v>459.84133634636999</v>
      </c>
      <c r="T11" s="5">
        <f t="shared" ref="T11:T25" si="27">(H11/S11)^(1/3)</f>
        <v>1.0808343245920606</v>
      </c>
      <c r="U11" s="6">
        <f t="shared" ref="U11:U25" si="28">T11*L11</f>
        <v>7.4751599542093325</v>
      </c>
      <c r="V11" s="6">
        <f t="shared" ref="V11:V25" si="29">T11*M11</f>
        <v>7.4751599542093325</v>
      </c>
      <c r="W11" s="6">
        <f t="shared" ref="W11:W25" si="30">T11*N11</f>
        <v>19.844757255986071</v>
      </c>
      <c r="X11" s="6">
        <f t="shared" ref="X11:X25" si="31">4/3*PI()*U11/2*V11/2*W11/2</f>
        <v>580.61117921274024</v>
      </c>
      <c r="Y11">
        <f t="shared" ref="Y11:Y25" si="32">(R11-(W11+2)) / 2</f>
        <v>10.629825109998075</v>
      </c>
      <c r="Z11">
        <f t="shared" si="18"/>
        <v>10.348962639489113</v>
      </c>
      <c r="AD11">
        <v>1.4795317008221176E-2</v>
      </c>
      <c r="AE11">
        <v>10.5040155695949</v>
      </c>
      <c r="AF11">
        <v>10.5035756781953</v>
      </c>
      <c r="AG11">
        <v>9.7828045416557501</v>
      </c>
      <c r="AH11">
        <v>9.7825851354967401</v>
      </c>
      <c r="AI11">
        <v>10.342006888611101</v>
      </c>
      <c r="AJ11">
        <v>10.3444851165362</v>
      </c>
      <c r="AK11">
        <v>9.64820600251306</v>
      </c>
      <c r="AL11">
        <v>9.6480862291165597</v>
      </c>
    </row>
    <row r="12" spans="1:40">
      <c r="A12" s="6" t="s">
        <v>91</v>
      </c>
      <c r="B12" s="5">
        <v>2</v>
      </c>
      <c r="C12" s="5">
        <v>8</v>
      </c>
      <c r="D12" s="6">
        <v>32</v>
      </c>
      <c r="E12" s="5">
        <v>8</v>
      </c>
      <c r="F12" s="5">
        <f t="shared" si="19"/>
        <v>7776</v>
      </c>
      <c r="G12" s="6">
        <v>0.52917700000000001</v>
      </c>
      <c r="H12" s="5">
        <f t="shared" si="20"/>
        <v>580.61117921274001</v>
      </c>
      <c r="I12" s="5">
        <f t="shared" si="1"/>
        <v>77845.104068691027</v>
      </c>
      <c r="J12" s="9">
        <f t="shared" si="22"/>
        <v>7.4585445823337187E-3</v>
      </c>
      <c r="K12" s="9">
        <f t="shared" si="23"/>
        <v>4.11522633744856E-3</v>
      </c>
      <c r="L12" s="5">
        <f t="shared" si="24"/>
        <v>6.9161015561110002</v>
      </c>
      <c r="M12" s="5">
        <f t="shared" si="25"/>
        <v>6.9161015561110002</v>
      </c>
      <c r="N12" s="6">
        <f t="shared" si="21"/>
        <v>18.360591262195598</v>
      </c>
      <c r="O12" s="6">
        <f t="shared" si="7"/>
        <v>878.23226061009143</v>
      </c>
      <c r="P12" s="5">
        <f t="shared" si="16"/>
        <v>38.793966728384</v>
      </c>
      <c r="Q12" s="5">
        <f t="shared" si="17"/>
        <v>38.793966728384</v>
      </c>
      <c r="R12" s="5">
        <f t="shared" si="26"/>
        <v>51.725288971178671</v>
      </c>
      <c r="S12" s="6">
        <f t="shared" si="9"/>
        <v>459.84133634636999</v>
      </c>
      <c r="T12" s="5">
        <f t="shared" si="27"/>
        <v>1.0808343245920606</v>
      </c>
      <c r="U12" s="6">
        <f t="shared" si="28"/>
        <v>7.4751599542093325</v>
      </c>
      <c r="V12" s="6">
        <f t="shared" si="29"/>
        <v>7.4751599542093325</v>
      </c>
      <c r="W12" s="6">
        <f t="shared" si="30"/>
        <v>19.844757255986071</v>
      </c>
      <c r="X12" s="6">
        <f t="shared" si="31"/>
        <v>580.61117921274024</v>
      </c>
      <c r="Y12">
        <f t="shared" si="32"/>
        <v>14.9402658575963</v>
      </c>
      <c r="Z12">
        <f t="shared" si="18"/>
        <v>14.659403387087334</v>
      </c>
      <c r="AD12">
        <v>7.4585445823337187E-3</v>
      </c>
      <c r="AE12">
        <v>9.8849594191322101</v>
      </c>
      <c r="AF12">
        <v>9.8852298535646792</v>
      </c>
      <c r="AG12">
        <v>9.5198086955460202</v>
      </c>
      <c r="AH12">
        <v>9.5200133076295099</v>
      </c>
      <c r="AI12">
        <v>9.8046453118196499</v>
      </c>
      <c r="AJ12">
        <v>9.8059059786888305</v>
      </c>
      <c r="AK12">
        <v>9.4536521238903006</v>
      </c>
      <c r="AL12">
        <v>9.4537172816353703</v>
      </c>
    </row>
    <row r="13" spans="1:40">
      <c r="A13" s="6" t="s">
        <v>91</v>
      </c>
      <c r="B13" s="5">
        <v>2</v>
      </c>
      <c r="C13" s="5">
        <v>8</v>
      </c>
      <c r="D13" s="6">
        <v>32</v>
      </c>
      <c r="E13" s="5">
        <v>10</v>
      </c>
      <c r="F13" s="5">
        <f t="shared" si="19"/>
        <v>13552</v>
      </c>
      <c r="G13" s="6">
        <v>0.52917700000000001</v>
      </c>
      <c r="H13" s="5">
        <f t="shared" si="20"/>
        <v>580.61117921274001</v>
      </c>
      <c r="I13" s="5">
        <f t="shared" si="1"/>
        <v>135668.3192308257</v>
      </c>
      <c r="J13" s="9">
        <f t="shared" si="22"/>
        <v>4.2796371511383564E-3</v>
      </c>
      <c r="K13" s="9">
        <f t="shared" si="23"/>
        <v>2.3612750885478157E-3</v>
      </c>
      <c r="L13" s="5">
        <f t="shared" si="24"/>
        <v>6.9161015561110002</v>
      </c>
      <c r="M13" s="5">
        <f t="shared" si="25"/>
        <v>6.9161015561110002</v>
      </c>
      <c r="N13" s="6">
        <f t="shared" si="21"/>
        <v>18.360591262195598</v>
      </c>
      <c r="O13" s="6">
        <f t="shared" si="7"/>
        <v>878.23226061009143</v>
      </c>
      <c r="P13" s="5">
        <f t="shared" si="16"/>
        <v>47.414848223580442</v>
      </c>
      <c r="Q13" s="5">
        <f t="shared" si="17"/>
        <v>47.414848223580442</v>
      </c>
      <c r="R13" s="5">
        <f t="shared" si="26"/>
        <v>60.346170466375114</v>
      </c>
      <c r="S13" s="6">
        <f t="shared" si="9"/>
        <v>459.84133634636999</v>
      </c>
      <c r="T13" s="5">
        <f t="shared" si="27"/>
        <v>1.0808343245920606</v>
      </c>
      <c r="U13" s="6">
        <f t="shared" si="28"/>
        <v>7.4751599542093325</v>
      </c>
      <c r="V13" s="6">
        <f t="shared" si="29"/>
        <v>7.4751599542093325</v>
      </c>
      <c r="W13" s="6">
        <f t="shared" si="30"/>
        <v>19.844757255986071</v>
      </c>
      <c r="X13" s="6">
        <f t="shared" si="31"/>
        <v>580.61117921274024</v>
      </c>
      <c r="Y13">
        <f t="shared" si="32"/>
        <v>19.250706605194523</v>
      </c>
      <c r="Z13">
        <f t="shared" si="18"/>
        <v>18.969844134685555</v>
      </c>
      <c r="AD13">
        <v>4.2796371511383564E-3</v>
      </c>
      <c r="AE13">
        <v>9.6185915399581692</v>
      </c>
      <c r="AF13">
        <v>9.6185724374883108</v>
      </c>
      <c r="AG13">
        <v>9.4084624901159799</v>
      </c>
      <c r="AH13">
        <v>9.4085960119549004</v>
      </c>
      <c r="AI13">
        <v>9.5724727699532899</v>
      </c>
      <c r="AJ13">
        <v>9.5731263545945993</v>
      </c>
      <c r="AK13">
        <v>9.3707691893843794</v>
      </c>
      <c r="AL13">
        <v>9.3708115472346591</v>
      </c>
    </row>
    <row r="14" spans="1:40">
      <c r="A14" s="5" t="s">
        <v>92</v>
      </c>
      <c r="B14" s="5">
        <v>2</v>
      </c>
      <c r="C14" s="5">
        <v>10</v>
      </c>
      <c r="D14" s="5">
        <v>40</v>
      </c>
      <c r="E14" s="5">
        <v>2</v>
      </c>
      <c r="F14" s="5">
        <f t="shared" si="19"/>
        <v>504</v>
      </c>
      <c r="G14" s="6">
        <v>0.52917700000000001</v>
      </c>
      <c r="H14" s="5">
        <f t="shared" ref="H14:H19" si="33">$N$38+8*$O$38</f>
        <v>725.31611315813052</v>
      </c>
      <c r="I14" s="5">
        <f t="shared" si="1"/>
        <v>5045.5160044521963</v>
      </c>
      <c r="J14" s="9">
        <f t="shared" si="22"/>
        <v>0.1437545956683334</v>
      </c>
      <c r="K14" s="9">
        <f t="shared" si="23"/>
        <v>7.9365079365079361E-2</v>
      </c>
      <c r="L14" s="5">
        <f t="shared" si="24"/>
        <v>6.9161015561110002</v>
      </c>
      <c r="M14" s="5">
        <f t="shared" si="25"/>
        <v>6.9161015561110002</v>
      </c>
      <c r="N14" s="5">
        <f t="shared" ref="N14:N19" si="34">$P$44+5*$Q$44</f>
        <v>20.649489203412521</v>
      </c>
      <c r="O14" s="6">
        <f t="shared" si="7"/>
        <v>987.71588150849277</v>
      </c>
      <c r="P14" s="5">
        <f t="shared" si="16"/>
        <v>12.931322242794668</v>
      </c>
      <c r="Q14" s="5">
        <f t="shared" si="17"/>
        <v>12.931322242794668</v>
      </c>
      <c r="R14" s="5">
        <f t="shared" si="26"/>
        <v>30.173085233187557</v>
      </c>
      <c r="S14" s="5">
        <f t="shared" si="9"/>
        <v>517.16682619684127</v>
      </c>
      <c r="T14" s="5">
        <f t="shared" si="27"/>
        <v>1.1193491027332911</v>
      </c>
      <c r="U14" s="6">
        <f t="shared" si="28"/>
        <v>7.7415320712451665</v>
      </c>
      <c r="V14" s="6">
        <f t="shared" si="29"/>
        <v>7.7415320712451665</v>
      </c>
      <c r="W14" s="6">
        <f t="shared" si="30"/>
        <v>23.113987211740589</v>
      </c>
      <c r="X14" s="6">
        <f t="shared" si="31"/>
        <v>725.31611315813041</v>
      </c>
      <c r="Y14">
        <f t="shared" si="32"/>
        <v>2.5295490107234837</v>
      </c>
      <c r="Z14">
        <f t="shared" si="18"/>
        <v>1.5948950857747501</v>
      </c>
      <c r="AA14" s="5"/>
      <c r="AB14" s="5"/>
      <c r="AC14" s="5"/>
      <c r="AD14" s="5">
        <v>0.1437545956683334</v>
      </c>
      <c r="AE14">
        <v>21.355355340286899</v>
      </c>
      <c r="AF14">
        <v>21.358376692513001</v>
      </c>
      <c r="AG14">
        <v>15.8124429956348</v>
      </c>
      <c r="AH14">
        <v>15.816582705194801</v>
      </c>
      <c r="AI14">
        <v>19.838898476602299</v>
      </c>
      <c r="AJ14">
        <v>19.867399897897901</v>
      </c>
      <c r="AK14">
        <v>13.833201214917599</v>
      </c>
      <c r="AL14">
        <v>13.834928232378401</v>
      </c>
      <c r="AM14" s="12"/>
      <c r="AN14" s="10"/>
    </row>
    <row r="15" spans="1:40">
      <c r="A15" s="5" t="s">
        <v>92</v>
      </c>
      <c r="B15" s="5">
        <v>2</v>
      </c>
      <c r="C15" s="5">
        <v>10</v>
      </c>
      <c r="D15" s="5">
        <v>40</v>
      </c>
      <c r="E15" s="5">
        <v>3</v>
      </c>
      <c r="F15" s="5">
        <f t="shared" si="19"/>
        <v>1024</v>
      </c>
      <c r="G15" s="6">
        <v>0.52917700000000001</v>
      </c>
      <c r="H15" s="5">
        <f t="shared" si="33"/>
        <v>725.31611315813052</v>
      </c>
      <c r="I15" s="5">
        <f t="shared" si="1"/>
        <v>10251.207120156841</v>
      </c>
      <c r="J15" s="9">
        <f t="shared" si="22"/>
        <v>7.0754215055507858E-2</v>
      </c>
      <c r="K15" s="9">
        <f t="shared" si="23"/>
        <v>3.90625E-2</v>
      </c>
      <c r="L15" s="5">
        <f t="shared" si="24"/>
        <v>6.9161015561110002</v>
      </c>
      <c r="M15" s="5">
        <f t="shared" si="25"/>
        <v>6.9161015561110002</v>
      </c>
      <c r="N15" s="5">
        <f t="shared" si="34"/>
        <v>20.649489203412521</v>
      </c>
      <c r="O15" s="6">
        <f t="shared" si="7"/>
        <v>987.71588150849277</v>
      </c>
      <c r="P15" s="5">
        <f t="shared" si="16"/>
        <v>17.241762990392889</v>
      </c>
      <c r="Q15" s="5">
        <f t="shared" si="17"/>
        <v>17.241762990392889</v>
      </c>
      <c r="R15" s="5">
        <f t="shared" si="26"/>
        <v>34.483525980785778</v>
      </c>
      <c r="S15" s="5">
        <f t="shared" si="9"/>
        <v>517.16682619684127</v>
      </c>
      <c r="T15" s="5">
        <f t="shared" si="27"/>
        <v>1.1193491027332911</v>
      </c>
      <c r="U15" s="6">
        <f t="shared" si="28"/>
        <v>7.7415320712451665</v>
      </c>
      <c r="V15" s="6">
        <f t="shared" si="29"/>
        <v>7.7415320712451665</v>
      </c>
      <c r="W15" s="6">
        <f t="shared" si="30"/>
        <v>23.113987211740589</v>
      </c>
      <c r="X15" s="6">
        <f t="shared" si="31"/>
        <v>725.31611315813041</v>
      </c>
      <c r="Y15">
        <f t="shared" si="32"/>
        <v>4.6847693845225944</v>
      </c>
      <c r="Z15">
        <f t="shared" si="18"/>
        <v>3.7501154595738608</v>
      </c>
      <c r="AA15" s="5"/>
      <c r="AB15" s="5"/>
      <c r="AC15" s="5"/>
      <c r="AD15" s="5">
        <v>7.0754215055507858E-2</v>
      </c>
      <c r="AE15">
        <v>15.332471396940999</v>
      </c>
      <c r="AF15">
        <v>15.3339683326253</v>
      </c>
      <c r="AG15">
        <v>11.9345363899749</v>
      </c>
      <c r="AH15">
        <v>11.936848694523899</v>
      </c>
      <c r="AI15">
        <v>14.711253136453401</v>
      </c>
      <c r="AJ15">
        <v>14.7296073203172</v>
      </c>
      <c r="AK15">
        <v>11.2286762708212</v>
      </c>
      <c r="AL15">
        <v>11.2299050077869</v>
      </c>
      <c r="AM15" s="12"/>
      <c r="AN15" s="10"/>
    </row>
    <row r="16" spans="1:40">
      <c r="A16" s="5" t="s">
        <v>92</v>
      </c>
      <c r="B16" s="5">
        <v>2</v>
      </c>
      <c r="C16" s="5">
        <v>10</v>
      </c>
      <c r="D16" s="5">
        <v>40</v>
      </c>
      <c r="E16" s="5">
        <v>4</v>
      </c>
      <c r="F16" s="5">
        <f t="shared" si="19"/>
        <v>1800</v>
      </c>
      <c r="G16" s="6">
        <v>0.52917700000000001</v>
      </c>
      <c r="H16" s="5">
        <f t="shared" si="33"/>
        <v>725.31611315813052</v>
      </c>
      <c r="I16" s="5">
        <f t="shared" si="1"/>
        <v>18019.700015900697</v>
      </c>
      <c r="J16" s="9">
        <f t="shared" si="22"/>
        <v>4.0251286787133363E-2</v>
      </c>
      <c r="K16" s="9">
        <f t="shared" si="23"/>
        <v>2.2222222222222223E-2</v>
      </c>
      <c r="L16" s="5">
        <f t="shared" si="24"/>
        <v>6.9161015561110002</v>
      </c>
      <c r="M16" s="5">
        <f t="shared" si="25"/>
        <v>6.9161015561110002</v>
      </c>
      <c r="N16" s="5">
        <f t="shared" si="34"/>
        <v>20.649489203412521</v>
      </c>
      <c r="O16" s="6">
        <f t="shared" si="7"/>
        <v>987.71588150849277</v>
      </c>
      <c r="P16" s="5">
        <f t="shared" si="16"/>
        <v>21.55220373799111</v>
      </c>
      <c r="Q16" s="5">
        <f t="shared" si="17"/>
        <v>21.55220373799111</v>
      </c>
      <c r="R16" s="5">
        <f t="shared" si="26"/>
        <v>38.793966728384</v>
      </c>
      <c r="S16" s="5">
        <f t="shared" si="9"/>
        <v>517.16682619684127</v>
      </c>
      <c r="T16" s="5">
        <f t="shared" si="27"/>
        <v>1.1193491027332911</v>
      </c>
      <c r="U16" s="6">
        <f t="shared" si="28"/>
        <v>7.7415320712451665</v>
      </c>
      <c r="V16" s="6">
        <f t="shared" si="29"/>
        <v>7.7415320712451665</v>
      </c>
      <c r="W16" s="6">
        <f t="shared" si="30"/>
        <v>23.113987211740589</v>
      </c>
      <c r="X16" s="6">
        <f t="shared" si="31"/>
        <v>725.31611315813041</v>
      </c>
      <c r="Y16">
        <f t="shared" si="32"/>
        <v>6.8399897583217051</v>
      </c>
      <c r="Z16">
        <f t="shared" si="18"/>
        <v>5.9053358333729715</v>
      </c>
      <c r="AA16" s="5"/>
      <c r="AB16" s="5"/>
      <c r="AC16" s="5"/>
      <c r="AD16" s="5">
        <v>4.0251286787133363E-2</v>
      </c>
      <c r="AE16">
        <v>12.775516001504499</v>
      </c>
      <c r="AF16">
        <v>12.7746022610108</v>
      </c>
      <c r="AG16">
        <v>10.6831926749933</v>
      </c>
      <c r="AH16">
        <v>10.6824418406822</v>
      </c>
      <c r="AI16">
        <v>12.4415154971998</v>
      </c>
      <c r="AJ16">
        <v>12.447848797498001</v>
      </c>
      <c r="AK16">
        <v>10.3248193292798</v>
      </c>
      <c r="AL16">
        <v>10.3243652086057</v>
      </c>
      <c r="AM16" s="12"/>
      <c r="AN16" s="10"/>
    </row>
    <row r="17" spans="1:40">
      <c r="A17" s="5" t="s">
        <v>92</v>
      </c>
      <c r="B17" s="5">
        <v>2</v>
      </c>
      <c r="C17" s="5">
        <v>10</v>
      </c>
      <c r="D17" s="5">
        <v>40</v>
      </c>
      <c r="E17" s="5">
        <v>6</v>
      </c>
      <c r="F17" s="5">
        <f t="shared" si="19"/>
        <v>4312</v>
      </c>
      <c r="G17" s="6">
        <v>0.52917700000000001</v>
      </c>
      <c r="H17" s="5">
        <f t="shared" si="33"/>
        <v>725.31611315813052</v>
      </c>
      <c r="I17" s="5">
        <f t="shared" si="1"/>
        <v>43167.192482535451</v>
      </c>
      <c r="J17" s="9">
        <f t="shared" si="22"/>
        <v>1.6802485207987022E-2</v>
      </c>
      <c r="K17" s="9">
        <f t="shared" ref="K17:K25" si="35">D17/F17</f>
        <v>9.2764378478664197E-3</v>
      </c>
      <c r="L17" s="5">
        <f t="shared" si="24"/>
        <v>6.9161015561110002</v>
      </c>
      <c r="M17" s="5">
        <f t="shared" si="25"/>
        <v>6.9161015561110002</v>
      </c>
      <c r="N17" s="5">
        <f t="shared" si="34"/>
        <v>20.649489203412521</v>
      </c>
      <c r="O17" s="6">
        <f t="shared" ref="O17:O25" si="36">L17*M17*N17</f>
        <v>987.71588150849277</v>
      </c>
      <c r="P17" s="5">
        <f t="shared" si="16"/>
        <v>30.173085233187557</v>
      </c>
      <c r="Q17" s="5">
        <f t="shared" si="17"/>
        <v>30.173085233187557</v>
      </c>
      <c r="R17" s="5">
        <f t="shared" si="26"/>
        <v>47.414848223580442</v>
      </c>
      <c r="S17" s="5">
        <f t="shared" si="9"/>
        <v>517.16682619684127</v>
      </c>
      <c r="T17" s="5">
        <f t="shared" si="27"/>
        <v>1.1193491027332911</v>
      </c>
      <c r="U17" s="6">
        <f t="shared" si="28"/>
        <v>7.7415320712451665</v>
      </c>
      <c r="V17" s="6">
        <f t="shared" si="29"/>
        <v>7.7415320712451665</v>
      </c>
      <c r="W17" s="6">
        <f t="shared" si="30"/>
        <v>23.113987211740589</v>
      </c>
      <c r="X17" s="6">
        <f t="shared" si="31"/>
        <v>725.31611315813041</v>
      </c>
      <c r="Y17">
        <f t="shared" si="32"/>
        <v>11.150430505919926</v>
      </c>
      <c r="Z17">
        <f t="shared" si="18"/>
        <v>10.215776580971195</v>
      </c>
      <c r="AD17">
        <v>1.6802485207987022E-2</v>
      </c>
      <c r="AE17">
        <v>10.7490157208232</v>
      </c>
      <c r="AF17">
        <v>10.7491145967118</v>
      </c>
      <c r="AG17">
        <v>9.8269412808523207</v>
      </c>
      <c r="AH17">
        <v>9.8271023321445004</v>
      </c>
      <c r="AI17">
        <v>10.6119685301676</v>
      </c>
      <c r="AJ17">
        <v>10.6152414068642</v>
      </c>
      <c r="AK17">
        <v>9.6888843007543901</v>
      </c>
      <c r="AL17">
        <v>9.6889627548260098</v>
      </c>
    </row>
    <row r="18" spans="1:40">
      <c r="A18" s="5" t="s">
        <v>92</v>
      </c>
      <c r="B18" s="5">
        <v>2</v>
      </c>
      <c r="C18" s="5">
        <v>10</v>
      </c>
      <c r="D18" s="5">
        <v>40</v>
      </c>
      <c r="E18" s="5">
        <v>8</v>
      </c>
      <c r="F18" s="5">
        <f t="shared" si="19"/>
        <v>8424</v>
      </c>
      <c r="G18" s="6">
        <v>0.52917700000000001</v>
      </c>
      <c r="H18" s="5">
        <f t="shared" si="33"/>
        <v>725.31611315813052</v>
      </c>
      <c r="I18" s="5">
        <f t="shared" si="1"/>
        <v>84332.196074415275</v>
      </c>
      <c r="J18" s="9">
        <f t="shared" si="22"/>
        <v>8.600702304943024E-3</v>
      </c>
      <c r="K18" s="9">
        <f t="shared" si="35"/>
        <v>4.7483380816714148E-3</v>
      </c>
      <c r="L18" s="5">
        <f t="shared" si="24"/>
        <v>6.9161015561110002</v>
      </c>
      <c r="M18" s="5">
        <f t="shared" si="25"/>
        <v>6.9161015561110002</v>
      </c>
      <c r="N18" s="5">
        <f t="shared" si="34"/>
        <v>20.649489203412521</v>
      </c>
      <c r="O18" s="6">
        <f t="shared" si="36"/>
        <v>987.71588150849277</v>
      </c>
      <c r="P18" s="5">
        <f t="shared" si="16"/>
        <v>38.793966728384</v>
      </c>
      <c r="Q18" s="5">
        <f t="shared" si="17"/>
        <v>38.793966728384</v>
      </c>
      <c r="R18" s="5">
        <f t="shared" si="26"/>
        <v>56.035729718776892</v>
      </c>
      <c r="S18" s="5">
        <f t="shared" si="9"/>
        <v>517.16682619684127</v>
      </c>
      <c r="T18" s="5">
        <f t="shared" si="27"/>
        <v>1.1193491027332911</v>
      </c>
      <c r="U18" s="6">
        <f t="shared" si="28"/>
        <v>7.7415320712451665</v>
      </c>
      <c r="V18" s="6">
        <f t="shared" si="29"/>
        <v>7.7415320712451665</v>
      </c>
      <c r="W18" s="6">
        <f t="shared" si="30"/>
        <v>23.113987211740589</v>
      </c>
      <c r="X18" s="6">
        <f t="shared" si="31"/>
        <v>725.31611315813041</v>
      </c>
      <c r="Y18">
        <f t="shared" si="32"/>
        <v>15.460871253518151</v>
      </c>
      <c r="Z18">
        <f t="shared" si="18"/>
        <v>14.526217328569416</v>
      </c>
      <c r="AD18">
        <v>8.600702304943024E-3</v>
      </c>
      <c r="AE18">
        <v>10.0247629000825</v>
      </c>
      <c r="AF18">
        <v>10.0248948020343</v>
      </c>
      <c r="AG18">
        <v>9.5462488924233799</v>
      </c>
      <c r="AH18">
        <v>9.5461534757117494</v>
      </c>
      <c r="AI18">
        <v>9.9548022418129403</v>
      </c>
      <c r="AJ18">
        <v>9.9566956876437391</v>
      </c>
      <c r="AK18">
        <v>9.4772245694374693</v>
      </c>
      <c r="AL18">
        <v>9.4771657682902593</v>
      </c>
    </row>
    <row r="19" spans="1:40">
      <c r="A19" s="5" t="s">
        <v>92</v>
      </c>
      <c r="B19" s="5">
        <v>2</v>
      </c>
      <c r="C19" s="5">
        <v>10</v>
      </c>
      <c r="D19" s="5">
        <v>40</v>
      </c>
      <c r="E19" s="5">
        <v>10</v>
      </c>
      <c r="F19" s="5">
        <f t="shared" si="19"/>
        <v>14520</v>
      </c>
      <c r="G19" s="6">
        <v>0.52917700000000001</v>
      </c>
      <c r="H19" s="5">
        <f t="shared" si="33"/>
        <v>725.31611315813052</v>
      </c>
      <c r="I19" s="5">
        <f t="shared" si="1"/>
        <v>145358.91346159895</v>
      </c>
      <c r="J19" s="9">
        <f t="shared" si="22"/>
        <v>4.9898289405537226E-3</v>
      </c>
      <c r="K19" s="9">
        <f t="shared" si="35"/>
        <v>2.7548209366391185E-3</v>
      </c>
      <c r="L19" s="5">
        <f t="shared" si="24"/>
        <v>6.9161015561110002</v>
      </c>
      <c r="M19" s="5">
        <f t="shared" si="25"/>
        <v>6.9161015561110002</v>
      </c>
      <c r="N19" s="5">
        <f t="shared" si="34"/>
        <v>20.649489203412521</v>
      </c>
      <c r="O19" s="6">
        <f t="shared" si="36"/>
        <v>987.71588150849277</v>
      </c>
      <c r="P19" s="5">
        <f t="shared" si="16"/>
        <v>47.414848223580442</v>
      </c>
      <c r="Q19" s="5">
        <f t="shared" si="17"/>
        <v>47.414848223580442</v>
      </c>
      <c r="R19" s="5">
        <f t="shared" si="26"/>
        <v>64.656611213973335</v>
      </c>
      <c r="S19" s="5">
        <f t="shared" si="9"/>
        <v>517.16682619684127</v>
      </c>
      <c r="T19" s="5">
        <f t="shared" si="27"/>
        <v>1.1193491027332911</v>
      </c>
      <c r="U19" s="6">
        <f t="shared" si="28"/>
        <v>7.7415320712451665</v>
      </c>
      <c r="V19" s="6">
        <f t="shared" si="29"/>
        <v>7.7415320712451665</v>
      </c>
      <c r="W19" s="6">
        <f t="shared" si="30"/>
        <v>23.113987211740589</v>
      </c>
      <c r="X19" s="6">
        <f t="shared" si="31"/>
        <v>725.31611315813041</v>
      </c>
      <c r="Y19">
        <f t="shared" si="32"/>
        <v>19.771312001116371</v>
      </c>
      <c r="Z19">
        <f t="shared" si="18"/>
        <v>18.836658076167637</v>
      </c>
      <c r="AD19">
        <v>4.9898289405537226E-3</v>
      </c>
      <c r="AE19">
        <v>9.7036715947245007</v>
      </c>
      <c r="AF19">
        <v>9.7036632979292694</v>
      </c>
      <c r="AG19">
        <v>9.4250067244607898</v>
      </c>
      <c r="AH19">
        <v>9.4250023661267601</v>
      </c>
      <c r="AI19">
        <v>9.6635965744246501</v>
      </c>
      <c r="AJ19">
        <v>9.6642394758865109</v>
      </c>
      <c r="AK19">
        <v>9.3854019765371302</v>
      </c>
      <c r="AL19">
        <v>9.3853986687218498</v>
      </c>
    </row>
    <row r="20" spans="1:40">
      <c r="A20" s="6" t="s">
        <v>93</v>
      </c>
      <c r="B20" s="5">
        <v>2</v>
      </c>
      <c r="C20" s="5">
        <v>12</v>
      </c>
      <c r="D20" s="6">
        <v>48</v>
      </c>
      <c r="E20" s="5">
        <v>2</v>
      </c>
      <c r="F20" s="5">
        <f t="shared" si="19"/>
        <v>576</v>
      </c>
      <c r="G20" s="6">
        <v>0.52917700000000001</v>
      </c>
      <c r="H20" s="5">
        <f t="shared" ref="H20:H25" si="37">$N$38+10*$O$38</f>
        <v>870.02104710352103</v>
      </c>
      <c r="I20" s="5">
        <f t="shared" si="1"/>
        <v>5766.3040050882246</v>
      </c>
      <c r="J20" s="9">
        <f t="shared" si="22"/>
        <v>0.15088019055807822</v>
      </c>
      <c r="K20" s="9">
        <f t="shared" si="35"/>
        <v>8.3333333333333329E-2</v>
      </c>
      <c r="L20" s="5">
        <f t="shared" si="24"/>
        <v>6.9161015561110002</v>
      </c>
      <c r="M20" s="5">
        <f t="shared" si="25"/>
        <v>6.9161015561110002</v>
      </c>
      <c r="N20" s="6">
        <f t="shared" ref="N20:N25" si="38">$P$44+6*$Q$44</f>
        <v>22.938387144629438</v>
      </c>
      <c r="O20" s="6">
        <f t="shared" si="36"/>
        <v>1097.1995024068938</v>
      </c>
      <c r="P20" s="5">
        <f t="shared" si="16"/>
        <v>12.931322242794668</v>
      </c>
      <c r="Q20" s="5">
        <f t="shared" si="17"/>
        <v>12.931322242794668</v>
      </c>
      <c r="R20" s="5">
        <f t="shared" si="26"/>
        <v>34.483525980785778</v>
      </c>
      <c r="S20" s="6">
        <f t="shared" si="9"/>
        <v>574.49231604731233</v>
      </c>
      <c r="T20" s="5">
        <f t="shared" si="27"/>
        <v>1.1483700169925801</v>
      </c>
      <c r="U20" s="6">
        <f t="shared" si="28"/>
        <v>7.942243661513599</v>
      </c>
      <c r="V20" s="6">
        <f t="shared" si="29"/>
        <v>7.942243661513599</v>
      </c>
      <c r="W20" s="6">
        <f t="shared" si="30"/>
        <v>26.341756035060488</v>
      </c>
      <c r="X20" s="6">
        <f t="shared" si="31"/>
        <v>870.02104710352069</v>
      </c>
      <c r="Y20">
        <f t="shared" si="32"/>
        <v>3.0708849728626451</v>
      </c>
      <c r="Z20">
        <f t="shared" si="18"/>
        <v>1.4945392906405344</v>
      </c>
      <c r="AA20" s="6"/>
      <c r="AB20" s="6"/>
      <c r="AC20" s="6"/>
      <c r="AD20" s="6">
        <v>0.15088019055807822</v>
      </c>
      <c r="AE20">
        <v>21.697117041335201</v>
      </c>
      <c r="AF20">
        <v>21.697041175974</v>
      </c>
      <c r="AG20">
        <v>16.0844727962054</v>
      </c>
      <c r="AH20">
        <v>16.087097865628401</v>
      </c>
      <c r="AI20">
        <v>20.515137756719501</v>
      </c>
      <c r="AJ20">
        <v>20.546122365589198</v>
      </c>
      <c r="AK20">
        <v>14.0673673430382</v>
      </c>
      <c r="AL20">
        <v>14.0686201905401</v>
      </c>
      <c r="AM20" s="13"/>
      <c r="AN20" s="11"/>
    </row>
    <row r="21" spans="1:40">
      <c r="A21" s="6" t="s">
        <v>93</v>
      </c>
      <c r="B21" s="5">
        <v>2</v>
      </c>
      <c r="C21" s="5">
        <v>12</v>
      </c>
      <c r="D21" s="6">
        <v>48</v>
      </c>
      <c r="E21" s="5">
        <v>3</v>
      </c>
      <c r="F21" s="5">
        <f t="shared" si="19"/>
        <v>1152</v>
      </c>
      <c r="G21" s="6">
        <v>0.52917700000000001</v>
      </c>
      <c r="H21" s="5">
        <f t="shared" si="37"/>
        <v>870.02104710352103</v>
      </c>
      <c r="I21" s="5">
        <f t="shared" si="1"/>
        <v>11532.608010176446</v>
      </c>
      <c r="J21" s="9">
        <f t="shared" si="22"/>
        <v>7.5440095279039138E-2</v>
      </c>
      <c r="K21" s="9">
        <f t="shared" si="35"/>
        <v>4.1666666666666664E-2</v>
      </c>
      <c r="L21" s="5">
        <f t="shared" si="24"/>
        <v>6.9161015561110002</v>
      </c>
      <c r="M21" s="5">
        <f t="shared" si="25"/>
        <v>6.9161015561110002</v>
      </c>
      <c r="N21" s="6">
        <f t="shared" si="38"/>
        <v>22.938387144629438</v>
      </c>
      <c r="O21" s="6">
        <f t="shared" si="36"/>
        <v>1097.1995024068938</v>
      </c>
      <c r="P21" s="5">
        <f t="shared" si="16"/>
        <v>17.241762990392889</v>
      </c>
      <c r="Q21" s="5">
        <f t="shared" si="17"/>
        <v>17.241762990392889</v>
      </c>
      <c r="R21" s="5">
        <f t="shared" si="26"/>
        <v>38.793966728384</v>
      </c>
      <c r="S21" s="6">
        <f t="shared" si="9"/>
        <v>574.49231604731233</v>
      </c>
      <c r="T21" s="5">
        <f t="shared" si="27"/>
        <v>1.1483700169925801</v>
      </c>
      <c r="U21" s="6">
        <f t="shared" si="28"/>
        <v>7.942243661513599</v>
      </c>
      <c r="V21" s="6">
        <f t="shared" si="29"/>
        <v>7.942243661513599</v>
      </c>
      <c r="W21" s="6">
        <f t="shared" si="30"/>
        <v>26.341756035060488</v>
      </c>
      <c r="X21" s="6">
        <f t="shared" si="31"/>
        <v>870.02104710352069</v>
      </c>
      <c r="Y21">
        <f t="shared" si="32"/>
        <v>5.2261053466617557</v>
      </c>
      <c r="Z21">
        <f t="shared" si="18"/>
        <v>3.6497596644396451</v>
      </c>
      <c r="AA21" s="6"/>
      <c r="AB21" s="6"/>
      <c r="AC21" s="6"/>
      <c r="AD21" s="6">
        <v>7.5440095279039138E-2</v>
      </c>
      <c r="AE21">
        <v>15.8287930861083</v>
      </c>
      <c r="AF21">
        <v>15.828284974461599</v>
      </c>
      <c r="AG21">
        <v>12.042126675952099</v>
      </c>
      <c r="AH21">
        <v>12.043262403650701</v>
      </c>
      <c r="AI21">
        <v>15.3651989039295</v>
      </c>
      <c r="AJ21">
        <v>15.379040331446401</v>
      </c>
      <c r="AK21">
        <v>11.3344985829993</v>
      </c>
      <c r="AL21">
        <v>11.335181802199999</v>
      </c>
      <c r="AM21" s="13"/>
      <c r="AN21" s="11"/>
    </row>
    <row r="22" spans="1:40">
      <c r="A22" s="6" t="s">
        <v>93</v>
      </c>
      <c r="B22" s="5">
        <v>2</v>
      </c>
      <c r="C22" s="5">
        <v>12</v>
      </c>
      <c r="D22" s="6">
        <v>48</v>
      </c>
      <c r="E22" s="5">
        <v>4</v>
      </c>
      <c r="F22" s="5">
        <f t="shared" si="19"/>
        <v>2000</v>
      </c>
      <c r="G22" s="6">
        <v>0.52917700000000001</v>
      </c>
      <c r="H22" s="5">
        <f t="shared" si="37"/>
        <v>870.02104710352103</v>
      </c>
      <c r="I22" s="5">
        <f t="shared" si="1"/>
        <v>20021.888906556327</v>
      </c>
      <c r="J22" s="9">
        <f t="shared" si="22"/>
        <v>4.3453494880726549E-2</v>
      </c>
      <c r="K22" s="9">
        <f t="shared" si="35"/>
        <v>2.4E-2</v>
      </c>
      <c r="L22" s="5">
        <f t="shared" si="24"/>
        <v>6.9161015561110002</v>
      </c>
      <c r="M22" s="5">
        <f t="shared" si="25"/>
        <v>6.9161015561110002</v>
      </c>
      <c r="N22" s="6">
        <f t="shared" si="38"/>
        <v>22.938387144629438</v>
      </c>
      <c r="O22" s="6">
        <f t="shared" si="36"/>
        <v>1097.1995024068938</v>
      </c>
      <c r="P22" s="5">
        <f t="shared" si="16"/>
        <v>21.55220373799111</v>
      </c>
      <c r="Q22" s="5">
        <f t="shared" si="17"/>
        <v>21.55220373799111</v>
      </c>
      <c r="R22" s="5">
        <f t="shared" si="26"/>
        <v>43.104407475982221</v>
      </c>
      <c r="S22" s="6">
        <f t="shared" si="9"/>
        <v>574.49231604731233</v>
      </c>
      <c r="T22" s="5">
        <f t="shared" si="27"/>
        <v>1.1483700169925801</v>
      </c>
      <c r="U22" s="6">
        <f t="shared" si="28"/>
        <v>7.942243661513599</v>
      </c>
      <c r="V22" s="6">
        <f t="shared" si="29"/>
        <v>7.942243661513599</v>
      </c>
      <c r="W22" s="6">
        <f t="shared" si="30"/>
        <v>26.341756035060488</v>
      </c>
      <c r="X22" s="6">
        <f t="shared" si="31"/>
        <v>870.02104710352069</v>
      </c>
      <c r="Y22">
        <f t="shared" si="32"/>
        <v>7.3813257204608664</v>
      </c>
      <c r="Z22">
        <f t="shared" si="18"/>
        <v>5.8049800382387557</v>
      </c>
      <c r="AA22" s="6"/>
      <c r="AB22" s="6"/>
      <c r="AC22" s="6"/>
      <c r="AD22" s="6">
        <v>4.3453494880726549E-2</v>
      </c>
      <c r="AE22">
        <v>13.184941246965099</v>
      </c>
      <c r="AF22">
        <v>13.1860463943295</v>
      </c>
      <c r="AG22">
        <v>10.7531671085528</v>
      </c>
      <c r="AH22">
        <v>10.753806679593</v>
      </c>
      <c r="AI22">
        <v>12.9399286225762</v>
      </c>
      <c r="AJ22">
        <v>12.948185748201499</v>
      </c>
      <c r="AK22">
        <v>10.392130108442201</v>
      </c>
      <c r="AL22">
        <v>10.392494308582499</v>
      </c>
      <c r="AM22" s="13"/>
      <c r="AN22" s="11"/>
    </row>
    <row r="23" spans="1:40">
      <c r="A23" s="6" t="s">
        <v>93</v>
      </c>
      <c r="B23" s="5">
        <v>2</v>
      </c>
      <c r="C23" s="5">
        <v>12</v>
      </c>
      <c r="D23" s="6">
        <v>48</v>
      </c>
      <c r="E23" s="5">
        <v>6</v>
      </c>
      <c r="F23" s="5">
        <f t="shared" si="19"/>
        <v>4704</v>
      </c>
      <c r="G23" s="6">
        <v>0.52917700000000001</v>
      </c>
      <c r="H23" s="5">
        <f t="shared" si="37"/>
        <v>870.02104710352103</v>
      </c>
      <c r="I23" s="5">
        <f t="shared" si="1"/>
        <v>47091.482708220494</v>
      </c>
      <c r="J23" s="9">
        <f t="shared" si="22"/>
        <v>1.847512537445856E-2</v>
      </c>
      <c r="K23" s="9">
        <f t="shared" si="35"/>
        <v>1.020408163265306E-2</v>
      </c>
      <c r="L23" s="5">
        <f t="shared" si="24"/>
        <v>6.9161015561110002</v>
      </c>
      <c r="M23" s="5">
        <f t="shared" si="25"/>
        <v>6.9161015561110002</v>
      </c>
      <c r="N23" s="6">
        <f t="shared" si="38"/>
        <v>22.938387144629438</v>
      </c>
      <c r="O23" s="6">
        <f t="shared" si="36"/>
        <v>1097.1995024068938</v>
      </c>
      <c r="P23" s="5">
        <f t="shared" si="16"/>
        <v>30.173085233187557</v>
      </c>
      <c r="Q23" s="5">
        <f t="shared" si="17"/>
        <v>30.173085233187557</v>
      </c>
      <c r="R23" s="5">
        <f t="shared" si="26"/>
        <v>51.725288971178671</v>
      </c>
      <c r="S23" s="6">
        <f t="shared" si="9"/>
        <v>574.49231604731233</v>
      </c>
      <c r="T23" s="5">
        <f t="shared" si="27"/>
        <v>1.1483700169925801</v>
      </c>
      <c r="U23" s="6">
        <f t="shared" si="28"/>
        <v>7.942243661513599</v>
      </c>
      <c r="V23" s="6">
        <f t="shared" si="29"/>
        <v>7.942243661513599</v>
      </c>
      <c r="W23" s="6">
        <f t="shared" si="30"/>
        <v>26.341756035060488</v>
      </c>
      <c r="X23" s="6">
        <f t="shared" si="31"/>
        <v>870.02104710352069</v>
      </c>
      <c r="Y23">
        <f t="shared" si="32"/>
        <v>11.691766468059091</v>
      </c>
      <c r="Z23">
        <f t="shared" si="18"/>
        <v>10.115420785836978</v>
      </c>
      <c r="AD23">
        <v>1.847512537445856E-2</v>
      </c>
      <c r="AE23">
        <v>10.9818146324903</v>
      </c>
      <c r="AF23">
        <v>10.9815208582592</v>
      </c>
      <c r="AG23">
        <v>9.8635050822652008</v>
      </c>
      <c r="AH23">
        <v>9.8630601084059695</v>
      </c>
      <c r="AI23">
        <v>10.8807573617235</v>
      </c>
      <c r="AJ23">
        <v>10.884203778583601</v>
      </c>
      <c r="AK23">
        <v>9.7228323223876192</v>
      </c>
      <c r="AL23">
        <v>9.7225563484051296</v>
      </c>
    </row>
    <row r="24" spans="1:40">
      <c r="A24" s="6" t="s">
        <v>93</v>
      </c>
      <c r="B24" s="5">
        <v>2</v>
      </c>
      <c r="C24" s="5">
        <v>12</v>
      </c>
      <c r="D24" s="6">
        <v>48</v>
      </c>
      <c r="E24" s="5">
        <v>8</v>
      </c>
      <c r="F24" s="5">
        <f t="shared" si="19"/>
        <v>9072</v>
      </c>
      <c r="G24" s="6">
        <v>0.52917700000000001</v>
      </c>
      <c r="H24" s="5">
        <f t="shared" si="37"/>
        <v>870.02104710352103</v>
      </c>
      <c r="I24" s="5">
        <f t="shared" si="1"/>
        <v>90819.288080139522</v>
      </c>
      <c r="J24" s="9">
        <f t="shared" si="22"/>
        <v>9.5796946386081435E-3</v>
      </c>
      <c r="K24" s="9">
        <f t="shared" si="35"/>
        <v>5.2910052910052907E-3</v>
      </c>
      <c r="L24" s="5">
        <f t="shared" si="24"/>
        <v>6.9161015561110002</v>
      </c>
      <c r="M24" s="5">
        <f t="shared" si="25"/>
        <v>6.9161015561110002</v>
      </c>
      <c r="N24" s="6">
        <f t="shared" si="38"/>
        <v>22.938387144629438</v>
      </c>
      <c r="O24" s="6">
        <f t="shared" si="36"/>
        <v>1097.1995024068938</v>
      </c>
      <c r="P24" s="5">
        <f t="shared" si="16"/>
        <v>38.793966728384</v>
      </c>
      <c r="Q24" s="5">
        <f t="shared" si="17"/>
        <v>38.793966728384</v>
      </c>
      <c r="R24" s="5">
        <f t="shared" si="26"/>
        <v>60.346170466375114</v>
      </c>
      <c r="S24" s="6">
        <f t="shared" si="9"/>
        <v>574.49231604731233</v>
      </c>
      <c r="T24" s="5">
        <f t="shared" si="27"/>
        <v>1.1483700169925801</v>
      </c>
      <c r="U24" s="6">
        <f t="shared" si="28"/>
        <v>7.942243661513599</v>
      </c>
      <c r="V24" s="6">
        <f t="shared" si="29"/>
        <v>7.942243661513599</v>
      </c>
      <c r="W24" s="6">
        <f t="shared" si="30"/>
        <v>26.341756035060488</v>
      </c>
      <c r="X24" s="6">
        <f t="shared" si="31"/>
        <v>870.02104710352069</v>
      </c>
      <c r="Y24">
        <f t="shared" si="32"/>
        <v>16.002207215657315</v>
      </c>
      <c r="Z24">
        <f t="shared" si="18"/>
        <v>14.425861533435199</v>
      </c>
      <c r="AD24">
        <v>9.5796946386081435E-3</v>
      </c>
      <c r="AE24">
        <v>10.1606400414215</v>
      </c>
      <c r="AF24">
        <v>10.16080469624</v>
      </c>
      <c r="AG24">
        <v>9.5676552416011091</v>
      </c>
      <c r="AH24">
        <v>9.56757520802147</v>
      </c>
      <c r="AI24">
        <v>10.108758723907201</v>
      </c>
      <c r="AJ24">
        <v>10.110682144402899</v>
      </c>
      <c r="AK24">
        <v>9.4968150682836505</v>
      </c>
      <c r="AL24">
        <v>9.4967474837645298</v>
      </c>
    </row>
    <row r="25" spans="1:40">
      <c r="A25" s="6" t="s">
        <v>93</v>
      </c>
      <c r="B25" s="5">
        <v>2</v>
      </c>
      <c r="C25" s="5">
        <v>12</v>
      </c>
      <c r="D25" s="6">
        <v>48</v>
      </c>
      <c r="E25" s="5">
        <v>10</v>
      </c>
      <c r="F25" s="5">
        <f t="shared" si="19"/>
        <v>15488</v>
      </c>
      <c r="G25" s="6">
        <v>0.52917700000000001</v>
      </c>
      <c r="H25" s="5">
        <f t="shared" si="37"/>
        <v>870.02104710352103</v>
      </c>
      <c r="I25" s="5">
        <f t="shared" si="1"/>
        <v>155049.50769237222</v>
      </c>
      <c r="J25" s="9">
        <f t="shared" si="22"/>
        <v>5.6112467562921672E-3</v>
      </c>
      <c r="K25" s="9">
        <f t="shared" si="35"/>
        <v>3.0991735537190084E-3</v>
      </c>
      <c r="L25" s="5">
        <f t="shared" si="24"/>
        <v>6.9161015561110002</v>
      </c>
      <c r="M25" s="5">
        <f t="shared" si="25"/>
        <v>6.9161015561110002</v>
      </c>
      <c r="N25" s="6">
        <f t="shared" si="38"/>
        <v>22.938387144629438</v>
      </c>
      <c r="O25" s="6">
        <f t="shared" si="36"/>
        <v>1097.1995024068938</v>
      </c>
      <c r="P25" s="5">
        <f t="shared" si="16"/>
        <v>47.414848223580442</v>
      </c>
      <c r="Q25" s="5">
        <f t="shared" si="17"/>
        <v>47.414848223580442</v>
      </c>
      <c r="R25" s="5">
        <f t="shared" si="26"/>
        <v>68.967051961571556</v>
      </c>
      <c r="S25" s="6">
        <f t="shared" si="9"/>
        <v>574.49231604731233</v>
      </c>
      <c r="T25" s="5">
        <f t="shared" si="27"/>
        <v>1.1483700169925801</v>
      </c>
      <c r="U25" s="6">
        <f t="shared" si="28"/>
        <v>7.942243661513599</v>
      </c>
      <c r="V25" s="6">
        <f t="shared" si="29"/>
        <v>7.942243661513599</v>
      </c>
      <c r="W25" s="6">
        <f t="shared" si="30"/>
        <v>26.341756035060488</v>
      </c>
      <c r="X25" s="6">
        <f t="shared" si="31"/>
        <v>870.02104710352069</v>
      </c>
      <c r="Y25">
        <f t="shared" si="32"/>
        <v>20.312647963255536</v>
      </c>
      <c r="Z25">
        <f t="shared" si="18"/>
        <v>18.736302281033421</v>
      </c>
      <c r="AD25">
        <v>5.6112467562921672E-3</v>
      </c>
      <c r="AE25">
        <v>9.7892790525915903</v>
      </c>
      <c r="AF25">
        <v>9.7892384105157202</v>
      </c>
      <c r="AG25">
        <v>9.4391345277712801</v>
      </c>
      <c r="AH25">
        <v>9.4391163193001599</v>
      </c>
      <c r="AI25">
        <v>9.7588195874906098</v>
      </c>
      <c r="AJ25">
        <v>9.7598958932810902</v>
      </c>
      <c r="AK25">
        <v>9.3980749126970604</v>
      </c>
      <c r="AL25">
        <v>9.3980533018421593</v>
      </c>
    </row>
    <row r="26" spans="1:40">
      <c r="A26" s="8" t="s">
        <v>94</v>
      </c>
      <c r="B26" s="8">
        <v>2</v>
      </c>
      <c r="C26" s="8">
        <v>14</v>
      </c>
      <c r="D26" s="8">
        <v>56</v>
      </c>
      <c r="E26" s="8">
        <v>2</v>
      </c>
      <c r="F26" s="5">
        <f t="shared" si="19"/>
        <v>648</v>
      </c>
      <c r="G26" s="8">
        <v>0.52917700000000001</v>
      </c>
      <c r="H26" s="5">
        <f t="shared" ref="H26:H31" si="39">$N$38+12*$O$38</f>
        <v>1014.7259810489115</v>
      </c>
      <c r="I26" s="5">
        <f t="shared" si="1"/>
        <v>6487.092005724252</v>
      </c>
      <c r="J26" s="9">
        <f t="shared" ref="J26:J31" si="40">H26/I26</f>
        <v>0.15642231991676867</v>
      </c>
      <c r="K26" s="9">
        <f t="shared" ref="K26:K31" si="41">D26/F26</f>
        <v>8.6419753086419748E-2</v>
      </c>
      <c r="L26" s="5">
        <f t="shared" ref="L26:L31" si="42">$N$45</f>
        <v>6.9161015561110002</v>
      </c>
      <c r="M26" s="5">
        <f t="shared" si="25"/>
        <v>6.9161015561110002</v>
      </c>
      <c r="N26" s="8">
        <f t="shared" ref="N26:N31" si="43">$P$44+7*$Q$44</f>
        <v>25.227285085846361</v>
      </c>
      <c r="O26" s="6">
        <f t="shared" ref="O26:O31" si="44">L26*M26*N26</f>
        <v>1206.6831233052951</v>
      </c>
      <c r="P26" s="5">
        <f t="shared" si="16"/>
        <v>12.931322242794668</v>
      </c>
      <c r="Q26" s="5">
        <f t="shared" si="17"/>
        <v>12.931322242794668</v>
      </c>
      <c r="R26" s="5">
        <f t="shared" si="26"/>
        <v>38.793966728384</v>
      </c>
      <c r="S26" s="8">
        <f t="shared" si="9"/>
        <v>631.8178058977835</v>
      </c>
      <c r="T26" s="5">
        <f t="shared" ref="T26:T31" si="45">(H26/S26)^(1/3)</f>
        <v>1.171077507539056</v>
      </c>
      <c r="U26" s="8">
        <f t="shared" ref="U26:U31" si="46">T26*L26</f>
        <v>8.0992909722174566</v>
      </c>
      <c r="V26" s="8">
        <f t="shared" ref="V26:V31" si="47">T26*M26</f>
        <v>8.0992909722174566</v>
      </c>
      <c r="W26" s="8">
        <f t="shared" ref="W26:W31" si="48">T26*N26</f>
        <v>29.543106140310158</v>
      </c>
      <c r="X26" s="8">
        <f t="shared" ref="X26:X31" si="49">4/3*PI()*U26/2*V26/2*W26/2</f>
        <v>1014.7259810489119</v>
      </c>
      <c r="Y26">
        <f t="shared" ref="Y26:Y31" si="50">(R26-(W26+2)) / 2</f>
        <v>3.6254302940369207</v>
      </c>
      <c r="Z26">
        <f t="shared" si="18"/>
        <v>1.4160156352886055</v>
      </c>
      <c r="AA26" s="8"/>
      <c r="AB26" s="8"/>
      <c r="AC26" s="8"/>
      <c r="AD26" s="16">
        <v>0.15642231991676867</v>
      </c>
      <c r="AE26">
        <v>21.969835767576701</v>
      </c>
      <c r="AF26">
        <v>21.971683483861302</v>
      </c>
      <c r="AG26">
        <v>16.346966085737701</v>
      </c>
      <c r="AH26">
        <v>16.343669902577201</v>
      </c>
      <c r="AI26">
        <v>21.057541616478002</v>
      </c>
      <c r="AJ26">
        <v>21.1009874183382</v>
      </c>
      <c r="AK26">
        <v>14.2738814348399</v>
      </c>
      <c r="AL26">
        <v>14.2745011473232</v>
      </c>
      <c r="AM26" s="15"/>
      <c r="AN26" s="14"/>
    </row>
    <row r="27" spans="1:40">
      <c r="A27" s="8" t="s">
        <v>94</v>
      </c>
      <c r="B27" s="8">
        <v>2</v>
      </c>
      <c r="C27" s="8">
        <v>14</v>
      </c>
      <c r="D27" s="8">
        <v>56</v>
      </c>
      <c r="E27" s="8">
        <v>3</v>
      </c>
      <c r="F27" s="5">
        <f t="shared" si="19"/>
        <v>1280</v>
      </c>
      <c r="G27" s="8">
        <v>0.52917700000000001</v>
      </c>
      <c r="H27" s="5">
        <f t="shared" si="39"/>
        <v>1014.7259810489115</v>
      </c>
      <c r="I27" s="5">
        <f t="shared" si="1"/>
        <v>12814.008900196051</v>
      </c>
      <c r="J27" s="9">
        <f t="shared" si="40"/>
        <v>7.9188799457864154E-2</v>
      </c>
      <c r="K27" s="9">
        <f t="shared" si="41"/>
        <v>4.3749999999999997E-2</v>
      </c>
      <c r="L27" s="5">
        <f t="shared" si="42"/>
        <v>6.9161015561110002</v>
      </c>
      <c r="M27" s="5">
        <f>$O$46</f>
        <v>6.9161015561110002</v>
      </c>
      <c r="N27" s="8">
        <f t="shared" si="43"/>
        <v>25.227285085846361</v>
      </c>
      <c r="O27" s="6">
        <f t="shared" si="44"/>
        <v>1206.6831233052951</v>
      </c>
      <c r="P27" s="5">
        <f t="shared" si="16"/>
        <v>17.241762990392889</v>
      </c>
      <c r="Q27" s="5">
        <f t="shared" si="17"/>
        <v>17.241762990392889</v>
      </c>
      <c r="R27" s="5">
        <f t="shared" si="26"/>
        <v>43.104407475982221</v>
      </c>
      <c r="S27" s="8">
        <f t="shared" si="9"/>
        <v>631.8178058977835</v>
      </c>
      <c r="T27" s="5">
        <f t="shared" si="45"/>
        <v>1.171077507539056</v>
      </c>
      <c r="U27" s="8">
        <f t="shared" si="46"/>
        <v>8.0992909722174566</v>
      </c>
      <c r="V27" s="8">
        <f t="shared" si="47"/>
        <v>8.0992909722174566</v>
      </c>
      <c r="W27" s="8">
        <f t="shared" si="48"/>
        <v>29.543106140310158</v>
      </c>
      <c r="X27" s="8">
        <f t="shared" si="49"/>
        <v>1014.7259810489119</v>
      </c>
      <c r="Y27">
        <f t="shared" si="50"/>
        <v>5.7806506678360314</v>
      </c>
      <c r="Z27">
        <f t="shared" si="18"/>
        <v>3.5712360090877162</v>
      </c>
      <c r="AA27" s="8"/>
      <c r="AB27" s="8"/>
      <c r="AC27" s="8"/>
      <c r="AD27" s="16">
        <v>7.9188799457864154E-2</v>
      </c>
      <c r="AE27">
        <v>16.2452165795723</v>
      </c>
      <c r="AF27">
        <v>16.242768158149801</v>
      </c>
      <c r="AG27">
        <v>12.1312860159757</v>
      </c>
      <c r="AH27">
        <v>12.130559709406301</v>
      </c>
      <c r="AI27">
        <v>15.930896822996299</v>
      </c>
      <c r="AJ27">
        <v>15.943296566879299</v>
      </c>
      <c r="AK27">
        <v>11.4209926929869</v>
      </c>
      <c r="AL27">
        <v>11.4209044688919</v>
      </c>
      <c r="AM27" s="15"/>
      <c r="AN27" s="14"/>
    </row>
    <row r="28" spans="1:40">
      <c r="A28" s="8" t="s">
        <v>94</v>
      </c>
      <c r="B28" s="8">
        <v>2</v>
      </c>
      <c r="C28" s="8">
        <v>14</v>
      </c>
      <c r="D28" s="8">
        <v>56</v>
      </c>
      <c r="E28" s="8">
        <v>4</v>
      </c>
      <c r="F28" s="5">
        <f t="shared" si="19"/>
        <v>2200</v>
      </c>
      <c r="G28" s="8">
        <v>0.52917700000000001</v>
      </c>
      <c r="H28" s="5">
        <f t="shared" si="39"/>
        <v>1014.7259810489115</v>
      </c>
      <c r="I28" s="5">
        <f t="shared" si="1"/>
        <v>22024.077797211961</v>
      </c>
      <c r="J28" s="9">
        <f t="shared" si="40"/>
        <v>4.6073483320939149E-2</v>
      </c>
      <c r="K28" s="9">
        <f t="shared" si="41"/>
        <v>2.5454545454545455E-2</v>
      </c>
      <c r="L28" s="5">
        <f t="shared" si="42"/>
        <v>6.9161015561110002</v>
      </c>
      <c r="M28" s="5">
        <f>$O$46</f>
        <v>6.9161015561110002</v>
      </c>
      <c r="N28" s="8">
        <f t="shared" si="43"/>
        <v>25.227285085846361</v>
      </c>
      <c r="O28" s="6">
        <f t="shared" si="44"/>
        <v>1206.6831233052951</v>
      </c>
      <c r="P28" s="5">
        <f t="shared" si="16"/>
        <v>21.55220373799111</v>
      </c>
      <c r="Q28" s="5">
        <f t="shared" si="17"/>
        <v>21.55220373799111</v>
      </c>
      <c r="R28" s="5">
        <f t="shared" si="26"/>
        <v>47.414848223580442</v>
      </c>
      <c r="S28" s="8">
        <f t="shared" si="9"/>
        <v>631.8178058977835</v>
      </c>
      <c r="T28" s="5">
        <f t="shared" si="45"/>
        <v>1.171077507539056</v>
      </c>
      <c r="U28" s="8">
        <f t="shared" si="46"/>
        <v>8.0992909722174566</v>
      </c>
      <c r="V28" s="8">
        <f t="shared" si="47"/>
        <v>8.0992909722174566</v>
      </c>
      <c r="W28" s="8">
        <f t="shared" si="48"/>
        <v>29.543106140310158</v>
      </c>
      <c r="X28" s="8">
        <f t="shared" si="49"/>
        <v>1014.7259810489119</v>
      </c>
      <c r="Y28">
        <f t="shared" si="50"/>
        <v>7.9358710416351421</v>
      </c>
      <c r="Z28">
        <f t="shared" si="18"/>
        <v>5.7264563828868269</v>
      </c>
      <c r="AA28" s="8"/>
      <c r="AB28" s="8"/>
      <c r="AC28" s="8"/>
      <c r="AD28" s="16">
        <v>4.6073483320939149E-2</v>
      </c>
      <c r="AE28">
        <v>13.5446470770451</v>
      </c>
      <c r="AF28">
        <v>13.5455050925005</v>
      </c>
      <c r="AG28">
        <v>10.808516012817099</v>
      </c>
      <c r="AH28">
        <v>10.8084903122577</v>
      </c>
      <c r="AI28">
        <v>13.3939534215432</v>
      </c>
      <c r="AJ28">
        <v>13.4036580967392</v>
      </c>
      <c r="AK28">
        <v>10.445898853252499</v>
      </c>
      <c r="AL28">
        <v>10.446012165548501</v>
      </c>
      <c r="AM28" s="15"/>
      <c r="AN28" s="14"/>
    </row>
    <row r="29" spans="1:40">
      <c r="A29" s="8" t="s">
        <v>94</v>
      </c>
      <c r="B29" s="16">
        <v>2</v>
      </c>
      <c r="C29" s="16">
        <v>14</v>
      </c>
      <c r="D29" s="8">
        <v>56</v>
      </c>
      <c r="E29" s="16">
        <v>6</v>
      </c>
      <c r="F29" s="5">
        <f t="shared" si="19"/>
        <v>5096</v>
      </c>
      <c r="G29" s="8">
        <v>1.529177</v>
      </c>
      <c r="H29" s="5">
        <f t="shared" si="39"/>
        <v>1014.7259810489115</v>
      </c>
      <c r="I29" s="5">
        <f t="shared" si="1"/>
        <v>51015.772933905537</v>
      </c>
      <c r="J29" s="9">
        <f t="shared" si="40"/>
        <v>1.9890436284549864E-2</v>
      </c>
      <c r="K29" s="9">
        <f t="shared" si="41"/>
        <v>1.098901098901099E-2</v>
      </c>
      <c r="L29" s="5">
        <f t="shared" si="42"/>
        <v>6.9161015561110002</v>
      </c>
      <c r="M29" s="5">
        <f>$O$46</f>
        <v>6.9161015561110002</v>
      </c>
      <c r="N29" s="8">
        <f t="shared" si="43"/>
        <v>25.227285085846361</v>
      </c>
      <c r="O29" s="6">
        <f t="shared" si="44"/>
        <v>1206.6831233052951</v>
      </c>
      <c r="P29" s="5">
        <f t="shared" si="16"/>
        <v>30.173085233187557</v>
      </c>
      <c r="Q29" s="5">
        <f t="shared" si="17"/>
        <v>30.173085233187557</v>
      </c>
      <c r="R29" s="5">
        <f t="shared" si="26"/>
        <v>56.035729718776892</v>
      </c>
      <c r="S29" s="8">
        <f t="shared" si="9"/>
        <v>631.8178058977835</v>
      </c>
      <c r="T29" s="5">
        <f t="shared" si="45"/>
        <v>1.171077507539056</v>
      </c>
      <c r="U29" s="8">
        <f t="shared" si="46"/>
        <v>8.0992909722174566</v>
      </c>
      <c r="V29" s="8">
        <f t="shared" si="47"/>
        <v>8.0992909722174566</v>
      </c>
      <c r="W29" s="8">
        <f t="shared" si="48"/>
        <v>29.543106140310158</v>
      </c>
      <c r="X29" s="8">
        <f t="shared" si="49"/>
        <v>1014.7259810489119</v>
      </c>
      <c r="Y29">
        <f t="shared" si="50"/>
        <v>12.246311789233367</v>
      </c>
      <c r="Z29">
        <f t="shared" si="18"/>
        <v>10.03689713048505</v>
      </c>
      <c r="AA29" s="8"/>
      <c r="AB29" s="8"/>
      <c r="AC29" s="8"/>
      <c r="AD29" s="16">
        <v>1.9890436284549864E-2</v>
      </c>
      <c r="AE29">
        <v>11.199911314735401</v>
      </c>
      <c r="AF29">
        <v>11.2002270531307</v>
      </c>
      <c r="AG29">
        <v>9.8930049913550704</v>
      </c>
      <c r="AH29">
        <v>9.8932045651831899</v>
      </c>
      <c r="AI29">
        <v>11.143021042681699</v>
      </c>
      <c r="AJ29">
        <v>11.14738693989</v>
      </c>
      <c r="AK29">
        <v>9.7505689489219503</v>
      </c>
      <c r="AL29">
        <v>9.7507254880768102</v>
      </c>
    </row>
    <row r="30" spans="1:40">
      <c r="A30" s="8" t="s">
        <v>94</v>
      </c>
      <c r="B30" s="16">
        <v>2</v>
      </c>
      <c r="C30" s="16">
        <v>14</v>
      </c>
      <c r="D30" s="8">
        <v>56</v>
      </c>
      <c r="E30" s="16">
        <v>8</v>
      </c>
      <c r="F30" s="5">
        <f t="shared" si="19"/>
        <v>9720</v>
      </c>
      <c r="G30" s="8">
        <v>2.5291769999999998</v>
      </c>
      <c r="H30" s="5">
        <f t="shared" si="39"/>
        <v>1014.7259810489115</v>
      </c>
      <c r="I30" s="5">
        <f t="shared" si="1"/>
        <v>97306.38008586377</v>
      </c>
      <c r="J30" s="9">
        <f t="shared" si="40"/>
        <v>1.0428154661117912E-2</v>
      </c>
      <c r="K30" s="9">
        <f t="shared" si="41"/>
        <v>5.7613168724279839E-3</v>
      </c>
      <c r="L30" s="5">
        <f t="shared" si="42"/>
        <v>6.9161015561110002</v>
      </c>
      <c r="M30" s="5">
        <f>$O$46</f>
        <v>6.9161015561110002</v>
      </c>
      <c r="N30" s="8">
        <f t="shared" si="43"/>
        <v>25.227285085846361</v>
      </c>
      <c r="O30" s="6">
        <f t="shared" si="44"/>
        <v>1206.6831233052951</v>
      </c>
      <c r="P30" s="5">
        <f t="shared" si="16"/>
        <v>38.793966728384</v>
      </c>
      <c r="Q30" s="5">
        <f t="shared" si="17"/>
        <v>38.793966728384</v>
      </c>
      <c r="R30" s="5">
        <f t="shared" si="26"/>
        <v>64.656611213973335</v>
      </c>
      <c r="S30" s="8">
        <f t="shared" si="9"/>
        <v>631.8178058977835</v>
      </c>
      <c r="T30" s="5">
        <f t="shared" si="45"/>
        <v>1.171077507539056</v>
      </c>
      <c r="U30" s="8">
        <f t="shared" si="46"/>
        <v>8.0992909722174566</v>
      </c>
      <c r="V30" s="8">
        <f t="shared" si="47"/>
        <v>8.0992909722174566</v>
      </c>
      <c r="W30" s="8">
        <f t="shared" si="48"/>
        <v>29.543106140310158</v>
      </c>
      <c r="X30" s="8">
        <f t="shared" si="49"/>
        <v>1014.7259810489119</v>
      </c>
      <c r="Y30">
        <f t="shared" si="50"/>
        <v>16.556752536831588</v>
      </c>
      <c r="Z30">
        <f t="shared" si="18"/>
        <v>14.347337878083271</v>
      </c>
      <c r="AA30" s="8"/>
      <c r="AB30" s="8"/>
      <c r="AC30" s="8"/>
      <c r="AD30" s="16">
        <v>1.0428154661117912E-2</v>
      </c>
      <c r="AE30">
        <v>10.2927843175463</v>
      </c>
      <c r="AF30">
        <v>10.2928960730617</v>
      </c>
      <c r="AG30">
        <v>9.5860361609330695</v>
      </c>
      <c r="AH30">
        <v>9.5860524567782601</v>
      </c>
      <c r="AI30">
        <v>10.263857387828899</v>
      </c>
      <c r="AJ30">
        <v>10.2662425377411</v>
      </c>
      <c r="AK30">
        <v>9.5135994735143807</v>
      </c>
      <c r="AL30">
        <v>9.5136528221069501</v>
      </c>
    </row>
    <row r="31" spans="1:40">
      <c r="A31" s="8" t="s">
        <v>94</v>
      </c>
      <c r="B31" s="16">
        <v>2</v>
      </c>
      <c r="C31" s="16">
        <v>14</v>
      </c>
      <c r="D31" s="8">
        <v>56</v>
      </c>
      <c r="E31" s="16">
        <v>10</v>
      </c>
      <c r="F31" s="5">
        <f t="shared" si="19"/>
        <v>16456</v>
      </c>
      <c r="G31" s="8">
        <v>3.5291769999999998</v>
      </c>
      <c r="H31" s="5">
        <f t="shared" si="39"/>
        <v>1014.7259810489115</v>
      </c>
      <c r="I31" s="5">
        <f t="shared" si="1"/>
        <v>164740.10192314547</v>
      </c>
      <c r="J31" s="9">
        <f t="shared" si="40"/>
        <v>6.1595565937084427E-3</v>
      </c>
      <c r="K31" s="9">
        <f t="shared" si="41"/>
        <v>3.4030140982012642E-3</v>
      </c>
      <c r="L31" s="5">
        <f t="shared" si="42"/>
        <v>6.9161015561110002</v>
      </c>
      <c r="M31" s="5">
        <f>$O$46</f>
        <v>6.9161015561110002</v>
      </c>
      <c r="N31" s="8">
        <f t="shared" si="43"/>
        <v>25.227285085846361</v>
      </c>
      <c r="O31" s="6">
        <f t="shared" si="44"/>
        <v>1206.6831233052951</v>
      </c>
      <c r="P31" s="5">
        <f t="shared" si="16"/>
        <v>47.414848223580442</v>
      </c>
      <c r="Q31" s="5">
        <f t="shared" si="17"/>
        <v>47.414848223580442</v>
      </c>
      <c r="R31" s="5">
        <f t="shared" si="26"/>
        <v>73.277492709169778</v>
      </c>
      <c r="S31" s="8">
        <f t="shared" si="9"/>
        <v>631.8178058977835</v>
      </c>
      <c r="T31" s="5">
        <f t="shared" si="45"/>
        <v>1.171077507539056</v>
      </c>
      <c r="U31" s="8">
        <f t="shared" si="46"/>
        <v>8.0992909722174566</v>
      </c>
      <c r="V31" s="8">
        <f t="shared" si="47"/>
        <v>8.0992909722174566</v>
      </c>
      <c r="W31" s="8">
        <f t="shared" si="48"/>
        <v>29.543106140310158</v>
      </c>
      <c r="X31" s="8">
        <f t="shared" si="49"/>
        <v>1014.7259810489119</v>
      </c>
      <c r="Y31">
        <f t="shared" si="50"/>
        <v>20.86719328442981</v>
      </c>
      <c r="Z31">
        <f t="shared" si="18"/>
        <v>18.657778625681495</v>
      </c>
      <c r="AA31" s="8"/>
      <c r="AB31" s="8"/>
      <c r="AC31" s="8"/>
      <c r="AD31" s="16">
        <v>6.1595565937084427E-3</v>
      </c>
      <c r="AE31">
        <v>9.8728408520099595</v>
      </c>
      <c r="AF31">
        <v>9.87308646660167</v>
      </c>
      <c r="AG31">
        <v>9.4512274099294196</v>
      </c>
      <c r="AH31">
        <v>9.4510915087840495</v>
      </c>
      <c r="AI31">
        <v>9.8566253487128197</v>
      </c>
      <c r="AJ31">
        <v>9.8575181486552399</v>
      </c>
      <c r="AK31">
        <v>9.4089784888395993</v>
      </c>
      <c r="AL31">
        <v>9.40890662615341</v>
      </c>
    </row>
    <row r="36" spans="6:30">
      <c r="F36" t="s">
        <v>66</v>
      </c>
      <c r="I36" t="s">
        <v>63</v>
      </c>
      <c r="L36" t="s">
        <v>49</v>
      </c>
      <c r="U36">
        <f>U26/2</f>
        <v>4.0496454861087283</v>
      </c>
      <c r="V36">
        <f>V26/2</f>
        <v>4.0496454861087283</v>
      </c>
      <c r="W36">
        <f>W26/2</f>
        <v>14.771553070155079</v>
      </c>
    </row>
    <row r="37" spans="6:30">
      <c r="F37" t="s">
        <v>67</v>
      </c>
      <c r="G37">
        <v>12.926</v>
      </c>
      <c r="I37" t="s">
        <v>64</v>
      </c>
      <c r="J37" s="2">
        <v>12.738379999999999</v>
      </c>
      <c r="O37" t="s">
        <v>42</v>
      </c>
      <c r="P37" t="s">
        <v>43</v>
      </c>
      <c r="AD37">
        <v>12.738379999999999</v>
      </c>
    </row>
    <row r="38" spans="6:30">
      <c r="F38" t="s">
        <v>65</v>
      </c>
      <c r="G38">
        <f>G37/3</f>
        <v>4.3086666666666664</v>
      </c>
      <c r="I38" t="s">
        <v>65</v>
      </c>
      <c r="J38">
        <f>J37/3</f>
        <v>4.2461266666666662</v>
      </c>
      <c r="M38" t="s">
        <v>40</v>
      </c>
      <c r="N38">
        <v>146.49637737656846</v>
      </c>
      <c r="O38">
        <f>N39-N38</f>
        <v>72.352466972695254</v>
      </c>
      <c r="P38">
        <f>O38/N38*100</f>
        <v>49.388570740362731</v>
      </c>
      <c r="AD38">
        <v>4.2461266666666662</v>
      </c>
    </row>
    <row r="39" spans="6:30">
      <c r="F39" t="s">
        <v>68</v>
      </c>
      <c r="G39">
        <v>12.9872736048</v>
      </c>
      <c r="H39">
        <v>17.174257498111999</v>
      </c>
      <c r="M39" t="s">
        <v>41</v>
      </c>
      <c r="N39">
        <v>218.84884434926371</v>
      </c>
    </row>
    <row r="40" spans="6:30">
      <c r="F40" t="s">
        <v>65</v>
      </c>
      <c r="G40">
        <f>G39/3</f>
        <v>4.3290912015999998</v>
      </c>
      <c r="H40">
        <f>H39/4</f>
        <v>4.2935643745279997</v>
      </c>
      <c r="L40" t="s">
        <v>44</v>
      </c>
      <c r="M40" t="s">
        <v>45</v>
      </c>
      <c r="N40">
        <f>N38+2*O38</f>
        <v>291.201311321959</v>
      </c>
      <c r="O40" t="s">
        <v>46</v>
      </c>
      <c r="P40">
        <f>N38*2</f>
        <v>292.99275475313692</v>
      </c>
    </row>
    <row r="41" spans="6:30">
      <c r="M41" t="s">
        <v>47</v>
      </c>
      <c r="N41">
        <f>N38+3*O38</f>
        <v>363.55377829465419</v>
      </c>
      <c r="O41" t="s">
        <v>48</v>
      </c>
      <c r="P41">
        <f>5/2*N38</f>
        <v>366.24094344142117</v>
      </c>
    </row>
    <row r="43" spans="6:30">
      <c r="F43" t="s">
        <v>69</v>
      </c>
      <c r="G43">
        <f>AVERAGE(G38,G40,H40)</f>
        <v>4.3104407475982223</v>
      </c>
      <c r="L43" t="s">
        <v>50</v>
      </c>
      <c r="N43" t="s">
        <v>52</v>
      </c>
      <c r="O43" t="s">
        <v>53</v>
      </c>
      <c r="P43" t="s">
        <v>54</v>
      </c>
      <c r="Q43" t="s">
        <v>56</v>
      </c>
    </row>
    <row r="44" spans="6:30">
      <c r="M44" t="s">
        <v>51</v>
      </c>
      <c r="N44">
        <v>6.8042490961147992</v>
      </c>
      <c r="O44">
        <v>7.0279540161072003</v>
      </c>
      <c r="P44">
        <v>9.2049994973279201</v>
      </c>
      <c r="Q44">
        <f>P44-(AVERAGE(N44:O44))</f>
        <v>2.2888979412169199</v>
      </c>
    </row>
    <row r="45" spans="6:30">
      <c r="F45" t="s">
        <v>101</v>
      </c>
      <c r="M45" t="s">
        <v>57</v>
      </c>
      <c r="N45">
        <f>AVERAGE(N44:O44)</f>
        <v>6.9161015561110002</v>
      </c>
      <c r="O45">
        <f>AVERAGE(N44:O44)</f>
        <v>6.9161015561110002</v>
      </c>
      <c r="P45">
        <f>O45+2*Q44</f>
        <v>11.49389743854484</v>
      </c>
    </row>
    <row r="46" spans="6:30">
      <c r="F46" t="s">
        <v>102</v>
      </c>
      <c r="G46">
        <f>$G$43*3</f>
        <v>12.931322242794668</v>
      </c>
      <c r="H46">
        <f>$G$43*3</f>
        <v>12.931322242794668</v>
      </c>
      <c r="I46">
        <f>$G$43*4</f>
        <v>17.241762990392889</v>
      </c>
      <c r="M46" t="s">
        <v>58</v>
      </c>
      <c r="N46">
        <f>AVERAGE(N44:O44)</f>
        <v>6.9161015561110002</v>
      </c>
      <c r="O46">
        <f>AVERAGE(N44:O44)</f>
        <v>6.9161015561110002</v>
      </c>
      <c r="P46">
        <f>O46+3*Q44</f>
        <v>13.78279537976176</v>
      </c>
    </row>
    <row r="47" spans="6:30">
      <c r="F47" t="s">
        <v>103</v>
      </c>
      <c r="G47">
        <f>$G$43*3</f>
        <v>12.931322242794668</v>
      </c>
      <c r="H47">
        <f>$G$43*3</f>
        <v>12.931322242794668</v>
      </c>
      <c r="I47">
        <f>$G$43*5</f>
        <v>21.55220373799111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A5C54-FB0B-8B46-8D7A-7281CD85A4B4}">
  <dimension ref="A1:AI52"/>
  <sheetViews>
    <sheetView zoomScale="85" workbookViewId="0">
      <pane xSplit="1" topLeftCell="F1" activePane="topRight" state="frozen"/>
      <selection pane="topRight" activeCell="T49" sqref="T49"/>
    </sheetView>
  </sheetViews>
  <sheetFormatPr baseColWidth="10" defaultRowHeight="16"/>
  <cols>
    <col min="5" max="5" width="16.1640625" customWidth="1"/>
    <col min="19" max="19" width="12.33203125" customWidth="1"/>
    <col min="20" max="20" width="16.83203125" customWidth="1"/>
    <col min="21" max="22" width="12.6640625" customWidth="1"/>
    <col min="23" max="23" width="13.33203125" customWidth="1"/>
    <col min="24" max="24" width="21.83203125" customWidth="1"/>
    <col min="25" max="25" width="24.5" customWidth="1"/>
    <col min="26" max="27" width="26.83203125" customWidth="1"/>
    <col min="28" max="28" width="31.33203125" customWidth="1"/>
    <col min="29" max="29" width="29" customWidth="1"/>
    <col min="30" max="30" width="27.6640625" customWidth="1"/>
    <col min="31" max="31" width="28.83203125" customWidth="1"/>
    <col min="32" max="32" width="24.5" customWidth="1"/>
    <col min="33" max="33" width="23.33203125" customWidth="1"/>
    <col min="34" max="34" width="18.5" customWidth="1"/>
    <col min="35" max="35" width="27.33203125" customWidth="1"/>
    <col min="36" max="36" width="22.1640625" customWidth="1"/>
  </cols>
  <sheetData>
    <row r="1" spans="1:35">
      <c r="A1" t="s">
        <v>0</v>
      </c>
      <c r="B1" t="s">
        <v>71</v>
      </c>
      <c r="C1" t="s">
        <v>72</v>
      </c>
      <c r="D1" t="s">
        <v>32</v>
      </c>
      <c r="E1" t="s">
        <v>70</v>
      </c>
      <c r="F1" t="s">
        <v>33</v>
      </c>
      <c r="G1" t="s">
        <v>23</v>
      </c>
      <c r="H1" t="s">
        <v>1</v>
      </c>
      <c r="I1" t="s">
        <v>5</v>
      </c>
      <c r="J1" t="s">
        <v>30</v>
      </c>
      <c r="K1" t="s">
        <v>31</v>
      </c>
      <c r="L1" t="s">
        <v>2</v>
      </c>
      <c r="M1" t="s">
        <v>3</v>
      </c>
      <c r="N1" t="s">
        <v>4</v>
      </c>
      <c r="O1" t="s">
        <v>20</v>
      </c>
      <c r="P1" t="s">
        <v>6</v>
      </c>
      <c r="Q1" t="s">
        <v>7</v>
      </c>
      <c r="R1" t="s">
        <v>8</v>
      </c>
      <c r="S1" t="s">
        <v>9</v>
      </c>
      <c r="T1" t="s">
        <v>21</v>
      </c>
      <c r="U1" t="s">
        <v>10</v>
      </c>
      <c r="V1" t="s">
        <v>11</v>
      </c>
      <c r="W1" t="s">
        <v>12</v>
      </c>
      <c r="X1" t="s">
        <v>13</v>
      </c>
      <c r="Y1" t="s">
        <v>83</v>
      </c>
      <c r="Z1" t="s">
        <v>84</v>
      </c>
      <c r="AA1" t="s">
        <v>85</v>
      </c>
      <c r="AB1" t="s">
        <v>86</v>
      </c>
      <c r="AC1" t="s">
        <v>88</v>
      </c>
      <c r="AD1" t="s">
        <v>87</v>
      </c>
      <c r="AE1" t="s">
        <v>89</v>
      </c>
      <c r="AF1" t="s">
        <v>106</v>
      </c>
      <c r="AG1" t="s">
        <v>108</v>
      </c>
      <c r="AH1" t="s">
        <v>105</v>
      </c>
      <c r="AI1" t="s">
        <v>107</v>
      </c>
    </row>
    <row r="2" spans="1:35">
      <c r="A2" s="25" t="s">
        <v>95</v>
      </c>
      <c r="B2" s="25">
        <v>4</v>
      </c>
      <c r="C2" s="25">
        <v>2</v>
      </c>
      <c r="D2" s="25">
        <f>B2^2*C2</f>
        <v>32</v>
      </c>
      <c r="E2" s="25">
        <v>2</v>
      </c>
      <c r="F2" s="25">
        <f t="shared" ref="F2:F7" si="0">(B2+2*E2)^2*(C2+2*E2)</f>
        <v>384</v>
      </c>
      <c r="G2" s="25">
        <v>0.52917700000000001</v>
      </c>
      <c r="H2" s="25">
        <f>(B2-2)^2 * $R$44 + (4*B2-4) * $Q$44</f>
        <v>558.93103084106713</v>
      </c>
      <c r="I2" s="25">
        <f t="shared" ref="I2:I7" si="1">P2*Q2*R2</f>
        <v>3895.5563496133223</v>
      </c>
      <c r="J2" s="26">
        <f t="shared" ref="J2:J7" si="2">H2/I2</f>
        <v>0.14347912869917728</v>
      </c>
      <c r="K2" s="26">
        <f t="shared" ref="K2:K7" si="3">D2/F2</f>
        <v>8.3333333333333329E-2</v>
      </c>
      <c r="L2" s="25">
        <f>$P$50 + 2*$Q$50</f>
        <v>11.409467279945462</v>
      </c>
      <c r="M2" s="25">
        <f>$P$50 + 2*$Q$50</f>
        <v>11.409467279945462</v>
      </c>
      <c r="N2" s="25">
        <f>$P$50</f>
        <v>6.9860444148142999</v>
      </c>
      <c r="O2" s="25">
        <f t="shared" ref="O2:O7" si="4">L2*M2*N2</f>
        <v>909.41492381481441</v>
      </c>
      <c r="P2" s="25">
        <f t="shared" ref="P2:P7" si="5">$G$49 * (B2/2 + E2)</f>
        <v>17.318199668170667</v>
      </c>
      <c r="Q2" s="25">
        <f t="shared" ref="Q2:Q7" si="6">$G$49 * (B2/2 + E2)</f>
        <v>17.318199668170667</v>
      </c>
      <c r="R2" s="25">
        <f t="shared" ref="R2:R7" si="7">$G$49 * (C2/2 + E2)</f>
        <v>12.988649751128001</v>
      </c>
      <c r="S2" s="25">
        <f t="shared" ref="S2:S7" si="8">4/3*PI()*L2*M2*N2 / 8</f>
        <v>476.16854062025703</v>
      </c>
      <c r="T2" s="25">
        <f t="shared" ref="T2:T7" si="9">(H2/S2)^(1/3)</f>
        <v>1.0548705653246582</v>
      </c>
      <c r="U2" s="25">
        <f t="shared" ref="U2:U7" si="10">T2*L2</f>
        <v>12.035511199649259</v>
      </c>
      <c r="V2" s="25">
        <f t="shared" ref="V2:V7" si="11">T2*M2</f>
        <v>12.035511199649259</v>
      </c>
      <c r="W2" s="25">
        <f t="shared" ref="W2:W7" si="12">T2*N2</f>
        <v>7.3693726212383313</v>
      </c>
      <c r="X2" s="25">
        <f t="shared" ref="X2:X7" si="13">4/3*PI()*U2/2*V2/2*W2/2</f>
        <v>558.93103084106701</v>
      </c>
      <c r="Y2">
        <f t="shared" ref="Y2:Y7" si="14">(R2-(W2+2)) / 2</f>
        <v>1.8096385649448354</v>
      </c>
      <c r="Z2">
        <f>(P2-(U2+2)) / 2</f>
        <v>1.6413442342607043</v>
      </c>
      <c r="AA2" t="b">
        <f>Z2&gt;1</f>
        <v>1</v>
      </c>
      <c r="AB2">
        <v>18.086176548460301</v>
      </c>
      <c r="AC2">
        <v>15.3814640615435</v>
      </c>
      <c r="AD2">
        <v>15.8944988956892</v>
      </c>
      <c r="AE2" s="4">
        <v>13.5020147</v>
      </c>
      <c r="AF2" s="23"/>
      <c r="AG2" s="24"/>
    </row>
    <row r="3" spans="1:35">
      <c r="A3" s="25" t="s">
        <v>95</v>
      </c>
      <c r="B3" s="25">
        <v>4</v>
      </c>
      <c r="C3" s="25">
        <v>2</v>
      </c>
      <c r="D3" s="25">
        <f t="shared" ref="D3:D37" si="15">B3^2*C3</f>
        <v>32</v>
      </c>
      <c r="E3" s="25">
        <v>3</v>
      </c>
      <c r="F3" s="25">
        <f t="shared" si="0"/>
        <v>800</v>
      </c>
      <c r="G3" s="25">
        <v>0.52917700000000001</v>
      </c>
      <c r="H3" s="25">
        <f t="shared" ref="H3:H37" si="16">(B3-2)^2 * $R$44 + (4*B3-4) * $Q$44</f>
        <v>558.93103084106713</v>
      </c>
      <c r="I3" s="25">
        <f t="shared" si="1"/>
        <v>8115.7423950277525</v>
      </c>
      <c r="J3" s="26">
        <f t="shared" si="2"/>
        <v>6.8869981775605119E-2</v>
      </c>
      <c r="K3" s="26">
        <f t="shared" si="3"/>
        <v>0.04</v>
      </c>
      <c r="L3" s="25">
        <f t="shared" ref="L3:M7" si="17">$P$50 + 2*$Q$50</f>
        <v>11.409467279945462</v>
      </c>
      <c r="M3" s="25">
        <f t="shared" si="17"/>
        <v>11.409467279945462</v>
      </c>
      <c r="N3" s="25">
        <f t="shared" ref="N3:N37" si="18">$P$50</f>
        <v>6.9860444148142999</v>
      </c>
      <c r="O3" s="25">
        <f t="shared" si="4"/>
        <v>909.41492381481441</v>
      </c>
      <c r="P3" s="25">
        <f t="shared" si="5"/>
        <v>21.647749585213333</v>
      </c>
      <c r="Q3" s="25">
        <f t="shared" si="6"/>
        <v>21.647749585213333</v>
      </c>
      <c r="R3" s="25">
        <f t="shared" si="7"/>
        <v>17.318199668170667</v>
      </c>
      <c r="S3" s="25">
        <f t="shared" si="8"/>
        <v>476.16854062025703</v>
      </c>
      <c r="T3" s="25">
        <f t="shared" si="9"/>
        <v>1.0548705653246582</v>
      </c>
      <c r="U3" s="25">
        <f t="shared" si="10"/>
        <v>12.035511199649259</v>
      </c>
      <c r="V3" s="25">
        <f t="shared" si="11"/>
        <v>12.035511199649259</v>
      </c>
      <c r="W3" s="25">
        <f t="shared" si="12"/>
        <v>7.3693726212383313</v>
      </c>
      <c r="X3" s="25">
        <f t="shared" si="13"/>
        <v>558.93103084106701</v>
      </c>
      <c r="Y3">
        <f t="shared" si="14"/>
        <v>3.9744135234661684</v>
      </c>
      <c r="Z3">
        <f t="shared" ref="Z3:Z37" si="19">(P3-(U3+2)) / 2</f>
        <v>3.8061191927820373</v>
      </c>
      <c r="AA3" t="b">
        <f t="shared" ref="AA3:AA37" si="20">Z3&gt;1</f>
        <v>1</v>
      </c>
      <c r="AB3">
        <v>12.9789092979497</v>
      </c>
      <c r="AC3">
        <v>11.7559864753702</v>
      </c>
      <c r="AD3">
        <v>12.1705696101901</v>
      </c>
      <c r="AE3" s="4">
        <v>11.069164600000001</v>
      </c>
      <c r="AF3" s="23">
        <v>1.6366600000000001E-10</v>
      </c>
      <c r="AG3" s="24">
        <f>2*AF3*R3/2/(P3/2*Q3/2*0.5^2*8.85418782E-12)</f>
        <v>10.929667554343613</v>
      </c>
      <c r="AH3" s="1">
        <v>1.09491E-10</v>
      </c>
      <c r="AI3">
        <f>2*AH3*Q3/2/(P3/2*R3/2*0.5^2*8.85418782E-12)</f>
        <v>11.42475596443974</v>
      </c>
    </row>
    <row r="4" spans="1:35">
      <c r="A4" s="25" t="s">
        <v>95</v>
      </c>
      <c r="B4" s="25">
        <v>4</v>
      </c>
      <c r="C4" s="25">
        <v>2</v>
      </c>
      <c r="D4" s="25">
        <f t="shared" si="15"/>
        <v>32</v>
      </c>
      <c r="E4" s="25">
        <v>4</v>
      </c>
      <c r="F4" s="25">
        <f t="shared" si="0"/>
        <v>1440</v>
      </c>
      <c r="G4" s="25">
        <v>0.52917700000000001</v>
      </c>
      <c r="H4" s="25">
        <f t="shared" si="16"/>
        <v>558.93103084106713</v>
      </c>
      <c r="I4" s="25">
        <f t="shared" si="1"/>
        <v>14608.336311049956</v>
      </c>
      <c r="J4" s="26">
        <f t="shared" si="2"/>
        <v>3.8261100986447284E-2</v>
      </c>
      <c r="K4" s="26">
        <f t="shared" si="3"/>
        <v>2.2222222222222223E-2</v>
      </c>
      <c r="L4" s="25">
        <f t="shared" si="17"/>
        <v>11.409467279945462</v>
      </c>
      <c r="M4" s="25">
        <f t="shared" si="17"/>
        <v>11.409467279945462</v>
      </c>
      <c r="N4" s="25">
        <f t="shared" si="18"/>
        <v>6.9860444148142999</v>
      </c>
      <c r="O4" s="25">
        <f t="shared" si="4"/>
        <v>909.41492381481441</v>
      </c>
      <c r="P4" s="25">
        <f t="shared" si="5"/>
        <v>25.977299502256002</v>
      </c>
      <c r="Q4" s="25">
        <f t="shared" si="6"/>
        <v>25.977299502256002</v>
      </c>
      <c r="R4" s="25">
        <f t="shared" si="7"/>
        <v>21.647749585213333</v>
      </c>
      <c r="S4" s="25">
        <f t="shared" si="8"/>
        <v>476.16854062025703</v>
      </c>
      <c r="T4" s="25">
        <f t="shared" si="9"/>
        <v>1.0548705653246582</v>
      </c>
      <c r="U4" s="25">
        <f t="shared" si="10"/>
        <v>12.035511199649259</v>
      </c>
      <c r="V4" s="25">
        <f t="shared" si="11"/>
        <v>12.035511199649259</v>
      </c>
      <c r="W4" s="25">
        <f t="shared" si="12"/>
        <v>7.3693726212383313</v>
      </c>
      <c r="X4" s="25">
        <f t="shared" si="13"/>
        <v>558.93103084106701</v>
      </c>
      <c r="Y4">
        <f t="shared" si="14"/>
        <v>6.1391884819875013</v>
      </c>
      <c r="Z4">
        <f t="shared" si="19"/>
        <v>5.970894151303372</v>
      </c>
      <c r="AA4" t="b">
        <f t="shared" si="20"/>
        <v>1</v>
      </c>
      <c r="AB4">
        <v>11.2386712557092</v>
      </c>
      <c r="AC4">
        <v>10.569313442356</v>
      </c>
      <c r="AD4">
        <v>10.8250631018416</v>
      </c>
      <c r="AE4" s="4">
        <v>10.222424699999999</v>
      </c>
      <c r="AF4" s="23"/>
      <c r="AG4" s="24"/>
    </row>
    <row r="5" spans="1:35">
      <c r="A5" s="25" t="s">
        <v>95</v>
      </c>
      <c r="B5" s="25">
        <v>4</v>
      </c>
      <c r="C5" s="25">
        <v>2</v>
      </c>
      <c r="D5" s="25">
        <f t="shared" si="15"/>
        <v>32</v>
      </c>
      <c r="E5" s="25">
        <v>6</v>
      </c>
      <c r="F5" s="25">
        <f t="shared" si="0"/>
        <v>3584</v>
      </c>
      <c r="G5" s="25">
        <v>0.52917700000000001</v>
      </c>
      <c r="H5" s="25">
        <f t="shared" si="16"/>
        <v>558.93103084106713</v>
      </c>
      <c r="I5" s="25">
        <f t="shared" si="1"/>
        <v>36358.525929724339</v>
      </c>
      <c r="J5" s="26">
        <f t="shared" si="2"/>
        <v>1.5372763789197568E-2</v>
      </c>
      <c r="K5" s="26">
        <f t="shared" si="3"/>
        <v>8.9285714285714281E-3</v>
      </c>
      <c r="L5" s="25">
        <f t="shared" si="17"/>
        <v>11.409467279945462</v>
      </c>
      <c r="M5" s="25">
        <f t="shared" si="17"/>
        <v>11.409467279945462</v>
      </c>
      <c r="N5" s="25">
        <f t="shared" si="18"/>
        <v>6.9860444148142999</v>
      </c>
      <c r="O5" s="25">
        <f t="shared" si="4"/>
        <v>909.41492381481441</v>
      </c>
      <c r="P5" s="25">
        <f t="shared" si="5"/>
        <v>34.636399336341334</v>
      </c>
      <c r="Q5" s="25">
        <f t="shared" si="6"/>
        <v>34.636399336341334</v>
      </c>
      <c r="R5" s="25">
        <f t="shared" si="7"/>
        <v>30.306849419298668</v>
      </c>
      <c r="S5" s="25">
        <f t="shared" si="8"/>
        <v>476.16854062025703</v>
      </c>
      <c r="T5" s="25">
        <f t="shared" si="9"/>
        <v>1.0548705653246582</v>
      </c>
      <c r="U5" s="25">
        <f t="shared" si="10"/>
        <v>12.035511199649259</v>
      </c>
      <c r="V5" s="25">
        <f t="shared" si="11"/>
        <v>12.035511199649259</v>
      </c>
      <c r="W5" s="25">
        <f t="shared" si="12"/>
        <v>7.3693726212383313</v>
      </c>
      <c r="X5" s="25">
        <f t="shared" si="13"/>
        <v>558.93103084106701</v>
      </c>
      <c r="Y5">
        <f t="shared" si="14"/>
        <v>10.468738399030169</v>
      </c>
      <c r="Z5">
        <f t="shared" si="19"/>
        <v>10.300444068346039</v>
      </c>
      <c r="AA5" t="b">
        <f t="shared" si="20"/>
        <v>1</v>
      </c>
      <c r="AB5">
        <v>10.030154599637701</v>
      </c>
      <c r="AC5">
        <v>9.76556190385954</v>
      </c>
      <c r="AD5">
        <v>9.8737001830928293</v>
      </c>
      <c r="AE5" s="4">
        <v>9.6351863899999994</v>
      </c>
      <c r="AF5" s="18"/>
      <c r="AG5" s="18"/>
    </row>
    <row r="6" spans="1:35">
      <c r="A6" s="25" t="s">
        <v>95</v>
      </c>
      <c r="B6" s="25">
        <v>4</v>
      </c>
      <c r="C6" s="25">
        <v>2</v>
      </c>
      <c r="D6" s="25">
        <f t="shared" si="15"/>
        <v>32</v>
      </c>
      <c r="E6" s="25">
        <v>8</v>
      </c>
      <c r="F6" s="25">
        <f t="shared" si="0"/>
        <v>7200</v>
      </c>
      <c r="G6" s="25">
        <v>0.52917700000000001</v>
      </c>
      <c r="H6" s="25">
        <f t="shared" si="16"/>
        <v>558.93103084106713</v>
      </c>
      <c r="I6" s="25">
        <f t="shared" si="1"/>
        <v>73041.681555249772</v>
      </c>
      <c r="J6" s="26">
        <f t="shared" si="2"/>
        <v>7.6522201972894577E-3</v>
      </c>
      <c r="K6" s="26">
        <f t="shared" si="3"/>
        <v>4.4444444444444444E-3</v>
      </c>
      <c r="L6" s="25">
        <f t="shared" si="17"/>
        <v>11.409467279945462</v>
      </c>
      <c r="M6" s="25">
        <f t="shared" si="17"/>
        <v>11.409467279945462</v>
      </c>
      <c r="N6" s="25">
        <f t="shared" si="18"/>
        <v>6.9860444148142999</v>
      </c>
      <c r="O6" s="25">
        <f t="shared" si="4"/>
        <v>909.41492381481441</v>
      </c>
      <c r="P6" s="25">
        <f t="shared" si="5"/>
        <v>43.295499170426666</v>
      </c>
      <c r="Q6" s="25">
        <f t="shared" si="6"/>
        <v>43.295499170426666</v>
      </c>
      <c r="R6" s="25">
        <f t="shared" si="7"/>
        <v>38.965949253384004</v>
      </c>
      <c r="S6" s="25">
        <f t="shared" si="8"/>
        <v>476.16854062025703</v>
      </c>
      <c r="T6" s="25">
        <f t="shared" si="9"/>
        <v>1.0548705653246582</v>
      </c>
      <c r="U6" s="25">
        <f t="shared" si="10"/>
        <v>12.035511199649259</v>
      </c>
      <c r="V6" s="25">
        <f t="shared" si="11"/>
        <v>12.035511199649259</v>
      </c>
      <c r="W6" s="25">
        <f t="shared" si="12"/>
        <v>7.3693726212383313</v>
      </c>
      <c r="X6" s="25">
        <f t="shared" si="13"/>
        <v>558.93103084106701</v>
      </c>
      <c r="Y6">
        <f t="shared" si="14"/>
        <v>14.798288316072837</v>
      </c>
      <c r="Z6">
        <f t="shared" si="19"/>
        <v>14.629993985388705</v>
      </c>
      <c r="AA6" t="b">
        <f t="shared" si="20"/>
        <v>1</v>
      </c>
      <c r="AB6">
        <v>9.6394606509105394</v>
      </c>
      <c r="AC6">
        <v>9.5087050964328999</v>
      </c>
      <c r="AD6">
        <v>9.5630304804359998</v>
      </c>
      <c r="AE6" s="4">
        <v>9.4451365000000003</v>
      </c>
      <c r="AF6" s="18"/>
      <c r="AG6" s="18"/>
    </row>
    <row r="7" spans="1:35">
      <c r="A7" s="25" t="s">
        <v>95</v>
      </c>
      <c r="B7" s="25">
        <v>4</v>
      </c>
      <c r="C7" s="25">
        <v>2</v>
      </c>
      <c r="D7" s="25">
        <f t="shared" si="15"/>
        <v>32</v>
      </c>
      <c r="E7" s="25">
        <v>10</v>
      </c>
      <c r="F7" s="25">
        <f t="shared" si="0"/>
        <v>12672</v>
      </c>
      <c r="G7" s="25">
        <v>0.52917700000000001</v>
      </c>
      <c r="H7" s="25">
        <f t="shared" si="16"/>
        <v>558.93103084106713</v>
      </c>
      <c r="I7" s="25">
        <f t="shared" si="1"/>
        <v>128553.35953723962</v>
      </c>
      <c r="J7" s="26">
        <f t="shared" si="2"/>
        <v>4.3478523848235542E-3</v>
      </c>
      <c r="K7" s="26">
        <f t="shared" si="3"/>
        <v>2.5252525252525255E-3</v>
      </c>
      <c r="L7" s="25">
        <f t="shared" si="17"/>
        <v>11.409467279945462</v>
      </c>
      <c r="M7" s="25">
        <f t="shared" si="17"/>
        <v>11.409467279945462</v>
      </c>
      <c r="N7" s="25">
        <f t="shared" si="18"/>
        <v>6.9860444148142999</v>
      </c>
      <c r="O7" s="25">
        <f t="shared" si="4"/>
        <v>909.41492381481441</v>
      </c>
      <c r="P7" s="25">
        <f t="shared" si="5"/>
        <v>51.954599004512005</v>
      </c>
      <c r="Q7" s="25">
        <f t="shared" si="6"/>
        <v>51.954599004512005</v>
      </c>
      <c r="R7" s="25">
        <f t="shared" si="7"/>
        <v>47.625049087469336</v>
      </c>
      <c r="S7" s="25">
        <f t="shared" si="8"/>
        <v>476.16854062025703</v>
      </c>
      <c r="T7" s="25">
        <f t="shared" si="9"/>
        <v>1.0548705653246582</v>
      </c>
      <c r="U7" s="25">
        <f t="shared" si="10"/>
        <v>12.035511199649259</v>
      </c>
      <c r="V7" s="25">
        <f t="shared" si="11"/>
        <v>12.035511199649259</v>
      </c>
      <c r="W7" s="25">
        <f t="shared" si="12"/>
        <v>7.3693726212383313</v>
      </c>
      <c r="X7" s="25">
        <f t="shared" si="13"/>
        <v>558.93103084106701</v>
      </c>
      <c r="Y7">
        <f t="shared" si="14"/>
        <v>19.127838233115504</v>
      </c>
      <c r="Z7">
        <f t="shared" si="19"/>
        <v>18.959543902431374</v>
      </c>
      <c r="AA7" t="b">
        <f t="shared" si="20"/>
        <v>1</v>
      </c>
      <c r="AB7">
        <v>9.4748774597310295</v>
      </c>
      <c r="AC7">
        <v>9.4007401761618894</v>
      </c>
      <c r="AD7">
        <v>9.4317211260263196</v>
      </c>
      <c r="AE7" s="4">
        <v>9.3648953200000005</v>
      </c>
      <c r="AF7" s="18"/>
      <c r="AG7" s="18"/>
    </row>
    <row r="8" spans="1:35">
      <c r="A8" s="25" t="s">
        <v>96</v>
      </c>
      <c r="B8" s="25">
        <v>6</v>
      </c>
      <c r="C8" s="25">
        <v>2</v>
      </c>
      <c r="D8" s="25">
        <f t="shared" si="15"/>
        <v>72</v>
      </c>
      <c r="E8" s="25">
        <v>2</v>
      </c>
      <c r="F8" s="25">
        <f>(B8+2*E8)^2*(C8+2*E8)</f>
        <v>600</v>
      </c>
      <c r="G8" s="25">
        <v>0.52917700000000001</v>
      </c>
      <c r="H8" s="25">
        <f t="shared" si="16"/>
        <v>1210.2494817282895</v>
      </c>
      <c r="I8" s="25">
        <f t="shared" ref="I8:I37" si="21">P8*Q8*R8</f>
        <v>6086.8067962708146</v>
      </c>
      <c r="J8" s="26">
        <f t="shared" ref="J8:J16" si="22">H8/I8</f>
        <v>0.19883159138051981</v>
      </c>
      <c r="K8" s="26">
        <f t="shared" ref="K8:K16" si="23">D8/F8</f>
        <v>0.12</v>
      </c>
      <c r="L8" s="25">
        <f>$P$50 + 4*$Q$50</f>
        <v>15.832890145076624</v>
      </c>
      <c r="M8" s="25">
        <f>$P$50 + 4*$Q$50</f>
        <v>15.832890145076624</v>
      </c>
      <c r="N8" s="25">
        <f t="shared" si="18"/>
        <v>6.9860444148142999</v>
      </c>
      <c r="O8" s="25">
        <f t="shared" ref="O8:O22" si="24">L8*M8*N8</f>
        <v>1751.2644806014805</v>
      </c>
      <c r="P8" s="25">
        <f t="shared" ref="P8:P37" si="25">$G$49 * (B8/2 + E8)</f>
        <v>21.647749585213333</v>
      </c>
      <c r="Q8" s="25">
        <f t="shared" ref="Q8:Q37" si="26">$G$49 * (B8/2 + E8)</f>
        <v>21.647749585213333</v>
      </c>
      <c r="R8" s="25">
        <f t="shared" ref="R8:R37" si="27">$G$49 * (C8/2 + E8)</f>
        <v>12.988649751128001</v>
      </c>
      <c r="S8" s="25">
        <f t="shared" ref="S8:S37" si="28">4/3*PI()*L8*M8*N8 / 8</f>
        <v>916.95993779172591</v>
      </c>
      <c r="T8" s="25">
        <f t="shared" ref="T8:T16" si="29">(H8/S8)^(1/3)</f>
        <v>1.0969197295025332</v>
      </c>
      <c r="U8" s="25">
        <f t="shared" ref="U8:U16" si="30">T8*L8</f>
        <v>17.367409575180773</v>
      </c>
      <c r="V8" s="25">
        <f t="shared" ref="V8:V16" si="31">T8*M8</f>
        <v>17.367409575180773</v>
      </c>
      <c r="W8" s="25">
        <f t="shared" ref="W8:W16" si="32">T8*N8</f>
        <v>7.6631299497907852</v>
      </c>
      <c r="X8" s="25">
        <f t="shared" ref="X8:X16" si="33">4/3*PI()*U8/2*V8/2*W8/2</f>
        <v>1210.2494817282889</v>
      </c>
      <c r="Y8">
        <f t="shared" ref="Y8:Y16" si="34">(R8-(W8+2)) / 2</f>
        <v>1.6627599006686076</v>
      </c>
      <c r="Z8">
        <f t="shared" si="19"/>
        <v>1.1401700050162802</v>
      </c>
      <c r="AA8" t="b">
        <f t="shared" si="20"/>
        <v>1</v>
      </c>
      <c r="AB8">
        <v>22.806423143781998</v>
      </c>
      <c r="AC8">
        <v>16.468362568639598</v>
      </c>
      <c r="AD8">
        <v>20.382591784485701</v>
      </c>
      <c r="AE8" s="4">
        <v>14.5078326</v>
      </c>
      <c r="AF8" s="23"/>
      <c r="AG8" s="24"/>
    </row>
    <row r="9" spans="1:35">
      <c r="A9" s="25" t="s">
        <v>96</v>
      </c>
      <c r="B9" s="25">
        <v>6</v>
      </c>
      <c r="C9" s="25">
        <v>2</v>
      </c>
      <c r="D9" s="25">
        <f t="shared" si="15"/>
        <v>72</v>
      </c>
      <c r="E9" s="25">
        <v>3</v>
      </c>
      <c r="F9" s="25">
        <f>(B9+2*E9)^2*(C9+2*E9)</f>
        <v>1152</v>
      </c>
      <c r="G9" s="25">
        <v>0.52917700000000001</v>
      </c>
      <c r="H9" s="25">
        <f t="shared" si="16"/>
        <v>1210.2494817282895</v>
      </c>
      <c r="I9" s="25">
        <f t="shared" si="21"/>
        <v>11686.669048839965</v>
      </c>
      <c r="J9" s="26">
        <f t="shared" si="22"/>
        <v>0.1035581205106874</v>
      </c>
      <c r="K9" s="26">
        <f t="shared" si="23"/>
        <v>6.25E-2</v>
      </c>
      <c r="L9" s="25">
        <f t="shared" ref="L9:M13" si="35">$P$50 + 4*$Q$50</f>
        <v>15.832890145076624</v>
      </c>
      <c r="M9" s="25">
        <f t="shared" si="35"/>
        <v>15.832890145076624</v>
      </c>
      <c r="N9" s="25">
        <f t="shared" si="18"/>
        <v>6.9860444148142999</v>
      </c>
      <c r="O9" s="25">
        <f t="shared" si="24"/>
        <v>1751.2644806014805</v>
      </c>
      <c r="P9" s="25">
        <f t="shared" si="25"/>
        <v>25.977299502256002</v>
      </c>
      <c r="Q9" s="25">
        <f t="shared" si="26"/>
        <v>25.977299502256002</v>
      </c>
      <c r="R9" s="25">
        <f t="shared" si="27"/>
        <v>17.318199668170667</v>
      </c>
      <c r="S9" s="25">
        <f t="shared" si="28"/>
        <v>916.95993779172591</v>
      </c>
      <c r="T9" s="25">
        <f t="shared" si="29"/>
        <v>1.0969197295025332</v>
      </c>
      <c r="U9" s="25">
        <f t="shared" si="30"/>
        <v>17.367409575180773</v>
      </c>
      <c r="V9" s="25">
        <f t="shared" si="31"/>
        <v>17.367409575180773</v>
      </c>
      <c r="W9" s="25">
        <f t="shared" si="32"/>
        <v>7.6631299497907852</v>
      </c>
      <c r="X9" s="25">
        <f t="shared" si="33"/>
        <v>1210.2494817282889</v>
      </c>
      <c r="Y9">
        <f t="shared" si="34"/>
        <v>3.8275348591899405</v>
      </c>
      <c r="Z9">
        <f t="shared" si="19"/>
        <v>3.3049449635376149</v>
      </c>
      <c r="AA9" t="b">
        <f t="shared" si="20"/>
        <v>1</v>
      </c>
      <c r="AB9">
        <v>15.1815065248006</v>
      </c>
      <c r="AC9">
        <v>12.307956034802</v>
      </c>
      <c r="AD9">
        <v>14.380647645729301</v>
      </c>
      <c r="AE9" s="4">
        <v>11.5878956</v>
      </c>
      <c r="AF9" s="23"/>
      <c r="AG9" s="24"/>
    </row>
    <row r="10" spans="1:35">
      <c r="A10" s="25" t="s">
        <v>96</v>
      </c>
      <c r="B10" s="25">
        <v>6</v>
      </c>
      <c r="C10" s="25">
        <v>2</v>
      </c>
      <c r="D10" s="25">
        <f t="shared" si="15"/>
        <v>72</v>
      </c>
      <c r="E10" s="25">
        <v>4</v>
      </c>
      <c r="F10" s="25">
        <f>(B10+2*E10)^2*(C10+2*E10)</f>
        <v>1960</v>
      </c>
      <c r="G10" s="25">
        <v>0.52917700000000001</v>
      </c>
      <c r="H10" s="25">
        <f t="shared" si="16"/>
        <v>1210.2494817282895</v>
      </c>
      <c r="I10" s="25">
        <f t="shared" si="21"/>
        <v>19883.568867817994</v>
      </c>
      <c r="J10" s="26">
        <f t="shared" si="22"/>
        <v>6.0866813687914231E-2</v>
      </c>
      <c r="K10" s="26">
        <f t="shared" si="23"/>
        <v>3.6734693877551024E-2</v>
      </c>
      <c r="L10" s="25">
        <f t="shared" si="35"/>
        <v>15.832890145076624</v>
      </c>
      <c r="M10" s="25">
        <f t="shared" si="35"/>
        <v>15.832890145076624</v>
      </c>
      <c r="N10" s="25">
        <f t="shared" si="18"/>
        <v>6.9860444148142999</v>
      </c>
      <c r="O10" s="25">
        <f t="shared" si="24"/>
        <v>1751.2644806014805</v>
      </c>
      <c r="P10" s="25">
        <f t="shared" si="25"/>
        <v>30.306849419298668</v>
      </c>
      <c r="Q10" s="25">
        <f t="shared" si="26"/>
        <v>30.306849419298668</v>
      </c>
      <c r="R10" s="25">
        <f t="shared" si="27"/>
        <v>21.647749585213333</v>
      </c>
      <c r="S10" s="25">
        <f t="shared" si="28"/>
        <v>916.95993779172591</v>
      </c>
      <c r="T10" s="25">
        <f t="shared" si="29"/>
        <v>1.0969197295025332</v>
      </c>
      <c r="U10" s="25">
        <f t="shared" si="30"/>
        <v>17.367409575180773</v>
      </c>
      <c r="V10" s="25">
        <f t="shared" si="31"/>
        <v>17.367409575180773</v>
      </c>
      <c r="W10" s="25">
        <f t="shared" si="32"/>
        <v>7.6631299497907852</v>
      </c>
      <c r="X10" s="25">
        <f t="shared" si="33"/>
        <v>1210.2494817282889</v>
      </c>
      <c r="Y10">
        <f t="shared" si="34"/>
        <v>5.9923098177112735</v>
      </c>
      <c r="Z10">
        <f t="shared" si="19"/>
        <v>5.4697199220589479</v>
      </c>
      <c r="AA10" t="b">
        <f t="shared" si="20"/>
        <v>1</v>
      </c>
      <c r="AB10">
        <v>12.549594027355299</v>
      </c>
      <c r="AC10">
        <v>10.915459158325399</v>
      </c>
      <c r="AD10">
        <v>12.1395499338626</v>
      </c>
      <c r="AE10" s="4">
        <v>10.544695000000001</v>
      </c>
      <c r="AF10" s="23"/>
      <c r="AG10" s="24"/>
    </row>
    <row r="11" spans="1:35">
      <c r="A11" s="25" t="s">
        <v>96</v>
      </c>
      <c r="B11" s="25">
        <v>6</v>
      </c>
      <c r="C11" s="25">
        <v>2</v>
      </c>
      <c r="D11" s="25">
        <f t="shared" si="15"/>
        <v>72</v>
      </c>
      <c r="E11" s="25">
        <v>6</v>
      </c>
      <c r="F11" s="25">
        <f>(B11+2*E11)^2*(C11+2*E11)</f>
        <v>4536</v>
      </c>
      <c r="G11" s="25">
        <v>0.52917700000000001</v>
      </c>
      <c r="H11" s="25">
        <f t="shared" si="16"/>
        <v>1210.2494817282895</v>
      </c>
      <c r="I11" s="25">
        <f t="shared" si="21"/>
        <v>46016.259379807372</v>
      </c>
      <c r="J11" s="26">
        <f t="shared" si="22"/>
        <v>2.63004750503333E-2</v>
      </c>
      <c r="K11" s="26">
        <f t="shared" si="23"/>
        <v>1.5873015873015872E-2</v>
      </c>
      <c r="L11" s="25">
        <f t="shared" si="35"/>
        <v>15.832890145076624</v>
      </c>
      <c r="M11" s="25">
        <f t="shared" si="35"/>
        <v>15.832890145076624</v>
      </c>
      <c r="N11" s="25">
        <f t="shared" si="18"/>
        <v>6.9860444148142999</v>
      </c>
      <c r="O11" s="25">
        <f t="shared" si="24"/>
        <v>1751.2644806014805</v>
      </c>
      <c r="P11" s="25">
        <f t="shared" si="25"/>
        <v>38.965949253384004</v>
      </c>
      <c r="Q11" s="25">
        <f t="shared" si="26"/>
        <v>38.965949253384004</v>
      </c>
      <c r="R11" s="25">
        <f t="shared" si="27"/>
        <v>30.306849419298668</v>
      </c>
      <c r="S11" s="25">
        <f t="shared" si="28"/>
        <v>916.95993779172591</v>
      </c>
      <c r="T11" s="25">
        <f t="shared" si="29"/>
        <v>1.0969197295025332</v>
      </c>
      <c r="U11" s="25">
        <f t="shared" si="30"/>
        <v>17.367409575180773</v>
      </c>
      <c r="V11" s="25">
        <f t="shared" si="31"/>
        <v>17.367409575180773</v>
      </c>
      <c r="W11" s="25">
        <f t="shared" si="32"/>
        <v>7.6631299497907852</v>
      </c>
      <c r="X11" s="25">
        <f t="shared" si="33"/>
        <v>1210.2494817282889</v>
      </c>
      <c r="Y11">
        <f t="shared" si="34"/>
        <v>10.321859734753941</v>
      </c>
      <c r="Z11">
        <f t="shared" si="19"/>
        <v>9.7992698391016155</v>
      </c>
      <c r="AA11" t="b">
        <f t="shared" si="20"/>
        <v>1</v>
      </c>
      <c r="AB11">
        <v>10.6251010692022</v>
      </c>
      <c r="AC11">
        <v>9.9354751750655996</v>
      </c>
      <c r="AD11">
        <v>10.4630797605897</v>
      </c>
      <c r="AE11" s="4">
        <v>9.7898250400000002</v>
      </c>
      <c r="AF11" s="18"/>
      <c r="AG11" s="18"/>
    </row>
    <row r="12" spans="1:35">
      <c r="A12" s="25" t="s">
        <v>96</v>
      </c>
      <c r="B12" s="25">
        <v>6</v>
      </c>
      <c r="C12" s="25">
        <v>2</v>
      </c>
      <c r="D12" s="25">
        <f t="shared" si="15"/>
        <v>72</v>
      </c>
      <c r="E12" s="25">
        <v>8</v>
      </c>
      <c r="F12" s="25">
        <f>(B12+2*E12)^2*(C12+2*E12)</f>
        <v>8712</v>
      </c>
      <c r="G12" s="25">
        <v>0.52917700000000001</v>
      </c>
      <c r="H12" s="25">
        <f t="shared" si="16"/>
        <v>1210.2494817282895</v>
      </c>
      <c r="I12" s="25">
        <f t="shared" si="21"/>
        <v>88380.434681852246</v>
      </c>
      <c r="J12" s="26">
        <f t="shared" si="22"/>
        <v>1.3693635770008249E-2</v>
      </c>
      <c r="K12" s="26">
        <f t="shared" si="23"/>
        <v>8.2644628099173556E-3</v>
      </c>
      <c r="L12" s="25">
        <f t="shared" si="35"/>
        <v>15.832890145076624</v>
      </c>
      <c r="M12" s="25">
        <f t="shared" si="35"/>
        <v>15.832890145076624</v>
      </c>
      <c r="N12" s="25">
        <f t="shared" si="18"/>
        <v>6.9860444148142999</v>
      </c>
      <c r="O12" s="25">
        <f t="shared" si="24"/>
        <v>1751.2644806014805</v>
      </c>
      <c r="P12" s="25">
        <f t="shared" si="25"/>
        <v>47.625049087469336</v>
      </c>
      <c r="Q12" s="25">
        <f t="shared" si="26"/>
        <v>47.625049087469336</v>
      </c>
      <c r="R12" s="25">
        <f t="shared" si="27"/>
        <v>38.965949253384004</v>
      </c>
      <c r="S12" s="25">
        <f t="shared" si="28"/>
        <v>916.95993779172591</v>
      </c>
      <c r="T12" s="25">
        <f t="shared" si="29"/>
        <v>1.0969197295025332</v>
      </c>
      <c r="U12" s="25">
        <f t="shared" si="30"/>
        <v>17.367409575180773</v>
      </c>
      <c r="V12" s="25">
        <f t="shared" si="31"/>
        <v>17.367409575180773</v>
      </c>
      <c r="W12" s="25">
        <f t="shared" si="32"/>
        <v>7.6631299497907852</v>
      </c>
      <c r="X12" s="25">
        <f t="shared" si="33"/>
        <v>1210.2494817282889</v>
      </c>
      <c r="Y12">
        <f t="shared" si="34"/>
        <v>14.651409651796609</v>
      </c>
      <c r="Z12">
        <f t="shared" si="19"/>
        <v>14.128819756144281</v>
      </c>
      <c r="AA12" t="b">
        <f t="shared" si="20"/>
        <v>1</v>
      </c>
      <c r="AB12">
        <v>9.9602773075241497</v>
      </c>
      <c r="AC12">
        <v>9.6047516868592702</v>
      </c>
      <c r="AD12">
        <v>9.87886312708312</v>
      </c>
      <c r="AE12" s="4">
        <v>9.5315423199999998</v>
      </c>
      <c r="AF12" s="18"/>
      <c r="AG12" s="18"/>
    </row>
    <row r="13" spans="1:35">
      <c r="A13" s="25" t="s">
        <v>96</v>
      </c>
      <c r="B13" s="25">
        <v>6</v>
      </c>
      <c r="C13" s="25">
        <v>2</v>
      </c>
      <c r="D13" s="25">
        <f t="shared" si="15"/>
        <v>72</v>
      </c>
      <c r="E13" s="25">
        <v>10</v>
      </c>
      <c r="F13" s="25">
        <f t="shared" ref="F13:F37" si="36">(B13+2*E13)^2*(C13+2*E13)</f>
        <v>14872</v>
      </c>
      <c r="G13" s="25">
        <v>0.52917700000000001</v>
      </c>
      <c r="H13" s="25">
        <f t="shared" si="16"/>
        <v>1210.2494817282895</v>
      </c>
      <c r="I13" s="25">
        <f t="shared" si="21"/>
        <v>150871.65112356594</v>
      </c>
      <c r="J13" s="26">
        <f t="shared" si="22"/>
        <v>8.0217156285847142E-3</v>
      </c>
      <c r="K13" s="26">
        <f t="shared" si="23"/>
        <v>4.8413125336202257E-3</v>
      </c>
      <c r="L13" s="25">
        <f t="shared" si="35"/>
        <v>15.832890145076624</v>
      </c>
      <c r="M13" s="25">
        <f t="shared" si="35"/>
        <v>15.832890145076624</v>
      </c>
      <c r="N13" s="25">
        <f t="shared" si="18"/>
        <v>6.9860444148142999</v>
      </c>
      <c r="O13" s="25">
        <f t="shared" si="24"/>
        <v>1751.2644806014805</v>
      </c>
      <c r="P13" s="25">
        <f t="shared" si="25"/>
        <v>56.284148921554667</v>
      </c>
      <c r="Q13" s="25">
        <f t="shared" si="26"/>
        <v>56.284148921554667</v>
      </c>
      <c r="R13" s="25">
        <f t="shared" si="27"/>
        <v>47.625049087469336</v>
      </c>
      <c r="S13" s="25">
        <f t="shared" si="28"/>
        <v>916.95993779172591</v>
      </c>
      <c r="T13" s="25">
        <f t="shared" si="29"/>
        <v>1.0969197295025332</v>
      </c>
      <c r="U13" s="25">
        <f t="shared" si="30"/>
        <v>17.367409575180773</v>
      </c>
      <c r="V13" s="25">
        <f t="shared" si="31"/>
        <v>17.367409575180773</v>
      </c>
      <c r="W13" s="25">
        <f t="shared" si="32"/>
        <v>7.6631299497907852</v>
      </c>
      <c r="X13" s="25">
        <f t="shared" si="33"/>
        <v>1210.2494817282889</v>
      </c>
      <c r="Y13">
        <f t="shared" si="34"/>
        <v>18.980959568839275</v>
      </c>
      <c r="Z13">
        <f t="shared" si="19"/>
        <v>18.458369673186947</v>
      </c>
      <c r="AA13" t="b">
        <f t="shared" si="20"/>
        <v>1</v>
      </c>
      <c r="AB13">
        <v>9.6676397891934602</v>
      </c>
      <c r="AC13">
        <v>9.4604420974642291</v>
      </c>
      <c r="AD13">
        <v>9.6204629675748095</v>
      </c>
      <c r="AE13" s="4">
        <v>9.4180798200000009</v>
      </c>
      <c r="AF13" s="18"/>
      <c r="AG13" s="18"/>
    </row>
    <row r="14" spans="1:35">
      <c r="A14" s="25" t="s">
        <v>97</v>
      </c>
      <c r="B14" s="25">
        <v>8</v>
      </c>
      <c r="C14" s="25">
        <v>2</v>
      </c>
      <c r="D14" s="25">
        <f t="shared" si="15"/>
        <v>128</v>
      </c>
      <c r="E14" s="25">
        <v>2</v>
      </c>
      <c r="F14" s="25">
        <f t="shared" si="36"/>
        <v>864</v>
      </c>
      <c r="G14" s="25">
        <v>0.52917700000000001</v>
      </c>
      <c r="H14" s="25">
        <f t="shared" si="16"/>
        <v>2100.4517300382349</v>
      </c>
      <c r="I14" s="25">
        <f t="shared" si="21"/>
        <v>8765.001786629975</v>
      </c>
      <c r="J14" s="26">
        <f t="shared" si="22"/>
        <v>0.23964076461937953</v>
      </c>
      <c r="K14" s="26">
        <f t="shared" si="23"/>
        <v>0.14814814814814814</v>
      </c>
      <c r="L14" s="25">
        <f>$P$50 + 6*$Q$50</f>
        <v>20.256313010207784</v>
      </c>
      <c r="M14" s="25">
        <f>$P$50 + 6*$Q$50</f>
        <v>20.256313010207784</v>
      </c>
      <c r="N14" s="25">
        <f t="shared" si="18"/>
        <v>6.9860444148142999</v>
      </c>
      <c r="O14" s="25">
        <f t="shared" si="24"/>
        <v>2866.5012865452481</v>
      </c>
      <c r="P14" s="25">
        <f t="shared" si="25"/>
        <v>25.977299502256002</v>
      </c>
      <c r="Q14" s="25">
        <f t="shared" si="26"/>
        <v>25.977299502256002</v>
      </c>
      <c r="R14" s="25">
        <f t="shared" si="27"/>
        <v>12.988649751128001</v>
      </c>
      <c r="S14" s="25">
        <f t="shared" si="28"/>
        <v>1500.8965638860404</v>
      </c>
      <c r="T14" s="25">
        <f t="shared" si="29"/>
        <v>1.1185463391047514</v>
      </c>
      <c r="U14" s="25">
        <f t="shared" si="30"/>
        <v>22.657624761327863</v>
      </c>
      <c r="V14" s="25">
        <f t="shared" si="31"/>
        <v>22.657624761327863</v>
      </c>
      <c r="W14" s="25">
        <f t="shared" si="32"/>
        <v>7.8142144050137308</v>
      </c>
      <c r="X14" s="25">
        <f t="shared" si="33"/>
        <v>2100.451730038234</v>
      </c>
      <c r="Y14">
        <f t="shared" si="34"/>
        <v>1.5872176730571352</v>
      </c>
      <c r="Z14">
        <f t="shared" si="19"/>
        <v>0.65983737046406965</v>
      </c>
      <c r="AA14" t="b">
        <f t="shared" si="20"/>
        <v>0</v>
      </c>
      <c r="AB14">
        <v>28.006660580792399</v>
      </c>
      <c r="AC14">
        <v>17.201838821063099</v>
      </c>
      <c r="AD14">
        <v>25.383668635600301</v>
      </c>
      <c r="AE14" s="4">
        <v>15.2178717</v>
      </c>
      <c r="AF14" s="23"/>
      <c r="AG14" s="24"/>
    </row>
    <row r="15" spans="1:35">
      <c r="A15" s="25" t="s">
        <v>97</v>
      </c>
      <c r="B15" s="25">
        <v>8</v>
      </c>
      <c r="C15" s="25">
        <v>2</v>
      </c>
      <c r="D15" s="25">
        <f t="shared" si="15"/>
        <v>128</v>
      </c>
      <c r="E15" s="25">
        <v>3</v>
      </c>
      <c r="F15" s="25">
        <f t="shared" si="36"/>
        <v>1568</v>
      </c>
      <c r="G15" s="25">
        <v>0.52917700000000001</v>
      </c>
      <c r="H15" s="25">
        <f t="shared" si="16"/>
        <v>2100.4517300382349</v>
      </c>
      <c r="I15" s="25">
        <f t="shared" si="21"/>
        <v>15906.855094254397</v>
      </c>
      <c r="J15" s="26">
        <f t="shared" si="22"/>
        <v>0.13204695193312752</v>
      </c>
      <c r="K15" s="26">
        <f t="shared" si="23"/>
        <v>8.1632653061224483E-2</v>
      </c>
      <c r="L15" s="25">
        <f t="shared" ref="L15:M19" si="37">$P$50 + 6*$Q$50</f>
        <v>20.256313010207784</v>
      </c>
      <c r="M15" s="25">
        <f t="shared" si="37"/>
        <v>20.256313010207784</v>
      </c>
      <c r="N15" s="25">
        <f t="shared" si="18"/>
        <v>6.9860444148142999</v>
      </c>
      <c r="O15" s="25">
        <f t="shared" si="24"/>
        <v>2866.5012865452481</v>
      </c>
      <c r="P15" s="25">
        <f t="shared" si="25"/>
        <v>30.306849419298668</v>
      </c>
      <c r="Q15" s="25">
        <f t="shared" si="26"/>
        <v>30.306849419298668</v>
      </c>
      <c r="R15" s="25">
        <f t="shared" si="27"/>
        <v>17.318199668170667</v>
      </c>
      <c r="S15" s="25">
        <f t="shared" si="28"/>
        <v>1500.8965638860404</v>
      </c>
      <c r="T15" s="25">
        <f t="shared" si="29"/>
        <v>1.1185463391047514</v>
      </c>
      <c r="U15" s="25">
        <f t="shared" si="30"/>
        <v>22.657624761327863</v>
      </c>
      <c r="V15" s="25">
        <f t="shared" si="31"/>
        <v>22.657624761327863</v>
      </c>
      <c r="W15" s="25">
        <f t="shared" si="32"/>
        <v>7.8142144050137308</v>
      </c>
      <c r="X15" s="25">
        <f t="shared" si="33"/>
        <v>2100.451730038234</v>
      </c>
      <c r="Y15">
        <f t="shared" si="34"/>
        <v>3.7519926315784682</v>
      </c>
      <c r="Z15">
        <f t="shared" si="19"/>
        <v>2.8246123289854026</v>
      </c>
      <c r="AA15" t="b">
        <f t="shared" si="20"/>
        <v>1</v>
      </c>
      <c r="AB15">
        <v>17.421409412222001</v>
      </c>
      <c r="AC15">
        <v>12.716053433821999</v>
      </c>
      <c r="AD15">
        <v>16.792926641369601</v>
      </c>
      <c r="AE15" s="4">
        <v>11.9819738</v>
      </c>
      <c r="AF15" s="23"/>
      <c r="AG15" s="24"/>
    </row>
    <row r="16" spans="1:35">
      <c r="A16" s="25" t="s">
        <v>97</v>
      </c>
      <c r="B16" s="25">
        <v>8</v>
      </c>
      <c r="C16" s="25">
        <v>2</v>
      </c>
      <c r="D16" s="25">
        <f t="shared" si="15"/>
        <v>128</v>
      </c>
      <c r="E16" s="25">
        <v>4</v>
      </c>
      <c r="F16" s="25">
        <f t="shared" si="36"/>
        <v>2560</v>
      </c>
      <c r="G16" s="25">
        <v>0.52917700000000001</v>
      </c>
      <c r="H16" s="25">
        <f t="shared" si="16"/>
        <v>2100.4517300382349</v>
      </c>
      <c r="I16" s="25">
        <f t="shared" si="21"/>
        <v>25970.375664088813</v>
      </c>
      <c r="J16" s="26">
        <f t="shared" si="22"/>
        <v>8.0878758059040601E-2</v>
      </c>
      <c r="K16" s="26">
        <f t="shared" si="23"/>
        <v>0.05</v>
      </c>
      <c r="L16" s="25">
        <f t="shared" si="37"/>
        <v>20.256313010207784</v>
      </c>
      <c r="M16" s="25">
        <f t="shared" si="37"/>
        <v>20.256313010207784</v>
      </c>
      <c r="N16" s="25">
        <f t="shared" si="18"/>
        <v>6.9860444148142999</v>
      </c>
      <c r="O16" s="25">
        <f t="shared" si="24"/>
        <v>2866.5012865452481</v>
      </c>
      <c r="P16" s="25">
        <f t="shared" si="25"/>
        <v>34.636399336341334</v>
      </c>
      <c r="Q16" s="25">
        <f t="shared" si="26"/>
        <v>34.636399336341334</v>
      </c>
      <c r="R16" s="25">
        <f t="shared" si="27"/>
        <v>21.647749585213333</v>
      </c>
      <c r="S16" s="25">
        <f t="shared" si="28"/>
        <v>1500.8965638860404</v>
      </c>
      <c r="T16" s="25">
        <f t="shared" si="29"/>
        <v>1.1185463391047514</v>
      </c>
      <c r="U16" s="25">
        <f t="shared" si="30"/>
        <v>22.657624761327863</v>
      </c>
      <c r="V16" s="25">
        <f t="shared" si="31"/>
        <v>22.657624761327863</v>
      </c>
      <c r="W16" s="25">
        <f t="shared" si="32"/>
        <v>7.8142144050137308</v>
      </c>
      <c r="X16" s="25">
        <f t="shared" si="33"/>
        <v>2100.451730038234</v>
      </c>
      <c r="Y16">
        <f t="shared" si="34"/>
        <v>5.9167675900998011</v>
      </c>
      <c r="Z16">
        <f t="shared" si="19"/>
        <v>4.9893872875067355</v>
      </c>
      <c r="AA16" t="b">
        <f t="shared" si="20"/>
        <v>1</v>
      </c>
      <c r="AB16">
        <v>13.936772283624499</v>
      </c>
      <c r="AC16">
        <v>11.189855849899301</v>
      </c>
      <c r="AD16">
        <v>13.6357450286913</v>
      </c>
      <c r="AE16" s="4">
        <v>10.8045881</v>
      </c>
      <c r="AF16" s="23"/>
      <c r="AG16" s="24"/>
    </row>
    <row r="17" spans="1:33">
      <c r="A17" s="25" t="s">
        <v>97</v>
      </c>
      <c r="B17" s="25">
        <v>8</v>
      </c>
      <c r="C17" s="25">
        <v>2</v>
      </c>
      <c r="D17" s="25">
        <f t="shared" si="15"/>
        <v>128</v>
      </c>
      <c r="E17" s="25">
        <v>6</v>
      </c>
      <c r="F17" s="25">
        <f t="shared" si="36"/>
        <v>5600</v>
      </c>
      <c r="G17" s="25">
        <v>0.52917700000000001</v>
      </c>
      <c r="H17" s="25">
        <f t="shared" si="16"/>
        <v>2100.4517300382349</v>
      </c>
      <c r="I17" s="25">
        <f t="shared" si="21"/>
        <v>56810.196765194269</v>
      </c>
      <c r="J17" s="26">
        <f t="shared" ref="J17:J31" si="38">H17/I17</f>
        <v>3.697314654127571E-2</v>
      </c>
      <c r="K17" s="26">
        <f t="shared" ref="K17:K22" si="39">D17/F17</f>
        <v>2.2857142857142857E-2</v>
      </c>
      <c r="L17" s="25">
        <f t="shared" si="37"/>
        <v>20.256313010207784</v>
      </c>
      <c r="M17" s="25">
        <f t="shared" si="37"/>
        <v>20.256313010207784</v>
      </c>
      <c r="N17" s="25">
        <f t="shared" si="18"/>
        <v>6.9860444148142999</v>
      </c>
      <c r="O17" s="25">
        <f t="shared" si="24"/>
        <v>2866.5012865452481</v>
      </c>
      <c r="P17" s="25">
        <f t="shared" si="25"/>
        <v>43.295499170426666</v>
      </c>
      <c r="Q17" s="25">
        <f t="shared" si="26"/>
        <v>43.295499170426666</v>
      </c>
      <c r="R17" s="25">
        <f t="shared" si="27"/>
        <v>30.306849419298668</v>
      </c>
      <c r="S17" s="25">
        <f t="shared" si="28"/>
        <v>1500.8965638860404</v>
      </c>
      <c r="T17" s="25">
        <f t="shared" ref="T17:T31" si="40">(H17/S17)^(1/3)</f>
        <v>1.1185463391047514</v>
      </c>
      <c r="U17" s="25">
        <f t="shared" ref="U17:U31" si="41">T17*L17</f>
        <v>22.657624761327863</v>
      </c>
      <c r="V17" s="25">
        <f t="shared" ref="V17:V31" si="42">T17*M17</f>
        <v>22.657624761327863</v>
      </c>
      <c r="W17" s="25">
        <f t="shared" ref="W17:W31" si="43">T17*N17</f>
        <v>7.8142144050137308</v>
      </c>
      <c r="X17" s="25">
        <f t="shared" ref="X17:X31" si="44">4/3*PI()*U17/2*V17/2*W17/2</f>
        <v>2100.451730038234</v>
      </c>
      <c r="Y17">
        <f t="shared" ref="Y17:Y31" si="45">(R17-(W17+2)) / 2</f>
        <v>10.246317507142468</v>
      </c>
      <c r="Z17">
        <f t="shared" si="19"/>
        <v>9.3189372045494014</v>
      </c>
      <c r="AA17" t="b">
        <f t="shared" si="20"/>
        <v>1</v>
      </c>
      <c r="AB17">
        <v>11.299211225675799</v>
      </c>
      <c r="AC17">
        <v>10.0812514286447</v>
      </c>
      <c r="AD17">
        <v>11.1815332731839</v>
      </c>
      <c r="AE17" s="4">
        <v>9.9251018799999997</v>
      </c>
      <c r="AF17" s="18"/>
      <c r="AG17" s="18"/>
    </row>
    <row r="18" spans="1:33">
      <c r="A18" s="25" t="s">
        <v>97</v>
      </c>
      <c r="B18" s="25">
        <v>8</v>
      </c>
      <c r="C18" s="25">
        <v>2</v>
      </c>
      <c r="D18" s="25">
        <f t="shared" si="15"/>
        <v>128</v>
      </c>
      <c r="E18" s="25">
        <v>8</v>
      </c>
      <c r="F18" s="25">
        <f t="shared" si="36"/>
        <v>10368</v>
      </c>
      <c r="G18" s="25">
        <v>0.52917700000000001</v>
      </c>
      <c r="H18" s="25">
        <f t="shared" si="16"/>
        <v>2100.4517300382349</v>
      </c>
      <c r="I18" s="25">
        <f t="shared" si="21"/>
        <v>105180.0214395597</v>
      </c>
      <c r="J18" s="26">
        <f t="shared" si="38"/>
        <v>1.9970063718281628E-2</v>
      </c>
      <c r="K18" s="26">
        <f t="shared" si="39"/>
        <v>1.2345679012345678E-2</v>
      </c>
      <c r="L18" s="25">
        <f t="shared" si="37"/>
        <v>20.256313010207784</v>
      </c>
      <c r="M18" s="25">
        <f t="shared" si="37"/>
        <v>20.256313010207784</v>
      </c>
      <c r="N18" s="25">
        <f t="shared" si="18"/>
        <v>6.9860444148142999</v>
      </c>
      <c r="O18" s="25">
        <f t="shared" si="24"/>
        <v>2866.5012865452481</v>
      </c>
      <c r="P18" s="25">
        <f t="shared" si="25"/>
        <v>51.954599004512005</v>
      </c>
      <c r="Q18" s="25">
        <f t="shared" si="26"/>
        <v>51.954599004512005</v>
      </c>
      <c r="R18" s="25">
        <f t="shared" si="27"/>
        <v>38.965949253384004</v>
      </c>
      <c r="S18" s="25">
        <f t="shared" si="28"/>
        <v>1500.8965638860404</v>
      </c>
      <c r="T18" s="25">
        <f t="shared" si="40"/>
        <v>1.1185463391047514</v>
      </c>
      <c r="U18" s="25">
        <f t="shared" si="41"/>
        <v>22.657624761327863</v>
      </c>
      <c r="V18" s="25">
        <f t="shared" si="42"/>
        <v>22.657624761327863</v>
      </c>
      <c r="W18" s="25">
        <f t="shared" si="43"/>
        <v>7.8142144050137308</v>
      </c>
      <c r="X18" s="25">
        <f t="shared" si="44"/>
        <v>2100.451730038234</v>
      </c>
      <c r="Y18">
        <f t="shared" si="45"/>
        <v>14.575867424185137</v>
      </c>
      <c r="Z18">
        <f t="shared" si="19"/>
        <v>13.648487121592071</v>
      </c>
      <c r="AA18" t="b">
        <f t="shared" si="20"/>
        <v>1</v>
      </c>
      <c r="AB18">
        <v>10.3421943113733</v>
      </c>
      <c r="AC18">
        <v>9.6922514837423499</v>
      </c>
      <c r="AD18">
        <v>10.2819630320414</v>
      </c>
      <c r="AE18" s="4">
        <v>9.6115707399999994</v>
      </c>
      <c r="AF18" s="18"/>
      <c r="AG18" s="18"/>
    </row>
    <row r="19" spans="1:33">
      <c r="A19" s="25" t="s">
        <v>97</v>
      </c>
      <c r="B19" s="25">
        <v>8</v>
      </c>
      <c r="C19" s="25">
        <v>2</v>
      </c>
      <c r="D19" s="25">
        <f t="shared" si="15"/>
        <v>128</v>
      </c>
      <c r="E19" s="25">
        <v>10</v>
      </c>
      <c r="F19" s="25">
        <f t="shared" si="36"/>
        <v>17248</v>
      </c>
      <c r="G19" s="25">
        <v>0.52917700000000001</v>
      </c>
      <c r="H19" s="25">
        <f t="shared" si="16"/>
        <v>2100.4517300382349</v>
      </c>
      <c r="I19" s="25">
        <f t="shared" si="21"/>
        <v>174975.40603679838</v>
      </c>
      <c r="J19" s="26">
        <f t="shared" si="38"/>
        <v>1.2004268357557047E-2</v>
      </c>
      <c r="K19" s="26">
        <f t="shared" si="39"/>
        <v>7.4211502782931356E-3</v>
      </c>
      <c r="L19" s="25">
        <f t="shared" si="37"/>
        <v>20.256313010207784</v>
      </c>
      <c r="M19" s="25">
        <f t="shared" si="37"/>
        <v>20.256313010207784</v>
      </c>
      <c r="N19" s="25">
        <f t="shared" si="18"/>
        <v>6.9860444148142999</v>
      </c>
      <c r="O19" s="25">
        <f t="shared" si="24"/>
        <v>2866.5012865452481</v>
      </c>
      <c r="P19" s="25">
        <f t="shared" si="25"/>
        <v>60.613698838597337</v>
      </c>
      <c r="Q19" s="25">
        <f t="shared" si="26"/>
        <v>60.613698838597337</v>
      </c>
      <c r="R19" s="25">
        <f t="shared" si="27"/>
        <v>47.625049087469336</v>
      </c>
      <c r="S19" s="25">
        <f t="shared" si="28"/>
        <v>1500.8965638860404</v>
      </c>
      <c r="T19" s="25">
        <f t="shared" si="40"/>
        <v>1.1185463391047514</v>
      </c>
      <c r="U19" s="25">
        <f t="shared" si="41"/>
        <v>22.657624761327863</v>
      </c>
      <c r="V19" s="25">
        <f t="shared" si="42"/>
        <v>22.657624761327863</v>
      </c>
      <c r="W19" s="25">
        <f t="shared" si="43"/>
        <v>7.8142144050137308</v>
      </c>
      <c r="X19" s="25">
        <f t="shared" si="44"/>
        <v>2100.451730038234</v>
      </c>
      <c r="Y19">
        <f t="shared" si="45"/>
        <v>18.905417341227803</v>
      </c>
      <c r="Z19">
        <f t="shared" si="19"/>
        <v>17.978037038634739</v>
      </c>
      <c r="AA19" t="b">
        <f t="shared" si="20"/>
        <v>1</v>
      </c>
      <c r="AB19">
        <v>9.9050916369004192</v>
      </c>
      <c r="AC19">
        <v>9.51691078441557</v>
      </c>
      <c r="AD19">
        <v>9.8697613454232709</v>
      </c>
      <c r="AE19" s="4">
        <v>9.4693581200000008</v>
      </c>
      <c r="AF19" s="18"/>
      <c r="AG19" s="18"/>
    </row>
    <row r="20" spans="1:33">
      <c r="A20" s="25" t="s">
        <v>98</v>
      </c>
      <c r="B20" s="25">
        <v>10</v>
      </c>
      <c r="C20" s="25">
        <v>2</v>
      </c>
      <c r="D20" s="25">
        <f t="shared" si="15"/>
        <v>200</v>
      </c>
      <c r="E20" s="25">
        <v>2</v>
      </c>
      <c r="F20" s="25">
        <f t="shared" si="36"/>
        <v>1176</v>
      </c>
      <c r="G20" s="25">
        <v>0.52917700000000001</v>
      </c>
      <c r="H20" s="25">
        <f t="shared" si="16"/>
        <v>3229.5377757709048</v>
      </c>
      <c r="I20" s="25">
        <f t="shared" si="21"/>
        <v>11930.141320690798</v>
      </c>
      <c r="J20" s="26">
        <f t="shared" si="38"/>
        <v>0.27070406703144595</v>
      </c>
      <c r="K20" s="26">
        <f t="shared" si="39"/>
        <v>0.17006802721088435</v>
      </c>
      <c r="L20" s="25">
        <f>$P$50 + 8*$Q$50</f>
        <v>24.679735875338949</v>
      </c>
      <c r="M20" s="25">
        <f>$P$50 + 8*$Q$50</f>
        <v>24.679735875338949</v>
      </c>
      <c r="N20" s="25">
        <f t="shared" si="18"/>
        <v>6.9860444148142999</v>
      </c>
      <c r="O20" s="25">
        <f t="shared" si="24"/>
        <v>4255.1253416461195</v>
      </c>
      <c r="P20" s="25">
        <f t="shared" si="25"/>
        <v>30.306849419298668</v>
      </c>
      <c r="Q20" s="25">
        <f t="shared" si="26"/>
        <v>30.306849419298668</v>
      </c>
      <c r="R20" s="25">
        <f t="shared" si="27"/>
        <v>12.988649751128001</v>
      </c>
      <c r="S20" s="25">
        <f t="shared" si="28"/>
        <v>2227.9784189032016</v>
      </c>
      <c r="T20" s="25">
        <f t="shared" si="40"/>
        <v>1.1317307852388148</v>
      </c>
      <c r="U20" s="25">
        <f t="shared" si="41"/>
        <v>27.930816861683898</v>
      </c>
      <c r="V20" s="25">
        <f t="shared" si="42"/>
        <v>27.930816861683898</v>
      </c>
      <c r="W20" s="25">
        <f t="shared" si="43"/>
        <v>7.9063215312910238</v>
      </c>
      <c r="X20" s="25">
        <f t="shared" si="44"/>
        <v>3229.5377757709048</v>
      </c>
      <c r="Y20">
        <f t="shared" si="45"/>
        <v>1.5411641099184887</v>
      </c>
      <c r="Z20">
        <f t="shared" si="19"/>
        <v>0.18801627880738536</v>
      </c>
      <c r="AA20" t="b">
        <f t="shared" si="20"/>
        <v>0</v>
      </c>
      <c r="AB20">
        <v>34.9091251458035</v>
      </c>
      <c r="AC20">
        <v>17.729426908739299</v>
      </c>
      <c r="AD20">
        <v>31.291830422713101</v>
      </c>
      <c r="AE20" s="4">
        <v>15.749577800000001</v>
      </c>
      <c r="AF20" s="23"/>
      <c r="AG20" s="24"/>
    </row>
    <row r="21" spans="1:33">
      <c r="A21" s="25" t="s">
        <v>98</v>
      </c>
      <c r="B21" s="25">
        <v>10</v>
      </c>
      <c r="C21" s="25">
        <v>2</v>
      </c>
      <c r="D21" s="25">
        <f t="shared" si="15"/>
        <v>200</v>
      </c>
      <c r="E21" s="25">
        <v>3</v>
      </c>
      <c r="F21" s="25">
        <f t="shared" si="36"/>
        <v>2048</v>
      </c>
      <c r="G21" s="25">
        <v>0.52917700000000001</v>
      </c>
      <c r="H21" s="25">
        <f t="shared" si="16"/>
        <v>3229.5377757709048</v>
      </c>
      <c r="I21" s="25">
        <f t="shared" si="21"/>
        <v>20776.300531271052</v>
      </c>
      <c r="J21" s="26">
        <f t="shared" si="38"/>
        <v>0.15544335099071308</v>
      </c>
      <c r="K21" s="26">
        <f t="shared" si="39"/>
        <v>9.765625E-2</v>
      </c>
      <c r="L21" s="25">
        <f t="shared" ref="L21:M25" si="46">$P$50 + 8*$Q$50</f>
        <v>24.679735875338949</v>
      </c>
      <c r="M21" s="25">
        <f t="shared" si="46"/>
        <v>24.679735875338949</v>
      </c>
      <c r="N21" s="25">
        <f t="shared" si="18"/>
        <v>6.9860444148142999</v>
      </c>
      <c r="O21" s="25">
        <f t="shared" si="24"/>
        <v>4255.1253416461195</v>
      </c>
      <c r="P21" s="25">
        <f t="shared" si="25"/>
        <v>34.636399336341334</v>
      </c>
      <c r="Q21" s="25">
        <f t="shared" si="26"/>
        <v>34.636399336341334</v>
      </c>
      <c r="R21" s="25">
        <f t="shared" si="27"/>
        <v>17.318199668170667</v>
      </c>
      <c r="S21" s="25">
        <f t="shared" si="28"/>
        <v>2227.9784189032016</v>
      </c>
      <c r="T21" s="25">
        <f t="shared" si="40"/>
        <v>1.1317307852388148</v>
      </c>
      <c r="U21" s="25">
        <f t="shared" si="41"/>
        <v>27.930816861683898</v>
      </c>
      <c r="V21" s="25">
        <f t="shared" si="42"/>
        <v>27.930816861683898</v>
      </c>
      <c r="W21" s="25">
        <f t="shared" si="43"/>
        <v>7.9063215312910238</v>
      </c>
      <c r="X21" s="25">
        <f t="shared" si="44"/>
        <v>3229.5377757709048</v>
      </c>
      <c r="Y21">
        <f t="shared" si="45"/>
        <v>3.7059390684398217</v>
      </c>
      <c r="Z21">
        <f t="shared" si="19"/>
        <v>2.3527912373287183</v>
      </c>
      <c r="AA21" t="b">
        <f t="shared" si="20"/>
        <v>1</v>
      </c>
      <c r="AB21">
        <v>19.6891464740971</v>
      </c>
      <c r="AC21">
        <v>13.0413674902449</v>
      </c>
      <c r="AD21">
        <v>19.374091235465698</v>
      </c>
      <c r="AE21" s="4">
        <v>12.3003935</v>
      </c>
      <c r="AF21" s="23"/>
      <c r="AG21" s="24"/>
    </row>
    <row r="22" spans="1:33">
      <c r="A22" s="25" t="s">
        <v>98</v>
      </c>
      <c r="B22" s="25">
        <v>10</v>
      </c>
      <c r="C22" s="25">
        <v>2</v>
      </c>
      <c r="D22" s="25">
        <f t="shared" si="15"/>
        <v>200</v>
      </c>
      <c r="E22" s="25">
        <v>4</v>
      </c>
      <c r="F22" s="25">
        <f t="shared" si="36"/>
        <v>3240</v>
      </c>
      <c r="G22" s="25">
        <v>0.52917700000000001</v>
      </c>
      <c r="H22" s="25">
        <f t="shared" si="16"/>
        <v>3229.5377757709048</v>
      </c>
      <c r="I22" s="25">
        <f t="shared" si="21"/>
        <v>32868.756699862402</v>
      </c>
      <c r="J22" s="26">
        <f t="shared" si="38"/>
        <v>9.8255550255858151E-2</v>
      </c>
      <c r="K22" s="26">
        <f t="shared" si="39"/>
        <v>6.1728395061728392E-2</v>
      </c>
      <c r="L22" s="25">
        <f t="shared" si="46"/>
        <v>24.679735875338949</v>
      </c>
      <c r="M22" s="25">
        <f t="shared" si="46"/>
        <v>24.679735875338949</v>
      </c>
      <c r="N22" s="25">
        <f t="shared" si="18"/>
        <v>6.9860444148142999</v>
      </c>
      <c r="O22" s="25">
        <f t="shared" si="24"/>
        <v>4255.1253416461195</v>
      </c>
      <c r="P22" s="25">
        <f t="shared" si="25"/>
        <v>38.965949253384004</v>
      </c>
      <c r="Q22" s="25">
        <f t="shared" si="26"/>
        <v>38.965949253384004</v>
      </c>
      <c r="R22" s="25">
        <f t="shared" si="27"/>
        <v>21.647749585213333</v>
      </c>
      <c r="S22" s="25">
        <f t="shared" si="28"/>
        <v>2227.9784189032016</v>
      </c>
      <c r="T22" s="25">
        <f t="shared" si="40"/>
        <v>1.1317307852388148</v>
      </c>
      <c r="U22" s="25">
        <f t="shared" si="41"/>
        <v>27.930816861683898</v>
      </c>
      <c r="V22" s="25">
        <f t="shared" si="42"/>
        <v>27.930816861683898</v>
      </c>
      <c r="W22" s="25">
        <f t="shared" si="43"/>
        <v>7.9063215312910238</v>
      </c>
      <c r="X22" s="25">
        <f t="shared" si="44"/>
        <v>3229.5377757709048</v>
      </c>
      <c r="Y22">
        <f t="shared" si="45"/>
        <v>5.8707140269611546</v>
      </c>
      <c r="Z22">
        <f t="shared" si="19"/>
        <v>4.517566195850053</v>
      </c>
      <c r="AA22" t="b">
        <f t="shared" si="20"/>
        <v>1</v>
      </c>
      <c r="AB22">
        <v>15.348470283023699</v>
      </c>
      <c r="AC22">
        <v>11.416505204616101</v>
      </c>
      <c r="AD22">
        <v>15.249518013430899</v>
      </c>
      <c r="AE22" s="4">
        <v>11.0215978</v>
      </c>
      <c r="AF22" s="23"/>
      <c r="AG22" s="24"/>
    </row>
    <row r="23" spans="1:33">
      <c r="A23" s="25" t="s">
        <v>98</v>
      </c>
      <c r="B23" s="25">
        <v>10</v>
      </c>
      <c r="C23" s="25">
        <v>2</v>
      </c>
      <c r="D23" s="25">
        <f t="shared" si="15"/>
        <v>200</v>
      </c>
      <c r="E23" s="25">
        <v>6</v>
      </c>
      <c r="F23" s="25">
        <f t="shared" si="36"/>
        <v>6776</v>
      </c>
      <c r="G23" s="25">
        <v>0.52917700000000001</v>
      </c>
      <c r="H23" s="25">
        <f t="shared" si="16"/>
        <v>3229.5377757709048</v>
      </c>
      <c r="I23" s="25">
        <f t="shared" si="21"/>
        <v>68740.338085885072</v>
      </c>
      <c r="J23" s="26">
        <f t="shared" si="38"/>
        <v>4.6981697583969959E-2</v>
      </c>
      <c r="K23" s="26">
        <f t="shared" ref="K23:K31" si="47">D23/F23</f>
        <v>2.9515938606847699E-2</v>
      </c>
      <c r="L23" s="25">
        <f t="shared" si="46"/>
        <v>24.679735875338949</v>
      </c>
      <c r="M23" s="25">
        <f t="shared" si="46"/>
        <v>24.679735875338949</v>
      </c>
      <c r="N23" s="25">
        <f t="shared" si="18"/>
        <v>6.9860444148142999</v>
      </c>
      <c r="O23" s="25">
        <f t="shared" ref="O23:O31" si="48">L23*M23*N23</f>
        <v>4255.1253416461195</v>
      </c>
      <c r="P23" s="25">
        <f t="shared" si="25"/>
        <v>47.625049087469336</v>
      </c>
      <c r="Q23" s="25">
        <f t="shared" si="26"/>
        <v>47.625049087469336</v>
      </c>
      <c r="R23" s="25">
        <f t="shared" si="27"/>
        <v>30.306849419298668</v>
      </c>
      <c r="S23" s="25">
        <f t="shared" si="28"/>
        <v>2227.9784189032016</v>
      </c>
      <c r="T23" s="25">
        <f t="shared" si="40"/>
        <v>1.1317307852388148</v>
      </c>
      <c r="U23" s="25">
        <f t="shared" si="41"/>
        <v>27.930816861683898</v>
      </c>
      <c r="V23" s="25">
        <f t="shared" si="42"/>
        <v>27.930816861683898</v>
      </c>
      <c r="W23" s="25">
        <f t="shared" si="43"/>
        <v>7.9063215312910238</v>
      </c>
      <c r="X23" s="25">
        <f t="shared" si="44"/>
        <v>3229.5377757709048</v>
      </c>
      <c r="Y23">
        <f t="shared" si="45"/>
        <v>10.200263944003822</v>
      </c>
      <c r="Z23">
        <f t="shared" si="19"/>
        <v>8.8471161128927189</v>
      </c>
      <c r="AA23" t="b">
        <f t="shared" si="20"/>
        <v>1</v>
      </c>
      <c r="AB23">
        <v>12.019702811488999</v>
      </c>
      <c r="AC23">
        <v>10.2089669319876</v>
      </c>
      <c r="AD23">
        <v>11.9950332133246</v>
      </c>
      <c r="AE23" s="4">
        <v>10.0447617</v>
      </c>
      <c r="AF23" s="18"/>
      <c r="AG23" s="18"/>
    </row>
    <row r="24" spans="1:33">
      <c r="A24" s="25" t="s">
        <v>98</v>
      </c>
      <c r="B24" s="25">
        <v>10</v>
      </c>
      <c r="C24" s="25">
        <v>2</v>
      </c>
      <c r="D24" s="25">
        <f t="shared" si="15"/>
        <v>200</v>
      </c>
      <c r="E24" s="25">
        <v>8</v>
      </c>
      <c r="F24" s="25">
        <f t="shared" si="36"/>
        <v>12168</v>
      </c>
      <c r="G24" s="25">
        <v>0.52917700000000001</v>
      </c>
      <c r="H24" s="25">
        <f t="shared" si="16"/>
        <v>3229.5377757709048</v>
      </c>
      <c r="I24" s="25">
        <f t="shared" si="21"/>
        <v>123440.44182837215</v>
      </c>
      <c r="J24" s="26">
        <f t="shared" si="38"/>
        <v>2.6162720482329094E-2</v>
      </c>
      <c r="K24" s="26">
        <f t="shared" si="47"/>
        <v>1.6436554898093359E-2</v>
      </c>
      <c r="L24" s="25">
        <f t="shared" si="46"/>
        <v>24.679735875338949</v>
      </c>
      <c r="M24" s="25">
        <f t="shared" si="46"/>
        <v>24.679735875338949</v>
      </c>
      <c r="N24" s="25">
        <f t="shared" si="18"/>
        <v>6.9860444148142999</v>
      </c>
      <c r="O24" s="25">
        <f t="shared" si="48"/>
        <v>4255.1253416461195</v>
      </c>
      <c r="P24" s="25">
        <f t="shared" si="25"/>
        <v>56.284148921554667</v>
      </c>
      <c r="Q24" s="25">
        <f t="shared" si="26"/>
        <v>56.284148921554667</v>
      </c>
      <c r="R24" s="25">
        <f t="shared" si="27"/>
        <v>38.965949253384004</v>
      </c>
      <c r="S24" s="25">
        <f t="shared" si="28"/>
        <v>2227.9784189032016</v>
      </c>
      <c r="T24" s="25">
        <f t="shared" si="40"/>
        <v>1.1317307852388148</v>
      </c>
      <c r="U24" s="25">
        <f t="shared" si="41"/>
        <v>27.930816861683898</v>
      </c>
      <c r="V24" s="25">
        <f t="shared" si="42"/>
        <v>27.930816861683898</v>
      </c>
      <c r="W24" s="25">
        <f t="shared" si="43"/>
        <v>7.9063215312910238</v>
      </c>
      <c r="X24" s="25">
        <f t="shared" si="44"/>
        <v>3229.5377757709048</v>
      </c>
      <c r="Y24">
        <f t="shared" si="45"/>
        <v>14.52981386104649</v>
      </c>
      <c r="Z24">
        <f t="shared" si="19"/>
        <v>13.176666029935385</v>
      </c>
      <c r="AA24" t="b">
        <f t="shared" si="20"/>
        <v>1</v>
      </c>
      <c r="AB24">
        <v>10.766410335466301</v>
      </c>
      <c r="AC24">
        <v>9.7721472395320905</v>
      </c>
      <c r="AD24">
        <v>10.755635846590399</v>
      </c>
      <c r="AE24" s="4">
        <v>9.6854134599999995</v>
      </c>
      <c r="AF24" s="18"/>
      <c r="AG24" s="18"/>
    </row>
    <row r="25" spans="1:33">
      <c r="A25" s="25" t="s">
        <v>98</v>
      </c>
      <c r="B25" s="25">
        <v>10</v>
      </c>
      <c r="C25" s="25">
        <v>2</v>
      </c>
      <c r="D25" s="25">
        <f t="shared" si="15"/>
        <v>200</v>
      </c>
      <c r="E25" s="25">
        <v>10</v>
      </c>
      <c r="F25" s="25">
        <f t="shared" si="36"/>
        <v>19800</v>
      </c>
      <c r="G25" s="25">
        <v>0.52917700000000001</v>
      </c>
      <c r="H25" s="25">
        <f t="shared" si="16"/>
        <v>3229.5377757709048</v>
      </c>
      <c r="I25" s="25">
        <f t="shared" si="21"/>
        <v>200864.6242769369</v>
      </c>
      <c r="J25" s="26">
        <f t="shared" si="38"/>
        <v>1.6078180950958608E-2</v>
      </c>
      <c r="K25" s="26">
        <f t="shared" si="47"/>
        <v>1.0101010101010102E-2</v>
      </c>
      <c r="L25" s="25">
        <f t="shared" si="46"/>
        <v>24.679735875338949</v>
      </c>
      <c r="M25" s="25">
        <f t="shared" si="46"/>
        <v>24.679735875338949</v>
      </c>
      <c r="N25" s="25">
        <f t="shared" si="18"/>
        <v>6.9860444148142999</v>
      </c>
      <c r="O25" s="25">
        <f t="shared" si="48"/>
        <v>4255.1253416461195</v>
      </c>
      <c r="P25" s="25">
        <f t="shared" si="25"/>
        <v>64.943248755639999</v>
      </c>
      <c r="Q25" s="25">
        <f t="shared" si="26"/>
        <v>64.943248755639999</v>
      </c>
      <c r="R25" s="25">
        <f t="shared" si="27"/>
        <v>47.625049087469336</v>
      </c>
      <c r="S25" s="25">
        <f t="shared" si="28"/>
        <v>2227.9784189032016</v>
      </c>
      <c r="T25" s="25">
        <f t="shared" si="40"/>
        <v>1.1317307852388148</v>
      </c>
      <c r="U25" s="25">
        <f t="shared" si="41"/>
        <v>27.930816861683898</v>
      </c>
      <c r="V25" s="25">
        <f t="shared" si="42"/>
        <v>27.930816861683898</v>
      </c>
      <c r="W25" s="25">
        <f t="shared" si="43"/>
        <v>7.9063215312910238</v>
      </c>
      <c r="X25" s="25">
        <f t="shared" si="44"/>
        <v>3229.5377757709048</v>
      </c>
      <c r="Y25">
        <f t="shared" si="45"/>
        <v>18.859363778089154</v>
      </c>
      <c r="Z25">
        <f t="shared" si="19"/>
        <v>17.506215946978053</v>
      </c>
      <c r="AA25" t="b">
        <f t="shared" si="20"/>
        <v>1</v>
      </c>
      <c r="AB25">
        <v>10.176608555141099</v>
      </c>
      <c r="AC25">
        <v>9.5702133724874905</v>
      </c>
      <c r="AD25">
        <v>10.1707817621638</v>
      </c>
      <c r="AE25" s="4">
        <v>9.5182670199999997</v>
      </c>
      <c r="AF25" s="18"/>
      <c r="AG25" s="18"/>
    </row>
    <row r="26" spans="1:33">
      <c r="A26" s="25" t="s">
        <v>99</v>
      </c>
      <c r="B26" s="25">
        <v>12</v>
      </c>
      <c r="C26" s="25">
        <v>2</v>
      </c>
      <c r="D26" s="25">
        <f t="shared" si="15"/>
        <v>288</v>
      </c>
      <c r="E26" s="25">
        <v>2</v>
      </c>
      <c r="F26" s="25">
        <f t="shared" si="36"/>
        <v>1536</v>
      </c>
      <c r="G26" s="25">
        <v>0.52917700000000001</v>
      </c>
      <c r="H26" s="25">
        <f t="shared" si="16"/>
        <v>4597.5076189262973</v>
      </c>
      <c r="I26" s="25">
        <f t="shared" si="21"/>
        <v>15582.225398453289</v>
      </c>
      <c r="J26" s="26">
        <f t="shared" si="38"/>
        <v>0.29504820405066479</v>
      </c>
      <c r="K26" s="26">
        <f t="shared" si="47"/>
        <v>0.1875</v>
      </c>
      <c r="L26" s="25">
        <f>$P$50 + 10*$Q$50</f>
        <v>29.103158740470107</v>
      </c>
      <c r="M26" s="25">
        <f>$P$50 + 10*$Q$50</f>
        <v>29.103158740470107</v>
      </c>
      <c r="N26" s="25">
        <f t="shared" si="18"/>
        <v>6.9860444148142999</v>
      </c>
      <c r="O26" s="25">
        <f t="shared" si="48"/>
        <v>5917.136645904091</v>
      </c>
      <c r="P26" s="25">
        <f t="shared" si="25"/>
        <v>34.636399336341334</v>
      </c>
      <c r="Q26" s="25">
        <f t="shared" si="26"/>
        <v>34.636399336341334</v>
      </c>
      <c r="R26" s="25">
        <f t="shared" si="27"/>
        <v>12.988649751128001</v>
      </c>
      <c r="S26" s="25">
        <f t="shared" si="28"/>
        <v>3098.2055028432069</v>
      </c>
      <c r="T26" s="25">
        <f t="shared" si="40"/>
        <v>1.1406106234581359</v>
      </c>
      <c r="U26" s="25">
        <f t="shared" si="41"/>
        <v>33.19537203556871</v>
      </c>
      <c r="V26" s="25">
        <f t="shared" si="42"/>
        <v>33.19537203556871</v>
      </c>
      <c r="W26" s="25">
        <f t="shared" si="43"/>
        <v>7.9683564754875666</v>
      </c>
      <c r="X26" s="25">
        <f t="shared" si="44"/>
        <v>4597.5076189262982</v>
      </c>
      <c r="Y26">
        <f t="shared" si="45"/>
        <v>1.5101466378202169</v>
      </c>
      <c r="Z26">
        <f t="shared" si="19"/>
        <v>-0.27948634961368768</v>
      </c>
      <c r="AA26" t="b">
        <f t="shared" si="20"/>
        <v>0</v>
      </c>
      <c r="AB26">
        <v>50.699159242159702</v>
      </c>
      <c r="AC26">
        <v>17.6679512581856</v>
      </c>
      <c r="AD26">
        <v>38.9136311284567</v>
      </c>
      <c r="AE26" s="4">
        <v>15.5630808</v>
      </c>
      <c r="AF26" s="23"/>
      <c r="AG26" s="23"/>
    </row>
    <row r="27" spans="1:33">
      <c r="A27" s="25" t="s">
        <v>99</v>
      </c>
      <c r="B27" s="25">
        <v>12</v>
      </c>
      <c r="C27" s="25">
        <v>2</v>
      </c>
      <c r="D27" s="25">
        <f t="shared" si="15"/>
        <v>288</v>
      </c>
      <c r="E27" s="25">
        <v>3</v>
      </c>
      <c r="F27" s="25">
        <f t="shared" si="36"/>
        <v>2592</v>
      </c>
      <c r="G27" s="25">
        <v>0.52917700000000001</v>
      </c>
      <c r="H27" s="25">
        <f t="shared" si="16"/>
        <v>4597.5076189262973</v>
      </c>
      <c r="I27" s="25">
        <f t="shared" si="21"/>
        <v>26295.005359889925</v>
      </c>
      <c r="J27" s="26">
        <f t="shared" si="38"/>
        <v>0.17484338017817172</v>
      </c>
      <c r="K27" s="26">
        <f t="shared" si="47"/>
        <v>0.1111111111111111</v>
      </c>
      <c r="L27" s="25">
        <f t="shared" ref="L27:M31" si="49">$P$50 + 10*$Q$50</f>
        <v>29.103158740470107</v>
      </c>
      <c r="M27" s="25">
        <f t="shared" si="49"/>
        <v>29.103158740470107</v>
      </c>
      <c r="N27" s="25">
        <f t="shared" si="18"/>
        <v>6.9860444148142999</v>
      </c>
      <c r="O27" s="25">
        <f t="shared" si="48"/>
        <v>5917.136645904091</v>
      </c>
      <c r="P27" s="25">
        <f t="shared" si="25"/>
        <v>38.965949253384004</v>
      </c>
      <c r="Q27" s="25">
        <f t="shared" si="26"/>
        <v>38.965949253384004</v>
      </c>
      <c r="R27" s="25">
        <f t="shared" si="27"/>
        <v>17.318199668170667</v>
      </c>
      <c r="S27" s="25">
        <f t="shared" si="28"/>
        <v>3098.2055028432069</v>
      </c>
      <c r="T27" s="25">
        <f t="shared" si="40"/>
        <v>1.1406106234581359</v>
      </c>
      <c r="U27" s="25">
        <f t="shared" si="41"/>
        <v>33.19537203556871</v>
      </c>
      <c r="V27" s="25">
        <f t="shared" si="42"/>
        <v>33.19537203556871</v>
      </c>
      <c r="W27" s="25">
        <f t="shared" si="43"/>
        <v>7.9683564754875666</v>
      </c>
      <c r="X27" s="25">
        <f t="shared" si="44"/>
        <v>4597.5076189262982</v>
      </c>
      <c r="Y27">
        <f t="shared" si="45"/>
        <v>3.6749215963415498</v>
      </c>
      <c r="Z27">
        <f t="shared" si="19"/>
        <v>1.885288608907647</v>
      </c>
      <c r="AA27" t="b">
        <f t="shared" si="20"/>
        <v>1</v>
      </c>
      <c r="AB27">
        <v>21.987472135039098</v>
      </c>
      <c r="AC27">
        <v>13.302692416005801</v>
      </c>
      <c r="AD27">
        <v>22.098036337831999</v>
      </c>
      <c r="AE27" s="4">
        <v>12.5587179</v>
      </c>
      <c r="AF27" s="23"/>
      <c r="AG27" s="23"/>
    </row>
    <row r="28" spans="1:33">
      <c r="A28" s="25" t="s">
        <v>99</v>
      </c>
      <c r="B28" s="25">
        <v>12</v>
      </c>
      <c r="C28" s="25">
        <v>2</v>
      </c>
      <c r="D28" s="25">
        <f t="shared" si="15"/>
        <v>288</v>
      </c>
      <c r="E28" s="25">
        <v>4</v>
      </c>
      <c r="F28" s="25">
        <f t="shared" si="36"/>
        <v>4000</v>
      </c>
      <c r="G28" s="25">
        <v>0.52917700000000001</v>
      </c>
      <c r="H28" s="25">
        <f t="shared" si="16"/>
        <v>4597.5076189262973</v>
      </c>
      <c r="I28" s="25">
        <f t="shared" si="21"/>
        <v>40578.711975138758</v>
      </c>
      <c r="J28" s="26">
        <f t="shared" si="38"/>
        <v>0.11329851035545532</v>
      </c>
      <c r="K28" s="26">
        <f t="shared" si="47"/>
        <v>7.1999999999999995E-2</v>
      </c>
      <c r="L28" s="25">
        <f t="shared" si="49"/>
        <v>29.103158740470107</v>
      </c>
      <c r="M28" s="25">
        <f t="shared" si="49"/>
        <v>29.103158740470107</v>
      </c>
      <c r="N28" s="25">
        <f t="shared" si="18"/>
        <v>6.9860444148142999</v>
      </c>
      <c r="O28" s="25">
        <f t="shared" si="48"/>
        <v>5917.136645904091</v>
      </c>
      <c r="P28" s="25">
        <f t="shared" si="25"/>
        <v>43.295499170426666</v>
      </c>
      <c r="Q28" s="25">
        <f t="shared" si="26"/>
        <v>43.295499170426666</v>
      </c>
      <c r="R28" s="25">
        <f t="shared" si="27"/>
        <v>21.647749585213333</v>
      </c>
      <c r="S28" s="25">
        <f t="shared" si="28"/>
        <v>3098.2055028432069</v>
      </c>
      <c r="T28" s="25">
        <f t="shared" si="40"/>
        <v>1.1406106234581359</v>
      </c>
      <c r="U28" s="25">
        <f t="shared" si="41"/>
        <v>33.19537203556871</v>
      </c>
      <c r="V28" s="25">
        <f t="shared" si="42"/>
        <v>33.19537203556871</v>
      </c>
      <c r="W28" s="25">
        <f t="shared" si="43"/>
        <v>7.9683564754875666</v>
      </c>
      <c r="X28" s="25">
        <f t="shared" si="44"/>
        <v>4597.5076189262982</v>
      </c>
      <c r="Y28">
        <f t="shared" si="45"/>
        <v>5.8396965548628827</v>
      </c>
      <c r="Z28">
        <f t="shared" si="19"/>
        <v>4.0500635674289782</v>
      </c>
      <c r="AA28" t="b">
        <f t="shared" si="20"/>
        <v>1</v>
      </c>
      <c r="AB28">
        <v>16.770032368412998</v>
      </c>
      <c r="AC28">
        <v>11.609484353612601</v>
      </c>
      <c r="AD28">
        <v>16.954174708897401</v>
      </c>
      <c r="AE28" s="4">
        <v>11.2074569</v>
      </c>
      <c r="AF28" s="24"/>
      <c r="AG28" s="24"/>
    </row>
    <row r="29" spans="1:33">
      <c r="A29" s="25" t="s">
        <v>99</v>
      </c>
      <c r="B29" s="25">
        <v>12</v>
      </c>
      <c r="C29" s="25">
        <v>2</v>
      </c>
      <c r="D29" s="25">
        <f t="shared" si="15"/>
        <v>288</v>
      </c>
      <c r="E29" s="25">
        <v>6</v>
      </c>
      <c r="F29" s="25">
        <f t="shared" si="36"/>
        <v>8064</v>
      </c>
      <c r="G29" s="25">
        <v>0.52917700000000001</v>
      </c>
      <c r="H29" s="25">
        <f t="shared" si="16"/>
        <v>4597.5076189262973</v>
      </c>
      <c r="I29" s="25">
        <f t="shared" si="21"/>
        <v>81806.683341879761</v>
      </c>
      <c r="J29" s="26">
        <f t="shared" si="38"/>
        <v>5.6199657914412345E-2</v>
      </c>
      <c r="K29" s="26">
        <f t="shared" si="47"/>
        <v>3.5714285714285712E-2</v>
      </c>
      <c r="L29" s="25">
        <f t="shared" si="49"/>
        <v>29.103158740470107</v>
      </c>
      <c r="M29" s="25">
        <f t="shared" si="49"/>
        <v>29.103158740470107</v>
      </c>
      <c r="N29" s="25">
        <f t="shared" si="18"/>
        <v>6.9860444148142999</v>
      </c>
      <c r="O29" s="25">
        <f t="shared" si="48"/>
        <v>5917.136645904091</v>
      </c>
      <c r="P29" s="25">
        <f t="shared" si="25"/>
        <v>51.954599004512005</v>
      </c>
      <c r="Q29" s="25">
        <f t="shared" si="26"/>
        <v>51.954599004512005</v>
      </c>
      <c r="R29" s="25">
        <f t="shared" si="27"/>
        <v>30.306849419298668</v>
      </c>
      <c r="S29" s="25">
        <f t="shared" si="28"/>
        <v>3098.2055028432069</v>
      </c>
      <c r="T29" s="25">
        <f t="shared" si="40"/>
        <v>1.1406106234581359</v>
      </c>
      <c r="U29" s="25">
        <f t="shared" si="41"/>
        <v>33.19537203556871</v>
      </c>
      <c r="V29" s="25">
        <f t="shared" si="42"/>
        <v>33.19537203556871</v>
      </c>
      <c r="W29" s="25">
        <f t="shared" si="43"/>
        <v>7.9683564754875666</v>
      </c>
      <c r="X29" s="25">
        <f t="shared" si="44"/>
        <v>4597.5076189262982</v>
      </c>
      <c r="Y29">
        <f t="shared" si="45"/>
        <v>10.16924647190555</v>
      </c>
      <c r="Z29">
        <f t="shared" si="19"/>
        <v>8.3796134844716477</v>
      </c>
      <c r="AA29" t="b">
        <f t="shared" si="20"/>
        <v>1</v>
      </c>
      <c r="AB29">
        <v>12.7653674105074</v>
      </c>
      <c r="AC29">
        <v>10.3224846228701</v>
      </c>
      <c r="AD29">
        <v>12.8774949006054</v>
      </c>
      <c r="AE29" s="4">
        <v>10.151671</v>
      </c>
    </row>
    <row r="30" spans="1:33">
      <c r="A30" s="25" t="s">
        <v>99</v>
      </c>
      <c r="B30" s="25">
        <v>12</v>
      </c>
      <c r="C30" s="25">
        <v>2</v>
      </c>
      <c r="D30" s="25">
        <f t="shared" si="15"/>
        <v>288</v>
      </c>
      <c r="E30" s="25">
        <v>8</v>
      </c>
      <c r="F30" s="25">
        <f t="shared" si="36"/>
        <v>14112</v>
      </c>
      <c r="G30" s="25">
        <v>0.52917700000000001</v>
      </c>
      <c r="H30" s="25">
        <f t="shared" si="16"/>
        <v>4597.5076189262973</v>
      </c>
      <c r="I30" s="25">
        <f t="shared" si="21"/>
        <v>143161.69584828959</v>
      </c>
      <c r="J30" s="26">
        <f t="shared" si="38"/>
        <v>3.2114090236807051E-2</v>
      </c>
      <c r="K30" s="26">
        <f t="shared" si="47"/>
        <v>2.0408163265306121E-2</v>
      </c>
      <c r="L30" s="25">
        <f t="shared" si="49"/>
        <v>29.103158740470107</v>
      </c>
      <c r="M30" s="25">
        <f t="shared" si="49"/>
        <v>29.103158740470107</v>
      </c>
      <c r="N30" s="25">
        <f t="shared" si="18"/>
        <v>6.9860444148142999</v>
      </c>
      <c r="O30" s="25">
        <f t="shared" si="48"/>
        <v>5917.136645904091</v>
      </c>
      <c r="P30" s="25">
        <f t="shared" si="25"/>
        <v>60.613698838597337</v>
      </c>
      <c r="Q30" s="25">
        <f t="shared" si="26"/>
        <v>60.613698838597337</v>
      </c>
      <c r="R30" s="25">
        <f t="shared" si="27"/>
        <v>38.965949253384004</v>
      </c>
      <c r="S30" s="25">
        <f t="shared" si="28"/>
        <v>3098.2055028432069</v>
      </c>
      <c r="T30" s="25">
        <f t="shared" si="40"/>
        <v>1.1406106234581359</v>
      </c>
      <c r="U30" s="25">
        <f t="shared" si="41"/>
        <v>33.19537203556871</v>
      </c>
      <c r="V30" s="25">
        <f t="shared" si="42"/>
        <v>33.19537203556871</v>
      </c>
      <c r="W30" s="25">
        <f t="shared" si="43"/>
        <v>7.9683564754875666</v>
      </c>
      <c r="X30" s="25">
        <f t="shared" si="44"/>
        <v>4597.5076189262982</v>
      </c>
      <c r="Y30">
        <f t="shared" si="45"/>
        <v>14.498796388948218</v>
      </c>
      <c r="Z30">
        <f t="shared" si="19"/>
        <v>12.709163401514314</v>
      </c>
      <c r="AA30" t="b">
        <f t="shared" si="20"/>
        <v>1</v>
      </c>
      <c r="AB30">
        <v>11.2213587319312</v>
      </c>
      <c r="AC30">
        <v>9.8458480119490801</v>
      </c>
      <c r="AD30">
        <v>11.287429111575999</v>
      </c>
      <c r="AE30" s="4">
        <v>9.7539483100000002</v>
      </c>
    </row>
    <row r="31" spans="1:33">
      <c r="A31" s="25" t="s">
        <v>99</v>
      </c>
      <c r="B31" s="25">
        <v>12</v>
      </c>
      <c r="C31" s="25">
        <v>2</v>
      </c>
      <c r="D31" s="25">
        <f t="shared" si="15"/>
        <v>288</v>
      </c>
      <c r="E31" s="25">
        <v>10</v>
      </c>
      <c r="F31" s="25">
        <f t="shared" si="36"/>
        <v>22528</v>
      </c>
      <c r="G31" s="25">
        <v>0.52917700000000001</v>
      </c>
      <c r="H31" s="25">
        <f t="shared" si="16"/>
        <v>4597.5076189262973</v>
      </c>
      <c r="I31" s="25">
        <f t="shared" si="21"/>
        <v>228539.30584398156</v>
      </c>
      <c r="J31" s="26">
        <f t="shared" si="38"/>
        <v>2.0116923003454416E-2</v>
      </c>
      <c r="K31" s="26">
        <f t="shared" si="47"/>
        <v>1.278409090909091E-2</v>
      </c>
      <c r="L31" s="25">
        <f t="shared" si="49"/>
        <v>29.103158740470107</v>
      </c>
      <c r="M31" s="25">
        <f t="shared" si="49"/>
        <v>29.103158740470107</v>
      </c>
      <c r="N31" s="25">
        <f t="shared" si="18"/>
        <v>6.9860444148142999</v>
      </c>
      <c r="O31" s="25">
        <f t="shared" si="48"/>
        <v>5917.136645904091</v>
      </c>
      <c r="P31" s="25">
        <f t="shared" si="25"/>
        <v>69.272798672682669</v>
      </c>
      <c r="Q31" s="25">
        <f t="shared" si="26"/>
        <v>69.272798672682669</v>
      </c>
      <c r="R31" s="25">
        <f t="shared" si="27"/>
        <v>47.625049087469336</v>
      </c>
      <c r="S31" s="25">
        <f t="shared" si="28"/>
        <v>3098.2055028432069</v>
      </c>
      <c r="T31" s="25">
        <f t="shared" si="40"/>
        <v>1.1406106234581359</v>
      </c>
      <c r="U31" s="25">
        <f t="shared" si="41"/>
        <v>33.19537203556871</v>
      </c>
      <c r="V31" s="25">
        <f t="shared" si="42"/>
        <v>33.19537203556871</v>
      </c>
      <c r="W31" s="25">
        <f t="shared" si="43"/>
        <v>7.9683564754875666</v>
      </c>
      <c r="X31" s="25">
        <f t="shared" si="44"/>
        <v>4597.5076189262982</v>
      </c>
      <c r="Y31">
        <f t="shared" si="45"/>
        <v>18.828346305990884</v>
      </c>
      <c r="Z31">
        <f t="shared" si="19"/>
        <v>17.038713318556979</v>
      </c>
      <c r="AA31" t="b">
        <f t="shared" si="20"/>
        <v>1</v>
      </c>
      <c r="AB31">
        <v>10.4749636522322</v>
      </c>
      <c r="AC31">
        <v>9.6206901418127195</v>
      </c>
      <c r="AD31">
        <v>10.516572031088</v>
      </c>
      <c r="AE31" s="4">
        <v>9.5648158999999993</v>
      </c>
    </row>
    <row r="32" spans="1:33">
      <c r="A32" s="25" t="s">
        <v>100</v>
      </c>
      <c r="B32" s="25">
        <v>14</v>
      </c>
      <c r="C32" s="25">
        <v>2</v>
      </c>
      <c r="D32" s="25">
        <f t="shared" si="15"/>
        <v>392</v>
      </c>
      <c r="E32" s="25">
        <v>2</v>
      </c>
      <c r="F32" s="25">
        <f t="shared" si="36"/>
        <v>1944</v>
      </c>
      <c r="G32" s="25">
        <v>0.52917700000000001</v>
      </c>
      <c r="H32" s="25">
        <f t="shared" si="16"/>
        <v>6204.3612595044142</v>
      </c>
      <c r="I32" s="25">
        <f t="shared" si="21"/>
        <v>19721.254019917447</v>
      </c>
      <c r="J32" s="26">
        <f t="shared" ref="J32:J37" si="50">H32/I32</f>
        <v>0.31460277593089819</v>
      </c>
      <c r="K32" s="26">
        <f t="shared" ref="K32:K37" si="51">D32/F32</f>
        <v>0.20164609053497942</v>
      </c>
      <c r="L32" s="25">
        <f>$P$50 + 12*$Q$50</f>
        <v>33.526581605601272</v>
      </c>
      <c r="M32" s="25">
        <f>$P$50 + 12*$Q$50</f>
        <v>33.526581605601272</v>
      </c>
      <c r="N32" s="25">
        <f t="shared" si="18"/>
        <v>6.9860444148142999</v>
      </c>
      <c r="O32" s="25">
        <f t="shared" ref="O32:O37" si="52">L32*M32*N32</f>
        <v>7852.535199319168</v>
      </c>
      <c r="P32" s="25">
        <f t="shared" si="25"/>
        <v>38.965949253384004</v>
      </c>
      <c r="Q32" s="25">
        <f t="shared" si="26"/>
        <v>38.965949253384004</v>
      </c>
      <c r="R32" s="25">
        <f t="shared" si="27"/>
        <v>12.988649751128001</v>
      </c>
      <c r="S32" s="25">
        <f t="shared" si="28"/>
        <v>4111.5778157060595</v>
      </c>
      <c r="T32" s="25">
        <f t="shared" ref="T32:T37" si="53">(H32/S32)^(1/3)</f>
        <v>1.1469985118324628</v>
      </c>
      <c r="U32" s="25">
        <f t="shared" ref="U32:U37" si="54">T32*L32</f>
        <v>38.454939208454284</v>
      </c>
      <c r="V32" s="25">
        <f t="shared" ref="V32:V37" si="55">T32*M32</f>
        <v>38.454939208454284</v>
      </c>
      <c r="W32" s="25">
        <f t="shared" ref="W32:W37" si="56">T32*N32</f>
        <v>8.0129825473874909</v>
      </c>
      <c r="X32" s="25">
        <f t="shared" ref="X32:X37" si="57">4/3*PI()*U32/2*V32/2*W32/2</f>
        <v>6204.3612595044142</v>
      </c>
      <c r="Y32">
        <f t="shared" ref="Y32:Y37" si="58">(R32-(W32+2)) / 2</f>
        <v>1.4878336018702552</v>
      </c>
      <c r="Z32">
        <f t="shared" si="19"/>
        <v>-0.74449497753514038</v>
      </c>
      <c r="AA32" t="b">
        <f t="shared" si="20"/>
        <v>0</v>
      </c>
      <c r="AB32">
        <v>56.989703074625801</v>
      </c>
      <c r="AC32">
        <v>18.018706857527199</v>
      </c>
      <c r="AD32">
        <v>49.813052397586198</v>
      </c>
      <c r="AE32" s="4">
        <v>15.931805199999999</v>
      </c>
    </row>
    <row r="33" spans="1:31">
      <c r="A33" s="25" t="s">
        <v>100</v>
      </c>
      <c r="B33" s="25">
        <v>14</v>
      </c>
      <c r="C33" s="25">
        <v>2</v>
      </c>
      <c r="D33" s="25">
        <f t="shared" si="15"/>
        <v>392</v>
      </c>
      <c r="E33" s="25">
        <v>3</v>
      </c>
      <c r="F33" s="25">
        <f t="shared" si="36"/>
        <v>3200</v>
      </c>
      <c r="G33" s="25">
        <v>0.52917700000000001</v>
      </c>
      <c r="H33" s="25">
        <f t="shared" si="16"/>
        <v>6204.3612595044142</v>
      </c>
      <c r="I33" s="25">
        <f t="shared" si="21"/>
        <v>32462.96958011101</v>
      </c>
      <c r="J33" s="26">
        <f t="shared" si="50"/>
        <v>0.19112118637802075</v>
      </c>
      <c r="K33" s="26">
        <f t="shared" si="51"/>
        <v>0.1225</v>
      </c>
      <c r="L33" s="25">
        <f t="shared" ref="L33:M37" si="59">$P$50 + 12*$Q$50</f>
        <v>33.526581605601272</v>
      </c>
      <c r="M33" s="25">
        <f t="shared" si="59"/>
        <v>33.526581605601272</v>
      </c>
      <c r="N33" s="25">
        <f t="shared" si="18"/>
        <v>6.9860444148142999</v>
      </c>
      <c r="O33" s="25">
        <f t="shared" si="52"/>
        <v>7852.535199319168</v>
      </c>
      <c r="P33" s="25">
        <f t="shared" si="25"/>
        <v>43.295499170426666</v>
      </c>
      <c r="Q33" s="25">
        <f t="shared" si="26"/>
        <v>43.295499170426666</v>
      </c>
      <c r="R33" s="25">
        <f t="shared" si="27"/>
        <v>17.318199668170667</v>
      </c>
      <c r="S33" s="25">
        <f t="shared" si="28"/>
        <v>4111.5778157060595</v>
      </c>
      <c r="T33" s="25">
        <f t="shared" si="53"/>
        <v>1.1469985118324628</v>
      </c>
      <c r="U33" s="25">
        <f t="shared" si="54"/>
        <v>38.454939208454284</v>
      </c>
      <c r="V33" s="25">
        <f t="shared" si="55"/>
        <v>38.454939208454284</v>
      </c>
      <c r="W33" s="25">
        <f t="shared" si="56"/>
        <v>8.0129825473874909</v>
      </c>
      <c r="X33" s="25">
        <f t="shared" si="57"/>
        <v>6204.3612595044142</v>
      </c>
      <c r="Y33">
        <f t="shared" si="58"/>
        <v>3.6526085603915881</v>
      </c>
      <c r="Z33">
        <f t="shared" si="19"/>
        <v>1.4202799809861908</v>
      </c>
      <c r="AA33" t="b">
        <f t="shared" si="20"/>
        <v>1</v>
      </c>
      <c r="AB33">
        <v>24.359882666649899</v>
      </c>
      <c r="AC33">
        <v>13.5221590547403</v>
      </c>
      <c r="AD33">
        <v>25.020427709175902</v>
      </c>
      <c r="AE33" s="4">
        <v>12.776460200000001</v>
      </c>
    </row>
    <row r="34" spans="1:31">
      <c r="A34" s="25" t="s">
        <v>100</v>
      </c>
      <c r="B34" s="25">
        <v>14</v>
      </c>
      <c r="C34" s="25">
        <v>2</v>
      </c>
      <c r="D34" s="25">
        <f t="shared" si="15"/>
        <v>392</v>
      </c>
      <c r="E34" s="25">
        <v>4</v>
      </c>
      <c r="F34" s="25">
        <f t="shared" si="36"/>
        <v>4840</v>
      </c>
      <c r="G34" s="25">
        <v>0.52917700000000001</v>
      </c>
      <c r="H34" s="25">
        <f t="shared" si="16"/>
        <v>6204.3612595044142</v>
      </c>
      <c r="I34" s="25">
        <f t="shared" si="21"/>
        <v>49100.241489917913</v>
      </c>
      <c r="J34" s="26">
        <f t="shared" si="50"/>
        <v>0.12636111496067484</v>
      </c>
      <c r="K34" s="26">
        <f t="shared" si="51"/>
        <v>8.0991735537190079E-2</v>
      </c>
      <c r="L34" s="25">
        <f t="shared" si="59"/>
        <v>33.526581605601272</v>
      </c>
      <c r="M34" s="25">
        <f t="shared" si="59"/>
        <v>33.526581605601272</v>
      </c>
      <c r="N34" s="25">
        <f t="shared" si="18"/>
        <v>6.9860444148142999</v>
      </c>
      <c r="O34" s="25">
        <f t="shared" si="52"/>
        <v>7852.535199319168</v>
      </c>
      <c r="P34" s="25">
        <f t="shared" si="25"/>
        <v>47.625049087469336</v>
      </c>
      <c r="Q34" s="25">
        <f t="shared" si="26"/>
        <v>47.625049087469336</v>
      </c>
      <c r="R34" s="25">
        <f t="shared" si="27"/>
        <v>21.647749585213333</v>
      </c>
      <c r="S34" s="25">
        <f t="shared" si="28"/>
        <v>4111.5778157060595</v>
      </c>
      <c r="T34" s="25">
        <f t="shared" si="53"/>
        <v>1.1469985118324628</v>
      </c>
      <c r="U34" s="25">
        <f t="shared" si="54"/>
        <v>38.454939208454284</v>
      </c>
      <c r="V34" s="25">
        <f t="shared" si="55"/>
        <v>38.454939208454284</v>
      </c>
      <c r="W34" s="25">
        <f t="shared" si="56"/>
        <v>8.0129825473874909</v>
      </c>
      <c r="X34" s="25">
        <f t="shared" si="57"/>
        <v>6204.3612595044142</v>
      </c>
      <c r="Y34">
        <f t="shared" si="58"/>
        <v>5.817383518912921</v>
      </c>
      <c r="Z34">
        <f t="shared" si="19"/>
        <v>3.5850549395075255</v>
      </c>
      <c r="AA34" t="b">
        <f t="shared" si="20"/>
        <v>1</v>
      </c>
      <c r="AB34">
        <v>18.1763797565254</v>
      </c>
      <c r="AC34">
        <v>11.772807560554501</v>
      </c>
      <c r="AD34">
        <v>18.716101044211399</v>
      </c>
      <c r="AE34" s="4">
        <v>11.3659727</v>
      </c>
    </row>
    <row r="35" spans="1:31">
      <c r="A35" s="25" t="s">
        <v>100</v>
      </c>
      <c r="B35" s="25">
        <v>14</v>
      </c>
      <c r="C35" s="25">
        <v>2</v>
      </c>
      <c r="D35" s="25">
        <f t="shared" si="15"/>
        <v>392</v>
      </c>
      <c r="E35" s="25">
        <v>6</v>
      </c>
      <c r="F35" s="25">
        <f t="shared" si="36"/>
        <v>9464</v>
      </c>
      <c r="G35" s="25">
        <v>0.52917700000000001</v>
      </c>
      <c r="H35" s="25">
        <f t="shared" si="16"/>
        <v>6204.3612595044142</v>
      </c>
      <c r="I35" s="25">
        <f t="shared" si="21"/>
        <v>96009.232533178321</v>
      </c>
      <c r="J35" s="26">
        <f t="shared" si="50"/>
        <v>6.4622548225873447E-2</v>
      </c>
      <c r="K35" s="26">
        <f t="shared" si="51"/>
        <v>4.142011834319527E-2</v>
      </c>
      <c r="L35" s="25">
        <f t="shared" si="59"/>
        <v>33.526581605601272</v>
      </c>
      <c r="M35" s="25">
        <f t="shared" si="59"/>
        <v>33.526581605601272</v>
      </c>
      <c r="N35" s="25">
        <f t="shared" si="18"/>
        <v>6.9860444148142999</v>
      </c>
      <c r="O35" s="25">
        <f t="shared" si="52"/>
        <v>7852.535199319168</v>
      </c>
      <c r="P35" s="25">
        <f t="shared" si="25"/>
        <v>56.284148921554667</v>
      </c>
      <c r="Q35" s="25">
        <f t="shared" si="26"/>
        <v>56.284148921554667</v>
      </c>
      <c r="R35" s="25">
        <f t="shared" si="27"/>
        <v>30.306849419298668</v>
      </c>
      <c r="S35" s="25">
        <f t="shared" si="28"/>
        <v>4111.5778157060595</v>
      </c>
      <c r="T35" s="25">
        <f t="shared" si="53"/>
        <v>1.1469985118324628</v>
      </c>
      <c r="U35" s="25">
        <f t="shared" si="54"/>
        <v>38.454939208454284</v>
      </c>
      <c r="V35" s="25">
        <f t="shared" si="55"/>
        <v>38.454939208454284</v>
      </c>
      <c r="W35" s="25">
        <f t="shared" si="56"/>
        <v>8.0129825473874909</v>
      </c>
      <c r="X35" s="25">
        <f t="shared" si="57"/>
        <v>6204.3612595044142</v>
      </c>
      <c r="Y35">
        <f t="shared" si="58"/>
        <v>10.146933435955589</v>
      </c>
      <c r="Z35">
        <f t="shared" si="19"/>
        <v>7.9146048565501914</v>
      </c>
      <c r="AA35" t="b">
        <f t="shared" si="20"/>
        <v>1</v>
      </c>
      <c r="AB35">
        <v>13.5244179377494</v>
      </c>
      <c r="AC35">
        <v>10.4243914565208</v>
      </c>
      <c r="AD35">
        <v>13.814151351976699</v>
      </c>
      <c r="AE35" s="4">
        <v>10.247832300000001</v>
      </c>
    </row>
    <row r="36" spans="1:31">
      <c r="A36" s="25" t="s">
        <v>100</v>
      </c>
      <c r="B36" s="25">
        <v>14</v>
      </c>
      <c r="C36" s="25">
        <v>2</v>
      </c>
      <c r="D36" s="25">
        <f t="shared" si="15"/>
        <v>392</v>
      </c>
      <c r="E36" s="25">
        <v>8</v>
      </c>
      <c r="F36" s="25">
        <f t="shared" si="36"/>
        <v>16200</v>
      </c>
      <c r="G36" s="25">
        <v>0.52917700000000001</v>
      </c>
      <c r="H36" s="25">
        <f t="shared" si="16"/>
        <v>6204.3612595044142</v>
      </c>
      <c r="I36" s="25">
        <f t="shared" si="21"/>
        <v>164343.78349931201</v>
      </c>
      <c r="J36" s="26">
        <f t="shared" si="50"/>
        <v>3.7752333111707795E-2</v>
      </c>
      <c r="K36" s="26">
        <f t="shared" si="51"/>
        <v>2.4197530864197531E-2</v>
      </c>
      <c r="L36" s="25">
        <f t="shared" si="59"/>
        <v>33.526581605601272</v>
      </c>
      <c r="M36" s="25">
        <f t="shared" si="59"/>
        <v>33.526581605601272</v>
      </c>
      <c r="N36" s="25">
        <f t="shared" si="18"/>
        <v>6.9860444148142999</v>
      </c>
      <c r="O36" s="25">
        <f t="shared" si="52"/>
        <v>7852.535199319168</v>
      </c>
      <c r="P36" s="25">
        <f t="shared" si="25"/>
        <v>64.943248755639999</v>
      </c>
      <c r="Q36" s="25">
        <f t="shared" si="26"/>
        <v>64.943248755639999</v>
      </c>
      <c r="R36" s="25">
        <f t="shared" si="27"/>
        <v>38.965949253384004</v>
      </c>
      <c r="S36" s="25">
        <f t="shared" si="28"/>
        <v>4111.5778157060595</v>
      </c>
      <c r="T36" s="25">
        <f t="shared" si="53"/>
        <v>1.1469985118324628</v>
      </c>
      <c r="U36" s="25">
        <f t="shared" si="54"/>
        <v>38.454939208454284</v>
      </c>
      <c r="V36" s="25">
        <f t="shared" si="55"/>
        <v>38.454939208454284</v>
      </c>
      <c r="W36" s="25">
        <f t="shared" si="56"/>
        <v>8.0129825473874909</v>
      </c>
      <c r="X36" s="25">
        <f t="shared" si="57"/>
        <v>6204.3612595044142</v>
      </c>
      <c r="Y36">
        <f t="shared" si="58"/>
        <v>14.476483352998256</v>
      </c>
      <c r="Z36">
        <f t="shared" si="19"/>
        <v>12.244154773592857</v>
      </c>
      <c r="AA36" t="b">
        <f t="shared" si="20"/>
        <v>1</v>
      </c>
      <c r="AB36">
        <v>11.694972403961099</v>
      </c>
      <c r="AC36">
        <v>9.9136612876787709</v>
      </c>
      <c r="AD36">
        <v>11.8649978191639</v>
      </c>
      <c r="AE36" s="4">
        <v>9.8173346400000003</v>
      </c>
    </row>
    <row r="37" spans="1:31">
      <c r="A37" s="25" t="s">
        <v>100</v>
      </c>
      <c r="B37" s="25">
        <v>14</v>
      </c>
      <c r="C37" s="25">
        <v>2</v>
      </c>
      <c r="D37" s="25">
        <f t="shared" si="15"/>
        <v>392</v>
      </c>
      <c r="E37" s="25">
        <v>10</v>
      </c>
      <c r="F37" s="25">
        <f t="shared" si="36"/>
        <v>25432</v>
      </c>
      <c r="G37" s="25">
        <v>0.52917700000000001</v>
      </c>
      <c r="H37" s="25">
        <f t="shared" si="16"/>
        <v>6204.3612595044142</v>
      </c>
      <c r="I37" s="25">
        <f t="shared" si="21"/>
        <v>257999.45073793232</v>
      </c>
      <c r="J37" s="26">
        <f t="shared" si="50"/>
        <v>2.4047963054799708E-2</v>
      </c>
      <c r="K37" s="26">
        <f t="shared" si="51"/>
        <v>1.5413652091852784E-2</v>
      </c>
      <c r="L37" s="25">
        <f t="shared" si="59"/>
        <v>33.526581605601272</v>
      </c>
      <c r="M37" s="25">
        <f t="shared" si="59"/>
        <v>33.526581605601272</v>
      </c>
      <c r="N37" s="25">
        <f t="shared" si="18"/>
        <v>6.9860444148142999</v>
      </c>
      <c r="O37" s="25">
        <f t="shared" si="52"/>
        <v>7852.535199319168</v>
      </c>
      <c r="P37" s="25">
        <f t="shared" si="25"/>
        <v>73.602348589725338</v>
      </c>
      <c r="Q37" s="25">
        <f t="shared" si="26"/>
        <v>73.602348589725338</v>
      </c>
      <c r="R37" s="25">
        <f t="shared" si="27"/>
        <v>47.625049087469336</v>
      </c>
      <c r="S37" s="25">
        <f t="shared" si="28"/>
        <v>4111.5778157060595</v>
      </c>
      <c r="T37" s="25">
        <f t="shared" si="53"/>
        <v>1.1469985118324628</v>
      </c>
      <c r="U37" s="25">
        <f t="shared" si="54"/>
        <v>38.454939208454284</v>
      </c>
      <c r="V37" s="25">
        <f t="shared" si="55"/>
        <v>38.454939208454284</v>
      </c>
      <c r="W37" s="25">
        <f t="shared" si="56"/>
        <v>8.0129825473874909</v>
      </c>
      <c r="X37" s="25">
        <f t="shared" si="57"/>
        <v>6204.3612595044142</v>
      </c>
      <c r="Y37">
        <f t="shared" si="58"/>
        <v>18.806033270040921</v>
      </c>
      <c r="Z37">
        <f t="shared" si="19"/>
        <v>16.573704690635527</v>
      </c>
      <c r="AA37" t="b">
        <f t="shared" si="20"/>
        <v>1</v>
      </c>
      <c r="AB37">
        <v>10.792699796678599</v>
      </c>
      <c r="AC37">
        <v>9.6682309332766891</v>
      </c>
      <c r="AD37">
        <v>10.9001885519837</v>
      </c>
      <c r="AE37" s="4">
        <v>9.6088530799999994</v>
      </c>
    </row>
    <row r="42" spans="1:31">
      <c r="F42" t="s">
        <v>66</v>
      </c>
      <c r="I42" t="s">
        <v>63</v>
      </c>
      <c r="L42" t="s">
        <v>73</v>
      </c>
    </row>
    <row r="43" spans="1:31">
      <c r="F43" t="s">
        <v>67</v>
      </c>
      <c r="G43">
        <v>12.926</v>
      </c>
      <c r="I43" t="s">
        <v>64</v>
      </c>
      <c r="J43" s="2">
        <v>12.738379999999999</v>
      </c>
      <c r="O43" t="s">
        <v>42</v>
      </c>
      <c r="P43" t="s">
        <v>43</v>
      </c>
      <c r="Q43" t="s">
        <v>75</v>
      </c>
      <c r="R43" t="s">
        <v>77</v>
      </c>
    </row>
    <row r="44" spans="1:31">
      <c r="F44" t="s">
        <v>65</v>
      </c>
      <c r="G44">
        <f>G43/3</f>
        <v>4.3086666666666664</v>
      </c>
      <c r="I44" t="s">
        <v>65</v>
      </c>
      <c r="J44">
        <f>J43/3</f>
        <v>4.2461266666666662</v>
      </c>
      <c r="M44" t="s">
        <v>40</v>
      </c>
      <c r="N44">
        <v>146.49637737656846</v>
      </c>
      <c r="O44">
        <f>N45-N44</f>
        <v>176.3568520544089</v>
      </c>
      <c r="P44">
        <f>O44/N44*100</f>
        <v>120.38308060074701</v>
      </c>
      <c r="Q44">
        <f>(N44) / 4</f>
        <v>36.624094344142115</v>
      </c>
      <c r="R44" s="7">
        <f>N45-(Q44 * 8)</f>
        <v>29.860474677840443</v>
      </c>
    </row>
    <row r="45" spans="1:31">
      <c r="F45" t="s">
        <v>79</v>
      </c>
      <c r="G45">
        <v>13.144015832199999</v>
      </c>
      <c r="H45">
        <v>17.194577894912001</v>
      </c>
      <c r="M45" t="s">
        <v>74</v>
      </c>
      <c r="N45">
        <v>322.85322943097736</v>
      </c>
    </row>
    <row r="46" spans="1:31">
      <c r="F46" t="s">
        <v>65</v>
      </c>
      <c r="G46">
        <f>G45/3</f>
        <v>4.3813386107333328</v>
      </c>
      <c r="H46">
        <f>H45/4</f>
        <v>4.2986444737280003</v>
      </c>
      <c r="L46" t="s">
        <v>44</v>
      </c>
      <c r="M46" t="s">
        <v>76</v>
      </c>
      <c r="N46">
        <f>12*Q44+4*R44</f>
        <v>558.93103084106713</v>
      </c>
      <c r="O46" t="s">
        <v>46</v>
      </c>
      <c r="P46">
        <f>N44*4</f>
        <v>585.98550950627384</v>
      </c>
    </row>
    <row r="47" spans="1:31">
      <c r="M47" t="s">
        <v>78</v>
      </c>
      <c r="N47">
        <f>20*Q44+16*R44</f>
        <v>1210.2494817282895</v>
      </c>
      <c r="O47" t="s">
        <v>48</v>
      </c>
      <c r="P47">
        <f>9*N44</f>
        <v>1318.4673963891162</v>
      </c>
    </row>
    <row r="49" spans="6:17">
      <c r="F49" t="s">
        <v>69</v>
      </c>
      <c r="G49">
        <f>AVERAGE(G44,G46,H46)</f>
        <v>4.3295499170426668</v>
      </c>
      <c r="L49" t="s">
        <v>50</v>
      </c>
      <c r="N49" t="s">
        <v>52</v>
      </c>
      <c r="O49" t="s">
        <v>53</v>
      </c>
      <c r="P49" t="s">
        <v>54</v>
      </c>
      <c r="Q49" t="s">
        <v>56</v>
      </c>
    </row>
    <row r="50" spans="6:17">
      <c r="M50" t="s">
        <v>80</v>
      </c>
      <c r="N50">
        <v>9.1769342882102602</v>
      </c>
      <c r="O50">
        <v>9.2185774065495014</v>
      </c>
      <c r="P50">
        <v>6.9860444148142999</v>
      </c>
      <c r="Q50">
        <f>(AVERAGE(N50:O50)) - P50</f>
        <v>2.2117114325655809</v>
      </c>
    </row>
    <row r="51" spans="6:17">
      <c r="M51" t="s">
        <v>81</v>
      </c>
      <c r="N51">
        <f>P51+2*Q50</f>
        <v>11.409467279945462</v>
      </c>
      <c r="O51">
        <f>2*Q50+P51</f>
        <v>11.409467279945462</v>
      </c>
      <c r="P51">
        <v>6.9860444148142999</v>
      </c>
    </row>
    <row r="52" spans="6:17">
      <c r="M52" t="s">
        <v>82</v>
      </c>
      <c r="N52">
        <f>P52+4*Q50</f>
        <v>15.832890145076624</v>
      </c>
      <c r="O52">
        <f>P52+4*Q50</f>
        <v>15.832890145076624</v>
      </c>
      <c r="P52">
        <v>6.9860444148142999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NC</vt:lpstr>
      <vt:lpstr>Large_Rods</vt:lpstr>
      <vt:lpstr>Large_Disks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Brett Henderson</dc:creator>
  <cp:lastModifiedBy>Brett Henderson</cp:lastModifiedBy>
  <dcterms:created xsi:type="dcterms:W3CDTF">2021-08-25T23:28:39Z</dcterms:created>
  <dcterms:modified xsi:type="dcterms:W3CDTF">2023-05-17T23:51:13Z</dcterms:modified>
</cp:coreProperties>
</file>