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autoCompressPictures="0"/>
  <mc:AlternateContent xmlns:mc="http://schemas.openxmlformats.org/markup-compatibility/2006">
    <mc:Choice Requires="x15">
      <x15ac:absPath xmlns:x15ac="http://schemas.microsoft.com/office/spreadsheetml/2010/11/ac" url="C:\Users\watlas\Documents\Bella Coola\Chum timing project\data\"/>
    </mc:Choice>
  </mc:AlternateContent>
  <xr:revisionPtr revIDLastSave="0" documentId="13_ncr:1_{EBF9E0DD-AFA8-4D6E-8FE4-7F5FD28DB699}" xr6:coauthVersionLast="47" xr6:coauthVersionMax="47" xr10:uidLastSave="{00000000-0000-0000-0000-000000000000}"/>
  <bookViews>
    <workbookView xWindow="-28920" yWindow="-120" windowWidth="29040" windowHeight="15840" tabRatio="856" xr2:uid="{00000000-000D-0000-FFFF-FFFF00000000}"/>
  </bookViews>
  <sheets>
    <sheet name="Production File" sheetId="12" r:id="rId1"/>
    <sheet name="Combined Catch" sheetId="13" r:id="rId2"/>
    <sheet name="Commercial Catch" sheetId="4" r:id="rId3"/>
    <sheet name="FSC Catch" sheetId="3" r:id="rId4"/>
    <sheet name="Sport Catch" sheetId="6" r:id="rId5"/>
    <sheet name="Escapement" sheetId="5" r:id="rId6"/>
    <sheet name="Age" sheetId="8" r:id="rId7"/>
    <sheet name="DNA- Regional" sheetId="10" r:id="rId8"/>
    <sheet name="DNA- Individual" sheetId="11" r:id="rId9"/>
    <sheet name="LBC FSC Catch Timing" sheetId="14" r:id="rId10"/>
    <sheet name="Age- Sub 1,2" sheetId="15" r:id="rId11"/>
    <sheet name="Comm Catch- RMS Only" sheetId="9" r:id="rId12"/>
    <sheet name="Denis Rutherford file" sheetId="2" r:id="rId13"/>
  </sheets>
  <externalReferences>
    <externalReference r:id="rId14"/>
  </externalReferences>
  <definedNames>
    <definedName name="_1">#REF!</definedName>
    <definedName name="_2">#REF!</definedName>
    <definedName name="_3">#REF!</definedName>
    <definedName name="_4">#REF!</definedName>
    <definedName name="_5">#REF!</definedName>
    <definedName name="_6">#REF!</definedName>
    <definedName name="CHINOOK_CATCHES_BY_WEEK_IN_BELLA_COOLA_RIVER_INDIAN_FOOD_FISHERY">#REF!</definedName>
    <definedName name="M">#N/A</definedName>
    <definedName name="P">#REF!</definedName>
    <definedName name="wrn.DFOGNHD." localSheetId="10" hidden="1">{#N/A,#N/A,FALSE,"GN940615"}</definedName>
    <definedName name="wrn.DFOGNHD." hidden="1">{#N/A,#N/A,FALSE,"GN940615"}</definedName>
  </definedNames>
  <calcPr calcId="191029"/>
  <pivotCaches>
    <pivotCache cacheId="0" r:id="rId15"/>
    <pivotCache cacheId="1" r:id="rId16"/>
    <pivotCache cacheId="2" r:id="rId17"/>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Y56" i="12" l="1"/>
  <c r="AY55" i="12"/>
  <c r="AY54" i="12"/>
  <c r="AY61" i="12"/>
  <c r="BK50" i="12"/>
  <c r="BK51" i="12"/>
  <c r="BK52" i="12"/>
  <c r="BK53" i="12"/>
  <c r="BK54" i="12"/>
  <c r="BK55" i="12"/>
  <c r="BK56" i="12"/>
  <c r="BK57" i="12"/>
  <c r="BK58" i="12"/>
  <c r="BK59" i="12"/>
  <c r="BK60" i="12"/>
  <c r="AX55" i="12"/>
  <c r="AX54" i="12"/>
  <c r="AX53" i="12"/>
  <c r="AW54" i="12"/>
  <c r="AW53" i="12"/>
  <c r="AW52" i="12"/>
  <c r="AV53" i="12"/>
  <c r="AV52" i="12"/>
  <c r="AV51" i="12"/>
  <c r="BF57" i="12" l="1"/>
  <c r="BG57" i="12" s="1"/>
  <c r="BF58" i="12"/>
  <c r="BG58" i="12" s="1"/>
  <c r="BF56" i="12"/>
  <c r="BG56" i="12" s="1"/>
  <c r="BE53" i="12"/>
  <c r="BE54" i="12"/>
  <c r="BE55" i="12"/>
  <c r="BC53" i="12"/>
  <c r="BC54" i="12"/>
  <c r="BC55" i="12"/>
  <c r="AK67" i="12"/>
  <c r="AK65" i="12"/>
  <c r="AK66" i="12"/>
  <c r="J52" i="13"/>
  <c r="K52" i="13"/>
  <c r="L52" i="13"/>
  <c r="J53" i="13"/>
  <c r="K53" i="13"/>
  <c r="L53" i="13"/>
  <c r="J43" i="13"/>
  <c r="J44" i="13"/>
  <c r="J45" i="13"/>
  <c r="J46" i="13"/>
  <c r="J47" i="13"/>
  <c r="J48" i="13"/>
  <c r="J49" i="13"/>
  <c r="J50" i="13"/>
  <c r="J51" i="13"/>
  <c r="H44" i="3"/>
  <c r="H45" i="3"/>
  <c r="K37" i="13"/>
  <c r="L37" i="13"/>
  <c r="K38" i="13"/>
  <c r="L38" i="13"/>
  <c r="K39" i="13"/>
  <c r="L39" i="13"/>
  <c r="K40" i="13"/>
  <c r="L40" i="13"/>
  <c r="K41" i="13"/>
  <c r="L41" i="13"/>
  <c r="K42" i="13"/>
  <c r="L42" i="13"/>
  <c r="K43" i="13"/>
  <c r="L43" i="13"/>
  <c r="K44" i="13"/>
  <c r="L44" i="13"/>
  <c r="K45" i="13"/>
  <c r="L45" i="13"/>
  <c r="K46" i="13"/>
  <c r="L46" i="13"/>
  <c r="K47" i="13"/>
  <c r="L47" i="13"/>
  <c r="K48" i="13"/>
  <c r="L48" i="13"/>
  <c r="K49" i="13"/>
  <c r="L49" i="13"/>
  <c r="K50" i="13"/>
  <c r="L50" i="13"/>
  <c r="K51" i="13"/>
  <c r="L51" i="13"/>
  <c r="H43" i="3"/>
  <c r="AO183" i="14"/>
  <c r="AO122" i="14"/>
  <c r="AO58" i="14"/>
  <c r="AN183" i="14"/>
  <c r="AM183" i="14"/>
  <c r="AL183" i="14"/>
  <c r="AK183" i="14"/>
  <c r="AJ183" i="14"/>
  <c r="AI183" i="14"/>
  <c r="AH183" i="14"/>
  <c r="AG183" i="14"/>
  <c r="AF183" i="14"/>
  <c r="AN122" i="14"/>
  <c r="AM122" i="14"/>
  <c r="AL122" i="14"/>
  <c r="AK122" i="14"/>
  <c r="AJ122" i="14"/>
  <c r="AI122" i="14"/>
  <c r="AH122" i="14"/>
  <c r="AG122" i="14"/>
  <c r="AN58" i="14"/>
  <c r="AM58" i="14"/>
  <c r="AL58" i="14"/>
  <c r="AK58" i="14"/>
  <c r="AJ58" i="14"/>
  <c r="AI58" i="14"/>
  <c r="AH58" i="14"/>
  <c r="AG58" i="14"/>
  <c r="BP6" i="8"/>
  <c r="BP8" i="8"/>
  <c r="BP9" i="8"/>
  <c r="BP10" i="8"/>
  <c r="BP11" i="8"/>
  <c r="BP12" i="8"/>
  <c r="BP13" i="8"/>
  <c r="BP14" i="8"/>
  <c r="BP15" i="8"/>
  <c r="BP16" i="8"/>
  <c r="BP17" i="8"/>
  <c r="BP18" i="8"/>
  <c r="BP19" i="8"/>
  <c r="BP20" i="8"/>
  <c r="BP21" i="8"/>
  <c r="BP22" i="8"/>
  <c r="BP23" i="8"/>
  <c r="BP24" i="8"/>
  <c r="BP29" i="8"/>
  <c r="BP31" i="8"/>
  <c r="BP35" i="8"/>
  <c r="BP37" i="8"/>
  <c r="BP38" i="8"/>
  <c r="BP6" i="15"/>
  <c r="BM41" i="15" s="1"/>
  <c r="BP8" i="15"/>
  <c r="BP9" i="15"/>
  <c r="BP10" i="15"/>
  <c r="BP11" i="15"/>
  <c r="BP12" i="15"/>
  <c r="BP13" i="15"/>
  <c r="BP14" i="15"/>
  <c r="BP15" i="15"/>
  <c r="BP16" i="15"/>
  <c r="BP17" i="15"/>
  <c r="BP18" i="15"/>
  <c r="BP19" i="15"/>
  <c r="BP20" i="15"/>
  <c r="BP21" i="15"/>
  <c r="BP22" i="15"/>
  <c r="BP23" i="15"/>
  <c r="BP24" i="15"/>
  <c r="BP29" i="15"/>
  <c r="BP31" i="15"/>
  <c r="BP35" i="15"/>
  <c r="BP37" i="15"/>
  <c r="BP38" i="15"/>
  <c r="BL41" i="15"/>
  <c r="H42" i="3"/>
  <c r="H41" i="3"/>
  <c r="H40" i="3"/>
  <c r="H39" i="3"/>
  <c r="H38" i="3"/>
  <c r="H37" i="3"/>
  <c r="H36" i="3"/>
  <c r="H35" i="3"/>
  <c r="BC52" i="12"/>
  <c r="BC51" i="12"/>
  <c r="BC50" i="12"/>
  <c r="BC49" i="12"/>
  <c r="BC48" i="12"/>
  <c r="BC47" i="12"/>
  <c r="BC46" i="12"/>
  <c r="BC45" i="12"/>
  <c r="BE52" i="12"/>
  <c r="BE51" i="12"/>
  <c r="BE50" i="12"/>
  <c r="BE49" i="12"/>
  <c r="BE48" i="12"/>
  <c r="BE47" i="12"/>
  <c r="BE46" i="12"/>
  <c r="BE45" i="12"/>
  <c r="CG39" i="15"/>
  <c r="CF39" i="15"/>
  <c r="CE39" i="15"/>
  <c r="CG38" i="15"/>
  <c r="CF38" i="15"/>
  <c r="CE38" i="15"/>
  <c r="CG37" i="15"/>
  <c r="CF37" i="15"/>
  <c r="CE37" i="15"/>
  <c r="CG36" i="15"/>
  <c r="CF36" i="15"/>
  <c r="CG35" i="15"/>
  <c r="CF35" i="15"/>
  <c r="CE35" i="15"/>
  <c r="CG34" i="15"/>
  <c r="CF34" i="15"/>
  <c r="CG33" i="15"/>
  <c r="CF33" i="15"/>
  <c r="CG32" i="15"/>
  <c r="CF32" i="15"/>
  <c r="CG31" i="15"/>
  <c r="CF31" i="15"/>
  <c r="CE31" i="15"/>
  <c r="CG30" i="15"/>
  <c r="CF30" i="15"/>
  <c r="CG29" i="15"/>
  <c r="CF29" i="15"/>
  <c r="CE29" i="15"/>
  <c r="CG28" i="15"/>
  <c r="CF28" i="15"/>
  <c r="CG27" i="15"/>
  <c r="CF27" i="15"/>
  <c r="CG26" i="15"/>
  <c r="CF26" i="15"/>
  <c r="CG25" i="15"/>
  <c r="CF25" i="15"/>
  <c r="CG24" i="15"/>
  <c r="CF24" i="15"/>
  <c r="CE24" i="15"/>
  <c r="CG23" i="15"/>
  <c r="CF23" i="15"/>
  <c r="CE23" i="15"/>
  <c r="CG22" i="15"/>
  <c r="CF22" i="15"/>
  <c r="CE22" i="15"/>
  <c r="CG21" i="15"/>
  <c r="CF21" i="15"/>
  <c r="CE21" i="15"/>
  <c r="CG20" i="15"/>
  <c r="CF20" i="15"/>
  <c r="CE20" i="15"/>
  <c r="CG19" i="15"/>
  <c r="CF19" i="15"/>
  <c r="CE19" i="15"/>
  <c r="CG18" i="15"/>
  <c r="CF18" i="15"/>
  <c r="CE18" i="15"/>
  <c r="CG17" i="15"/>
  <c r="CF17" i="15"/>
  <c r="CE17" i="15"/>
  <c r="CG16" i="15"/>
  <c r="CF16" i="15"/>
  <c r="CE16" i="15"/>
  <c r="CG15" i="15"/>
  <c r="CF15" i="15"/>
  <c r="CE15" i="15"/>
  <c r="CG14" i="15"/>
  <c r="CF14" i="15"/>
  <c r="CE14" i="15"/>
  <c r="CG13" i="15"/>
  <c r="CF13" i="15"/>
  <c r="CE13" i="15"/>
  <c r="CG12" i="15"/>
  <c r="CF12" i="15"/>
  <c r="CE12" i="15"/>
  <c r="CG11" i="15"/>
  <c r="CF11" i="15"/>
  <c r="CE11" i="15"/>
  <c r="CG10" i="15"/>
  <c r="CF10" i="15"/>
  <c r="CE10" i="15"/>
  <c r="CG9" i="15"/>
  <c r="CF9" i="15"/>
  <c r="CE9" i="15"/>
  <c r="CG8" i="15"/>
  <c r="CF8" i="15"/>
  <c r="CE8" i="15"/>
  <c r="CG7" i="15"/>
  <c r="CF7" i="15"/>
  <c r="CE7" i="15"/>
  <c r="CG6" i="15"/>
  <c r="CF6" i="15"/>
  <c r="CE6" i="15"/>
  <c r="N45" i="11"/>
  <c r="C6" i="13" s="1"/>
  <c r="J11" i="13"/>
  <c r="K11" i="13"/>
  <c r="L11" i="13"/>
  <c r="J12" i="13"/>
  <c r="K12" i="13"/>
  <c r="L12" i="13"/>
  <c r="J13" i="13"/>
  <c r="K13" i="13"/>
  <c r="L13" i="13"/>
  <c r="J14" i="13"/>
  <c r="K14" i="13"/>
  <c r="L14" i="13"/>
  <c r="J15" i="13"/>
  <c r="K15" i="13"/>
  <c r="L15" i="13"/>
  <c r="J16" i="13"/>
  <c r="K16" i="13"/>
  <c r="L16" i="13"/>
  <c r="J17" i="13"/>
  <c r="K17" i="13"/>
  <c r="L17" i="13"/>
  <c r="J18" i="13"/>
  <c r="K18" i="13"/>
  <c r="L18" i="13"/>
  <c r="J19" i="13"/>
  <c r="K19" i="13"/>
  <c r="L19" i="13"/>
  <c r="J20" i="13"/>
  <c r="K20" i="13"/>
  <c r="L20" i="13"/>
  <c r="J21" i="13"/>
  <c r="K21" i="13"/>
  <c r="L21" i="13"/>
  <c r="J22" i="13"/>
  <c r="K22" i="13"/>
  <c r="L22" i="13"/>
  <c r="J23" i="13"/>
  <c r="K23" i="13"/>
  <c r="L23" i="13"/>
  <c r="J24" i="13"/>
  <c r="K24" i="13"/>
  <c r="L24" i="13"/>
  <c r="J25" i="13"/>
  <c r="K25" i="13"/>
  <c r="L25" i="13"/>
  <c r="J26" i="13"/>
  <c r="K26" i="13"/>
  <c r="L26" i="13"/>
  <c r="J27" i="13"/>
  <c r="K27" i="13"/>
  <c r="L27" i="13"/>
  <c r="J28" i="13"/>
  <c r="K28" i="13"/>
  <c r="L28" i="13"/>
  <c r="J29" i="13"/>
  <c r="K29" i="13"/>
  <c r="L29" i="13"/>
  <c r="J30" i="13"/>
  <c r="K30" i="13"/>
  <c r="L30" i="13"/>
  <c r="J31" i="13"/>
  <c r="K31" i="13"/>
  <c r="L31" i="13"/>
  <c r="J32" i="13"/>
  <c r="K32" i="13"/>
  <c r="L32" i="13"/>
  <c r="J33" i="13"/>
  <c r="K33" i="13"/>
  <c r="L33" i="13"/>
  <c r="J34" i="13"/>
  <c r="K34" i="13"/>
  <c r="L34" i="13"/>
  <c r="J35" i="13"/>
  <c r="K35" i="13"/>
  <c r="L35" i="13"/>
  <c r="J36" i="13"/>
  <c r="K36" i="13"/>
  <c r="L36" i="13"/>
  <c r="J37" i="13"/>
  <c r="J38" i="13"/>
  <c r="J39" i="13"/>
  <c r="J40" i="13"/>
  <c r="J41" i="13"/>
  <c r="J42" i="13"/>
  <c r="B6" i="15"/>
  <c r="C6" i="15"/>
  <c r="D6" i="15"/>
  <c r="E6" i="15"/>
  <c r="F6" i="15"/>
  <c r="G6" i="15"/>
  <c r="H6" i="15"/>
  <c r="I6" i="15"/>
  <c r="J6" i="15"/>
  <c r="K6" i="15"/>
  <c r="W6" i="15"/>
  <c r="X6" i="15"/>
  <c r="Y6" i="15"/>
  <c r="Z6" i="15"/>
  <c r="AA6" i="15"/>
  <c r="AB6" i="15"/>
  <c r="BJ6" i="15"/>
  <c r="A7" i="15"/>
  <c r="A8" i="15"/>
  <c r="A9" i="15" s="1"/>
  <c r="A10" i="15" s="1"/>
  <c r="A11" i="15" s="1"/>
  <c r="A12" i="15" s="1"/>
  <c r="B7" i="15"/>
  <c r="C7" i="15"/>
  <c r="D7" i="15"/>
  <c r="E7" i="15"/>
  <c r="F7" i="15"/>
  <c r="B8" i="15"/>
  <c r="C8" i="15"/>
  <c r="D8" i="15"/>
  <c r="E8" i="15"/>
  <c r="F8" i="15"/>
  <c r="Q8" i="15"/>
  <c r="R8" i="15"/>
  <c r="S8" i="15"/>
  <c r="T8" i="15"/>
  <c r="U8" i="15"/>
  <c r="V8" i="15"/>
  <c r="BD8" i="15"/>
  <c r="A13" i="15"/>
  <c r="A14" i="15" s="1"/>
  <c r="A15" i="15" s="1"/>
  <c r="A16" i="15" s="1"/>
  <c r="A17" i="15" s="1"/>
  <c r="B9" i="15"/>
  <c r="C9" i="15"/>
  <c r="D9" i="15"/>
  <c r="E9" i="15"/>
  <c r="F9" i="15"/>
  <c r="G9" i="15"/>
  <c r="H9" i="15"/>
  <c r="I9" i="15"/>
  <c r="J9" i="15"/>
  <c r="K9" i="15"/>
  <c r="L9" i="15"/>
  <c r="M9" i="15"/>
  <c r="N9" i="15"/>
  <c r="O9" i="15"/>
  <c r="P9" i="15"/>
  <c r="Q9" i="15"/>
  <c r="R9" i="15"/>
  <c r="S9" i="15"/>
  <c r="T9" i="15"/>
  <c r="U9" i="15"/>
  <c r="V9" i="15"/>
  <c r="BD9" i="15"/>
  <c r="B10" i="15"/>
  <c r="C10" i="15"/>
  <c r="D10" i="15"/>
  <c r="E10" i="15"/>
  <c r="F10" i="15"/>
  <c r="G10" i="15"/>
  <c r="H10" i="15"/>
  <c r="I10" i="15"/>
  <c r="J10" i="15"/>
  <c r="K10" i="15"/>
  <c r="Q10" i="15"/>
  <c r="R10" i="15"/>
  <c r="S10" i="15"/>
  <c r="T10" i="15"/>
  <c r="U10" i="15"/>
  <c r="V10" i="15"/>
  <c r="BD10" i="15"/>
  <c r="B11" i="15"/>
  <c r="C11" i="15"/>
  <c r="D11" i="15"/>
  <c r="E11" i="15"/>
  <c r="F11" i="15"/>
  <c r="G11" i="15"/>
  <c r="H11" i="15"/>
  <c r="I11" i="15"/>
  <c r="J11" i="15"/>
  <c r="K11" i="15"/>
  <c r="Q11" i="15"/>
  <c r="R11" i="15"/>
  <c r="S11" i="15"/>
  <c r="T11" i="15"/>
  <c r="U11" i="15"/>
  <c r="V11" i="15"/>
  <c r="BD11" i="15"/>
  <c r="Q12" i="15"/>
  <c r="R12" i="15"/>
  <c r="S12" i="15"/>
  <c r="T12" i="15"/>
  <c r="U12" i="15"/>
  <c r="V12" i="15"/>
  <c r="BD12" i="15"/>
  <c r="B13" i="15"/>
  <c r="C13" i="15"/>
  <c r="D13" i="15"/>
  <c r="E13" i="15"/>
  <c r="F13" i="15"/>
  <c r="Q13" i="15"/>
  <c r="R13" i="15"/>
  <c r="S13" i="15"/>
  <c r="T13" i="15"/>
  <c r="U13" i="15"/>
  <c r="V13" i="15"/>
  <c r="BD13" i="15"/>
  <c r="A18" i="15"/>
  <c r="A19" i="15" s="1"/>
  <c r="A20" i="15" s="1"/>
  <c r="A21" i="15" s="1"/>
  <c r="A22" i="15" s="1"/>
  <c r="A23" i="15" s="1"/>
  <c r="A24" i="15" s="1"/>
  <c r="A25" i="15" s="1"/>
  <c r="A26" i="15" s="1"/>
  <c r="B14" i="15"/>
  <c r="C14" i="15"/>
  <c r="D14" i="15"/>
  <c r="E14" i="15"/>
  <c r="F14" i="15"/>
  <c r="Q14" i="15"/>
  <c r="R14" i="15"/>
  <c r="S14" i="15"/>
  <c r="T14" i="15"/>
  <c r="U14" i="15"/>
  <c r="V14" i="15"/>
  <c r="BD14" i="15"/>
  <c r="B15" i="15"/>
  <c r="C15" i="15"/>
  <c r="D15" i="15"/>
  <c r="E15" i="15"/>
  <c r="F15" i="15"/>
  <c r="Q15" i="15"/>
  <c r="R15" i="15"/>
  <c r="S15" i="15"/>
  <c r="T15" i="15"/>
  <c r="U15" i="15"/>
  <c r="V15" i="15"/>
  <c r="BD15" i="15"/>
  <c r="B16" i="15"/>
  <c r="C16" i="15"/>
  <c r="D16" i="15"/>
  <c r="E16" i="15"/>
  <c r="F16" i="15"/>
  <c r="Q16" i="15"/>
  <c r="R16" i="15"/>
  <c r="S16" i="15"/>
  <c r="T16" i="15"/>
  <c r="U16" i="15"/>
  <c r="V16" i="15"/>
  <c r="BD16" i="15"/>
  <c r="B17" i="15"/>
  <c r="C17" i="15"/>
  <c r="D17" i="15"/>
  <c r="E17" i="15"/>
  <c r="F17" i="15"/>
  <c r="G17" i="15"/>
  <c r="H17" i="15"/>
  <c r="I17" i="15"/>
  <c r="J17" i="15"/>
  <c r="K17" i="15"/>
  <c r="Q17" i="15"/>
  <c r="R17" i="15"/>
  <c r="S17" i="15"/>
  <c r="T17" i="15"/>
  <c r="U17" i="15"/>
  <c r="V17" i="15"/>
  <c r="BD17" i="15"/>
  <c r="B18" i="15"/>
  <c r="C18" i="15"/>
  <c r="D18" i="15"/>
  <c r="E18" i="15"/>
  <c r="F18" i="15"/>
  <c r="Q18" i="15"/>
  <c r="R18" i="15"/>
  <c r="S18" i="15"/>
  <c r="T18" i="15"/>
  <c r="U18" i="15"/>
  <c r="V18" i="15"/>
  <c r="BD18" i="15"/>
  <c r="B19" i="15"/>
  <c r="C19" i="15"/>
  <c r="D19" i="15"/>
  <c r="E19" i="15"/>
  <c r="F19" i="15"/>
  <c r="Q19" i="15"/>
  <c r="R19" i="15"/>
  <c r="S19" i="15"/>
  <c r="T19" i="15"/>
  <c r="U19" i="15"/>
  <c r="V19" i="15"/>
  <c r="BD19" i="15"/>
  <c r="B20" i="15"/>
  <c r="C20" i="15"/>
  <c r="D20" i="15"/>
  <c r="E20" i="15"/>
  <c r="F20" i="15"/>
  <c r="Q20" i="15"/>
  <c r="R20" i="15"/>
  <c r="S20" i="15"/>
  <c r="T20" i="15"/>
  <c r="U20" i="15"/>
  <c r="V20" i="15"/>
  <c r="BD20" i="15"/>
  <c r="A27" i="15"/>
  <c r="A28" i="15" s="1"/>
  <c r="A29" i="15" s="1"/>
  <c r="A30" i="15" s="1"/>
  <c r="A31" i="15" s="1"/>
  <c r="A32" i="15" s="1"/>
  <c r="A33" i="15" s="1"/>
  <c r="A34" i="15" s="1"/>
  <c r="A35" i="15" s="1"/>
  <c r="A36" i="15" s="1"/>
  <c r="A37" i="15" s="1"/>
  <c r="A38" i="15" s="1"/>
  <c r="B21" i="15"/>
  <c r="C21" i="15"/>
  <c r="D21" i="15"/>
  <c r="E21" i="15"/>
  <c r="F21" i="15"/>
  <c r="G21" i="15"/>
  <c r="H21" i="15"/>
  <c r="I21" i="15"/>
  <c r="J21" i="15"/>
  <c r="K21" i="15"/>
  <c r="Q21" i="15"/>
  <c r="R21" i="15"/>
  <c r="S21" i="15"/>
  <c r="T21" i="15"/>
  <c r="U21" i="15"/>
  <c r="V21" i="15"/>
  <c r="BD21" i="15"/>
  <c r="B22" i="15"/>
  <c r="C22" i="15"/>
  <c r="D22" i="15"/>
  <c r="E22" i="15"/>
  <c r="F22" i="15"/>
  <c r="Q22" i="15"/>
  <c r="R22" i="15"/>
  <c r="S22" i="15"/>
  <c r="T22" i="15"/>
  <c r="U22" i="15"/>
  <c r="V22" i="15"/>
  <c r="BD22" i="15"/>
  <c r="B23" i="15"/>
  <c r="C23" i="15"/>
  <c r="D23" i="15"/>
  <c r="E23" i="15"/>
  <c r="F23" i="15"/>
  <c r="Q23" i="15"/>
  <c r="R23" i="15"/>
  <c r="S23" i="15"/>
  <c r="T23" i="15"/>
  <c r="U23" i="15"/>
  <c r="V23" i="15"/>
  <c r="BD23" i="15"/>
  <c r="Q24" i="15"/>
  <c r="R24" i="15"/>
  <c r="S24" i="15"/>
  <c r="T24" i="15"/>
  <c r="U24" i="15"/>
  <c r="V24" i="15"/>
  <c r="BD24" i="15"/>
  <c r="B25" i="15"/>
  <c r="C25" i="15"/>
  <c r="D25" i="15"/>
  <c r="E25" i="15"/>
  <c r="F25" i="15"/>
  <c r="Q25" i="15"/>
  <c r="R25" i="15"/>
  <c r="S25" i="15"/>
  <c r="T25" i="15"/>
  <c r="U25" i="15"/>
  <c r="V25" i="15"/>
  <c r="BD25" i="15"/>
  <c r="B28" i="15"/>
  <c r="C28" i="15"/>
  <c r="D28" i="15"/>
  <c r="E28" i="15"/>
  <c r="F28" i="15"/>
  <c r="Q29" i="15"/>
  <c r="R29" i="15"/>
  <c r="S29" i="15"/>
  <c r="T29" i="15"/>
  <c r="U29" i="15"/>
  <c r="V29" i="15"/>
  <c r="W29" i="15"/>
  <c r="X29" i="15"/>
  <c r="Y29" i="15"/>
  <c r="Z29" i="15"/>
  <c r="AA29" i="15"/>
  <c r="AB29" i="15"/>
  <c r="BD29" i="15"/>
  <c r="BJ29" i="15"/>
  <c r="B30" i="15"/>
  <c r="C30" i="15"/>
  <c r="D30" i="15"/>
  <c r="E30" i="15"/>
  <c r="F30" i="15"/>
  <c r="Q30" i="15"/>
  <c r="R30" i="15"/>
  <c r="S30" i="15"/>
  <c r="T30" i="15"/>
  <c r="U30" i="15"/>
  <c r="V30" i="15"/>
  <c r="BD30" i="15"/>
  <c r="Q31" i="15"/>
  <c r="R31" i="15"/>
  <c r="S31" i="15"/>
  <c r="T31" i="15"/>
  <c r="U31" i="15"/>
  <c r="V31" i="15"/>
  <c r="BD31" i="15"/>
  <c r="B32" i="15"/>
  <c r="C32" i="15"/>
  <c r="D32" i="15"/>
  <c r="E32" i="15"/>
  <c r="F32" i="15"/>
  <c r="Q35" i="15"/>
  <c r="R35" i="15"/>
  <c r="S35" i="15"/>
  <c r="T35" i="15"/>
  <c r="U35" i="15"/>
  <c r="V35" i="15"/>
  <c r="BD35" i="15"/>
  <c r="Q37" i="15"/>
  <c r="R37" i="15"/>
  <c r="S37" i="15"/>
  <c r="T37" i="15"/>
  <c r="U37" i="15"/>
  <c r="V37" i="15"/>
  <c r="BD37" i="15"/>
  <c r="Q38" i="15"/>
  <c r="R38" i="15"/>
  <c r="S38" i="15"/>
  <c r="T38" i="15"/>
  <c r="U38" i="15"/>
  <c r="V38" i="15"/>
  <c r="BD38" i="15"/>
  <c r="D4" i="14"/>
  <c r="E4" i="14" s="1"/>
  <c r="F4" i="14" s="1"/>
  <c r="G4" i="14" s="1"/>
  <c r="H4" i="14" s="1"/>
  <c r="I4" i="14" s="1"/>
  <c r="J4" i="14"/>
  <c r="K4" i="14" s="1"/>
  <c r="L4" i="14" s="1"/>
  <c r="M4" i="14" s="1"/>
  <c r="N4" i="14" s="1"/>
  <c r="O4" i="14" s="1"/>
  <c r="P4" i="14" s="1"/>
  <c r="Q4" i="14" s="1"/>
  <c r="R4" i="14" s="1"/>
  <c r="S4" i="14" s="1"/>
  <c r="T4" i="14" s="1"/>
  <c r="U4" i="14" s="1"/>
  <c r="V4" i="14" s="1"/>
  <c r="W4" i="14" s="1"/>
  <c r="X4" i="14" s="1"/>
  <c r="Y4" i="14" s="1"/>
  <c r="Z4" i="14" s="1"/>
  <c r="AA4" i="14" s="1"/>
  <c r="AB4" i="14" s="1"/>
  <c r="AC4" i="14" s="1"/>
  <c r="AD4" i="14" s="1"/>
  <c r="AE4" i="14" s="1"/>
  <c r="AF4" i="14" s="1"/>
  <c r="W28" i="14"/>
  <c r="W33" i="14"/>
  <c r="C58" i="14"/>
  <c r="D58" i="14"/>
  <c r="E58" i="14"/>
  <c r="F58" i="14"/>
  <c r="G58" i="14"/>
  <c r="H58" i="14"/>
  <c r="I58" i="14"/>
  <c r="J58" i="14"/>
  <c r="K58" i="14"/>
  <c r="L58" i="14"/>
  <c r="M58" i="14"/>
  <c r="N58" i="14"/>
  <c r="O58" i="14"/>
  <c r="P58" i="14"/>
  <c r="Q58" i="14"/>
  <c r="R58" i="14"/>
  <c r="S58" i="14"/>
  <c r="T58" i="14"/>
  <c r="U58" i="14"/>
  <c r="V58" i="14"/>
  <c r="X58" i="14"/>
  <c r="Y58" i="14"/>
  <c r="Z58" i="14"/>
  <c r="AA58" i="14"/>
  <c r="AB58" i="14"/>
  <c r="AC58" i="14"/>
  <c r="AD58" i="14"/>
  <c r="AE58" i="14"/>
  <c r="AF58" i="14"/>
  <c r="D68" i="14"/>
  <c r="E68" i="14"/>
  <c r="F68" i="14" s="1"/>
  <c r="G68" i="14"/>
  <c r="H68" i="14" s="1"/>
  <c r="I68" i="14" s="1"/>
  <c r="J68" i="14" s="1"/>
  <c r="K68" i="14" s="1"/>
  <c r="L68" i="14" s="1"/>
  <c r="M68" i="14"/>
  <c r="N68" i="14" s="1"/>
  <c r="O68" i="14" s="1"/>
  <c r="P68" i="14" s="1"/>
  <c r="Q68" i="14" s="1"/>
  <c r="R68" i="14" s="1"/>
  <c r="S68" i="14" s="1"/>
  <c r="T68" i="14" s="1"/>
  <c r="U68" i="14" s="1"/>
  <c r="V68" i="14" s="1"/>
  <c r="W68" i="14"/>
  <c r="X68" i="14" s="1"/>
  <c r="Y68" i="14" s="1"/>
  <c r="Z68" i="14" s="1"/>
  <c r="AA68" i="14" s="1"/>
  <c r="AB68" i="14" s="1"/>
  <c r="AC68" i="14" s="1"/>
  <c r="AD68" i="14" s="1"/>
  <c r="AE68" i="14" s="1"/>
  <c r="AF68" i="14" s="1"/>
  <c r="C122"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D129" i="14"/>
  <c r="E129" i="14" s="1"/>
  <c r="F129" i="14" s="1"/>
  <c r="G129" i="14" s="1"/>
  <c r="H129" i="14" s="1"/>
  <c r="I129" i="14" s="1"/>
  <c r="J129" i="14" s="1"/>
  <c r="K129" i="14" s="1"/>
  <c r="L129" i="14" s="1"/>
  <c r="M129" i="14" s="1"/>
  <c r="N129" i="14" s="1"/>
  <c r="O129" i="14" s="1"/>
  <c r="P129" i="14" s="1"/>
  <c r="Q129" i="14" s="1"/>
  <c r="R129" i="14" s="1"/>
  <c r="S129" i="14" s="1"/>
  <c r="T129" i="14" s="1"/>
  <c r="U129" i="14" s="1"/>
  <c r="V129" i="14" s="1"/>
  <c r="W129" i="14" s="1"/>
  <c r="X129" i="14" s="1"/>
  <c r="Y129" i="14" s="1"/>
  <c r="Z129" i="14" s="1"/>
  <c r="AA129" i="14" s="1"/>
  <c r="AB129" i="14" s="1"/>
  <c r="AC129" i="14" s="1"/>
  <c r="AD129" i="14" s="1"/>
  <c r="AE129" i="14" s="1"/>
  <c r="AF129" i="14" s="1"/>
  <c r="C183" i="14"/>
  <c r="D183" i="14"/>
  <c r="E183" i="14"/>
  <c r="F183" i="14"/>
  <c r="G183" i="14"/>
  <c r="H183" i="14"/>
  <c r="I183" i="14"/>
  <c r="J183" i="14"/>
  <c r="K183" i="14"/>
  <c r="L183" i="14"/>
  <c r="M183" i="14"/>
  <c r="N183" i="14"/>
  <c r="O183" i="14"/>
  <c r="P183" i="14"/>
  <c r="Q183" i="14"/>
  <c r="R183" i="14"/>
  <c r="S183" i="14"/>
  <c r="T183" i="14"/>
  <c r="U183" i="14"/>
  <c r="V183" i="14"/>
  <c r="W183" i="14"/>
  <c r="X183" i="14"/>
  <c r="Y183" i="14"/>
  <c r="Z183" i="14"/>
  <c r="AA183" i="14"/>
  <c r="AB183" i="14"/>
  <c r="AC183" i="14"/>
  <c r="AD183" i="14"/>
  <c r="AE183" i="14"/>
  <c r="Z29" i="8"/>
  <c r="AA67" i="12"/>
  <c r="T19" i="8"/>
  <c r="Q67" i="12"/>
  <c r="T18" i="8"/>
  <c r="P67" i="12" s="1"/>
  <c r="T17" i="8"/>
  <c r="O67" i="12" s="1"/>
  <c r="T13" i="8"/>
  <c r="K67" i="12"/>
  <c r="T10" i="8"/>
  <c r="H67" i="12"/>
  <c r="Y29" i="8"/>
  <c r="AA66" i="12" s="1"/>
  <c r="S19" i="8"/>
  <c r="Q66" i="12" s="1"/>
  <c r="S18" i="8"/>
  <c r="P66" i="12" s="1"/>
  <c r="S17" i="8"/>
  <c r="O66" i="12"/>
  <c r="S13" i="8"/>
  <c r="K66" i="12" s="1"/>
  <c r="S10" i="8"/>
  <c r="H66" i="12" s="1"/>
  <c r="X29" i="8"/>
  <c r="AA65" i="12" s="1"/>
  <c r="R19" i="8"/>
  <c r="Q65" i="12"/>
  <c r="R18" i="8"/>
  <c r="P65" i="12" s="1"/>
  <c r="R17" i="8"/>
  <c r="O65" i="12" s="1"/>
  <c r="R13" i="8"/>
  <c r="K65" i="12" s="1"/>
  <c r="R10" i="8"/>
  <c r="H65" i="12"/>
  <c r="BA8" i="12"/>
  <c r="BA9" i="12" s="1"/>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s="1"/>
  <c r="BA30" i="12" s="1"/>
  <c r="BA31" i="12" s="1"/>
  <c r="BA32" i="12" s="1"/>
  <c r="BA33" i="12" s="1"/>
  <c r="BA34" i="12" s="1"/>
  <c r="BA35" i="12" s="1"/>
  <c r="BA36" i="12" s="1"/>
  <c r="BA37" i="12" s="1"/>
  <c r="BA38" i="12" s="1"/>
  <c r="BA39" i="12" s="1"/>
  <c r="BA40" i="12" s="1"/>
  <c r="BA41" i="12" s="1"/>
  <c r="BA42" i="12" s="1"/>
  <c r="BA43" i="12" s="1"/>
  <c r="BA44" i="12" s="1"/>
  <c r="I35" i="4"/>
  <c r="T35" i="4"/>
  <c r="F35" i="4" s="1"/>
  <c r="F42" i="13" s="1"/>
  <c r="D35" i="4"/>
  <c r="E35" i="4"/>
  <c r="G35" i="4"/>
  <c r="X35" i="4"/>
  <c r="T5" i="4"/>
  <c r="D5" i="4"/>
  <c r="X5" i="4"/>
  <c r="I5" i="4" s="1"/>
  <c r="C12" i="13" s="1"/>
  <c r="T6" i="4"/>
  <c r="X6" i="4"/>
  <c r="I6" i="4"/>
  <c r="T7" i="4"/>
  <c r="X7" i="4"/>
  <c r="I7" i="4" s="1"/>
  <c r="T8" i="4"/>
  <c r="D8" i="4"/>
  <c r="X8" i="4"/>
  <c r="I8" i="4"/>
  <c r="F8" i="4"/>
  <c r="F15" i="13" s="1"/>
  <c r="T9" i="4"/>
  <c r="D9" i="4" s="1"/>
  <c r="X9" i="4"/>
  <c r="I9" i="4"/>
  <c r="T10" i="4"/>
  <c r="D10" i="4"/>
  <c r="X10" i="4"/>
  <c r="I10" i="4" s="1"/>
  <c r="F10" i="4"/>
  <c r="F17" i="13" s="1"/>
  <c r="T11" i="4"/>
  <c r="D11" i="4"/>
  <c r="X11" i="4"/>
  <c r="I11" i="4"/>
  <c r="T12" i="4"/>
  <c r="X12" i="4"/>
  <c r="T13" i="4"/>
  <c r="F13" i="4" s="1"/>
  <c r="D13" i="4"/>
  <c r="X13" i="4"/>
  <c r="I13" i="4"/>
  <c r="E13" i="4"/>
  <c r="J13" i="4"/>
  <c r="T14" i="4"/>
  <c r="D14" i="4"/>
  <c r="X14" i="4"/>
  <c r="F14" i="4"/>
  <c r="F21" i="13" s="1"/>
  <c r="T15" i="4"/>
  <c r="F15" i="4" s="1"/>
  <c r="F22" i="13" s="1"/>
  <c r="D15" i="4"/>
  <c r="X15" i="4"/>
  <c r="E15" i="4"/>
  <c r="T16" i="4"/>
  <c r="D16" i="4" s="1"/>
  <c r="X16" i="4"/>
  <c r="E16" i="4"/>
  <c r="F16" i="4"/>
  <c r="F23" i="13" s="1"/>
  <c r="T17" i="4"/>
  <c r="F17" i="4" s="1"/>
  <c r="F24" i="13" s="1"/>
  <c r="X17" i="4"/>
  <c r="I17" i="4" s="1"/>
  <c r="J17" i="4"/>
  <c r="T18" i="4"/>
  <c r="X18" i="4"/>
  <c r="J18" i="4" s="1"/>
  <c r="T19" i="4"/>
  <c r="D19" i="4" s="1"/>
  <c r="F19" i="4"/>
  <c r="X19" i="4"/>
  <c r="T20" i="4"/>
  <c r="D20" i="4"/>
  <c r="X20" i="4"/>
  <c r="I20" i="4" s="1"/>
  <c r="E20" i="4"/>
  <c r="F20" i="4"/>
  <c r="F27" i="13" s="1"/>
  <c r="T21" i="4"/>
  <c r="E21" i="4" s="1"/>
  <c r="X21" i="4"/>
  <c r="I21" i="4"/>
  <c r="J21" i="4"/>
  <c r="F21" i="4"/>
  <c r="F28" i="13" s="1"/>
  <c r="T22" i="4"/>
  <c r="E22" i="4" s="1"/>
  <c r="X22" i="4"/>
  <c r="J22" i="4"/>
  <c r="T23" i="4"/>
  <c r="X23" i="4"/>
  <c r="I23" i="4" s="1"/>
  <c r="J23" i="4"/>
  <c r="T24" i="4"/>
  <c r="F24" i="4" s="1"/>
  <c r="F31" i="13" s="1"/>
  <c r="D24" i="4"/>
  <c r="M24" i="4" s="1"/>
  <c r="X24" i="4"/>
  <c r="I24" i="4" s="1"/>
  <c r="E24" i="4"/>
  <c r="T25" i="4"/>
  <c r="X25" i="4"/>
  <c r="T26" i="4"/>
  <c r="X26" i="4"/>
  <c r="J26" i="4" s="1"/>
  <c r="T27" i="4"/>
  <c r="F27" i="4" s="1"/>
  <c r="D27" i="4"/>
  <c r="X27" i="4"/>
  <c r="E27" i="4"/>
  <c r="T28" i="4"/>
  <c r="F28" i="4" s="1"/>
  <c r="F35" i="13" s="1"/>
  <c r="X28" i="4"/>
  <c r="I28" i="4"/>
  <c r="E28" i="4"/>
  <c r="T29" i="4"/>
  <c r="F29" i="4" s="1"/>
  <c r="F36" i="13" s="1"/>
  <c r="X29" i="4"/>
  <c r="I29" i="4" s="1"/>
  <c r="J29" i="4"/>
  <c r="T30" i="4"/>
  <c r="D30" i="4" s="1"/>
  <c r="X30" i="4"/>
  <c r="J30" i="4" s="1"/>
  <c r="T31" i="4"/>
  <c r="D31" i="4"/>
  <c r="X31" i="4"/>
  <c r="I31" i="4" s="1"/>
  <c r="T32" i="4"/>
  <c r="E32" i="4" s="1"/>
  <c r="F32" i="4"/>
  <c r="F39" i="13" s="1"/>
  <c r="X32" i="4"/>
  <c r="T33" i="4"/>
  <c r="E33" i="4" s="1"/>
  <c r="X33" i="4"/>
  <c r="J33" i="4"/>
  <c r="T34" i="4"/>
  <c r="I34" i="4"/>
  <c r="T4" i="4"/>
  <c r="F4" i="4"/>
  <c r="F11" i="13" s="1"/>
  <c r="X4" i="4"/>
  <c r="I4" i="4" s="1"/>
  <c r="N46" i="11"/>
  <c r="C7" i="13" s="1"/>
  <c r="A11" i="13"/>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Y6" i="8"/>
  <c r="D66" i="12" s="1"/>
  <c r="BJ29" i="8"/>
  <c r="BJ6" i="8"/>
  <c r="BD35" i="8"/>
  <c r="BD37" i="8"/>
  <c r="BD38" i="8"/>
  <c r="BD30" i="8"/>
  <c r="BD31" i="8"/>
  <c r="BD29" i="8"/>
  <c r="BD9" i="8"/>
  <c r="BD10" i="8"/>
  <c r="BD11" i="8"/>
  <c r="BD12" i="8"/>
  <c r="BD13" i="8"/>
  <c r="BD14" i="8"/>
  <c r="BD15" i="8"/>
  <c r="BD16" i="8"/>
  <c r="BD17" i="8"/>
  <c r="BD18" i="8"/>
  <c r="BD19" i="8"/>
  <c r="BD20" i="8"/>
  <c r="BD21" i="8"/>
  <c r="BD22" i="8"/>
  <c r="BD23" i="8"/>
  <c r="BD24" i="8"/>
  <c r="BD25" i="8"/>
  <c r="BD8" i="8"/>
  <c r="V9" i="8"/>
  <c r="W29" i="8"/>
  <c r="AA29" i="8"/>
  <c r="AB6" i="8"/>
  <c r="AA6" i="8"/>
  <c r="Z6" i="8"/>
  <c r="D67" i="12" s="1"/>
  <c r="X6" i="8"/>
  <c r="D65" i="12" s="1"/>
  <c r="W6" i="8"/>
  <c r="AB29" i="8"/>
  <c r="V10" i="8"/>
  <c r="V11" i="8"/>
  <c r="V12" i="8"/>
  <c r="V13" i="8"/>
  <c r="V14" i="8"/>
  <c r="V15" i="8"/>
  <c r="V16" i="8"/>
  <c r="V17" i="8"/>
  <c r="V18" i="8"/>
  <c r="V19" i="8"/>
  <c r="V20" i="8"/>
  <c r="V21" i="8"/>
  <c r="V22" i="8"/>
  <c r="V23" i="8"/>
  <c r="V24" i="8"/>
  <c r="V25" i="8"/>
  <c r="V29" i="8"/>
  <c r="V30" i="8"/>
  <c r="V31" i="8"/>
  <c r="V35" i="8"/>
  <c r="V37" i="8"/>
  <c r="V38" i="8"/>
  <c r="V8" i="8"/>
  <c r="P9" i="8"/>
  <c r="K17" i="8"/>
  <c r="K9" i="8"/>
  <c r="K10" i="8"/>
  <c r="K11" i="8"/>
  <c r="K21" i="8"/>
  <c r="K6" i="8"/>
  <c r="F7" i="8"/>
  <c r="F8" i="8"/>
  <c r="F9" i="8"/>
  <c r="F10" i="8"/>
  <c r="F11" i="8"/>
  <c r="F13" i="8"/>
  <c r="F14" i="8"/>
  <c r="F15" i="8"/>
  <c r="F16" i="8"/>
  <c r="F17" i="8"/>
  <c r="F18" i="8"/>
  <c r="F19" i="8"/>
  <c r="F20" i="8"/>
  <c r="F21" i="8"/>
  <c r="F22" i="8"/>
  <c r="F23" i="8"/>
  <c r="F25" i="8"/>
  <c r="F28" i="8"/>
  <c r="F30" i="8"/>
  <c r="F32" i="8"/>
  <c r="F6" i="8"/>
  <c r="Q8" i="8"/>
  <c r="R8" i="8"/>
  <c r="F65" i="12" s="1"/>
  <c r="S8" i="8"/>
  <c r="F66" i="12"/>
  <c r="T8" i="8"/>
  <c r="F67" i="12"/>
  <c r="U8" i="8"/>
  <c r="Q10" i="8"/>
  <c r="U10" i="8"/>
  <c r="Q11" i="8"/>
  <c r="R11" i="8"/>
  <c r="I65" i="12"/>
  <c r="S11" i="8"/>
  <c r="I66" i="12"/>
  <c r="T11" i="8"/>
  <c r="I67" i="12" s="1"/>
  <c r="U11" i="8"/>
  <c r="Q12" i="8"/>
  <c r="R12" i="8"/>
  <c r="J65" i="12" s="1"/>
  <c r="S12" i="8"/>
  <c r="J66" i="12"/>
  <c r="T12" i="8"/>
  <c r="J67" i="12" s="1"/>
  <c r="U12" i="8"/>
  <c r="Q13" i="8"/>
  <c r="U13" i="8"/>
  <c r="Q14" i="8"/>
  <c r="R14" i="8"/>
  <c r="L65" i="12"/>
  <c r="S14" i="8"/>
  <c r="L66" i="12" s="1"/>
  <c r="T14" i="8"/>
  <c r="L67" i="12" s="1"/>
  <c r="U14" i="8"/>
  <c r="Q15" i="8"/>
  <c r="R15" i="8"/>
  <c r="M65" i="12"/>
  <c r="S15" i="8"/>
  <c r="M66" i="12" s="1"/>
  <c r="T15" i="8"/>
  <c r="M67" i="12" s="1"/>
  <c r="U15" i="8"/>
  <c r="Q16" i="8"/>
  <c r="R16" i="8"/>
  <c r="N65" i="12"/>
  <c r="S16" i="8"/>
  <c r="N66" i="12" s="1"/>
  <c r="T16" i="8"/>
  <c r="N67" i="12" s="1"/>
  <c r="U16" i="8"/>
  <c r="Q17" i="8"/>
  <c r="U17" i="8"/>
  <c r="Q18" i="8"/>
  <c r="U18" i="8"/>
  <c r="Q19" i="8"/>
  <c r="U19" i="8"/>
  <c r="Q20" i="8"/>
  <c r="R20" i="8"/>
  <c r="R65" i="12"/>
  <c r="S20" i="8"/>
  <c r="R66" i="12"/>
  <c r="T20" i="8"/>
  <c r="R67" i="12" s="1"/>
  <c r="U20" i="8"/>
  <c r="Q21" i="8"/>
  <c r="R21" i="8"/>
  <c r="S65" i="12" s="1"/>
  <c r="S21" i="8"/>
  <c r="S66" i="12"/>
  <c r="T21" i="8"/>
  <c r="S67" i="12" s="1"/>
  <c r="U21" i="8"/>
  <c r="Q22" i="8"/>
  <c r="R22" i="8"/>
  <c r="T65" i="12" s="1"/>
  <c r="S22" i="8"/>
  <c r="T66" i="12"/>
  <c r="T22" i="8"/>
  <c r="T67" i="12" s="1"/>
  <c r="U22" i="8"/>
  <c r="Q23" i="8"/>
  <c r="R23" i="8"/>
  <c r="U65" i="12"/>
  <c r="S23" i="8"/>
  <c r="U66" i="12"/>
  <c r="T23" i="8"/>
  <c r="U67" i="12" s="1"/>
  <c r="U23" i="8"/>
  <c r="Q24" i="8"/>
  <c r="R24" i="8"/>
  <c r="V65" i="12"/>
  <c r="S24" i="8"/>
  <c r="V66" i="12"/>
  <c r="T24" i="8"/>
  <c r="V67" i="12" s="1"/>
  <c r="U24" i="8"/>
  <c r="Q25" i="8"/>
  <c r="R25" i="8"/>
  <c r="S25" i="8"/>
  <c r="T25" i="8"/>
  <c r="U25" i="8"/>
  <c r="Q29" i="8"/>
  <c r="R29" i="8"/>
  <c r="S29" i="8"/>
  <c r="T29" i="8"/>
  <c r="U29" i="8"/>
  <c r="Q30" i="8"/>
  <c r="R30" i="8"/>
  <c r="S30" i="8"/>
  <c r="T30" i="8"/>
  <c r="U30" i="8"/>
  <c r="Q31" i="8"/>
  <c r="R31" i="8"/>
  <c r="AC65" i="12"/>
  <c r="S31" i="8"/>
  <c r="AC66" i="12" s="1"/>
  <c r="T31" i="8"/>
  <c r="AC67" i="12"/>
  <c r="U31" i="8"/>
  <c r="Q35" i="8"/>
  <c r="R35" i="8"/>
  <c r="AG65" i="12"/>
  <c r="S35" i="8"/>
  <c r="AG66" i="12" s="1"/>
  <c r="T35" i="8"/>
  <c r="AG67" i="12"/>
  <c r="U35" i="8"/>
  <c r="Q37" i="8"/>
  <c r="R37" i="8"/>
  <c r="AI65" i="12"/>
  <c r="S37" i="8"/>
  <c r="AI66" i="12" s="1"/>
  <c r="T37" i="8"/>
  <c r="AI67" i="12"/>
  <c r="U37" i="8"/>
  <c r="Q38" i="8"/>
  <c r="R38" i="8"/>
  <c r="AJ65" i="12"/>
  <c r="S38" i="8"/>
  <c r="AJ66" i="12" s="1"/>
  <c r="T38" i="8"/>
  <c r="AJ67" i="12" s="1"/>
  <c r="U38" i="8"/>
  <c r="R9" i="8"/>
  <c r="G65" i="12"/>
  <c r="U9" i="8"/>
  <c r="T9" i="8"/>
  <c r="G67" i="12" s="1"/>
  <c r="S9" i="8"/>
  <c r="G66" i="12"/>
  <c r="Q9" i="8"/>
  <c r="O9" i="8"/>
  <c r="N9" i="8"/>
  <c r="M9" i="8"/>
  <c r="L9" i="8"/>
  <c r="I21" i="8"/>
  <c r="H21" i="8"/>
  <c r="G21" i="8"/>
  <c r="G17" i="8"/>
  <c r="H17" i="8"/>
  <c r="I17" i="8"/>
  <c r="J17" i="8"/>
  <c r="J21" i="8"/>
  <c r="G9" i="8"/>
  <c r="H9" i="8"/>
  <c r="I9" i="8"/>
  <c r="J9" i="8"/>
  <c r="G10" i="8"/>
  <c r="H10" i="8"/>
  <c r="I10" i="8"/>
  <c r="J10" i="8"/>
  <c r="G11" i="8"/>
  <c r="H11" i="8"/>
  <c r="I11" i="8"/>
  <c r="J11" i="8"/>
  <c r="J6" i="8"/>
  <c r="I6" i="8"/>
  <c r="H6" i="8"/>
  <c r="G6" i="8"/>
  <c r="D20" i="8"/>
  <c r="C20" i="8"/>
  <c r="B20" i="8"/>
  <c r="B8" i="8"/>
  <c r="C8" i="8"/>
  <c r="D8" i="8"/>
  <c r="E8" i="8"/>
  <c r="B9" i="8"/>
  <c r="C9" i="8"/>
  <c r="D9" i="8"/>
  <c r="E9" i="8"/>
  <c r="B10" i="8"/>
  <c r="C10" i="8"/>
  <c r="D10" i="8"/>
  <c r="E10" i="8"/>
  <c r="B11" i="8"/>
  <c r="C11" i="8"/>
  <c r="D11" i="8"/>
  <c r="E11"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E20" i="8"/>
  <c r="B21" i="8"/>
  <c r="C21" i="8"/>
  <c r="D21" i="8"/>
  <c r="E21" i="8"/>
  <c r="B22" i="8"/>
  <c r="C22" i="8"/>
  <c r="D22" i="8"/>
  <c r="E22" i="8"/>
  <c r="B23" i="8"/>
  <c r="C23" i="8"/>
  <c r="D23" i="8"/>
  <c r="E23" i="8"/>
  <c r="B25" i="8"/>
  <c r="C25" i="8"/>
  <c r="D25" i="8"/>
  <c r="E25" i="8"/>
  <c r="B28" i="8"/>
  <c r="C28" i="8"/>
  <c r="D28" i="8"/>
  <c r="E28" i="8"/>
  <c r="B30" i="8"/>
  <c r="C30" i="8"/>
  <c r="D30" i="8"/>
  <c r="E30" i="8"/>
  <c r="B32" i="8"/>
  <c r="C32" i="8"/>
  <c r="D32" i="8"/>
  <c r="E32" i="8"/>
  <c r="C7" i="8"/>
  <c r="B7" i="8"/>
  <c r="D7" i="8"/>
  <c r="E7" i="8"/>
  <c r="E6" i="8"/>
  <c r="D6" i="8"/>
  <c r="C6" i="8"/>
  <c r="B6" i="8"/>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E6" i="12"/>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AI6" i="12" s="1"/>
  <c r="AJ6" i="12" s="1"/>
  <c r="AK6" i="12" s="1"/>
  <c r="AL6" i="12" s="1"/>
  <c r="H34" i="3"/>
  <c r="B10" i="2"/>
  <c r="B11" i="2"/>
  <c r="B12" i="2"/>
  <c r="B9" i="2"/>
  <c r="H4" i="3"/>
  <c r="H5" i="3"/>
  <c r="H6" i="3"/>
  <c r="H7" i="3"/>
  <c r="H8" i="3"/>
  <c r="G14" i="4"/>
  <c r="H14" i="4"/>
  <c r="K14" i="4"/>
  <c r="G15" i="4"/>
  <c r="H15" i="4"/>
  <c r="G16" i="4"/>
  <c r="H16" i="4"/>
  <c r="K16" i="4"/>
  <c r="G5" i="4"/>
  <c r="G6" i="4"/>
  <c r="G8" i="4"/>
  <c r="M8" i="4" s="1"/>
  <c r="D44" i="5"/>
  <c r="G9" i="4"/>
  <c r="M9" i="4" s="1"/>
  <c r="G10" i="4"/>
  <c r="M10" i="4" s="1"/>
  <c r="G11" i="4"/>
  <c r="G12" i="4"/>
  <c r="D22" i="5"/>
  <c r="D35" i="5"/>
  <c r="D5" i="5"/>
  <c r="D6" i="5"/>
  <c r="D7" i="5"/>
  <c r="D8" i="5"/>
  <c r="D9" i="5"/>
  <c r="D10" i="5"/>
  <c r="BE10" i="12" s="1"/>
  <c r="BF10" i="12" s="1"/>
  <c r="BG10" i="12" s="1"/>
  <c r="D11" i="5"/>
  <c r="BE11" i="12" s="1"/>
  <c r="BF11" i="12" s="1"/>
  <c r="BG11" i="12" s="1"/>
  <c r="D12" i="5"/>
  <c r="D13" i="5"/>
  <c r="D14" i="5"/>
  <c r="D15" i="5"/>
  <c r="D16" i="5"/>
  <c r="D17" i="5"/>
  <c r="D18" i="5"/>
  <c r="D19" i="5"/>
  <c r="D20" i="5"/>
  <c r="D21" i="5"/>
  <c r="D23" i="5"/>
  <c r="D24" i="5"/>
  <c r="BE24" i="12" s="1"/>
  <c r="D25" i="5"/>
  <c r="D26" i="5"/>
  <c r="D27" i="5"/>
  <c r="D28" i="5"/>
  <c r="D29" i="5"/>
  <c r="D30" i="5"/>
  <c r="D31" i="5"/>
  <c r="D32" i="5"/>
  <c r="D33" i="5"/>
  <c r="D34" i="5"/>
  <c r="D36" i="5"/>
  <c r="D37" i="5"/>
  <c r="D38" i="5"/>
  <c r="D39" i="5"/>
  <c r="D40" i="5"/>
  <c r="D41" i="5"/>
  <c r="D42" i="5"/>
  <c r="D43" i="5"/>
  <c r="D4" i="5"/>
  <c r="H26" i="11"/>
  <c r="L26" i="11"/>
  <c r="L33" i="11" s="1"/>
  <c r="L27" i="11"/>
  <c r="L28" i="11"/>
  <c r="L29" i="11"/>
  <c r="L30" i="11"/>
  <c r="L31" i="11"/>
  <c r="L32" i="11"/>
  <c r="H27" i="11"/>
  <c r="H28" i="11"/>
  <c r="H29" i="11"/>
  <c r="H30" i="11"/>
  <c r="H31" i="11"/>
  <c r="H61" i="11"/>
  <c r="H62" i="11"/>
  <c r="H63" i="11"/>
  <c r="H64" i="11"/>
  <c r="H65" i="11"/>
  <c r="H66" i="11"/>
  <c r="H67" i="11"/>
  <c r="H68" i="11"/>
  <c r="H69" i="11"/>
  <c r="H70" i="11"/>
  <c r="H71" i="11"/>
  <c r="H72" i="11"/>
  <c r="K33" i="4"/>
  <c r="H33" i="4"/>
  <c r="G33" i="4"/>
  <c r="H32" i="4"/>
  <c r="G32" i="4"/>
  <c r="K31" i="4"/>
  <c r="H31" i="4"/>
  <c r="G31" i="4"/>
  <c r="K30" i="4"/>
  <c r="H30" i="4"/>
  <c r="G30" i="4"/>
  <c r="K29" i="4"/>
  <c r="H29" i="4"/>
  <c r="G29" i="4"/>
  <c r="K28" i="4"/>
  <c r="H28" i="4"/>
  <c r="G28" i="4"/>
  <c r="K27" i="4"/>
  <c r="H27" i="4"/>
  <c r="G27" i="4"/>
  <c r="K26" i="4"/>
  <c r="H26" i="4"/>
  <c r="G26" i="4"/>
  <c r="H25" i="4"/>
  <c r="K24" i="4"/>
  <c r="H24" i="4"/>
  <c r="G24" i="4"/>
  <c r="K23" i="4"/>
  <c r="G23" i="4"/>
  <c r="K22" i="4"/>
  <c r="H22" i="4"/>
  <c r="G22" i="4"/>
  <c r="K21" i="4"/>
  <c r="H21" i="4"/>
  <c r="G21" i="4"/>
  <c r="K20" i="4"/>
  <c r="H20" i="4"/>
  <c r="G20" i="4"/>
  <c r="K19" i="4"/>
  <c r="H19" i="4"/>
  <c r="G19" i="4"/>
  <c r="K18" i="4"/>
  <c r="H18" i="4"/>
  <c r="G18" i="4"/>
  <c r="H34" i="4"/>
  <c r="G34" i="4"/>
  <c r="X34" i="4"/>
  <c r="A5" i="9"/>
  <c r="A6" i="9"/>
  <c r="A7" i="9" s="1"/>
  <c r="A8" i="9" s="1"/>
  <c r="A9" i="9" s="1"/>
  <c r="A10" i="9" s="1"/>
  <c r="A11" i="9" s="1"/>
  <c r="A12" i="9" s="1"/>
  <c r="A13" i="9" s="1"/>
  <c r="A14" i="9"/>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R34" i="9"/>
  <c r="V34" i="9"/>
  <c r="R35" i="9"/>
  <c r="V35" i="9"/>
  <c r="R36" i="9"/>
  <c r="V36" i="9"/>
  <c r="R37" i="9"/>
  <c r="V37" i="9"/>
  <c r="H37" i="9" s="1"/>
  <c r="G37" i="9"/>
  <c r="R38" i="9"/>
  <c r="C38" i="9"/>
  <c r="E38" i="9"/>
  <c r="V38" i="9"/>
  <c r="G38" i="9"/>
  <c r="H38" i="9"/>
  <c r="R39" i="9"/>
  <c r="V39" i="9"/>
  <c r="R40" i="9"/>
  <c r="V40" i="9"/>
  <c r="R41" i="9"/>
  <c r="V41" i="9"/>
  <c r="H41" i="9" s="1"/>
  <c r="R42" i="9"/>
  <c r="B42" i="9"/>
  <c r="C42" i="9"/>
  <c r="E42" i="9"/>
  <c r="V42" i="9"/>
  <c r="H42" i="9"/>
  <c r="K43" i="9"/>
  <c r="K44" i="9"/>
  <c r="K45" i="9"/>
  <c r="K46" i="9"/>
  <c r="K47" i="9"/>
  <c r="K48" i="9"/>
  <c r="K49" i="9"/>
  <c r="K50" i="9"/>
  <c r="K51" i="9"/>
  <c r="K52" i="9"/>
  <c r="K53" i="9"/>
  <c r="K54" i="9"/>
  <c r="K55" i="9"/>
  <c r="K56" i="9"/>
  <c r="K57" i="9"/>
  <c r="K58" i="9"/>
  <c r="K59" i="9"/>
  <c r="H11" i="3"/>
  <c r="G13" i="4"/>
  <c r="H13" i="4"/>
  <c r="K13" i="4"/>
  <c r="H12" i="3"/>
  <c r="H13" i="3"/>
  <c r="H14" i="3"/>
  <c r="H15" i="3"/>
  <c r="G17" i="4"/>
  <c r="H17" i="4"/>
  <c r="K17" i="4"/>
  <c r="H16" i="3"/>
  <c r="H17" i="3"/>
  <c r="H18" i="3"/>
  <c r="H19" i="3"/>
  <c r="H20" i="3"/>
  <c r="H21" i="3"/>
  <c r="H22" i="3"/>
  <c r="H23" i="3"/>
  <c r="H24" i="3"/>
  <c r="H25" i="3"/>
  <c r="H26" i="3"/>
  <c r="H27" i="3"/>
  <c r="H28" i="3"/>
  <c r="H29" i="3"/>
  <c r="H30" i="3"/>
  <c r="H31" i="3"/>
  <c r="H32" i="3"/>
  <c r="H33" i="3"/>
  <c r="A7" i="8"/>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13" i="2"/>
  <c r="B36" i="2"/>
  <c r="B37" i="2"/>
  <c r="B38" i="2"/>
  <c r="B39" i="2"/>
  <c r="B40" i="2"/>
  <c r="B41" i="2"/>
  <c r="B42" i="2"/>
  <c r="E42" i="2" s="1"/>
  <c r="B43" i="2"/>
  <c r="B47" i="2"/>
  <c r="A4" i="6"/>
  <c r="A5" i="6"/>
  <c r="A6" i="6" s="1"/>
  <c r="A7" i="6" s="1"/>
  <c r="A8" i="6"/>
  <c r="A9" i="6"/>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4" i="3"/>
  <c r="A5" i="3" s="1"/>
  <c r="A6" i="3"/>
  <c r="A7" i="3" s="1"/>
  <c r="A8" i="3" s="1"/>
  <c r="A9" i="3" s="1"/>
  <c r="A10" i="3" s="1"/>
  <c r="A11" i="3" s="1"/>
  <c r="A12" i="3" s="1"/>
  <c r="A13" i="3" s="1"/>
  <c r="A14" i="3" s="1"/>
  <c r="A15" i="3" s="1"/>
  <c r="A16" i="3" s="1"/>
  <c r="A17" i="3"/>
  <c r="A18" i="3"/>
  <c r="A19" i="3" s="1"/>
  <c r="A20" i="3" s="1"/>
  <c r="A21" i="3" s="1"/>
  <c r="A22" i="3" s="1"/>
  <c r="A23" i="3" s="1"/>
  <c r="A24" i="3" s="1"/>
  <c r="A25" i="3" s="1"/>
  <c r="A26" i="3" s="1"/>
  <c r="A27" i="3" s="1"/>
  <c r="A28" i="3" s="1"/>
  <c r="A29" i="3" s="1"/>
  <c r="A30" i="3" s="1"/>
  <c r="A31" i="3" s="1"/>
  <c r="A32" i="3" s="1"/>
  <c r="A33" i="3" s="1"/>
  <c r="A34" i="3" s="1"/>
  <c r="A5" i="5"/>
  <c r="A6" i="5"/>
  <c r="A7" i="5" s="1"/>
  <c r="A8" i="5" s="1"/>
  <c r="A9" i="5" s="1"/>
  <c r="A10" i="5" s="1"/>
  <c r="A11" i="5" s="1"/>
  <c r="A12" i="5"/>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5" i="4"/>
  <c r="A6" i="4"/>
  <c r="A7" i="4" s="1"/>
  <c r="A8" i="4"/>
  <c r="A9" i="4" s="1"/>
  <c r="A10" i="4" s="1"/>
  <c r="A11" i="4"/>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B6" i="2"/>
  <c r="A7"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B7" i="2"/>
  <c r="B8" i="2"/>
  <c r="E8" i="2"/>
  <c r="B14" i="2"/>
  <c r="E10" i="2"/>
  <c r="B15" i="2"/>
  <c r="B16" i="2"/>
  <c r="O13" i="2" s="1"/>
  <c r="E12" i="2"/>
  <c r="B17" i="2"/>
  <c r="E13" i="2"/>
  <c r="B18" i="2"/>
  <c r="E18" i="2" s="1"/>
  <c r="B19" i="2"/>
  <c r="O14" i="2"/>
  <c r="B20" i="2"/>
  <c r="O15" i="2"/>
  <c r="E16" i="2"/>
  <c r="B21" i="2"/>
  <c r="O16" i="2"/>
  <c r="E17" i="2"/>
  <c r="B22" i="2"/>
  <c r="B23" i="2"/>
  <c r="D23" i="2"/>
  <c r="E19" i="2"/>
  <c r="B24" i="2"/>
  <c r="D24" i="2"/>
  <c r="E20" i="2"/>
  <c r="B25" i="2"/>
  <c r="D25" i="2"/>
  <c r="E21" i="2"/>
  <c r="B26" i="2"/>
  <c r="B27" i="2"/>
  <c r="D26" i="2"/>
  <c r="D27" i="2"/>
  <c r="O22" i="2"/>
  <c r="B28" i="2"/>
  <c r="D28" i="2"/>
  <c r="B29" i="2"/>
  <c r="D29" i="2"/>
  <c r="B30" i="2"/>
  <c r="B31" i="2"/>
  <c r="E31" i="2" s="1"/>
  <c r="D30" i="2"/>
  <c r="O27" i="2" s="1"/>
  <c r="D31" i="2"/>
  <c r="E26" i="2"/>
  <c r="B32" i="2"/>
  <c r="E32" i="2" s="1"/>
  <c r="D32" i="2"/>
  <c r="B33" i="2"/>
  <c r="D33" i="2"/>
  <c r="B34" i="2"/>
  <c r="D34" i="2"/>
  <c r="B35" i="2"/>
  <c r="D35" i="2"/>
  <c r="O32" i="2" s="1"/>
  <c r="E35" i="2"/>
  <c r="D36" i="2"/>
  <c r="E36" i="2"/>
  <c r="D37" i="2"/>
  <c r="E37" i="2"/>
  <c r="D38" i="2"/>
  <c r="D39" i="2"/>
  <c r="E39" i="2"/>
  <c r="D40" i="2"/>
  <c r="D41" i="2"/>
  <c r="D42" i="2"/>
  <c r="D43" i="2"/>
  <c r="E43" i="2" s="1"/>
  <c r="B42" i="13"/>
  <c r="F34" i="13"/>
  <c r="F26" i="13"/>
  <c r="I16" i="4"/>
  <c r="J16" i="4"/>
  <c r="M16" i="4"/>
  <c r="F33" i="4"/>
  <c r="I33" i="4"/>
  <c r="E40" i="2"/>
  <c r="O34" i="2"/>
  <c r="G42" i="9"/>
  <c r="D42" i="9"/>
  <c r="F42" i="9"/>
  <c r="I42" i="9"/>
  <c r="G41" i="9"/>
  <c r="I41" i="9"/>
  <c r="I38" i="9"/>
  <c r="F38" i="9"/>
  <c r="B38" i="9"/>
  <c r="I37" i="9"/>
  <c r="BE41" i="12"/>
  <c r="BE37" i="12"/>
  <c r="BE32" i="12"/>
  <c r="BE28" i="12"/>
  <c r="BE19" i="12"/>
  <c r="BE15" i="12"/>
  <c r="BE22" i="12"/>
  <c r="J32" i="4"/>
  <c r="D32" i="4"/>
  <c r="I30" i="4"/>
  <c r="J28" i="4"/>
  <c r="I26" i="4"/>
  <c r="C33" i="13" s="1"/>
  <c r="J24" i="4"/>
  <c r="I22" i="4"/>
  <c r="C29" i="13" s="1"/>
  <c r="J20" i="4"/>
  <c r="I18" i="4"/>
  <c r="C25" i="13"/>
  <c r="BE40" i="12"/>
  <c r="BE36" i="12"/>
  <c r="BE31" i="12"/>
  <c r="BE27" i="12"/>
  <c r="BE23" i="12"/>
  <c r="BE18" i="12"/>
  <c r="BE14" i="12"/>
  <c r="BE44" i="12"/>
  <c r="F40" i="13"/>
  <c r="F30" i="4"/>
  <c r="F37" i="13" s="1"/>
  <c r="F26" i="4"/>
  <c r="F33" i="13" s="1"/>
  <c r="F22" i="4"/>
  <c r="F29" i="13"/>
  <c r="F18" i="4"/>
  <c r="F25" i="13" s="1"/>
  <c r="F11" i="4"/>
  <c r="F9" i="4"/>
  <c r="F7" i="4"/>
  <c r="F14" i="13" s="1"/>
  <c r="F5" i="4"/>
  <c r="D38" i="9"/>
  <c r="BE43" i="12"/>
  <c r="BE39" i="12"/>
  <c r="BE34" i="12"/>
  <c r="BE30" i="12"/>
  <c r="BE26" i="12"/>
  <c r="BE21" i="12"/>
  <c r="BE17" i="12"/>
  <c r="BE13" i="12"/>
  <c r="D42" i="13"/>
  <c r="D34" i="13"/>
  <c r="D20" i="13"/>
  <c r="D18" i="13"/>
  <c r="D14" i="13"/>
  <c r="D35" i="13"/>
  <c r="D29" i="13"/>
  <c r="D17" i="13"/>
  <c r="D15" i="13"/>
  <c r="D11" i="13"/>
  <c r="E37" i="13"/>
  <c r="E31" i="13"/>
  <c r="E29" i="13"/>
  <c r="E25" i="13"/>
  <c r="E13" i="13"/>
  <c r="E11" i="13"/>
  <c r="E18" i="13"/>
  <c r="I20" i="13"/>
  <c r="I22" i="13"/>
  <c r="E28" i="13"/>
  <c r="E12" i="13"/>
  <c r="I17" i="13"/>
  <c r="I21" i="13"/>
  <c r="I13" i="13"/>
  <c r="I18" i="13"/>
  <c r="I24" i="13"/>
  <c r="I25" i="13"/>
  <c r="M25" i="13" s="1"/>
  <c r="I27" i="13"/>
  <c r="I29" i="13"/>
  <c r="I30" i="13"/>
  <c r="M30" i="13" s="1"/>
  <c r="I31" i="13"/>
  <c r="I32" i="13"/>
  <c r="I33" i="13"/>
  <c r="I34" i="13"/>
  <c r="I35" i="13"/>
  <c r="M35" i="13" s="1"/>
  <c r="I36" i="13"/>
  <c r="I37" i="13"/>
  <c r="I38" i="13"/>
  <c r="I39" i="13"/>
  <c r="I40" i="13"/>
  <c r="I41" i="13"/>
  <c r="M41" i="13" s="1"/>
  <c r="I42" i="13"/>
  <c r="E40" i="13"/>
  <c r="I15" i="13"/>
  <c r="E16" i="13"/>
  <c r="I23" i="13"/>
  <c r="E24" i="13"/>
  <c r="I19" i="13"/>
  <c r="E14" i="4"/>
  <c r="D21" i="13" s="1"/>
  <c r="BE42" i="12"/>
  <c r="BE38" i="12"/>
  <c r="BE33" i="12"/>
  <c r="BE29" i="12"/>
  <c r="BE25" i="12"/>
  <c r="BE20" i="12"/>
  <c r="BE16" i="12"/>
  <c r="BE12" i="12"/>
  <c r="BF12" i="12" s="1"/>
  <c r="BG12" i="12" s="1"/>
  <c r="D60" i="12"/>
  <c r="D61" i="12" s="1"/>
  <c r="BE35" i="12"/>
  <c r="J14" i="4"/>
  <c r="E21" i="13"/>
  <c r="I14" i="4"/>
  <c r="C21" i="13" s="1"/>
  <c r="B39" i="13"/>
  <c r="B37" i="13"/>
  <c r="B31" i="13"/>
  <c r="B27" i="13"/>
  <c r="B23" i="13"/>
  <c r="B17" i="13"/>
  <c r="B15" i="13"/>
  <c r="H11" i="13"/>
  <c r="H12" i="13"/>
  <c r="H13" i="13"/>
  <c r="M13" i="13"/>
  <c r="BB15" i="12"/>
  <c r="H14" i="13"/>
  <c r="H15" i="13"/>
  <c r="M15" i="13" s="1"/>
  <c r="H16" i="13"/>
  <c r="H17" i="13"/>
  <c r="M17" i="13"/>
  <c r="BB19" i="12"/>
  <c r="H18" i="13"/>
  <c r="M18" i="13" s="1"/>
  <c r="H19" i="13"/>
  <c r="M19" i="13" s="1"/>
  <c r="H20" i="13"/>
  <c r="H21" i="13"/>
  <c r="H22" i="13"/>
  <c r="M22" i="13" s="1"/>
  <c r="H23" i="13"/>
  <c r="H24" i="13"/>
  <c r="C42" i="13"/>
  <c r="B38" i="13"/>
  <c r="B34" i="13"/>
  <c r="B26" i="13"/>
  <c r="B22" i="13"/>
  <c r="B20" i="13"/>
  <c r="B18" i="13"/>
  <c r="B16" i="13"/>
  <c r="B12" i="13"/>
  <c r="C40" i="13"/>
  <c r="C38" i="13"/>
  <c r="C36" i="13"/>
  <c r="C30" i="13"/>
  <c r="C28" i="13"/>
  <c r="C24" i="13"/>
  <c r="C20" i="13"/>
  <c r="C18" i="13"/>
  <c r="C16" i="13"/>
  <c r="C14" i="13"/>
  <c r="C31" i="13"/>
  <c r="C23" i="13"/>
  <c r="C15" i="13"/>
  <c r="C41" i="13"/>
  <c r="C17" i="13"/>
  <c r="H25" i="13"/>
  <c r="H26" i="13"/>
  <c r="H27" i="13"/>
  <c r="M27" i="13" s="1"/>
  <c r="H28" i="13"/>
  <c r="H29" i="13"/>
  <c r="M29" i="13"/>
  <c r="BB31" i="12" s="1"/>
  <c r="H30" i="13"/>
  <c r="H31" i="13"/>
  <c r="M31" i="13" s="1"/>
  <c r="H32" i="13"/>
  <c r="M32" i="13" s="1"/>
  <c r="H33" i="13"/>
  <c r="M33" i="13" s="1"/>
  <c r="H34" i="13"/>
  <c r="H35" i="13"/>
  <c r="H36" i="13"/>
  <c r="H37" i="13"/>
  <c r="M37" i="13"/>
  <c r="BB39" i="12" s="1"/>
  <c r="H38" i="13"/>
  <c r="H39" i="13"/>
  <c r="H40" i="13"/>
  <c r="M40" i="13" s="1"/>
  <c r="H41" i="13"/>
  <c r="H42" i="13"/>
  <c r="C35" i="13"/>
  <c r="C27" i="13"/>
  <c r="C11" i="13"/>
  <c r="C13" i="13"/>
  <c r="C37" i="13"/>
  <c r="M20" i="13"/>
  <c r="BB22" i="12"/>
  <c r="M24" i="13"/>
  <c r="M39" i="13"/>
  <c r="BB29" i="12"/>
  <c r="BB20" i="12"/>
  <c r="M36" i="13"/>
  <c r="M21" i="13"/>
  <c r="BB23" i="12"/>
  <c r="F18" i="13"/>
  <c r="M11" i="4"/>
  <c r="M42" i="13"/>
  <c r="M38" i="13"/>
  <c r="BB32" i="12"/>
  <c r="G18" i="13"/>
  <c r="BC20" i="12" s="1"/>
  <c r="F16" i="13"/>
  <c r="M23" i="13"/>
  <c r="F12" i="13"/>
  <c r="M5" i="4"/>
  <c r="N18" i="13"/>
  <c r="L59" i="12" l="1"/>
  <c r="L61" i="12" s="1"/>
  <c r="BD20" i="12"/>
  <c r="BB42" i="12"/>
  <c r="BB44" i="12"/>
  <c r="N42" i="13"/>
  <c r="BB17" i="12"/>
  <c r="BB33" i="12"/>
  <c r="BB21" i="12"/>
  <c r="BB25" i="12"/>
  <c r="E24" i="2"/>
  <c r="O21" i="2"/>
  <c r="BB34" i="12"/>
  <c r="E34" i="2"/>
  <c r="O31" i="2"/>
  <c r="O30" i="2"/>
  <c r="BB41" i="12"/>
  <c r="BB40" i="12"/>
  <c r="BB26" i="12"/>
  <c r="BB43" i="12"/>
  <c r="F41" i="9"/>
  <c r="B41" i="9"/>
  <c r="C41" i="9"/>
  <c r="E41" i="9"/>
  <c r="D41" i="9"/>
  <c r="BB38" i="12"/>
  <c r="E33" i="2"/>
  <c r="O28" i="2"/>
  <c r="O29" i="2"/>
  <c r="E15" i="2"/>
  <c r="O12" i="2"/>
  <c r="E9" i="2"/>
  <c r="O6" i="2"/>
  <c r="O37" i="2"/>
  <c r="O36" i="2"/>
  <c r="E23" i="2"/>
  <c r="O20" i="2"/>
  <c r="O9" i="2"/>
  <c r="O10" i="2"/>
  <c r="B37" i="9"/>
  <c r="D37" i="9"/>
  <c r="C37" i="9"/>
  <c r="E37" i="9"/>
  <c r="F37" i="9"/>
  <c r="M34" i="13"/>
  <c r="BB37" i="12"/>
  <c r="BB27" i="12"/>
  <c r="E28" i="2"/>
  <c r="O25" i="2"/>
  <c r="O24" i="2"/>
  <c r="F20" i="13"/>
  <c r="M13" i="4"/>
  <c r="BB35" i="12"/>
  <c r="BB24" i="12"/>
  <c r="K38" i="9"/>
  <c r="I25" i="4"/>
  <c r="C32" i="13" s="1"/>
  <c r="J25" i="4"/>
  <c r="E32" i="13" s="1"/>
  <c r="K25" i="4"/>
  <c r="F23" i="4"/>
  <c r="F30" i="13" s="1"/>
  <c r="D23" i="4"/>
  <c r="E23" i="4"/>
  <c r="D30" i="13" s="1"/>
  <c r="H23" i="4"/>
  <c r="B21" i="13"/>
  <c r="G21" i="13" s="1"/>
  <c r="M14" i="4"/>
  <c r="J12" i="4"/>
  <c r="E19" i="13" s="1"/>
  <c r="I12" i="4"/>
  <c r="C19" i="13" s="1"/>
  <c r="E30" i="2"/>
  <c r="O35" i="2"/>
  <c r="O33" i="2"/>
  <c r="E38" i="2"/>
  <c r="I48" i="13"/>
  <c r="I49" i="13"/>
  <c r="I50" i="13"/>
  <c r="I43" i="13"/>
  <c r="I51" i="13"/>
  <c r="I53" i="13"/>
  <c r="I44" i="13"/>
  <c r="I52" i="13"/>
  <c r="I45" i="13"/>
  <c r="I46" i="13"/>
  <c r="I47" i="13"/>
  <c r="D16" i="13"/>
  <c r="G16" i="13" s="1"/>
  <c r="BC18" i="12" s="1"/>
  <c r="D31" i="13"/>
  <c r="G31" i="13" s="1"/>
  <c r="D13" i="13"/>
  <c r="E27" i="13"/>
  <c r="E42" i="13"/>
  <c r="G42" i="13" s="1"/>
  <c r="BC44" i="12" s="1"/>
  <c r="E36" i="13"/>
  <c r="E30" i="13"/>
  <c r="I26" i="13"/>
  <c r="M26" i="13" s="1"/>
  <c r="E39" i="13"/>
  <c r="D28" i="13"/>
  <c r="D12" i="13"/>
  <c r="G12" i="13" s="1"/>
  <c r="BC14" i="12" s="1"/>
  <c r="D27" i="13"/>
  <c r="G27" i="13" s="1"/>
  <c r="E41" i="13"/>
  <c r="E23" i="13"/>
  <c r="E20" i="13"/>
  <c r="G20" i="13" s="1"/>
  <c r="E14" i="13"/>
  <c r="I28" i="13"/>
  <c r="M28" i="13" s="1"/>
  <c r="D40" i="13"/>
  <c r="D39" i="13"/>
  <c r="D23" i="13"/>
  <c r="G23" i="13" s="1"/>
  <c r="E35" i="13"/>
  <c r="E17" i="13"/>
  <c r="G17" i="13" s="1"/>
  <c r="I11" i="13"/>
  <c r="M11" i="13" s="1"/>
  <c r="I12" i="13"/>
  <c r="M12" i="13" s="1"/>
  <c r="I14" i="13"/>
  <c r="M14" i="13" s="1"/>
  <c r="D22" i="13"/>
  <c r="D19" i="13"/>
  <c r="E33" i="13"/>
  <c r="E15" i="13"/>
  <c r="G15" i="13" s="1"/>
  <c r="I16" i="13"/>
  <c r="M16" i="13" s="1"/>
  <c r="D25" i="4"/>
  <c r="E25" i="4"/>
  <c r="D32" i="13" s="1"/>
  <c r="F25" i="4"/>
  <c r="F32" i="13" s="1"/>
  <c r="G25" i="4"/>
  <c r="E27" i="2"/>
  <c r="O23" i="2"/>
  <c r="K42" i="9"/>
  <c r="H32" i="11"/>
  <c r="I32" i="4"/>
  <c r="K32" i="4"/>
  <c r="E29" i="2"/>
  <c r="O26" i="2"/>
  <c r="O17" i="2"/>
  <c r="M20" i="4"/>
  <c r="H73" i="11"/>
  <c r="I15" i="4"/>
  <c r="J15" i="4"/>
  <c r="E22" i="13" s="1"/>
  <c r="K15" i="4"/>
  <c r="D7" i="4"/>
  <c r="G7" i="4"/>
  <c r="E22" i="2"/>
  <c r="O18" i="2"/>
  <c r="O19" i="2"/>
  <c r="E25" i="2"/>
  <c r="E14" i="2"/>
  <c r="O11" i="2"/>
  <c r="O38" i="2"/>
  <c r="E41" i="2"/>
  <c r="O8" i="2"/>
  <c r="E11" i="2"/>
  <c r="O7" i="2"/>
  <c r="D18" i="4"/>
  <c r="E18" i="4"/>
  <c r="D25" i="13" s="1"/>
  <c r="D12" i="4"/>
  <c r="F12" i="4"/>
  <c r="F19" i="13" s="1"/>
  <c r="BK41" i="8"/>
  <c r="BM41" i="8"/>
  <c r="BO41" i="8"/>
  <c r="D4" i="4"/>
  <c r="G4" i="4"/>
  <c r="I27" i="4"/>
  <c r="J27" i="4"/>
  <c r="E34" i="13" s="1"/>
  <c r="D34" i="4"/>
  <c r="E34" i="4"/>
  <c r="D41" i="13" s="1"/>
  <c r="F34" i="4"/>
  <c r="F41" i="13" s="1"/>
  <c r="H47" i="13"/>
  <c r="M47" i="13" s="1"/>
  <c r="H48" i="13"/>
  <c r="M48" i="13" s="1"/>
  <c r="H49" i="13"/>
  <c r="M49" i="13" s="1"/>
  <c r="H53" i="13"/>
  <c r="H50" i="13"/>
  <c r="M50" i="13" s="1"/>
  <c r="H52" i="13"/>
  <c r="M52" i="13" s="1"/>
  <c r="H43" i="13"/>
  <c r="M43" i="13" s="1"/>
  <c r="H51" i="13"/>
  <c r="H44" i="13"/>
  <c r="M44" i="13" s="1"/>
  <c r="H45" i="13"/>
  <c r="M45" i="13" s="1"/>
  <c r="BO41" i="15"/>
  <c r="BK41" i="15"/>
  <c r="F31" i="4"/>
  <c r="F38" i="13" s="1"/>
  <c r="E31" i="4"/>
  <c r="I19" i="4"/>
  <c r="C26" i="13" s="1"/>
  <c r="J19" i="4"/>
  <c r="E26" i="13" s="1"/>
  <c r="D17" i="4"/>
  <c r="E17" i="4"/>
  <c r="D24" i="13" s="1"/>
  <c r="W58" i="14"/>
  <c r="BN41" i="8"/>
  <c r="H46" i="13"/>
  <c r="M46" i="13" s="1"/>
  <c r="D26" i="4"/>
  <c r="E26" i="4"/>
  <c r="D33" i="13" s="1"/>
  <c r="D6" i="4"/>
  <c r="F6" i="4"/>
  <c r="F13" i="13" s="1"/>
  <c r="E30" i="4"/>
  <c r="M30" i="4" s="1"/>
  <c r="E29" i="4"/>
  <c r="D36" i="13" s="1"/>
  <c r="D33" i="4"/>
  <c r="J31" i="4"/>
  <c r="E38" i="13" s="1"/>
  <c r="D22" i="4"/>
  <c r="D21" i="4"/>
  <c r="BN41" i="15"/>
  <c r="D28" i="4"/>
  <c r="BL41" i="8"/>
  <c r="D29" i="4"/>
  <c r="E19" i="4"/>
  <c r="D26" i="13" s="1"/>
  <c r="H35" i="4"/>
  <c r="M35" i="4" s="1"/>
  <c r="N12" i="13" l="1"/>
  <c r="BB14" i="12"/>
  <c r="BB28" i="12"/>
  <c r="N20" i="13"/>
  <c r="BC22" i="12"/>
  <c r="BC17" i="12"/>
  <c r="N15" i="13"/>
  <c r="BC25" i="12"/>
  <c r="N23" i="13"/>
  <c r="BB18" i="12"/>
  <c r="N16" i="13"/>
  <c r="N17" i="13"/>
  <c r="BC19" i="12"/>
  <c r="G26" i="13"/>
  <c r="BC28" i="12" s="1"/>
  <c r="BC33" i="12"/>
  <c r="N31" i="13"/>
  <c r="BB51" i="12"/>
  <c r="N49" i="13"/>
  <c r="N28" i="13"/>
  <c r="BB30" i="12"/>
  <c r="N44" i="13"/>
  <c r="BB46" i="12"/>
  <c r="M21" i="4"/>
  <c r="B28" i="13"/>
  <c r="G28" i="13" s="1"/>
  <c r="BC30" i="12" s="1"/>
  <c r="M51" i="13"/>
  <c r="BB49" i="12"/>
  <c r="N47" i="13"/>
  <c r="K41" i="9"/>
  <c r="B35" i="13"/>
  <c r="G35" i="13" s="1"/>
  <c r="M28" i="4"/>
  <c r="B25" i="13"/>
  <c r="G25" i="13" s="1"/>
  <c r="M18" i="4"/>
  <c r="AJ59" i="12"/>
  <c r="AJ61" i="12" s="1"/>
  <c r="BD44" i="12"/>
  <c r="M17" i="4"/>
  <c r="B24" i="13"/>
  <c r="G24" i="13" s="1"/>
  <c r="M4" i="4"/>
  <c r="B11" i="13"/>
  <c r="G11" i="13" s="1"/>
  <c r="BC13" i="12" s="1"/>
  <c r="BB47" i="12"/>
  <c r="N45" i="13"/>
  <c r="M6" i="4"/>
  <c r="B13" i="13"/>
  <c r="G13" i="13" s="1"/>
  <c r="BB13" i="12"/>
  <c r="B33" i="13"/>
  <c r="G33" i="13" s="1"/>
  <c r="M26" i="4"/>
  <c r="M31" i="4"/>
  <c r="BP41" i="8"/>
  <c r="BM42" i="8" s="1"/>
  <c r="D37" i="13"/>
  <c r="G37" i="13" s="1"/>
  <c r="K37" i="9"/>
  <c r="C22" i="13"/>
  <c r="G22" i="13" s="1"/>
  <c r="M15" i="4"/>
  <c r="N48" i="13"/>
  <c r="BB50" i="12"/>
  <c r="M22" i="4"/>
  <c r="B29" i="13"/>
  <c r="G29" i="13" s="1"/>
  <c r="BB45" i="12"/>
  <c r="N43" i="13"/>
  <c r="BB54" i="12"/>
  <c r="N52" i="13"/>
  <c r="B40" i="13"/>
  <c r="G40" i="13" s="1"/>
  <c r="M33" i="4"/>
  <c r="N50" i="13"/>
  <c r="BB52" i="12"/>
  <c r="M34" i="4"/>
  <c r="B41" i="13"/>
  <c r="G41" i="13" s="1"/>
  <c r="M7" i="4"/>
  <c r="B14" i="13"/>
  <c r="G14" i="13" s="1"/>
  <c r="BC16" i="12" s="1"/>
  <c r="BC23" i="12"/>
  <c r="N21" i="13"/>
  <c r="BF20" i="12"/>
  <c r="BG20" i="12" s="1"/>
  <c r="BB48" i="12"/>
  <c r="N46" i="13"/>
  <c r="M29" i="4"/>
  <c r="B36" i="13"/>
  <c r="G36" i="13" s="1"/>
  <c r="BP41" i="15"/>
  <c r="BK42" i="15" s="1"/>
  <c r="M53" i="13"/>
  <c r="B19" i="13"/>
  <c r="G19" i="13" s="1"/>
  <c r="M12" i="4"/>
  <c r="D38" i="13"/>
  <c r="G38" i="13" s="1"/>
  <c r="BC29" i="12"/>
  <c r="N27" i="13"/>
  <c r="M19" i="4"/>
  <c r="L16" i="12"/>
  <c r="BI16" i="12" s="1"/>
  <c r="L17" i="12"/>
  <c r="BH17" i="12" s="1"/>
  <c r="L15" i="12"/>
  <c r="BJ15" i="12" s="1"/>
  <c r="M23" i="4"/>
  <c r="B30" i="13"/>
  <c r="G30" i="13" s="1"/>
  <c r="M27" i="4"/>
  <c r="C34" i="13"/>
  <c r="G34" i="13" s="1"/>
  <c r="BC36" i="12" s="1"/>
  <c r="M32" i="4"/>
  <c r="C39" i="13"/>
  <c r="G39" i="13" s="1"/>
  <c r="M25" i="4"/>
  <c r="B32" i="13"/>
  <c r="G32" i="13" s="1"/>
  <c r="BB16" i="12"/>
  <c r="N14" i="13"/>
  <c r="BB36" i="12"/>
  <c r="N34" i="13"/>
  <c r="AE45" i="8" l="1"/>
  <c r="AE40" i="8"/>
  <c r="AE36" i="8"/>
  <c r="AH66" i="12" s="1"/>
  <c r="AE39" i="8"/>
  <c r="AE44" i="8"/>
  <c r="AE46" i="8"/>
  <c r="AE41" i="8"/>
  <c r="AE43" i="8"/>
  <c r="AE42" i="8"/>
  <c r="AE28" i="8"/>
  <c r="Z66" i="12" s="1"/>
  <c r="AE32" i="8"/>
  <c r="AD66" i="12" s="1"/>
  <c r="AE7" i="8"/>
  <c r="E66" i="12" s="1"/>
  <c r="AE33" i="8"/>
  <c r="AE66" i="12" s="1"/>
  <c r="AE25" i="8"/>
  <c r="W66" i="12" s="1"/>
  <c r="AE30" i="8"/>
  <c r="AB66" i="12" s="1"/>
  <c r="AE27" i="8"/>
  <c r="Y66" i="12" s="1"/>
  <c r="AE26" i="8"/>
  <c r="X66" i="12" s="1"/>
  <c r="AE34" i="8"/>
  <c r="AF66" i="12" s="1"/>
  <c r="AN59" i="12"/>
  <c r="AN61" i="12" s="1"/>
  <c r="BD48" i="12"/>
  <c r="BC35" i="12"/>
  <c r="N33" i="13"/>
  <c r="I59" i="12"/>
  <c r="I61" i="12" s="1"/>
  <c r="BD17" i="12"/>
  <c r="AK59" i="12"/>
  <c r="AK61" i="12" s="1"/>
  <c r="BD45" i="12"/>
  <c r="BC24" i="12"/>
  <c r="N22" i="13"/>
  <c r="N11" i="13"/>
  <c r="BC37" i="12"/>
  <c r="N35" i="13"/>
  <c r="BD46" i="12"/>
  <c r="AL59" i="12"/>
  <c r="AL61" i="12" s="1"/>
  <c r="BB55" i="12"/>
  <c r="N53" i="13"/>
  <c r="AR59" i="12"/>
  <c r="AR61" i="12" s="1"/>
  <c r="BD52" i="12"/>
  <c r="N29" i="13"/>
  <c r="BC31" i="12"/>
  <c r="BC39" i="12"/>
  <c r="N37" i="13"/>
  <c r="BC15" i="12"/>
  <c r="N13" i="13"/>
  <c r="BO42" i="8"/>
  <c r="K59" i="12"/>
  <c r="K61" i="12" s="1"/>
  <c r="BD19" i="12"/>
  <c r="N59" i="12"/>
  <c r="N61" i="12" s="1"/>
  <c r="BD22" i="12"/>
  <c r="BC34" i="12"/>
  <c r="N32" i="13"/>
  <c r="O59" i="12"/>
  <c r="O61" i="12" s="1"/>
  <c r="BD23" i="12"/>
  <c r="BN42" i="8"/>
  <c r="BK42" i="8"/>
  <c r="BF44" i="12"/>
  <c r="BG44" i="12" s="1"/>
  <c r="AO59" i="12"/>
  <c r="AO61" i="12" s="1"/>
  <c r="BD49" i="12"/>
  <c r="V59" i="12"/>
  <c r="V61" i="12" s="1"/>
  <c r="BD30" i="12"/>
  <c r="J59" i="12"/>
  <c r="J61" i="12" s="1"/>
  <c r="BD18" i="12"/>
  <c r="N26" i="13"/>
  <c r="BC40" i="12"/>
  <c r="N38" i="13"/>
  <c r="BL42" i="15"/>
  <c r="BM42" i="15"/>
  <c r="AM59" i="12"/>
  <c r="AM61" i="12" s="1"/>
  <c r="BD47" i="12"/>
  <c r="AJ40" i="12"/>
  <c r="BI40" i="12" s="1"/>
  <c r="AJ41" i="12"/>
  <c r="BH41" i="12" s="1"/>
  <c r="AJ39" i="12"/>
  <c r="BJ39" i="12" s="1"/>
  <c r="BD51" i="12"/>
  <c r="AQ59" i="12"/>
  <c r="AQ61" i="12" s="1"/>
  <c r="BC32" i="12"/>
  <c r="N30" i="13"/>
  <c r="BC21" i="12"/>
  <c r="N19" i="13"/>
  <c r="AB59" i="12"/>
  <c r="AB61" i="12" s="1"/>
  <c r="BD36" i="12"/>
  <c r="U59" i="12"/>
  <c r="U61" i="12" s="1"/>
  <c r="BD29" i="12"/>
  <c r="BC42" i="12"/>
  <c r="N40" i="13"/>
  <c r="AP59" i="12"/>
  <c r="AP61" i="12" s="1"/>
  <c r="BD50" i="12"/>
  <c r="N51" i="13"/>
  <c r="BB53" i="12"/>
  <c r="Q59" i="12"/>
  <c r="Q61" i="12" s="1"/>
  <c r="BD25" i="12"/>
  <c r="BC43" i="12"/>
  <c r="N41" i="13"/>
  <c r="BC41" i="12"/>
  <c r="N39" i="13"/>
  <c r="BC26" i="12"/>
  <c r="N24" i="13"/>
  <c r="H59" i="12"/>
  <c r="H61" i="12" s="1"/>
  <c r="BD16" i="12"/>
  <c r="BO42" i="15"/>
  <c r="BC38" i="12"/>
  <c r="N36" i="13"/>
  <c r="BL42" i="8"/>
  <c r="BD54" i="12"/>
  <c r="AT59" i="12"/>
  <c r="AT61" i="12" s="1"/>
  <c r="BN42" i="15"/>
  <c r="BC27" i="12"/>
  <c r="N25" i="13"/>
  <c r="Y59" i="12"/>
  <c r="Y61" i="12" s="1"/>
  <c r="BD33" i="12"/>
  <c r="F59" i="12"/>
  <c r="F61" i="12" s="1"/>
  <c r="BD14" i="12"/>
  <c r="AU66" i="12" l="1"/>
  <c r="AG59" i="12"/>
  <c r="AG61" i="12" s="1"/>
  <c r="BD41" i="12"/>
  <c r="W59" i="12"/>
  <c r="W61" i="12" s="1"/>
  <c r="BD31" i="12"/>
  <c r="AP47" i="12"/>
  <c r="BH47" i="12" s="1"/>
  <c r="AP46" i="12"/>
  <c r="BI46" i="12" s="1"/>
  <c r="AP45" i="12"/>
  <c r="BJ45" i="12" s="1"/>
  <c r="K14" i="12"/>
  <c r="BJ14" i="12" s="1"/>
  <c r="K15" i="12"/>
  <c r="BI15" i="12" s="1"/>
  <c r="K16" i="12"/>
  <c r="BH16" i="12" s="1"/>
  <c r="Y29" i="12"/>
  <c r="BI29" i="12" s="1"/>
  <c r="AI59" i="12"/>
  <c r="AI61" i="12" s="1"/>
  <c r="BD43" i="12"/>
  <c r="AH59" i="12"/>
  <c r="AH61" i="12" s="1"/>
  <c r="BD42" i="12"/>
  <c r="X59" i="12"/>
  <c r="X61" i="12" s="1"/>
  <c r="BD32" i="12"/>
  <c r="AM44" i="12"/>
  <c r="BH44" i="12" s="1"/>
  <c r="AM43" i="12"/>
  <c r="BI43" i="12" s="1"/>
  <c r="AM42" i="12"/>
  <c r="BJ42" i="12" s="1"/>
  <c r="BF30" i="12"/>
  <c r="BG30" i="12" s="1"/>
  <c r="BF23" i="12"/>
  <c r="BG23" i="12" s="1"/>
  <c r="AR48" i="12"/>
  <c r="BI48" i="12" s="1"/>
  <c r="AR49" i="12"/>
  <c r="BH49" i="12" s="1"/>
  <c r="AR47" i="12"/>
  <c r="BJ47" i="12" s="1"/>
  <c r="E59" i="12"/>
  <c r="E61" i="12" s="1"/>
  <c r="BD13" i="12"/>
  <c r="AS59" i="12"/>
  <c r="AS61" i="12" s="1"/>
  <c r="BD53" i="12"/>
  <c r="N17" i="12"/>
  <c r="BJ17" i="12" s="1"/>
  <c r="N18" i="12"/>
  <c r="BI18" i="12" s="1"/>
  <c r="N19" i="12"/>
  <c r="BH19" i="12" s="1"/>
  <c r="BF19" i="12"/>
  <c r="BG19" i="12" s="1"/>
  <c r="BF33" i="12"/>
  <c r="BG33" i="12" s="1"/>
  <c r="BF47" i="12"/>
  <c r="BG47" i="12" s="1"/>
  <c r="BF52" i="12"/>
  <c r="BG52" i="12" s="1"/>
  <c r="AE44" i="15"/>
  <c r="AE46" i="15"/>
  <c r="AE36" i="15"/>
  <c r="AE43" i="15"/>
  <c r="AE40" i="15"/>
  <c r="AE45" i="15"/>
  <c r="AE47" i="15"/>
  <c r="AE42" i="15"/>
  <c r="AE39" i="15"/>
  <c r="AE32" i="15"/>
  <c r="AE34" i="15"/>
  <c r="AE25" i="15"/>
  <c r="AE41" i="15"/>
  <c r="AE28" i="15"/>
  <c r="AE33" i="15"/>
  <c r="AE27" i="15"/>
  <c r="AE30" i="15"/>
  <c r="AE7" i="15"/>
  <c r="AE26" i="15"/>
  <c r="V26" i="12"/>
  <c r="BI26" i="12" s="1"/>
  <c r="V27" i="12"/>
  <c r="BH27" i="12" s="1"/>
  <c r="V25" i="12"/>
  <c r="BJ25" i="12" s="1"/>
  <c r="O19" i="12"/>
  <c r="BI19" i="12" s="1"/>
  <c r="O20" i="12"/>
  <c r="BH20" i="12" s="1"/>
  <c r="O18" i="12"/>
  <c r="BJ18" i="12" s="1"/>
  <c r="G59" i="12"/>
  <c r="G61" i="12" s="1"/>
  <c r="BD15" i="12"/>
  <c r="AU59" i="12"/>
  <c r="AU61" i="12" s="1"/>
  <c r="BD55" i="12"/>
  <c r="P59" i="12"/>
  <c r="P61" i="12" s="1"/>
  <c r="BD24" i="12"/>
  <c r="BF48" i="12"/>
  <c r="BG48" i="12" s="1"/>
  <c r="BF17" i="12"/>
  <c r="BG17" i="12" s="1"/>
  <c r="F10" i="12"/>
  <c r="BI10" i="12" s="1"/>
  <c r="F9" i="12"/>
  <c r="F11" i="12"/>
  <c r="BH11" i="12" s="1"/>
  <c r="M59" i="12"/>
  <c r="M61" i="12" s="1"/>
  <c r="BD21" i="12"/>
  <c r="AC59" i="12"/>
  <c r="AC61" i="12" s="1"/>
  <c r="BD37" i="12"/>
  <c r="AD59" i="12"/>
  <c r="AD61" i="12" s="1"/>
  <c r="BD38" i="12"/>
  <c r="AF42" i="8"/>
  <c r="AF39" i="8"/>
  <c r="AF44" i="8"/>
  <c r="AF46" i="8"/>
  <c r="AF41" i="8"/>
  <c r="AF43" i="8"/>
  <c r="AF45" i="8"/>
  <c r="AF40" i="8"/>
  <c r="AF33" i="8"/>
  <c r="AE67" i="12" s="1"/>
  <c r="AF7" i="8"/>
  <c r="E67" i="12" s="1"/>
  <c r="AU67" i="12" s="1"/>
  <c r="AF28" i="8"/>
  <c r="Z67" i="12" s="1"/>
  <c r="AF27" i="8"/>
  <c r="Y67" i="12" s="1"/>
  <c r="Y28" i="12" s="1"/>
  <c r="BJ28" i="12" s="1"/>
  <c r="AF32" i="8"/>
  <c r="AD67" i="12" s="1"/>
  <c r="AF26" i="8"/>
  <c r="X67" i="12" s="1"/>
  <c r="AF30" i="8"/>
  <c r="AB67" i="12" s="1"/>
  <c r="AB31" i="12" s="1"/>
  <c r="BJ31" i="12" s="1"/>
  <c r="AF34" i="8"/>
  <c r="AF67" i="12" s="1"/>
  <c r="AF36" i="8"/>
  <c r="AH67" i="12" s="1"/>
  <c r="AF25" i="8"/>
  <c r="W67" i="12" s="1"/>
  <c r="AQ48" i="12"/>
  <c r="BH48" i="12" s="1"/>
  <c r="AQ47" i="12"/>
  <c r="BI47" i="12" s="1"/>
  <c r="AQ46" i="12"/>
  <c r="BJ46" i="12" s="1"/>
  <c r="Z59" i="12"/>
  <c r="Z61" i="12" s="1"/>
  <c r="BD34" i="12"/>
  <c r="AN44" i="12"/>
  <c r="BI44" i="12" s="1"/>
  <c r="AN43" i="12"/>
  <c r="BJ43" i="12" s="1"/>
  <c r="AN45" i="12"/>
  <c r="BH45" i="12" s="1"/>
  <c r="BF54" i="12"/>
  <c r="BG54" i="12" s="1"/>
  <c r="T59" i="12"/>
  <c r="T61" i="12" s="1"/>
  <c r="BD28" i="12"/>
  <c r="BF46" i="12"/>
  <c r="BG46" i="12" s="1"/>
  <c r="AD42" i="8"/>
  <c r="AD40" i="8"/>
  <c r="AD36" i="8"/>
  <c r="AH65" i="12" s="1"/>
  <c r="AD44" i="8"/>
  <c r="AD39" i="8"/>
  <c r="AD46" i="8"/>
  <c r="AD41" i="8"/>
  <c r="AD45" i="8"/>
  <c r="AD34" i="8"/>
  <c r="AF65" i="12" s="1"/>
  <c r="AD43" i="8"/>
  <c r="AD30" i="8"/>
  <c r="AB65" i="12" s="1"/>
  <c r="AB33" i="12" s="1"/>
  <c r="BH33" i="12" s="1"/>
  <c r="AD28" i="8"/>
  <c r="Z65" i="12" s="1"/>
  <c r="AD27" i="8"/>
  <c r="Y65" i="12" s="1"/>
  <c r="Y30" i="12" s="1"/>
  <c r="BH30" i="12" s="1"/>
  <c r="AD33" i="8"/>
  <c r="AE65" i="12" s="1"/>
  <c r="AD32" i="8"/>
  <c r="AD65" i="12" s="1"/>
  <c r="AD26" i="8"/>
  <c r="X65" i="12" s="1"/>
  <c r="AD25" i="8"/>
  <c r="W65" i="12" s="1"/>
  <c r="AD7" i="8"/>
  <c r="E65" i="12" s="1"/>
  <c r="BF18" i="12"/>
  <c r="BG18" i="12" s="1"/>
  <c r="I14" i="12"/>
  <c r="BH14" i="12" s="1"/>
  <c r="I12" i="12"/>
  <c r="BJ12" i="12" s="1"/>
  <c r="I13" i="12"/>
  <c r="BI13" i="12" s="1"/>
  <c r="J15" i="12"/>
  <c r="BH15" i="12" s="1"/>
  <c r="BK15" i="12" s="1"/>
  <c r="J14" i="12"/>
  <c r="BI14" i="12" s="1"/>
  <c r="J13" i="12"/>
  <c r="BJ13" i="12" s="1"/>
  <c r="BF16" i="12"/>
  <c r="BG16" i="12" s="1"/>
  <c r="BF25" i="12"/>
  <c r="BG25" i="12" s="1"/>
  <c r="BF29" i="12"/>
  <c r="BG29" i="12" s="1"/>
  <c r="AD47" i="15"/>
  <c r="AD39" i="15"/>
  <c r="AD41" i="15"/>
  <c r="AD46" i="15"/>
  <c r="AD36" i="15"/>
  <c r="AD43" i="15"/>
  <c r="AD40" i="15"/>
  <c r="AD45" i="15"/>
  <c r="AD44" i="15"/>
  <c r="AD42" i="15"/>
  <c r="AD32" i="15"/>
  <c r="AD25" i="15"/>
  <c r="AD30" i="15"/>
  <c r="AD27" i="15"/>
  <c r="AD28" i="15"/>
  <c r="AD26" i="15"/>
  <c r="AD7" i="15"/>
  <c r="AD33" i="15"/>
  <c r="AD34" i="15"/>
  <c r="BF49" i="12"/>
  <c r="BG49" i="12" s="1"/>
  <c r="AF41" i="15"/>
  <c r="AF43" i="15"/>
  <c r="AF40" i="15"/>
  <c r="AF47" i="15"/>
  <c r="AF45" i="15"/>
  <c r="AF42" i="15"/>
  <c r="AF39" i="15"/>
  <c r="AF36" i="15"/>
  <c r="AF46" i="15"/>
  <c r="AF28" i="15"/>
  <c r="AF32" i="15"/>
  <c r="AF33" i="15"/>
  <c r="AF44" i="15"/>
  <c r="AF7" i="15"/>
  <c r="AF34" i="15"/>
  <c r="AF25" i="15"/>
  <c r="AF27" i="15"/>
  <c r="AF26" i="15"/>
  <c r="AF30" i="15"/>
  <c r="H13" i="12"/>
  <c r="BH13" i="12" s="1"/>
  <c r="H11" i="12"/>
  <c r="BJ11" i="12" s="1"/>
  <c r="H12" i="12"/>
  <c r="BI12" i="12" s="1"/>
  <c r="Q20" i="12"/>
  <c r="BJ20" i="12" s="1"/>
  <c r="Q21" i="12"/>
  <c r="BI21" i="12" s="1"/>
  <c r="Q22" i="12"/>
  <c r="BH22" i="12" s="1"/>
  <c r="U26" i="12"/>
  <c r="BH26" i="12" s="1"/>
  <c r="U24" i="12"/>
  <c r="BJ24" i="12" s="1"/>
  <c r="U25" i="12"/>
  <c r="BI25" i="12" s="1"/>
  <c r="BF51" i="12"/>
  <c r="BG51" i="12" s="1"/>
  <c r="AF59" i="12"/>
  <c r="AF61" i="12" s="1"/>
  <c r="BD40" i="12"/>
  <c r="AO44" i="12"/>
  <c r="BJ44" i="12" s="1"/>
  <c r="AO46" i="12"/>
  <c r="BH46" i="12" s="1"/>
  <c r="AO45" i="12"/>
  <c r="BI45" i="12" s="1"/>
  <c r="AE59" i="12"/>
  <c r="AE61" i="12" s="1"/>
  <c r="BD39" i="12"/>
  <c r="BF45" i="12"/>
  <c r="BG45" i="12" s="1"/>
  <c r="BF14" i="12"/>
  <c r="BG14" i="12" s="1"/>
  <c r="AB32" i="12"/>
  <c r="BI32" i="12" s="1"/>
  <c r="BF50" i="12"/>
  <c r="BG50" i="12" s="1"/>
  <c r="AA59" i="12"/>
  <c r="AA61" i="12" s="1"/>
  <c r="BD35" i="12"/>
  <c r="S59" i="12"/>
  <c r="S61" i="12" s="1"/>
  <c r="BD27" i="12"/>
  <c r="AT51" i="12"/>
  <c r="AT50" i="12"/>
  <c r="AT49" i="12"/>
  <c r="BJ49" i="12" s="1"/>
  <c r="R59" i="12"/>
  <c r="R61" i="12" s="1"/>
  <c r="BD26" i="12"/>
  <c r="BF36" i="12"/>
  <c r="BG36" i="12" s="1"/>
  <c r="BF22" i="12"/>
  <c r="BG22" i="12" s="1"/>
  <c r="AL43" i="12"/>
  <c r="BH43" i="12" s="1"/>
  <c r="BK43" i="12" s="1"/>
  <c r="AL41" i="12"/>
  <c r="BJ41" i="12" s="1"/>
  <c r="AL42" i="12"/>
  <c r="BI42" i="12" s="1"/>
  <c r="AK41" i="12"/>
  <c r="BI41" i="12" s="1"/>
  <c r="BK41" i="12" s="1"/>
  <c r="AK40" i="12"/>
  <c r="BJ40" i="12" s="1"/>
  <c r="AK42" i="12"/>
  <c r="BH42" i="12" s="1"/>
  <c r="BK42" i="12" s="1"/>
  <c r="BK46" i="12" l="1"/>
  <c r="AS48" i="12"/>
  <c r="BJ48" i="12" s="1"/>
  <c r="BK48" i="12" s="1"/>
  <c r="AS50" i="12"/>
  <c r="AS49" i="12"/>
  <c r="BI49" i="12" s="1"/>
  <c r="AH39" i="12"/>
  <c r="BH39" i="12" s="1"/>
  <c r="AH37" i="12"/>
  <c r="BJ37" i="12" s="1"/>
  <c r="AH38" i="12"/>
  <c r="BI38" i="12" s="1"/>
  <c r="BF37" i="12"/>
  <c r="BG37" i="12" s="1"/>
  <c r="BF15" i="12"/>
  <c r="BG15" i="12" s="1"/>
  <c r="BF43" i="12"/>
  <c r="BG43" i="12" s="1"/>
  <c r="BF35" i="12"/>
  <c r="BG35" i="12" s="1"/>
  <c r="BF40" i="12"/>
  <c r="BG40" i="12" s="1"/>
  <c r="BK14" i="12"/>
  <c r="T25" i="12"/>
  <c r="BH25" i="12" s="1"/>
  <c r="BK25" i="12" s="1"/>
  <c r="T23" i="12"/>
  <c r="BJ23" i="12" s="1"/>
  <c r="T24" i="12"/>
  <c r="BI24" i="12" s="1"/>
  <c r="AC32" i="12"/>
  <c r="BJ32" i="12" s="1"/>
  <c r="AC33" i="12"/>
  <c r="BI33" i="12" s="1"/>
  <c r="AC34" i="12"/>
  <c r="BH34" i="12" s="1"/>
  <c r="G10" i="12"/>
  <c r="BJ10" i="12" s="1"/>
  <c r="G11" i="12"/>
  <c r="BI11" i="12" s="1"/>
  <c r="BK11" i="12" s="1"/>
  <c r="G12" i="12"/>
  <c r="BH12" i="12" s="1"/>
  <c r="BK12" i="12" s="1"/>
  <c r="E8" i="12"/>
  <c r="E9" i="12"/>
  <c r="E10" i="12"/>
  <c r="BH10" i="12" s="1"/>
  <c r="AI40" i="12"/>
  <c r="BH40" i="12" s="1"/>
  <c r="BK40" i="12" s="1"/>
  <c r="AI38" i="12"/>
  <c r="BJ38" i="12" s="1"/>
  <c r="AI39" i="12"/>
  <c r="BI39" i="12" s="1"/>
  <c r="AU50" i="12"/>
  <c r="AU52" i="12"/>
  <c r="AU51" i="12"/>
  <c r="BF28" i="12"/>
  <c r="BG28" i="12" s="1"/>
  <c r="Z31" i="12"/>
  <c r="BH31" i="12" s="1"/>
  <c r="Z29" i="12"/>
  <c r="BJ29" i="12" s="1"/>
  <c r="Z30" i="12"/>
  <c r="BI30" i="12" s="1"/>
  <c r="BF13" i="12"/>
  <c r="BG13" i="12" s="1"/>
  <c r="BF26" i="12"/>
  <c r="BG26" i="12" s="1"/>
  <c r="AA32" i="12"/>
  <c r="BH32" i="12" s="1"/>
  <c r="AA30" i="12"/>
  <c r="BJ30" i="12" s="1"/>
  <c r="AA31" i="12"/>
  <c r="BI31" i="12" s="1"/>
  <c r="AF35" i="12"/>
  <c r="BJ35" i="12" s="1"/>
  <c r="AF36" i="12"/>
  <c r="BI36" i="12" s="1"/>
  <c r="AF37" i="12"/>
  <c r="BH37" i="12" s="1"/>
  <c r="BF21" i="12"/>
  <c r="BG21" i="12" s="1"/>
  <c r="BK47" i="12"/>
  <c r="BF34" i="12"/>
  <c r="BG34" i="12" s="1"/>
  <c r="AD34" i="12"/>
  <c r="BI34" i="12" s="1"/>
  <c r="AD35" i="12"/>
  <c r="BH35" i="12" s="1"/>
  <c r="AD33" i="12"/>
  <c r="BJ33" i="12" s="1"/>
  <c r="R21" i="12"/>
  <c r="BJ21" i="12" s="1"/>
  <c r="R22" i="12"/>
  <c r="BI22" i="12" s="1"/>
  <c r="R23" i="12"/>
  <c r="BH23" i="12" s="1"/>
  <c r="BK49" i="12"/>
  <c r="BK44" i="12"/>
  <c r="BK45" i="12"/>
  <c r="BF24" i="12"/>
  <c r="BG24" i="12" s="1"/>
  <c r="BF32" i="12"/>
  <c r="BG32" i="12" s="1"/>
  <c r="W27" i="12"/>
  <c r="BI27" i="12" s="1"/>
  <c r="W28" i="12"/>
  <c r="BH28" i="12" s="1"/>
  <c r="W26" i="12"/>
  <c r="BJ26" i="12" s="1"/>
  <c r="BK26" i="12" s="1"/>
  <c r="S22" i="12"/>
  <c r="BJ22" i="12" s="1"/>
  <c r="S23" i="12"/>
  <c r="BI23" i="12" s="1"/>
  <c r="S24" i="12"/>
  <c r="BH24" i="12" s="1"/>
  <c r="AE34" i="12"/>
  <c r="BJ34" i="12" s="1"/>
  <c r="AE36" i="12"/>
  <c r="BH36" i="12" s="1"/>
  <c r="AE35" i="12"/>
  <c r="BI35" i="12" s="1"/>
  <c r="P21" i="12"/>
  <c r="BH21" i="12" s="1"/>
  <c r="P20" i="12"/>
  <c r="BI20" i="12" s="1"/>
  <c r="BK20" i="12" s="1"/>
  <c r="P19" i="12"/>
  <c r="BJ19" i="12" s="1"/>
  <c r="BK19" i="12" s="1"/>
  <c r="X28" i="12"/>
  <c r="BI28" i="12" s="1"/>
  <c r="X29" i="12"/>
  <c r="BH29" i="12" s="1"/>
  <c r="BK29" i="12" s="1"/>
  <c r="X27" i="12"/>
  <c r="BJ27" i="12" s="1"/>
  <c r="BF41" i="12"/>
  <c r="BG41" i="12" s="1"/>
  <c r="BF27" i="12"/>
  <c r="BG27" i="12"/>
  <c r="M17" i="12"/>
  <c r="BI17" i="12" s="1"/>
  <c r="BK17" i="12" s="1"/>
  <c r="M18" i="12"/>
  <c r="BH18" i="12" s="1"/>
  <c r="BK18" i="12" s="1"/>
  <c r="M16" i="12"/>
  <c r="BJ16" i="12" s="1"/>
  <c r="BK16" i="12" s="1"/>
  <c r="BF31" i="12"/>
  <c r="BG31" i="12" s="1"/>
  <c r="BF39" i="12"/>
  <c r="BG39" i="12" s="1"/>
  <c r="BK13" i="12"/>
  <c r="BF38" i="12"/>
  <c r="BG38" i="12" s="1"/>
  <c r="BF55" i="12"/>
  <c r="BG55" i="12" s="1"/>
  <c r="BF53" i="12"/>
  <c r="BG53" i="12" s="1"/>
  <c r="BF42" i="12"/>
  <c r="BG42" i="12" s="1"/>
  <c r="AG37" i="12"/>
  <c r="BI37" i="12" s="1"/>
  <c r="AG38" i="12"/>
  <c r="BH38" i="12" s="1"/>
  <c r="AG36" i="12"/>
  <c r="BJ36" i="12" s="1"/>
  <c r="BK28" i="12" l="1"/>
  <c r="BK10" i="12"/>
  <c r="BK32" i="12"/>
  <c r="BK23" i="12"/>
  <c r="BK30" i="12"/>
  <c r="BK27" i="12"/>
  <c r="BK22" i="12"/>
  <c r="BK35" i="12"/>
  <c r="BK33" i="12"/>
  <c r="BK21" i="12"/>
  <c r="BK39" i="12"/>
  <c r="BK37" i="12"/>
  <c r="BK36" i="12"/>
  <c r="BK38" i="12"/>
  <c r="BK24" i="12"/>
  <c r="BK34" i="12"/>
  <c r="BK3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D65" authorId="0" shapeId="0" xr:uid="{00000000-0006-0000-0000-000001000000}">
      <text>
        <r>
          <rPr>
            <b/>
            <sz val="8"/>
            <color indexed="81"/>
            <rFont val="Tahoma"/>
            <family val="2"/>
          </rPr>
          <t>Matt Mortimer:</t>
        </r>
        <r>
          <rPr>
            <sz val="8"/>
            <color indexed="81"/>
            <rFont val="Tahoma"/>
            <family val="2"/>
          </rPr>
          <t xml:space="preserve">
Escapement Sampling</t>
        </r>
      </text>
    </comment>
    <comment ref="AA65" authorId="0" shapeId="0" xr:uid="{00000000-0006-0000-0000-000002000000}">
      <text>
        <r>
          <rPr>
            <b/>
            <sz val="8"/>
            <color indexed="81"/>
            <rFont val="Tahoma"/>
            <family val="2"/>
          </rPr>
          <t>Matt Mortimer:</t>
        </r>
        <r>
          <rPr>
            <sz val="8"/>
            <color indexed="81"/>
            <rFont val="Tahoma"/>
            <family val="2"/>
          </rPr>
          <t xml:space="preserve">
Escapement Sampling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J3" authorId="0" shapeId="0" xr:uid="{00000000-0006-0000-0B00-000001000000}">
      <text>
        <r>
          <rPr>
            <b/>
            <sz val="8"/>
            <color indexed="81"/>
            <rFont val="Tahoma"/>
            <family val="2"/>
          </rPr>
          <t>Matt Mortimer:</t>
        </r>
        <r>
          <rPr>
            <sz val="8"/>
            <color indexed="81"/>
            <rFont val="Tahoma"/>
            <family val="2"/>
          </rPr>
          <t xml:space="preserve">
These Troll Figures from the NC Spreadsheet for Hail and SS Comparison 1962-2003 from NC Drive.  Used the Area 8 Sockeye SS HQ from 1982-2004 and 1981 previous used SS SAM but don't know if any of the latter figures include 108?</t>
        </r>
      </text>
    </comment>
    <comment ref="M34" authorId="0" shapeId="0" xr:uid="{00000000-0006-0000-0B00-000002000000}">
      <text>
        <r>
          <rPr>
            <b/>
            <sz val="8"/>
            <color indexed="81"/>
            <rFont val="Tahoma"/>
            <family val="2"/>
          </rPr>
          <t>Matt Mortimer:</t>
        </r>
        <r>
          <rPr>
            <sz val="8"/>
            <color indexed="81"/>
            <rFont val="Tahoma"/>
            <family val="2"/>
          </rPr>
          <t xml:space="preserve">
Spreadsheet lists as F/FH so includes 8-3 to 8-5.</t>
        </r>
      </text>
    </comment>
    <comment ref="S34" authorId="0" shapeId="0" xr:uid="{00000000-0006-0000-0B00-000003000000}">
      <text>
        <r>
          <rPr>
            <b/>
            <sz val="8"/>
            <color indexed="81"/>
            <rFont val="Tahoma"/>
            <family val="2"/>
          </rPr>
          <t>Matt Mortimer:</t>
        </r>
        <r>
          <rPr>
            <sz val="8"/>
            <color indexed="81"/>
            <rFont val="Tahoma"/>
            <family val="2"/>
          </rPr>
          <t xml:space="preserve">
Spreadsheet lists as F/FH so includes 8-3 to 8-5.</t>
        </r>
      </text>
    </comment>
    <comment ref="M35" authorId="0" shapeId="0" xr:uid="{00000000-0006-0000-0B00-000004000000}">
      <text>
        <r>
          <rPr>
            <b/>
            <sz val="8"/>
            <color indexed="81"/>
            <rFont val="Tahoma"/>
            <family val="2"/>
          </rPr>
          <t>Matt Mortimer:</t>
        </r>
        <r>
          <rPr>
            <sz val="8"/>
            <color indexed="81"/>
            <rFont val="Tahoma"/>
            <family val="2"/>
          </rPr>
          <t xml:space="preserve">
RMS just lists as F/FH so includes 8-3 to 8-5.</t>
        </r>
      </text>
    </comment>
    <comment ref="S35" authorId="0" shapeId="0" xr:uid="{00000000-0006-0000-0B00-000005000000}">
      <text>
        <r>
          <rPr>
            <b/>
            <sz val="8"/>
            <color indexed="81"/>
            <rFont val="Tahoma"/>
            <family val="2"/>
          </rPr>
          <t>Matt Mortimer:</t>
        </r>
        <r>
          <rPr>
            <sz val="8"/>
            <color indexed="81"/>
            <rFont val="Tahoma"/>
            <family val="2"/>
          </rPr>
          <t xml:space="preserve">
RMS just lists as F/FH so includes 8-3 to 8-5.</t>
        </r>
      </text>
    </comment>
    <comment ref="M36" authorId="0" shapeId="0" xr:uid="{00000000-0006-0000-0B00-000006000000}">
      <text>
        <r>
          <rPr>
            <b/>
            <sz val="8"/>
            <color indexed="81"/>
            <rFont val="Tahoma"/>
            <family val="2"/>
          </rPr>
          <t>Matt Mortimer:</t>
        </r>
        <r>
          <rPr>
            <sz val="8"/>
            <color indexed="81"/>
            <rFont val="Tahoma"/>
            <family val="2"/>
          </rPr>
          <t xml:space="preserve">
Spreadsheet lists as F/FH so includes 8-3 to 8-5.</t>
        </r>
      </text>
    </comment>
    <comment ref="S36" authorId="0" shapeId="0" xr:uid="{00000000-0006-0000-0B00-000007000000}">
      <text>
        <r>
          <rPr>
            <b/>
            <sz val="8"/>
            <color indexed="81"/>
            <rFont val="Tahoma"/>
            <family val="2"/>
          </rPr>
          <t>Matt Mortimer:</t>
        </r>
        <r>
          <rPr>
            <sz val="8"/>
            <color indexed="81"/>
            <rFont val="Tahoma"/>
            <family val="2"/>
          </rPr>
          <t xml:space="preserve">
Spreadsheet lists as F/FH so includes 8-3 to 8-5.</t>
        </r>
      </text>
    </comment>
    <comment ref="W36" authorId="0" shapeId="0" xr:uid="{00000000-0006-0000-0B00-000008000000}">
      <text>
        <r>
          <rPr>
            <b/>
            <sz val="8"/>
            <color indexed="81"/>
            <rFont val="Tahoma"/>
            <family val="2"/>
          </rPr>
          <t>Matt Mortimer:</t>
        </r>
        <r>
          <rPr>
            <sz val="8"/>
            <color indexed="81"/>
            <rFont val="Tahoma"/>
            <family val="2"/>
          </rPr>
          <t xml:space="preserve">
I checked this data with 1987-1989 and checks. </t>
        </r>
      </text>
    </comment>
    <comment ref="P38" authorId="0" shapeId="0" xr:uid="{00000000-0006-0000-0B00-000009000000}">
      <text>
        <r>
          <rPr>
            <b/>
            <sz val="8"/>
            <color indexed="81"/>
            <rFont val="Tahoma"/>
            <family val="2"/>
          </rPr>
          <t>Matt Mortimer:</t>
        </r>
        <r>
          <rPr>
            <sz val="8"/>
            <color indexed="81"/>
            <rFont val="Tahoma"/>
            <family val="2"/>
          </rPr>
          <t xml:space="preserve">
Caught 1604 during test fishery (1 GN) and don't know if included in this number.</t>
        </r>
      </text>
    </comment>
    <comment ref="J41" authorId="0" shapeId="0" xr:uid="{00000000-0006-0000-0B00-00000A000000}">
      <text>
        <r>
          <rPr>
            <b/>
            <sz val="8"/>
            <color indexed="81"/>
            <rFont val="Tahoma"/>
            <family val="2"/>
          </rPr>
          <t>Matt Mortimer:</t>
        </r>
        <r>
          <rPr>
            <sz val="8"/>
            <color indexed="81"/>
            <rFont val="Tahoma"/>
            <family val="2"/>
          </rPr>
          <t xml:space="preserve">
Area 8-1 RMS 3759 Sk catch.  Otherwise, the reported number from Sales Slips HQ in North Coast Spreadsheet but don't know if Area 8 includes 108?</t>
        </r>
      </text>
    </comment>
    <comment ref="J42" authorId="0" shapeId="0" xr:uid="{00000000-0006-0000-0B00-00000B000000}">
      <text>
        <r>
          <rPr>
            <b/>
            <sz val="8"/>
            <color indexed="81"/>
            <rFont val="Tahoma"/>
            <family val="2"/>
          </rPr>
          <t>Matt Mortimer:</t>
        </r>
        <r>
          <rPr>
            <sz val="8"/>
            <color indexed="81"/>
            <rFont val="Tahoma"/>
            <family val="2"/>
          </rPr>
          <t xml:space="preserve">
The reported number from Sales Slips HQ in North Coast Spreadsheet but don't know if Area 8 includes 108?</t>
        </r>
      </text>
    </comment>
    <comment ref="B45" authorId="0" shapeId="0" xr:uid="{00000000-0006-0000-0B00-00000C000000}">
      <text>
        <r>
          <rPr>
            <b/>
            <sz val="8"/>
            <color indexed="81"/>
            <rFont val="Tahoma"/>
            <family val="2"/>
          </rPr>
          <t>Matt Mortimer:</t>
        </r>
        <r>
          <rPr>
            <sz val="8"/>
            <color indexed="81"/>
            <rFont val="Tahoma"/>
            <family val="2"/>
          </rPr>
          <t xml:space="preserve">
Recorded as LFFH.</t>
        </r>
      </text>
    </comment>
    <comment ref="E47" authorId="0" shapeId="0" xr:uid="{00000000-0006-0000-0B00-00000D000000}">
      <text>
        <r>
          <rPr>
            <b/>
            <sz val="8"/>
            <color indexed="81"/>
            <rFont val="Tahoma"/>
            <family val="2"/>
          </rPr>
          <t>Matt Mortimer:</t>
        </r>
        <r>
          <rPr>
            <sz val="8"/>
            <color indexed="81"/>
            <rFont val="Tahoma"/>
            <family val="2"/>
          </rPr>
          <t xml:space="preserve">
Closed to protect Kimsquit Chum.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Atlas</author>
  </authors>
  <commentList>
    <comment ref="G43" authorId="0" shapeId="0" xr:uid="{00000000-0006-0000-0100-000001000000}">
      <text>
        <r>
          <rPr>
            <b/>
            <sz val="9"/>
            <color indexed="81"/>
            <rFont val="Tahoma"/>
            <family val="2"/>
          </rPr>
          <t>William Atlas:</t>
        </r>
        <r>
          <rPr>
            <sz val="9"/>
            <color indexed="81"/>
            <rFont val="Tahoma"/>
            <family val="2"/>
          </rPr>
          <t xml:space="preserve">
do not reflect mortrality from seine and gill net releases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L3" authorId="0" shapeId="0" xr:uid="{00000000-0006-0000-0200-000001000000}">
      <text>
        <r>
          <rPr>
            <b/>
            <sz val="8"/>
            <color indexed="81"/>
            <rFont val="Tahoma"/>
            <family val="2"/>
          </rPr>
          <t>Matt Mortimer:</t>
        </r>
        <r>
          <rPr>
            <sz val="8"/>
            <color indexed="81"/>
            <rFont val="Tahoma"/>
            <family val="2"/>
          </rPr>
          <t xml:space="preserve">
These Troll Figures from the NC Spreadsheet for Hail and SS Comparison 1962-2003 from NC Drive.  Used the Area 8 Sockeye SS HQ from 1982-2004 and 1981 previous used SS SAM but don't know if any of the latter figures include 108?</t>
        </r>
      </text>
    </comment>
    <comment ref="F7" authorId="0" shapeId="0" xr:uid="{00000000-0006-0000-0200-000002000000}">
      <text>
        <r>
          <rPr>
            <b/>
            <sz val="8"/>
            <color indexed="81"/>
            <rFont val="Tahoma"/>
            <family val="2"/>
          </rPr>
          <t>Matt Mortimer:</t>
        </r>
        <r>
          <rPr>
            <sz val="8"/>
            <color indexed="81"/>
            <rFont val="Tahoma"/>
            <family val="2"/>
          </rPr>
          <t xml:space="preserve">
Is this really 0?</t>
        </r>
      </text>
    </comment>
    <comment ref="Q7" authorId="0" shapeId="0" xr:uid="{00000000-0006-0000-0200-000003000000}">
      <text>
        <r>
          <rPr>
            <b/>
            <sz val="8"/>
            <color indexed="81"/>
            <rFont val="Tahoma"/>
            <family val="2"/>
          </rPr>
          <t>Matt Mortimer:</t>
        </r>
        <r>
          <rPr>
            <sz val="8"/>
            <color indexed="81"/>
            <rFont val="Tahoma"/>
            <family val="2"/>
          </rPr>
          <t xml:space="preserve">
This is really 0???</t>
        </r>
      </text>
    </comment>
    <comment ref="O9" authorId="0" shapeId="0" xr:uid="{00000000-0006-0000-0200-000004000000}">
      <text>
        <r>
          <rPr>
            <b/>
            <sz val="8"/>
            <color indexed="81"/>
            <rFont val="Tahoma"/>
            <family val="2"/>
          </rPr>
          <t>Matt Mortimer:</t>
        </r>
        <r>
          <rPr>
            <sz val="8"/>
            <color indexed="81"/>
            <rFont val="Tahoma"/>
            <family val="2"/>
          </rPr>
          <t xml:space="preserve">
Spreadsheet lists as F/FH so includes 8-3 to 8-5.</t>
        </r>
      </text>
    </comment>
    <comment ref="O10" authorId="0" shapeId="0" xr:uid="{00000000-0006-0000-0200-000005000000}">
      <text>
        <r>
          <rPr>
            <b/>
            <sz val="8"/>
            <color indexed="81"/>
            <rFont val="Tahoma"/>
            <family val="2"/>
          </rPr>
          <t>Matt Mortimer:</t>
        </r>
        <r>
          <rPr>
            <sz val="8"/>
            <color indexed="81"/>
            <rFont val="Tahoma"/>
            <family val="2"/>
          </rPr>
          <t xml:space="preserve">
RMS just lists as F/FH so includes 8-3 to 8-5.</t>
        </r>
      </text>
    </comment>
    <comment ref="U10" authorId="0" shapeId="0" xr:uid="{00000000-0006-0000-0200-000006000000}">
      <text>
        <r>
          <rPr>
            <b/>
            <sz val="8"/>
            <color indexed="81"/>
            <rFont val="Tahoma"/>
            <family val="2"/>
          </rPr>
          <t>Matt Mortimer:</t>
        </r>
        <r>
          <rPr>
            <sz val="8"/>
            <color indexed="81"/>
            <rFont val="Tahoma"/>
            <family val="2"/>
          </rPr>
          <t xml:space="preserve">
RMS just lists as F/FH so includes 8-3 to 8-5.</t>
        </r>
      </text>
    </comment>
    <comment ref="O11" authorId="0" shapeId="0" xr:uid="{00000000-0006-0000-0200-000007000000}">
      <text>
        <r>
          <rPr>
            <b/>
            <sz val="8"/>
            <color indexed="81"/>
            <rFont val="Tahoma"/>
            <family val="2"/>
          </rPr>
          <t>Matt Mortimer:</t>
        </r>
        <r>
          <rPr>
            <sz val="8"/>
            <color indexed="81"/>
            <rFont val="Tahoma"/>
            <family val="2"/>
          </rPr>
          <t xml:space="preserve">
Spreadsheet lists as F/FH so includes 8-3 to 8-5.</t>
        </r>
      </text>
    </comment>
    <comment ref="U11" authorId="0" shapeId="0" xr:uid="{00000000-0006-0000-0200-000008000000}">
      <text>
        <r>
          <rPr>
            <b/>
            <sz val="8"/>
            <color indexed="81"/>
            <rFont val="Tahoma"/>
            <family val="2"/>
          </rPr>
          <t>Matt Mortimer:</t>
        </r>
        <r>
          <rPr>
            <sz val="8"/>
            <color indexed="81"/>
            <rFont val="Tahoma"/>
            <family val="2"/>
          </rPr>
          <t xml:space="preserve">
Spreadsheet lists as F/FH so includes 8-3 to 8-5.</t>
        </r>
      </text>
    </comment>
    <comment ref="Y11" authorId="0" shapeId="0" xr:uid="{00000000-0006-0000-0200-000009000000}">
      <text>
        <r>
          <rPr>
            <b/>
            <sz val="8"/>
            <color indexed="81"/>
            <rFont val="Tahoma"/>
            <family val="2"/>
          </rPr>
          <t>Matt Mortimer:</t>
        </r>
        <r>
          <rPr>
            <sz val="8"/>
            <color indexed="81"/>
            <rFont val="Tahoma"/>
            <family val="2"/>
          </rPr>
          <t xml:space="preserve">
I checked this data with 1987-1989 and checks. </t>
        </r>
      </text>
    </comment>
    <comment ref="R13" authorId="0" shapeId="0" xr:uid="{00000000-0006-0000-0200-00000A000000}">
      <text>
        <r>
          <rPr>
            <b/>
            <sz val="8"/>
            <color indexed="81"/>
            <rFont val="Tahoma"/>
            <family val="2"/>
          </rPr>
          <t>Matt Mortimer:</t>
        </r>
        <r>
          <rPr>
            <sz val="8"/>
            <color indexed="81"/>
            <rFont val="Tahoma"/>
            <family val="2"/>
          </rPr>
          <t xml:space="preserve">
Caught 1604 during test fishery (1 GN) and don't know if included in this number.</t>
        </r>
      </text>
    </comment>
    <comment ref="L16" authorId="0" shapeId="0" xr:uid="{00000000-0006-0000-0200-00000B000000}">
      <text>
        <r>
          <rPr>
            <b/>
            <sz val="8"/>
            <color indexed="81"/>
            <rFont val="Tahoma"/>
            <family val="2"/>
          </rPr>
          <t>Matt Mortimer:</t>
        </r>
        <r>
          <rPr>
            <sz val="8"/>
            <color indexed="81"/>
            <rFont val="Tahoma"/>
            <family val="2"/>
          </rPr>
          <t xml:space="preserve">
Area 8-1 RMS 3759 Sk catch.  Otherwise, the reported number from Sales Slips HQ in North Coast Spreadsheet but don't know if Area 8 includes 108?</t>
        </r>
      </text>
    </comment>
    <comment ref="L17" authorId="0" shapeId="0" xr:uid="{00000000-0006-0000-0200-00000C000000}">
      <text>
        <r>
          <rPr>
            <b/>
            <sz val="8"/>
            <color indexed="81"/>
            <rFont val="Tahoma"/>
            <family val="2"/>
          </rPr>
          <t>Matt Mortimer:</t>
        </r>
        <r>
          <rPr>
            <sz val="8"/>
            <color indexed="81"/>
            <rFont val="Tahoma"/>
            <family val="2"/>
          </rPr>
          <t xml:space="preserve">
The reported number from Sales Slips HQ in North Coast Spreadsheet but don't know if Area 8 includes 108?</t>
        </r>
      </text>
    </comment>
    <comment ref="D20" authorId="0" shapeId="0" xr:uid="{00000000-0006-0000-0200-00000D000000}">
      <text>
        <r>
          <rPr>
            <b/>
            <sz val="8"/>
            <color indexed="81"/>
            <rFont val="Tahoma"/>
            <family val="2"/>
          </rPr>
          <t>Matt Mortimer:</t>
        </r>
        <r>
          <rPr>
            <sz val="8"/>
            <color indexed="81"/>
            <rFont val="Tahoma"/>
            <family val="2"/>
          </rPr>
          <t xml:space="preserve">
Recorded as LFFH.</t>
        </r>
      </text>
    </comment>
    <comment ref="O20" authorId="0" shapeId="0" xr:uid="{00000000-0006-0000-0200-00000E000000}">
      <text>
        <r>
          <rPr>
            <b/>
            <sz val="8"/>
            <color indexed="81"/>
            <rFont val="Tahoma"/>
            <family val="2"/>
          </rPr>
          <t>Matt Mortimer:</t>
        </r>
        <r>
          <rPr>
            <sz val="8"/>
            <color indexed="81"/>
            <rFont val="Tahoma"/>
            <family val="2"/>
          </rPr>
          <t xml:space="preserve">
Recorded as LFFH.</t>
        </r>
      </text>
    </comment>
    <comment ref="G22" authorId="0" shapeId="0" xr:uid="{00000000-0006-0000-0200-00000F000000}">
      <text>
        <r>
          <rPr>
            <b/>
            <sz val="8"/>
            <color indexed="81"/>
            <rFont val="Tahoma"/>
            <family val="2"/>
          </rPr>
          <t>Matt Mortimer:</t>
        </r>
        <r>
          <rPr>
            <sz val="8"/>
            <color indexed="81"/>
            <rFont val="Tahoma"/>
            <family val="2"/>
          </rPr>
          <t xml:space="preserve">
Closed to protect Kimsquit Chum.</t>
        </r>
      </text>
    </comment>
    <comment ref="R22" authorId="0" shapeId="0" xr:uid="{00000000-0006-0000-0200-000010000000}">
      <text>
        <r>
          <rPr>
            <b/>
            <sz val="8"/>
            <color indexed="81"/>
            <rFont val="Tahoma"/>
            <family val="2"/>
          </rPr>
          <t>Matt Mortimer:</t>
        </r>
        <r>
          <rPr>
            <sz val="8"/>
            <color indexed="81"/>
            <rFont val="Tahoma"/>
            <family val="2"/>
          </rPr>
          <t xml:space="preserve">
Closed to protect Kimsquit Chum.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 Mortimer</author>
    <author>Bradley Koroluk</author>
  </authors>
  <commentList>
    <comment ref="F6" authorId="0" shapeId="0" xr:uid="{00000000-0006-0000-0300-000001000000}">
      <text>
        <r>
          <rPr>
            <b/>
            <sz val="8"/>
            <color indexed="81"/>
            <rFont val="Tahoma"/>
            <family val="2"/>
          </rPr>
          <t>Matt Mortimer:</t>
        </r>
        <r>
          <rPr>
            <sz val="8"/>
            <color indexed="81"/>
            <rFont val="Tahoma"/>
            <family val="2"/>
          </rPr>
          <t xml:space="preserve">
Listed as BCGNA/DC, assumed BCGNA</t>
        </r>
      </text>
    </comment>
    <comment ref="F7" authorId="0" shapeId="0" xr:uid="{00000000-0006-0000-0300-000002000000}">
      <text>
        <r>
          <rPr>
            <b/>
            <sz val="8"/>
            <color indexed="81"/>
            <rFont val="Tahoma"/>
            <family val="2"/>
          </rPr>
          <t>Matt Mortimer:</t>
        </r>
        <r>
          <rPr>
            <sz val="8"/>
            <color indexed="81"/>
            <rFont val="Tahoma"/>
            <family val="2"/>
          </rPr>
          <t xml:space="preserve">
Listed as BCGNA/DC, assumed BCGNA</t>
        </r>
      </text>
    </comment>
    <comment ref="C8" authorId="0" shapeId="0" xr:uid="{00000000-0006-0000-0300-000003000000}">
      <text>
        <r>
          <rPr>
            <b/>
            <sz val="8"/>
            <color indexed="81"/>
            <rFont val="Tahoma"/>
            <family val="2"/>
          </rPr>
          <t>Matt Mortimer:</t>
        </r>
        <r>
          <rPr>
            <sz val="8"/>
            <color indexed="81"/>
            <rFont val="Tahoma"/>
            <family val="2"/>
          </rPr>
          <t xml:space="preserve">
From old records Kristen Smith (Bella Coola Office) had this was 69.  From Regional Data Unit Canoe Crossing/Atnarko River 285.</t>
        </r>
      </text>
    </comment>
    <comment ref="F8" authorId="0" shapeId="0" xr:uid="{00000000-0006-0000-0300-000004000000}">
      <text>
        <r>
          <rPr>
            <b/>
            <sz val="8"/>
            <color indexed="81"/>
            <rFont val="Tahoma"/>
            <family val="2"/>
          </rPr>
          <t>Matt Mortimer:</t>
        </r>
        <r>
          <rPr>
            <sz val="8"/>
            <color indexed="81"/>
            <rFont val="Tahoma"/>
            <family val="2"/>
          </rPr>
          <t xml:space="preserve">
Listed as BCGNA/DC, assumed BCGNA</t>
        </r>
      </text>
    </comment>
    <comment ref="H9" authorId="0" shapeId="0" xr:uid="{00000000-0006-0000-0300-000005000000}">
      <text>
        <r>
          <rPr>
            <b/>
            <sz val="8"/>
            <color indexed="81"/>
            <rFont val="Tahoma"/>
            <family val="2"/>
          </rPr>
          <t>Matt Mortimer:</t>
        </r>
        <r>
          <rPr>
            <sz val="8"/>
            <color indexed="81"/>
            <rFont val="Tahoma"/>
            <family val="2"/>
          </rPr>
          <t xml:space="preserve">
Total from Regional Data Unit</t>
        </r>
      </text>
    </comment>
    <comment ref="H10" authorId="0" shapeId="0" xr:uid="{00000000-0006-0000-0300-000006000000}">
      <text>
        <r>
          <rPr>
            <b/>
            <sz val="8"/>
            <color indexed="81"/>
            <rFont val="Tahoma"/>
            <family val="2"/>
          </rPr>
          <t>Matt Mortimer:</t>
        </r>
        <r>
          <rPr>
            <sz val="8"/>
            <color indexed="81"/>
            <rFont val="Tahoma"/>
            <family val="2"/>
          </rPr>
          <t xml:space="preserve">
From Regional Data Unit, but don't have breakdown other than Lw B.C. contribution.</t>
        </r>
      </text>
    </comment>
    <comment ref="F12" authorId="0" shapeId="0" xr:uid="{00000000-0006-0000-0300-000007000000}">
      <text>
        <r>
          <rPr>
            <b/>
            <sz val="8"/>
            <color indexed="81"/>
            <rFont val="Tahoma"/>
            <family val="2"/>
          </rPr>
          <t>Matt Mortimer:</t>
        </r>
        <r>
          <rPr>
            <sz val="8"/>
            <color indexed="81"/>
            <rFont val="Tahoma"/>
            <family val="2"/>
          </rPr>
          <t xml:space="preserve">
N and S Bentinck, Burke, and Dean extrapolated.</t>
        </r>
      </text>
    </comment>
    <comment ref="E16" authorId="0" shapeId="0" xr:uid="{00000000-0006-0000-0300-000008000000}">
      <text>
        <r>
          <rPr>
            <b/>
            <sz val="8"/>
            <color indexed="81"/>
            <rFont val="Tahoma"/>
            <family val="2"/>
          </rPr>
          <t>Matt Mortimer:</t>
        </r>
        <r>
          <rPr>
            <sz val="8"/>
            <color indexed="81"/>
            <rFont val="Tahoma"/>
            <family val="2"/>
          </rPr>
          <t xml:space="preserve">
Sunny Island</t>
        </r>
      </text>
    </comment>
    <comment ref="F16" authorId="0" shapeId="0" xr:uid="{00000000-0006-0000-0300-000009000000}">
      <text>
        <r>
          <rPr>
            <b/>
            <sz val="8"/>
            <color indexed="81"/>
            <rFont val="Tahoma"/>
            <family val="2"/>
          </rPr>
          <t>Matt Mortimer:</t>
        </r>
        <r>
          <rPr>
            <sz val="8"/>
            <color indexed="81"/>
            <rFont val="Tahoma"/>
            <family val="2"/>
          </rPr>
          <t xml:space="preserve">
RMS records as North Bentinck/Dean IFF.  Assumed most of the catch was BCGNA anyways.</t>
        </r>
      </text>
    </comment>
    <comment ref="D18" authorId="0" shapeId="0" xr:uid="{00000000-0006-0000-0300-00000A000000}">
      <text>
        <r>
          <rPr>
            <b/>
            <sz val="8"/>
            <color indexed="81"/>
            <rFont val="Tahoma"/>
            <family val="2"/>
          </rPr>
          <t>Matt Mortimer:</t>
        </r>
        <r>
          <rPr>
            <sz val="8"/>
            <color indexed="81"/>
            <rFont val="Tahoma"/>
            <family val="2"/>
          </rPr>
          <t xml:space="preserve">
RMS records as Koeye River IFF</t>
        </r>
      </text>
    </comment>
    <comment ref="E18" authorId="0" shapeId="0" xr:uid="{00000000-0006-0000-0300-00000B000000}">
      <text>
        <r>
          <rPr>
            <b/>
            <sz val="8"/>
            <color indexed="81"/>
            <rFont val="Tahoma"/>
            <family val="2"/>
          </rPr>
          <t>Matt Mortimer:</t>
        </r>
        <r>
          <rPr>
            <sz val="8"/>
            <color indexed="81"/>
            <rFont val="Tahoma"/>
            <family val="2"/>
          </rPr>
          <t xml:space="preserve">
Sunny Island</t>
        </r>
      </text>
    </comment>
    <comment ref="D21" authorId="0" shapeId="0" xr:uid="{00000000-0006-0000-0300-00000C000000}">
      <text>
        <r>
          <rPr>
            <b/>
            <sz val="8"/>
            <color indexed="81"/>
            <rFont val="Tahoma"/>
            <family val="2"/>
          </rPr>
          <t>Matt Mortimer:</t>
        </r>
        <r>
          <rPr>
            <sz val="8"/>
            <color indexed="81"/>
            <rFont val="Tahoma"/>
            <family val="2"/>
          </rPr>
          <t xml:space="preserve">
This includes 100 catch from salmon seine in 8-2 and 8-3. For GN listed as 8-1, FFH, and Koeye/Namu.</t>
        </r>
      </text>
    </comment>
    <comment ref="E21" authorId="0" shapeId="0" xr:uid="{00000000-0006-0000-0300-00000D000000}">
      <text>
        <r>
          <rPr>
            <b/>
            <sz val="8"/>
            <color indexed="81"/>
            <rFont val="Tahoma"/>
            <family val="2"/>
          </rPr>
          <t>Matt Mortimer:</t>
        </r>
        <r>
          <rPr>
            <sz val="8"/>
            <color indexed="81"/>
            <rFont val="Tahoma"/>
            <family val="2"/>
          </rPr>
          <t xml:space="preserve">
Include 37 catch from 8-5 seine.</t>
        </r>
      </text>
    </comment>
    <comment ref="B22" authorId="0" shapeId="0" xr:uid="{00000000-0006-0000-0300-00000E000000}">
      <text>
        <r>
          <rPr>
            <b/>
            <sz val="8"/>
            <color indexed="81"/>
            <rFont val="Tahoma"/>
            <family val="2"/>
          </rPr>
          <t>Matt Mortimer:</t>
        </r>
        <r>
          <rPr>
            <sz val="8"/>
            <color indexed="81"/>
            <rFont val="Tahoma"/>
            <family val="2"/>
          </rPr>
          <t xml:space="preserve">
Does not reflect catch.  Lack of coverage/effort in monitoring.</t>
        </r>
      </text>
    </comment>
    <comment ref="C22" authorId="0" shapeId="0" xr:uid="{00000000-0006-0000-0300-00000F000000}">
      <text>
        <r>
          <rPr>
            <b/>
            <sz val="8"/>
            <color indexed="81"/>
            <rFont val="Tahoma"/>
            <family val="2"/>
          </rPr>
          <t>Matt Mortimer:</t>
        </r>
        <r>
          <rPr>
            <sz val="8"/>
            <color indexed="81"/>
            <rFont val="Tahoma"/>
            <family val="2"/>
          </rPr>
          <t xml:space="preserve">
Does not reflect catch.  Lack of coverage/effort in monitoring.</t>
        </r>
      </text>
    </comment>
    <comment ref="F22" authorId="0" shapeId="0" xr:uid="{00000000-0006-0000-0300-000010000000}">
      <text>
        <r>
          <rPr>
            <b/>
            <sz val="8"/>
            <color indexed="81"/>
            <rFont val="Tahoma"/>
            <family val="2"/>
          </rPr>
          <t>Matt Mortimer:</t>
        </r>
        <r>
          <rPr>
            <sz val="8"/>
            <color indexed="81"/>
            <rFont val="Tahoma"/>
            <family val="2"/>
          </rPr>
          <t xml:space="preserve">
In RMS: There were no catches recorded this year.</t>
        </r>
      </text>
    </comment>
    <comment ref="B23" authorId="0" shapeId="0" xr:uid="{00000000-0006-0000-0300-000011000000}">
      <text>
        <r>
          <rPr>
            <b/>
            <sz val="8"/>
            <color indexed="81"/>
            <rFont val="Tahoma"/>
            <family val="2"/>
          </rPr>
          <t>Matt Mortimer:</t>
        </r>
        <r>
          <rPr>
            <sz val="8"/>
            <color indexed="81"/>
            <rFont val="Tahoma"/>
            <family val="2"/>
          </rPr>
          <t xml:space="preserve">
Catch Monitoring reduced this year.  Sockeye catches still high on July 29 and then no monitoring.</t>
        </r>
      </text>
    </comment>
    <comment ref="C23" authorId="0" shapeId="0" xr:uid="{00000000-0006-0000-0300-000012000000}">
      <text>
        <r>
          <rPr>
            <b/>
            <sz val="8"/>
            <color indexed="81"/>
            <rFont val="Tahoma"/>
            <family val="2"/>
          </rPr>
          <t>Matt Mortimer:</t>
        </r>
        <r>
          <rPr>
            <sz val="8"/>
            <color indexed="81"/>
            <rFont val="Tahoma"/>
            <family val="2"/>
          </rPr>
          <t xml:space="preserve">
Catch Monitoring reduced this year.</t>
        </r>
      </text>
    </comment>
    <comment ref="D23" authorId="0" shapeId="0" xr:uid="{00000000-0006-0000-0300-000013000000}">
      <text>
        <r>
          <rPr>
            <b/>
            <sz val="8"/>
            <color indexed="81"/>
            <rFont val="Tahoma"/>
            <family val="2"/>
          </rPr>
          <t>Matt Mortimer:</t>
        </r>
        <r>
          <rPr>
            <sz val="8"/>
            <color indexed="81"/>
            <rFont val="Tahoma"/>
            <family val="2"/>
          </rPr>
          <t xml:space="preserve">
Listed as Fitz Hugh Sound</t>
        </r>
      </text>
    </comment>
    <comment ref="E23" authorId="0" shapeId="0" xr:uid="{00000000-0006-0000-0300-000014000000}">
      <text>
        <r>
          <rPr>
            <b/>
            <sz val="8"/>
            <color indexed="81"/>
            <rFont val="Tahoma"/>
            <family val="2"/>
          </rPr>
          <t>Matt Mortimer:</t>
        </r>
        <r>
          <rPr>
            <sz val="8"/>
            <color indexed="81"/>
            <rFont val="Tahoma"/>
            <family val="2"/>
          </rPr>
          <t xml:space="preserve">
Listed as Fisher Channel</t>
        </r>
      </text>
    </comment>
    <comment ref="B24" authorId="0" shapeId="0" xr:uid="{00000000-0006-0000-0300-000015000000}">
      <text>
        <r>
          <rPr>
            <b/>
            <sz val="8"/>
            <color indexed="81"/>
            <rFont val="Tahoma"/>
            <family val="2"/>
          </rPr>
          <t>Matt Mortimer:</t>
        </r>
        <r>
          <rPr>
            <sz val="8"/>
            <color indexed="81"/>
            <rFont val="Tahoma"/>
            <family val="2"/>
          </rPr>
          <t xml:space="preserve">
Drops off abruptly after July 27 but comments say little activity.</t>
        </r>
      </text>
    </comment>
    <comment ref="D24" authorId="0" shapeId="0" xr:uid="{00000000-0006-0000-0300-000016000000}">
      <text>
        <r>
          <rPr>
            <b/>
            <sz val="8"/>
            <color indexed="81"/>
            <rFont val="Tahoma"/>
            <family val="2"/>
          </rPr>
          <t>Matt Mortimer:</t>
        </r>
        <r>
          <rPr>
            <sz val="8"/>
            <color indexed="81"/>
            <rFont val="Tahoma"/>
            <family val="2"/>
          </rPr>
          <t xml:space="preserve">
RMS had mistakes of Area vs. location.  Made some assumptions…Seahawk was assumed lower 8-4 near Tomohawk Island and Kwakume is 8-16/8-3 border so recorded as 8-3.</t>
        </r>
      </text>
    </comment>
    <comment ref="F24" authorId="0" shapeId="0" xr:uid="{00000000-0006-0000-0300-000017000000}">
      <text>
        <r>
          <rPr>
            <b/>
            <sz val="8"/>
            <color indexed="81"/>
            <rFont val="Tahoma"/>
            <family val="2"/>
          </rPr>
          <t>Matt Mortimer:</t>
        </r>
        <r>
          <rPr>
            <sz val="8"/>
            <color indexed="81"/>
            <rFont val="Tahoma"/>
            <family val="2"/>
          </rPr>
          <t xml:space="preserve">
RMS- Nuxalk no effort recorded this year.</t>
        </r>
      </text>
    </comment>
    <comment ref="F25" authorId="0" shapeId="0" xr:uid="{00000000-0006-0000-0300-000018000000}">
      <text>
        <r>
          <rPr>
            <b/>
            <sz val="8"/>
            <color indexed="81"/>
            <rFont val="Tahoma"/>
            <family val="2"/>
          </rPr>
          <t>Matt Mortimer:</t>
        </r>
        <r>
          <rPr>
            <sz val="8"/>
            <color indexed="81"/>
            <rFont val="Tahoma"/>
            <family val="2"/>
          </rPr>
          <t xml:space="preserve">
RMS- Nuxalk no effort recorded this year.</t>
        </r>
      </text>
    </comment>
    <comment ref="D26" authorId="0" shapeId="0" xr:uid="{00000000-0006-0000-0300-000019000000}">
      <text>
        <r>
          <rPr>
            <b/>
            <sz val="8"/>
            <color indexed="81"/>
            <rFont val="Tahoma"/>
            <family val="2"/>
          </rPr>
          <t>Matt Mortimer:</t>
        </r>
        <r>
          <rPr>
            <sz val="8"/>
            <color indexed="81"/>
            <rFont val="Tahoma"/>
            <family val="2"/>
          </rPr>
          <t xml:space="preserve">
NO data reported at production of RMS document.  This number is from a the 3rd quarter 1998 Heiltsuk Fisheries AFS reporting.  The FSC catch data was listed by subarea and location.  The locations and subareas didn't always match up.  The location was assumed to trump the subarea.</t>
        </r>
      </text>
    </comment>
    <comment ref="E26" authorId="0" shapeId="0" xr:uid="{00000000-0006-0000-0300-00001A000000}">
      <text>
        <r>
          <rPr>
            <b/>
            <sz val="8"/>
            <color indexed="81"/>
            <rFont val="Tahoma"/>
            <family val="2"/>
          </rPr>
          <t>Matt Mortimer:</t>
        </r>
        <r>
          <rPr>
            <sz val="8"/>
            <color indexed="81"/>
            <rFont val="Tahoma"/>
            <family val="2"/>
          </rPr>
          <t xml:space="preserve">
NO data reported at production of RMS document.  This number is from a the 3rd quarter 1998 Heiltsuk Fisheries AFS reporting.  The FSC catch data was listed by subarea and location.  The locations and subareas didn't always match up.  The location was assumed to trump the subarea.  There was a catch for 150 listed as Area 8- assumed Fisher Channel.</t>
        </r>
      </text>
    </comment>
    <comment ref="F26" authorId="0" shapeId="0" xr:uid="{00000000-0006-0000-0300-00001B000000}">
      <text>
        <r>
          <rPr>
            <b/>
            <sz val="8"/>
            <color indexed="81"/>
            <rFont val="Tahoma"/>
            <family val="2"/>
          </rPr>
          <t>Matt Mortimer:</t>
        </r>
        <r>
          <rPr>
            <sz val="8"/>
            <color indexed="81"/>
            <rFont val="Tahoma"/>
            <family val="2"/>
          </rPr>
          <t xml:space="preserve">
RMS- Nuxalk no effort recorded this year.</t>
        </r>
      </text>
    </comment>
    <comment ref="D27" authorId="0" shapeId="0" xr:uid="{00000000-0006-0000-0300-00001C000000}">
      <text>
        <r>
          <rPr>
            <b/>
            <sz val="8"/>
            <color indexed="81"/>
            <rFont val="Tahoma"/>
            <family val="2"/>
          </rPr>
          <t>Matt Mortimer:</t>
        </r>
        <r>
          <rPr>
            <sz val="8"/>
            <color indexed="81"/>
            <rFont val="Tahoma"/>
            <family val="2"/>
          </rPr>
          <t xml:space="preserve">
One in RMS was Purple Bluff/Koeye for 350 sockeye so split 175 Koeye and 175 P Bluff.  </t>
        </r>
      </text>
    </comment>
    <comment ref="D28" authorId="0" shapeId="0" xr:uid="{00000000-0006-0000-0300-00001D000000}">
      <text>
        <r>
          <rPr>
            <b/>
            <sz val="8"/>
            <color indexed="81"/>
            <rFont val="Tahoma"/>
            <family val="2"/>
          </rPr>
          <t>Matt Mortimer:</t>
        </r>
        <r>
          <rPr>
            <sz val="8"/>
            <color indexed="81"/>
            <rFont val="Tahoma"/>
            <family val="2"/>
          </rPr>
          <t xml:space="preserve">
Some (110,39,68,64,5) were 8-5 Uganda Pt but Uganda is 8-3/8-4 so included here.</t>
        </r>
      </text>
    </comment>
    <comment ref="E28" authorId="0" shapeId="0" xr:uid="{00000000-0006-0000-0300-00001E000000}">
      <text>
        <r>
          <rPr>
            <b/>
            <sz val="8"/>
            <color indexed="81"/>
            <rFont val="Tahoma"/>
            <family val="2"/>
          </rPr>
          <t>Matt Mortimer:</t>
        </r>
        <r>
          <rPr>
            <sz val="8"/>
            <color indexed="81"/>
            <rFont val="Tahoma"/>
            <family val="2"/>
          </rPr>
          <t xml:space="preserve">
Does not include 23 that were recorded as 8-3 Spiller?</t>
        </r>
      </text>
    </comment>
    <comment ref="F34" authorId="0" shapeId="0" xr:uid="{00000000-0006-0000-0300-00001F000000}">
      <text>
        <r>
          <rPr>
            <b/>
            <sz val="8"/>
            <color indexed="81"/>
            <rFont val="Tahoma"/>
            <family val="2"/>
          </rPr>
          <t>Matt Mortimer:</t>
        </r>
        <r>
          <rPr>
            <sz val="8"/>
            <color indexed="81"/>
            <rFont val="Tahoma"/>
            <family val="2"/>
          </rPr>
          <t xml:space="preserve">
Nuxalk 400 tidal catch from Kristen but didn't give location.  Could be Koeye/Namu?</t>
        </r>
      </text>
    </comment>
    <comment ref="B41" authorId="1" shapeId="0" xr:uid="{00000000-0006-0000-0300-000020000000}">
      <text>
        <r>
          <rPr>
            <b/>
            <sz val="9"/>
            <color indexed="81"/>
            <rFont val="Tahoma"/>
            <family val="2"/>
          </rPr>
          <t>Bradley Koroluk:</t>
        </r>
        <r>
          <rPr>
            <sz val="9"/>
            <color indexed="81"/>
            <rFont val="Tahoma"/>
            <family val="2"/>
          </rPr>
          <t xml:space="preserve">
Data from Nuxalk FSC Report Nov 24 2014</t>
        </r>
      </text>
    </comment>
    <comment ref="C41" authorId="1" shapeId="0" xr:uid="{00000000-0006-0000-0300-000021000000}">
      <text>
        <r>
          <rPr>
            <b/>
            <sz val="9"/>
            <color indexed="81"/>
            <rFont val="Tahoma"/>
            <family val="2"/>
          </rPr>
          <t>Bradley Koroluk:</t>
        </r>
        <r>
          <rPr>
            <sz val="9"/>
            <color indexed="81"/>
            <rFont val="Tahoma"/>
            <family val="2"/>
          </rPr>
          <t xml:space="preserve">
Data from Nuxalk FSC Report Nov 21, 2013</t>
        </r>
      </text>
    </comment>
    <comment ref="B42" authorId="1" shapeId="0" xr:uid="{00000000-0006-0000-0300-000022000000}">
      <text>
        <r>
          <rPr>
            <b/>
            <sz val="9"/>
            <color indexed="81"/>
            <rFont val="Tahoma"/>
            <family val="2"/>
          </rPr>
          <t>Bradley Koroluk:</t>
        </r>
        <r>
          <rPr>
            <sz val="9"/>
            <color indexed="81"/>
            <rFont val="Tahoma"/>
            <family val="2"/>
          </rPr>
          <t xml:space="preserve">
Data from Nuxalk FSC Report Nov 24 2014.  No breakout of Upper/Lower provided.
</t>
        </r>
      </text>
    </comment>
    <comment ref="B61" authorId="1" shapeId="0" xr:uid="{00000000-0006-0000-0300-000023000000}">
      <text>
        <r>
          <rPr>
            <b/>
            <sz val="9"/>
            <color indexed="81"/>
            <rFont val="Tahoma"/>
            <family val="2"/>
          </rPr>
          <t>Bradley Koroluk:</t>
        </r>
        <r>
          <rPr>
            <sz val="9"/>
            <color indexed="81"/>
            <rFont val="Tahoma"/>
            <family val="2"/>
          </rPr>
          <t xml:space="preserve">
Data from Nuxalk FSC Report Nov 24 2014</t>
        </r>
      </text>
    </comment>
    <comment ref="C61" authorId="1" shapeId="0" xr:uid="{00000000-0006-0000-0300-000024000000}">
      <text>
        <r>
          <rPr>
            <b/>
            <sz val="9"/>
            <color indexed="81"/>
            <rFont val="Tahoma"/>
            <family val="2"/>
          </rPr>
          <t>Bradley Koroluk:</t>
        </r>
        <r>
          <rPr>
            <sz val="9"/>
            <color indexed="81"/>
            <rFont val="Tahoma"/>
            <family val="2"/>
          </rPr>
          <t xml:space="preserve">
Data from Nuxalk FSC Report Nov 21, 2013</t>
        </r>
      </text>
    </comment>
    <comment ref="B62" authorId="1" shapeId="0" xr:uid="{00000000-0006-0000-0300-000025000000}">
      <text>
        <r>
          <rPr>
            <b/>
            <sz val="9"/>
            <color indexed="81"/>
            <rFont val="Tahoma"/>
            <family val="2"/>
          </rPr>
          <t>Bradley Koroluk:</t>
        </r>
        <r>
          <rPr>
            <sz val="9"/>
            <color indexed="81"/>
            <rFont val="Tahoma"/>
            <family val="2"/>
          </rPr>
          <t xml:space="preserve">
Data from Nuxalk FSC Report Nov 24 2014.  No breakout of Upper/Lower provided.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C11" authorId="0" shapeId="0" xr:uid="{00000000-0006-0000-0400-000001000000}">
      <text>
        <r>
          <rPr>
            <b/>
            <sz val="8"/>
            <color indexed="81"/>
            <rFont val="Tahoma"/>
            <family val="2"/>
          </rPr>
          <t>Matt Mortimer:</t>
        </r>
        <r>
          <rPr>
            <sz val="8"/>
            <color indexed="81"/>
            <rFont val="Tahoma"/>
            <family val="2"/>
          </rPr>
          <t xml:space="preserve">
This is Area 8 Tidal not including Hakai Pass</t>
        </r>
      </text>
    </comment>
    <comment ref="C12" authorId="0" shapeId="0" xr:uid="{00000000-0006-0000-0400-000002000000}">
      <text>
        <r>
          <rPr>
            <b/>
            <sz val="8"/>
            <color indexed="81"/>
            <rFont val="Tahoma"/>
            <family val="2"/>
          </rPr>
          <t>Matt Mortimer:</t>
        </r>
        <r>
          <rPr>
            <sz val="8"/>
            <color indexed="81"/>
            <rFont val="Tahoma"/>
            <family val="2"/>
          </rPr>
          <t xml:space="preserve">
This is Area 8 Tidal not including Hakai Pass</t>
        </r>
      </text>
    </comment>
    <comment ref="C13" authorId="0" shapeId="0" xr:uid="{00000000-0006-0000-0400-000003000000}">
      <text>
        <r>
          <rPr>
            <b/>
            <sz val="8"/>
            <color indexed="81"/>
            <rFont val="Tahoma"/>
            <family val="2"/>
          </rPr>
          <t>Matt Mortimer:</t>
        </r>
        <r>
          <rPr>
            <sz val="8"/>
            <color indexed="81"/>
            <rFont val="Tahoma"/>
            <family val="2"/>
          </rPr>
          <t xml:space="preserve">
This is Area 8 Tidal not including Hakai Pass</t>
        </r>
      </text>
    </comment>
    <comment ref="C16" authorId="0" shapeId="0" xr:uid="{00000000-0006-0000-0400-000004000000}">
      <text>
        <r>
          <rPr>
            <b/>
            <sz val="8"/>
            <color indexed="81"/>
            <rFont val="Tahoma"/>
            <family val="2"/>
          </rPr>
          <t>Matt Mortimer:</t>
        </r>
        <r>
          <rPr>
            <sz val="8"/>
            <color indexed="81"/>
            <rFont val="Tahoma"/>
            <family val="2"/>
          </rPr>
          <t xml:space="preserve">
Salmon catches excluding Hakai.</t>
        </r>
      </text>
    </comment>
    <comment ref="C20" authorId="0" shapeId="0" xr:uid="{00000000-0006-0000-0400-000005000000}">
      <text>
        <r>
          <rPr>
            <b/>
            <sz val="8"/>
            <color indexed="81"/>
            <rFont val="Tahoma"/>
            <family val="2"/>
          </rPr>
          <t>Matt Mortimer:</t>
        </r>
        <r>
          <rPr>
            <sz val="8"/>
            <color indexed="81"/>
            <rFont val="Tahoma"/>
            <family val="2"/>
          </rPr>
          <t xml:space="preserve">
RMS records as tidal waters outside Hakai Pass.</t>
        </r>
      </text>
    </comment>
    <comment ref="C25" authorId="0" shapeId="0" xr:uid="{00000000-0006-0000-0400-000006000000}">
      <text>
        <r>
          <rPr>
            <b/>
            <sz val="8"/>
            <color indexed="81"/>
            <rFont val="Tahoma"/>
            <family val="2"/>
          </rPr>
          <t>Matt Mortimer:</t>
        </r>
        <r>
          <rPr>
            <sz val="8"/>
            <color indexed="81"/>
            <rFont val="Tahoma"/>
            <family val="2"/>
          </rPr>
          <t xml:space="preserve">
From this point previous referred to Fisher Channel Sport Fishery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P2" authorId="0" shapeId="0" xr:uid="{00000000-0006-0000-0500-000001000000}">
      <text>
        <r>
          <rPr>
            <b/>
            <sz val="8"/>
            <color indexed="81"/>
            <rFont val="Tahoma"/>
            <family val="2"/>
          </rPr>
          <t>Matt Mortimer:</t>
        </r>
        <r>
          <rPr>
            <sz val="8"/>
            <color indexed="81"/>
            <rFont val="Tahoma"/>
            <family val="2"/>
          </rPr>
          <t xml:space="preserve">
Cutoff for observations was Aug 31 onward as arrival timing should be close to complete.  Wanted to increase the likelihood that fish observed below Stillwater were ocean types that wouldn't be enumerated above lake systems.</t>
        </r>
      </text>
    </comment>
    <comment ref="C3" authorId="0" shapeId="0" xr:uid="{00000000-0006-0000-0500-000002000000}">
      <text>
        <r>
          <rPr>
            <b/>
            <sz val="8"/>
            <color indexed="81"/>
            <rFont val="Tahoma"/>
            <family val="2"/>
          </rPr>
          <t>Matt Mortimer:</t>
        </r>
        <r>
          <rPr>
            <sz val="8"/>
            <color indexed="81"/>
            <rFont val="Tahoma"/>
            <family val="2"/>
          </rPr>
          <t xml:space="preserve">
Defined as fish spawning below Lonesome Lake (Atnarko sockeye enhancement feasibility study: phase 2 contact Chris Wood (or Denis Rutherford).</t>
        </r>
      </text>
    </comment>
    <comment ref="P3" authorId="0" shapeId="0" xr:uid="{00000000-0006-0000-0500-000003000000}">
      <text>
        <r>
          <rPr>
            <b/>
            <sz val="8"/>
            <color indexed="81"/>
            <rFont val="Tahoma"/>
            <family val="2"/>
          </rPr>
          <t>Matt Mortimer:</t>
        </r>
        <r>
          <rPr>
            <sz val="8"/>
            <color indexed="81"/>
            <rFont val="Tahoma"/>
            <family val="2"/>
          </rPr>
          <t xml:space="preserve">
Historic 1976-2003
By Year 2004-Present</t>
        </r>
      </text>
    </comment>
    <comment ref="D14" authorId="0" shapeId="0" xr:uid="{00000000-0006-0000-0500-000004000000}">
      <text>
        <r>
          <rPr>
            <b/>
            <sz val="8"/>
            <color indexed="81"/>
            <rFont val="Tahoma"/>
            <family val="2"/>
          </rPr>
          <t>Matt Mortimer:</t>
        </r>
        <r>
          <rPr>
            <sz val="8"/>
            <color indexed="81"/>
            <rFont val="Tahoma"/>
            <family val="2"/>
          </rPr>
          <t xml:space="preserve">
Last year of entry in Atnarko Sockeye Binder and BC16 Historic.  The observations in both were Oct 6-8 and numbers don't show more than 5K.  Missing data from mid to late September inspection that probably supports 30k annual estimate.</t>
        </r>
      </text>
    </comment>
    <comment ref="D15" authorId="0" shapeId="0" xr:uid="{00000000-0006-0000-0500-000005000000}">
      <text>
        <r>
          <rPr>
            <b/>
            <sz val="8"/>
            <color indexed="81"/>
            <rFont val="Tahoma"/>
            <family val="2"/>
          </rPr>
          <t>Matt Mortimer:</t>
        </r>
        <r>
          <rPr>
            <sz val="8"/>
            <color indexed="81"/>
            <rFont val="Tahoma"/>
            <family val="2"/>
          </rPr>
          <t xml:space="preserve">
Inspections on Sept 14 (est. 10k) and 30 (est. 22,750).  Assumed from the notes that the Sept 30 inspection was expanded for the final estimate (as says final escp't 25-30k) beside that inspection.  From Sept 30 Stillwater to Lonesome est. 2,000 and above Lonesome 20,750.  Used these to determine ocean vs. lake types in 30k annual estimate.</t>
        </r>
      </text>
    </comment>
    <comment ref="D16" authorId="0" shapeId="0" xr:uid="{00000000-0006-0000-0500-000006000000}">
      <text>
        <r>
          <rPr>
            <b/>
            <sz val="8"/>
            <color indexed="81"/>
            <rFont val="Tahoma"/>
            <family val="2"/>
          </rPr>
          <t>Matt Mortimer:</t>
        </r>
        <r>
          <rPr>
            <sz val="8"/>
            <color indexed="81"/>
            <rFont val="Tahoma"/>
            <family val="2"/>
          </rPr>
          <t xml:space="preserve">
Inspections Sept 12, 27 and Oct 2.  Confusing expansion due to sections inspected: 12- Rainbow to Stillwater (7,500), 27- Tenas to Stillwater (12,000), and 2- Knot to Elbow and Tenas to Lonesome (11,200). From the latter, the only section not inspected was between Elbow and Rainbow Lakes.  It appears as though the 20K annual estimate was subjective, based on all of the counts.  To break down the 20K estimate into lake vs. ocean type, used the highest count from each section: Knot to Elbow- 1,200; Rainbow to Tenas- 600; Head of Tenas- 500; Tenas to Lonesome- 10,000; Lonesome to Stillwater- 2,000.  The ratios from the latter were applied to the 20k to determine lake vs. ocean types.</t>
        </r>
      </text>
    </comment>
    <comment ref="D17" authorId="0" shapeId="0" xr:uid="{00000000-0006-0000-0500-000007000000}">
      <text>
        <r>
          <rPr>
            <b/>
            <sz val="8"/>
            <color indexed="81"/>
            <rFont val="Tahoma"/>
            <family val="2"/>
          </rPr>
          <t>Matt Mortimer:</t>
        </r>
        <r>
          <rPr>
            <sz val="8"/>
            <color indexed="81"/>
            <rFont val="Tahoma"/>
            <family val="2"/>
          </rPr>
          <t xml:space="preserve">
Estimate given in Atnarko Sockeye Binder was 20K.  If you add data Sept 17 and 26 inspections (including obs of dead fish) comes out to 18,015.</t>
        </r>
      </text>
    </comment>
    <comment ref="D19" authorId="0" shapeId="0" xr:uid="{00000000-0006-0000-0500-000008000000}">
      <text>
        <r>
          <rPr>
            <b/>
            <sz val="8"/>
            <color indexed="81"/>
            <rFont val="Tahoma"/>
            <family val="2"/>
          </rPr>
          <t>Matt Mortimer:</t>
        </r>
        <r>
          <rPr>
            <sz val="8"/>
            <color indexed="81"/>
            <rFont val="Tahoma"/>
            <family val="2"/>
          </rPr>
          <t xml:space="preserve">
Sept 24 inspection Knot to Stillwater.  Sept 29 looked at Tenas to Lonesome only.  Used the Sept 29 est for Lonesome to Tenas and Sept 24 for all other sections.  Stillwater to Lonesome est. 3,000, Lonesome and above est. 33,760.  Used these ratios compared to annual est. of 40K to determine lake vs. ocean types.</t>
        </r>
      </text>
    </comment>
    <comment ref="D20" authorId="0" shapeId="0" xr:uid="{00000000-0006-0000-0500-000009000000}">
      <text>
        <r>
          <rPr>
            <b/>
            <sz val="8"/>
            <color indexed="81"/>
            <rFont val="Tahoma"/>
            <family val="2"/>
          </rPr>
          <t>Matt Mortimer:</t>
        </r>
        <r>
          <rPr>
            <sz val="8"/>
            <color indexed="81"/>
            <rFont val="Tahoma"/>
            <family val="2"/>
          </rPr>
          <t xml:space="preserve">
Assumed expansion of Sept 27 count; Stillwater to Lonesome est. 2,000, above Lonesome est. 15,008.  Used these to compare to 20K annual estimate to determine ocean vs. lake types.  Assumed that Stanleys observation on Sept 7 of 3k spawning above Stillwater Lake didn't factor into estimate- too early for spawn?</t>
        </r>
      </text>
    </comment>
    <comment ref="P20" authorId="0" shapeId="0" xr:uid="{00000000-0006-0000-0500-00000A000000}">
      <text>
        <r>
          <rPr>
            <b/>
            <sz val="8"/>
            <color indexed="81"/>
            <rFont val="Tahoma"/>
            <family val="2"/>
          </rPr>
          <t>Matt Mortimer:</t>
        </r>
        <r>
          <rPr>
            <sz val="8"/>
            <color indexed="81"/>
            <rFont val="Tahoma"/>
            <family val="2"/>
          </rPr>
          <t xml:space="preserve">
Sugar Camp to Young Creek Sept 16</t>
        </r>
      </text>
    </comment>
    <comment ref="D21" authorId="0" shapeId="0" xr:uid="{00000000-0006-0000-0500-00000B000000}">
      <text>
        <r>
          <rPr>
            <b/>
            <sz val="8"/>
            <color indexed="81"/>
            <rFont val="Tahoma"/>
            <family val="2"/>
          </rPr>
          <t>Matt Mortimer:</t>
        </r>
        <r>
          <rPr>
            <sz val="8"/>
            <color indexed="81"/>
            <rFont val="Tahoma"/>
            <family val="2"/>
          </rPr>
          <t xml:space="preserve">
Stillwater to Lonesome- est. 5,000 and above Lonesome est. 17,100.  BC16 Historic has a count Sept 20 that had 100 obs and 600 est below Stillwater to Fisheries Pool.  Assumed 22,100 expanded to 25K for the annual estimate.  Used the ratios to determine ocean vs. lake types.</t>
        </r>
      </text>
    </comment>
    <comment ref="P21" authorId="0" shapeId="0" xr:uid="{00000000-0006-0000-0500-00000C000000}">
      <text>
        <r>
          <rPr>
            <b/>
            <sz val="8"/>
            <color indexed="81"/>
            <rFont val="Tahoma"/>
            <family val="2"/>
          </rPr>
          <t>Matt Mortimer:</t>
        </r>
        <r>
          <rPr>
            <sz val="8"/>
            <color indexed="81"/>
            <rFont val="Tahoma"/>
            <family val="2"/>
          </rPr>
          <t xml:space="preserve">
Sept 20 between Line Cabin to Stillwater Pool; Belarko to Fisheries Pool</t>
        </r>
      </text>
    </comment>
    <comment ref="Q21" authorId="0" shapeId="0" xr:uid="{00000000-0006-0000-0500-00000D000000}">
      <text>
        <r>
          <rPr>
            <b/>
            <sz val="8"/>
            <color indexed="81"/>
            <rFont val="Tahoma"/>
            <family val="2"/>
          </rPr>
          <t>Matt Mortimer:</t>
        </r>
        <r>
          <rPr>
            <sz val="8"/>
            <color indexed="81"/>
            <rFont val="Tahoma"/>
            <family val="2"/>
          </rPr>
          <t xml:space="preserve">
Same as BC16</t>
        </r>
      </text>
    </comment>
    <comment ref="D22" authorId="0" shapeId="0" xr:uid="{00000000-0006-0000-0500-00000E000000}">
      <text>
        <r>
          <rPr>
            <b/>
            <sz val="8"/>
            <color indexed="81"/>
            <rFont val="Tahoma"/>
            <family val="2"/>
          </rPr>
          <t>Matt Mortimer:</t>
        </r>
        <r>
          <rPr>
            <sz val="8"/>
            <color indexed="81"/>
            <rFont val="Tahoma"/>
            <family val="2"/>
          </rPr>
          <t xml:space="preserve">
8,000 Stillwater to Lonesome and 34,800 from Lonesome to Knot Lk.  Used this ratio applied to 45,000 escapement figure.</t>
        </r>
      </text>
    </comment>
    <comment ref="D23" authorId="0" shapeId="0" xr:uid="{00000000-0006-0000-0500-00000F000000}">
      <text>
        <r>
          <rPr>
            <b/>
            <sz val="8"/>
            <color indexed="81"/>
            <rFont val="Tahoma"/>
            <family val="2"/>
          </rPr>
          <t>Matt Mortimer:</t>
        </r>
        <r>
          <rPr>
            <sz val="8"/>
            <color indexed="81"/>
            <rFont val="Tahoma"/>
            <family val="2"/>
          </rPr>
          <t xml:space="preserve">
From RMS- 45000 in the lake systems + 5000 in the Lower Atnarko/Bella Coola.  From BC16 Historical 33,141 above Lonesome and 6,700 Stillwater to Lonesome.  Used these figures as a ratio of the 45,000 to determine lake system contribution.  Added the 5K in lower Atnarko to the ocean type.</t>
        </r>
      </text>
    </comment>
    <comment ref="Q23" authorId="0" shapeId="0" xr:uid="{00000000-0006-0000-0500-000010000000}">
      <text>
        <r>
          <rPr>
            <b/>
            <sz val="8"/>
            <color indexed="81"/>
            <rFont val="Tahoma"/>
            <family val="2"/>
          </rPr>
          <t>Matt Mortimer:</t>
        </r>
        <r>
          <rPr>
            <sz val="8"/>
            <color indexed="81"/>
            <rFont val="Tahoma"/>
            <family val="2"/>
          </rPr>
          <t xml:space="preserve">
Oct 7 drift Sugar Camp to Young's Creek as few fresh sockeye noted</t>
        </r>
      </text>
    </comment>
    <comment ref="A24" authorId="0" shapeId="0" xr:uid="{00000000-0006-0000-0500-000011000000}">
      <text>
        <r>
          <rPr>
            <b/>
            <sz val="8"/>
            <color indexed="81"/>
            <rFont val="Tahoma"/>
            <family val="2"/>
          </rPr>
          <t>Matt Mortimer:</t>
        </r>
        <r>
          <rPr>
            <sz val="8"/>
            <color indexed="81"/>
            <rFont val="Tahoma"/>
            <family val="2"/>
          </rPr>
          <t xml:space="preserve">
Knot Lake (West Creek) diversion blasted in May 1986 to reduce siltation from Kliniklini Watershed</t>
        </r>
      </text>
    </comment>
    <comment ref="D24" authorId="0" shapeId="0" xr:uid="{00000000-0006-0000-0500-000012000000}">
      <text>
        <r>
          <rPr>
            <b/>
            <sz val="8"/>
            <color indexed="81"/>
            <rFont val="Tahoma"/>
            <family val="2"/>
          </rPr>
          <t>Matt Mortimer:</t>
        </r>
        <r>
          <rPr>
            <sz val="8"/>
            <color indexed="81"/>
            <rFont val="Tahoma"/>
            <family val="2"/>
          </rPr>
          <t xml:space="preserve">
From Atnarko Sockeye Binder 18,648 including Stillwater and above.  13,082 were above Lonesome and 5,566 were Lonesome to Stillwater.  Used as percentage of 19,975 to determine lake vs. ocean type</t>
        </r>
      </text>
    </comment>
    <comment ref="F24" authorId="0" shapeId="0" xr:uid="{00000000-0006-0000-0500-000013000000}">
      <text>
        <r>
          <rPr>
            <b/>
            <sz val="8"/>
            <color indexed="81"/>
            <rFont val="Tahoma"/>
            <family val="2"/>
          </rPr>
          <t>Matt Mortimer:</t>
        </r>
        <r>
          <rPr>
            <sz val="8"/>
            <color indexed="81"/>
            <rFont val="Tahoma"/>
            <family val="2"/>
          </rPr>
          <t xml:space="preserve">
First Year of Channel Operation in August 1986</t>
        </r>
      </text>
    </comment>
    <comment ref="P24" authorId="0" shapeId="0" xr:uid="{00000000-0006-0000-0500-000014000000}">
      <text>
        <r>
          <rPr>
            <b/>
            <sz val="8"/>
            <color indexed="81"/>
            <rFont val="Tahoma"/>
            <family val="2"/>
          </rPr>
          <t>Matt Mortimer:</t>
        </r>
        <r>
          <rPr>
            <sz val="8"/>
            <color indexed="81"/>
            <rFont val="Tahoma"/>
            <family val="2"/>
          </rPr>
          <t xml:space="preserve">
Sept 6 drift Belarko to Fisheries Pool</t>
        </r>
      </text>
    </comment>
    <comment ref="Q24" authorId="0" shapeId="0" xr:uid="{00000000-0006-0000-0500-000015000000}">
      <text>
        <r>
          <rPr>
            <b/>
            <sz val="8"/>
            <color indexed="81"/>
            <rFont val="Tahoma"/>
            <family val="2"/>
          </rPr>
          <t>Matt Mortimer:</t>
        </r>
        <r>
          <rPr>
            <sz val="8"/>
            <color indexed="81"/>
            <rFont val="Tahoma"/>
            <family val="2"/>
          </rPr>
          <t xml:space="preserve">
Sept 25 Stillwater to Hotnarko River obs 2; Belarko to Fisheries Pool obs 20</t>
        </r>
      </text>
    </comment>
    <comment ref="D25" authorId="0" shapeId="0" xr:uid="{00000000-0006-0000-0500-000016000000}">
      <text>
        <r>
          <rPr>
            <b/>
            <sz val="8"/>
            <color indexed="81"/>
            <rFont val="Tahoma"/>
            <family val="2"/>
          </rPr>
          <t>Matt Mortimer:</t>
        </r>
        <r>
          <rPr>
            <sz val="8"/>
            <color indexed="81"/>
            <rFont val="Tahoma"/>
            <family val="2"/>
          </rPr>
          <t xml:space="preserve">
BC16 Historic and Atnarko Sockeye Binder reported 30,800 (appears to include 40 spawning Sugar Camp to Young Cr which usually don't get added into the equation).  Used the obs number from each of the sections to determine lake vs. ocean type</t>
        </r>
      </text>
    </comment>
    <comment ref="P25" authorId="0" shapeId="0" xr:uid="{00000000-0006-0000-0500-000017000000}">
      <text>
        <r>
          <rPr>
            <b/>
            <sz val="8"/>
            <color indexed="81"/>
            <rFont val="Tahoma"/>
            <family val="2"/>
          </rPr>
          <t>Matt Mortimer:</t>
        </r>
        <r>
          <rPr>
            <sz val="8"/>
            <color indexed="81"/>
            <rFont val="Tahoma"/>
            <family val="2"/>
          </rPr>
          <t xml:space="preserve">
Same as Atnarko Binder Sept 3- 13, 4- 37, Oct 2- 7.  Sept 18- 30 between Sugar Camp and Young's Crk wrong estimate and wrong date.</t>
        </r>
      </text>
    </comment>
    <comment ref="Q25" authorId="0" shapeId="0" xr:uid="{00000000-0006-0000-0500-000018000000}">
      <text>
        <r>
          <rPr>
            <b/>
            <sz val="8"/>
            <color indexed="81"/>
            <rFont val="Tahoma"/>
            <family val="2"/>
          </rPr>
          <t>Matt Mortimer:</t>
        </r>
        <r>
          <rPr>
            <sz val="8"/>
            <color indexed="81"/>
            <rFont val="Tahoma"/>
            <family val="2"/>
          </rPr>
          <t xml:space="preserve">
Sept 3 Stillwater to Hotnarko River 13 obs.
Sept 4 Sugar Camp to Young's Crk 37 obs.
Sept 24 Sugar Camp to Young's Crk 40 obs.
Oct 2 Belarko to Fisheries Pool obs 7</t>
        </r>
      </text>
    </comment>
    <comment ref="B26" authorId="0" shapeId="0" xr:uid="{00000000-0006-0000-0500-000019000000}">
      <text>
        <r>
          <rPr>
            <b/>
            <sz val="8"/>
            <color indexed="81"/>
            <rFont val="Tahoma"/>
            <family val="2"/>
          </rPr>
          <t>Matt Mortimer:</t>
        </r>
        <r>
          <rPr>
            <sz val="8"/>
            <color indexed="81"/>
            <rFont val="Tahoma"/>
            <family val="2"/>
          </rPr>
          <t xml:space="preserve">
According to BC16 Historic should be 26,650</t>
        </r>
      </text>
    </comment>
    <comment ref="C26" authorId="0" shapeId="0" xr:uid="{00000000-0006-0000-0500-00001A000000}">
      <text>
        <r>
          <rPr>
            <b/>
            <sz val="8"/>
            <color indexed="81"/>
            <rFont val="Tahoma"/>
            <family val="2"/>
          </rPr>
          <t>Matt Mortimer:</t>
        </r>
        <r>
          <rPr>
            <sz val="8"/>
            <color indexed="81"/>
            <rFont val="Tahoma"/>
            <family val="2"/>
          </rPr>
          <t xml:space="preserve">
This does not include anything d/s of Stillwater Lake</t>
        </r>
      </text>
    </comment>
    <comment ref="D26" authorId="0" shapeId="0" xr:uid="{00000000-0006-0000-0500-00001B000000}">
      <text>
        <r>
          <rPr>
            <b/>
            <sz val="8"/>
            <color indexed="81"/>
            <rFont val="Tahoma"/>
            <family val="2"/>
          </rPr>
          <t>Matt Mortimer:</t>
        </r>
        <r>
          <rPr>
            <sz val="8"/>
            <color indexed="81"/>
            <rFont val="Tahoma"/>
            <family val="2"/>
          </rPr>
          <t xml:space="preserve">
BC16 Historic obs 30,281</t>
        </r>
      </text>
    </comment>
    <comment ref="P26" authorId="0" shapeId="0" xr:uid="{00000000-0006-0000-0500-00001C000000}">
      <text>
        <r>
          <rPr>
            <b/>
            <sz val="8"/>
            <color indexed="81"/>
            <rFont val="Tahoma"/>
            <family val="2"/>
          </rPr>
          <t>Matt Mortimer:</t>
        </r>
        <r>
          <rPr>
            <sz val="8"/>
            <color indexed="81"/>
            <rFont val="Tahoma"/>
            <family val="2"/>
          </rPr>
          <t xml:space="preserve">
Sept 10- 38 same as Atnarko Binder</t>
        </r>
      </text>
    </comment>
    <comment ref="Q26" authorId="0" shapeId="0" xr:uid="{00000000-0006-0000-0500-00001D000000}">
      <text>
        <r>
          <rPr>
            <b/>
            <sz val="8"/>
            <color indexed="81"/>
            <rFont val="Tahoma"/>
            <family val="2"/>
          </rPr>
          <t>Matt Mortimer:</t>
        </r>
        <r>
          <rPr>
            <sz val="8"/>
            <color indexed="81"/>
            <rFont val="Tahoma"/>
            <family val="2"/>
          </rPr>
          <t xml:space="preserve">
Sept 1 Sugar Camp to Young's Crk obs 20.
Sept 10 Sugar Camp to Young's Crk obs 38</t>
        </r>
      </text>
    </comment>
    <comment ref="D27" authorId="0" shapeId="0" xr:uid="{00000000-0006-0000-0500-00001E000000}">
      <text>
        <r>
          <rPr>
            <b/>
            <sz val="8"/>
            <color indexed="81"/>
            <rFont val="Tahoma"/>
            <family val="2"/>
          </rPr>
          <t>Matt Mortimer:</t>
        </r>
        <r>
          <rPr>
            <sz val="8"/>
            <color indexed="81"/>
            <rFont val="Tahoma"/>
            <family val="2"/>
          </rPr>
          <t xml:space="preserve">
BC16 Historic obs 15,009</t>
        </r>
      </text>
    </comment>
    <comment ref="P27" authorId="0" shapeId="0" xr:uid="{00000000-0006-0000-0500-00001F000000}">
      <text>
        <r>
          <rPr>
            <b/>
            <sz val="8"/>
            <color indexed="81"/>
            <rFont val="Tahoma"/>
            <family val="2"/>
          </rPr>
          <t>Matt Mortimer:</t>
        </r>
        <r>
          <rPr>
            <sz val="8"/>
            <color indexed="81"/>
            <rFont val="Tahoma"/>
            <family val="2"/>
          </rPr>
          <t xml:space="preserve">
Sept 19- 12 obs same as Atnarko Binder</t>
        </r>
      </text>
    </comment>
    <comment ref="Q27" authorId="0" shapeId="0" xr:uid="{00000000-0006-0000-0500-000020000000}">
      <text>
        <r>
          <rPr>
            <b/>
            <sz val="8"/>
            <color indexed="81"/>
            <rFont val="Tahoma"/>
            <family val="2"/>
          </rPr>
          <t>Matt Mortimer:</t>
        </r>
        <r>
          <rPr>
            <sz val="8"/>
            <color indexed="81"/>
            <rFont val="Tahoma"/>
            <family val="2"/>
          </rPr>
          <t xml:space="preserve">
Sept 8 Line Cabin to Young's Crk 18 obs
Sept 19 Line Cabin to Young's Crk 12 obs</t>
        </r>
      </text>
    </comment>
    <comment ref="D28" authorId="0" shapeId="0" xr:uid="{00000000-0006-0000-0500-000021000000}">
      <text>
        <r>
          <rPr>
            <b/>
            <sz val="8"/>
            <color indexed="81"/>
            <rFont val="Tahoma"/>
            <family val="2"/>
          </rPr>
          <t>Matt Mortimer:</t>
        </r>
        <r>
          <rPr>
            <sz val="8"/>
            <color indexed="81"/>
            <rFont val="Tahoma"/>
            <family val="2"/>
          </rPr>
          <t xml:space="preserve">
Total of counts came to 14059. I assumed this number expanded to 20K.   I used the obs #  to determine expansions to each section inspected to come up with ocean vs. lake types</t>
        </r>
      </text>
    </comment>
    <comment ref="Q28" authorId="0" shapeId="0" xr:uid="{00000000-0006-0000-0500-000022000000}">
      <text>
        <r>
          <rPr>
            <b/>
            <sz val="8"/>
            <color indexed="81"/>
            <rFont val="Tahoma"/>
            <family val="2"/>
          </rPr>
          <t>Matt Mortimer:</t>
        </r>
        <r>
          <rPr>
            <sz val="8"/>
            <color indexed="81"/>
            <rFont val="Tahoma"/>
            <family val="2"/>
          </rPr>
          <t xml:space="preserve">
Sept 20 Upper drift 12 obs and Lower drift 6 obs</t>
        </r>
      </text>
    </comment>
    <comment ref="Q29" authorId="0" shapeId="0" xr:uid="{00000000-0006-0000-0500-000023000000}">
      <text>
        <r>
          <rPr>
            <b/>
            <sz val="8"/>
            <color indexed="81"/>
            <rFont val="Tahoma"/>
            <family val="2"/>
          </rPr>
          <t>Matt Mortimer:</t>
        </r>
        <r>
          <rPr>
            <sz val="8"/>
            <color indexed="81"/>
            <rFont val="Tahoma"/>
            <family val="2"/>
          </rPr>
          <t xml:space="preserve">
Sept 26 Line Cabin to Young's Crk 156 obs, Belarko 14, Channel 45</t>
        </r>
      </text>
    </comment>
    <comment ref="D30" authorId="0" shapeId="0" xr:uid="{00000000-0006-0000-0500-000024000000}">
      <text>
        <r>
          <rPr>
            <b/>
            <sz val="8"/>
            <color indexed="81"/>
            <rFont val="Tahoma"/>
            <family val="2"/>
          </rPr>
          <t>Matt Mortimer:</t>
        </r>
        <r>
          <rPr>
            <sz val="8"/>
            <color indexed="81"/>
            <rFont val="Tahoma"/>
            <family val="2"/>
          </rPr>
          <t xml:space="preserve">
If sum live + dead but from records was actually 41,139.</t>
        </r>
      </text>
    </comment>
    <comment ref="D31" authorId="0" shapeId="0" xr:uid="{00000000-0006-0000-0500-000025000000}">
      <text>
        <r>
          <rPr>
            <b/>
            <sz val="8"/>
            <color indexed="81"/>
            <rFont val="Tahoma"/>
            <family val="2"/>
          </rPr>
          <t>Matt Mortimer:</t>
        </r>
        <r>
          <rPr>
            <sz val="8"/>
            <color indexed="81"/>
            <rFont val="Tahoma"/>
            <family val="2"/>
          </rPr>
          <t xml:space="preserve">
No supporting data other than escapement spreadsheet.</t>
        </r>
      </text>
    </comment>
    <comment ref="D32" authorId="0" shapeId="0" xr:uid="{00000000-0006-0000-0500-000026000000}">
      <text>
        <r>
          <rPr>
            <b/>
            <sz val="8"/>
            <color indexed="81"/>
            <rFont val="Tahoma"/>
            <family val="2"/>
          </rPr>
          <t>Matt Mortimer:</t>
        </r>
        <r>
          <rPr>
            <sz val="8"/>
            <color indexed="81"/>
            <rFont val="Tahoma"/>
            <family val="2"/>
          </rPr>
          <t xml:space="preserve">
Expanded from a count of 20,482 to 25,000 on fish observed holding in Stillwater Lake that were not enumerated.</t>
        </r>
      </text>
    </comment>
    <comment ref="P35" authorId="0" shapeId="0" xr:uid="{00000000-0006-0000-0500-000027000000}">
      <text>
        <r>
          <rPr>
            <b/>
            <sz val="8"/>
            <color indexed="81"/>
            <rFont val="Tahoma"/>
            <family val="2"/>
          </rPr>
          <t>Matt Mortimer:</t>
        </r>
        <r>
          <rPr>
            <sz val="8"/>
            <color indexed="81"/>
            <rFont val="Tahoma"/>
            <family val="2"/>
          </rPr>
          <t xml:space="preserve">
Sept 1 Sugar Camp to Young's Crk 20 obs</t>
        </r>
      </text>
    </comment>
    <comment ref="P36" authorId="0" shapeId="0" xr:uid="{00000000-0006-0000-0500-000028000000}">
      <text>
        <r>
          <rPr>
            <b/>
            <sz val="8"/>
            <color indexed="81"/>
            <rFont val="Tahoma"/>
            <family val="2"/>
          </rPr>
          <t>Matt Mortimer:</t>
        </r>
        <r>
          <rPr>
            <sz val="8"/>
            <color indexed="81"/>
            <rFont val="Tahoma"/>
            <family val="2"/>
          </rPr>
          <t xml:space="preserve">
Aug 31 Line Cabin to Paggetts 53 obs
Sept 1 Campground to Fisheries Pool obs. 21 est 24.
Sept 15 Line Cabin to Young Crk 124 obs.
Sept 16 Atnarko campsite to Fisheries Pool 23 obs.</t>
        </r>
      </text>
    </comment>
    <comment ref="D37" authorId="0" shapeId="0" xr:uid="{00000000-0006-0000-0500-000029000000}">
      <text>
        <r>
          <rPr>
            <b/>
            <sz val="8"/>
            <color indexed="81"/>
            <rFont val="Tahoma"/>
            <family val="2"/>
          </rPr>
          <t>Matt Mortimer:</t>
        </r>
        <r>
          <rPr>
            <sz val="8"/>
            <color indexed="81"/>
            <rFont val="Tahoma"/>
            <family val="2"/>
          </rPr>
          <t xml:space="preserve">
BC16 had 5k above Lonesome and 15k below so expanded these using 25k annual estimate</t>
        </r>
      </text>
    </comment>
    <comment ref="P37" authorId="0" shapeId="0" xr:uid="{00000000-0006-0000-0500-00002A000000}">
      <text>
        <r>
          <rPr>
            <b/>
            <sz val="8"/>
            <color indexed="81"/>
            <rFont val="Tahoma"/>
            <family val="2"/>
          </rPr>
          <t>Matt Mortimer:</t>
        </r>
        <r>
          <rPr>
            <sz val="8"/>
            <color indexed="81"/>
            <rFont val="Tahoma"/>
            <family val="2"/>
          </rPr>
          <t xml:space="preserve">
Nov 4 Belarko to Fisheries Pool 1 obs</t>
        </r>
      </text>
    </comment>
    <comment ref="D38" authorId="0" shapeId="0" xr:uid="{00000000-0006-0000-0500-00002B000000}">
      <text>
        <r>
          <rPr>
            <b/>
            <sz val="8"/>
            <color indexed="81"/>
            <rFont val="Tahoma"/>
            <family val="2"/>
          </rPr>
          <t>Matt Mortimer:</t>
        </r>
        <r>
          <rPr>
            <sz val="8"/>
            <color indexed="81"/>
            <rFont val="Tahoma"/>
            <family val="2"/>
          </rPr>
          <t xml:space="preserve">
From flight 2000 above Lonesome, 800 in Lonesome (south end- assumed going u/s), and 10000 between Stillwater and Lonesome.  Estimate was 15k for the season, so expanded counts accordingly.  Wally Webber also estimated 1000 between Line Cabin and Belarko and 300 between Campsite and Fisheries Pool- I don't know if these factored into the estimate?</t>
        </r>
      </text>
    </comment>
    <comment ref="P38" authorId="0" shapeId="0" xr:uid="{00000000-0006-0000-0500-00002C000000}">
      <text>
        <r>
          <rPr>
            <b/>
            <sz val="8"/>
            <color indexed="81"/>
            <rFont val="Tahoma"/>
            <family val="2"/>
          </rPr>
          <t>Matt Mortimer:</t>
        </r>
        <r>
          <rPr>
            <sz val="8"/>
            <color indexed="81"/>
            <rFont val="Tahoma"/>
            <family val="2"/>
          </rPr>
          <t xml:space="preserve">
Sept 7 Atnarko Campsite to Fisheries Pool 226 obs, 300 est.
Sept 8 Line Cabin to Young's Crk 879 obs, 1000 est.</t>
        </r>
      </text>
    </comment>
    <comment ref="P40" authorId="0" shapeId="0" xr:uid="{00000000-0006-0000-0500-00002D000000}">
      <text>
        <r>
          <rPr>
            <b/>
            <sz val="8"/>
            <color indexed="81"/>
            <rFont val="Tahoma"/>
            <family val="2"/>
          </rPr>
          <t>Matt Mortimer:</t>
        </r>
        <r>
          <rPr>
            <sz val="8"/>
            <color indexed="81"/>
            <rFont val="Tahoma"/>
            <family val="2"/>
          </rPr>
          <t xml:space="preserve">
Sept 5/6 drift Line Cabin to Fisheries Pool 51 obs.</t>
        </r>
      </text>
    </comment>
    <comment ref="P41" authorId="0" shapeId="0" xr:uid="{00000000-0006-0000-0500-00002E000000}">
      <text>
        <r>
          <rPr>
            <b/>
            <sz val="8"/>
            <color indexed="81"/>
            <rFont val="Tahoma"/>
            <family val="2"/>
          </rPr>
          <t>Matt Mortimer:</t>
        </r>
        <r>
          <rPr>
            <sz val="8"/>
            <color indexed="81"/>
            <rFont val="Tahoma"/>
            <family val="2"/>
          </rPr>
          <t xml:space="preserve">
Oct 29 Spot check Stillwater Lake outlet and Goat Crk 5 obs.
Need drift counts!!</t>
        </r>
      </text>
    </comment>
    <comment ref="P42" authorId="0" shapeId="0" xr:uid="{00000000-0006-0000-0500-00002F000000}">
      <text>
        <r>
          <rPr>
            <b/>
            <sz val="8"/>
            <color indexed="81"/>
            <rFont val="Tahoma"/>
            <family val="2"/>
          </rPr>
          <t>Matt Mortimer:</t>
        </r>
        <r>
          <rPr>
            <sz val="8"/>
            <color indexed="81"/>
            <rFont val="Tahoma"/>
            <family val="2"/>
          </rPr>
          <t xml:space="preserve">
Need drift counts</t>
        </r>
      </text>
    </comment>
    <comment ref="P43" authorId="0" shapeId="0" xr:uid="{00000000-0006-0000-0500-000030000000}">
      <text>
        <r>
          <rPr>
            <b/>
            <sz val="8"/>
            <color indexed="81"/>
            <rFont val="Tahoma"/>
            <family val="2"/>
          </rPr>
          <t>Matt Mortimer:</t>
        </r>
        <r>
          <rPr>
            <sz val="8"/>
            <color indexed="81"/>
            <rFont val="Tahoma"/>
            <family val="2"/>
          </rPr>
          <t xml:space="preserve">
Sept 13/14 Line Cabin to Fisheries Pool 63 obs.</t>
        </r>
      </text>
    </comment>
    <comment ref="D44" authorId="0" shapeId="0" xr:uid="{00000000-0006-0000-0500-000031000000}">
      <text>
        <r>
          <rPr>
            <b/>
            <sz val="8"/>
            <color indexed="81"/>
            <rFont val="Tahoma"/>
            <family val="2"/>
          </rPr>
          <t>Matt Mortimer:</t>
        </r>
        <r>
          <rPr>
            <sz val="8"/>
            <color indexed="81"/>
            <rFont val="Tahoma"/>
            <family val="2"/>
          </rPr>
          <t xml:space="preserve">
Stillwater 1,500 and above Lonesome 3,000.  Annual estimate was 6,000.  Lake vs. ocean type determined based on ratios.</t>
        </r>
      </text>
    </comment>
    <comment ref="P44" authorId="0" shapeId="0" xr:uid="{00000000-0006-0000-0500-000032000000}">
      <text>
        <r>
          <rPr>
            <b/>
            <sz val="8"/>
            <color indexed="81"/>
            <rFont val="Tahoma"/>
            <family val="2"/>
          </rPr>
          <t>Matt Mortimer:</t>
        </r>
        <r>
          <rPr>
            <sz val="8"/>
            <color indexed="81"/>
            <rFont val="Tahoma"/>
            <family val="2"/>
          </rPr>
          <t xml:space="preserve">
Need drift counts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B6" authorId="0" shapeId="0" xr:uid="{00000000-0006-0000-0600-000001000000}">
      <text>
        <r>
          <rPr>
            <b/>
            <sz val="8"/>
            <color indexed="81"/>
            <rFont val="Tahoma"/>
            <family val="2"/>
          </rPr>
          <t>Matt Mortimer:</t>
        </r>
        <r>
          <rPr>
            <sz val="8"/>
            <color indexed="81"/>
            <rFont val="Tahoma"/>
            <family val="2"/>
          </rPr>
          <t xml:space="preserve">
Dean/N. Bentinck/Atnarko</t>
        </r>
      </text>
    </comment>
    <comment ref="G6" authorId="0" shapeId="0" xr:uid="{00000000-0006-0000-0600-000002000000}">
      <text>
        <r>
          <rPr>
            <b/>
            <sz val="8"/>
            <color indexed="81"/>
            <rFont val="Tahoma"/>
            <family val="2"/>
          </rPr>
          <t>Matt Mortimer:</t>
        </r>
        <r>
          <rPr>
            <sz val="8"/>
            <color indexed="81"/>
            <rFont val="Tahoma"/>
            <family val="2"/>
          </rPr>
          <t xml:space="preserve">
North Bentinck 
July 17</t>
        </r>
      </text>
    </comment>
    <comment ref="X6" authorId="0" shapeId="0" xr:uid="{00000000-0006-0000-0600-000003000000}">
      <text>
        <r>
          <rPr>
            <b/>
            <sz val="8"/>
            <color indexed="81"/>
            <rFont val="Tahoma"/>
            <family val="2"/>
          </rPr>
          <t>Matt Mortimer:</t>
        </r>
        <r>
          <rPr>
            <sz val="8"/>
            <color indexed="81"/>
            <rFont val="Tahoma"/>
            <family val="2"/>
          </rPr>
          <t xml:space="preserve">
Dead-pitch
Oct 3
Could be samples between Lonesome and Tenas Lakes</t>
        </r>
      </text>
    </comment>
    <comment ref="AM6" authorId="0" shapeId="0" xr:uid="{00000000-0006-0000-0600-000004000000}">
      <text>
        <r>
          <rPr>
            <b/>
            <sz val="8"/>
            <color indexed="81"/>
            <rFont val="Tahoma"/>
            <family val="2"/>
          </rPr>
          <t>Matt Mortimer:</t>
        </r>
        <r>
          <rPr>
            <sz val="8"/>
            <color indexed="81"/>
            <rFont val="Tahoma"/>
            <family val="2"/>
          </rPr>
          <t xml:space="preserve">
Dean/N. Bentinck/Atnarko</t>
        </r>
      </text>
    </comment>
    <comment ref="AQ6" authorId="0" shapeId="0" xr:uid="{00000000-0006-0000-0600-000005000000}">
      <text>
        <r>
          <rPr>
            <b/>
            <sz val="8"/>
            <color indexed="81"/>
            <rFont val="Tahoma"/>
            <family val="2"/>
          </rPr>
          <t>Matt Mortimer:</t>
        </r>
        <r>
          <rPr>
            <sz val="8"/>
            <color indexed="81"/>
            <rFont val="Tahoma"/>
            <family val="2"/>
          </rPr>
          <t xml:space="preserve">
North Bentinck 
July 17</t>
        </r>
      </text>
    </comment>
    <comment ref="BF6" authorId="0" shapeId="0" xr:uid="{00000000-0006-0000-0600-000006000000}">
      <text>
        <r>
          <rPr>
            <b/>
            <sz val="8"/>
            <color indexed="81"/>
            <rFont val="Tahoma"/>
            <family val="2"/>
          </rPr>
          <t>Matt Mortimer:</t>
        </r>
        <r>
          <rPr>
            <sz val="8"/>
            <color indexed="81"/>
            <rFont val="Tahoma"/>
            <family val="2"/>
          </rPr>
          <t xml:space="preserve">
Dead-pitch
Oct 3
Could be samples between Lonesome and Tenas Lakes</t>
        </r>
      </text>
    </comment>
    <comment ref="BL6" authorId="0" shapeId="0" xr:uid="{00000000-0006-0000-0600-000007000000}">
      <text>
        <r>
          <rPr>
            <b/>
            <sz val="8"/>
            <color indexed="81"/>
            <rFont val="Tahoma"/>
            <family val="2"/>
          </rPr>
          <t>Matt Mortimer:</t>
        </r>
        <r>
          <rPr>
            <sz val="8"/>
            <color indexed="81"/>
            <rFont val="Tahoma"/>
            <family val="2"/>
          </rPr>
          <t xml:space="preserve">
Dead-pitch
Oct 3
Could be samples between Lonesome and Tenas Lakes</t>
        </r>
      </text>
    </comment>
    <comment ref="C7" authorId="0" shapeId="0" xr:uid="{00000000-0006-0000-0600-000008000000}">
      <text>
        <r>
          <rPr>
            <b/>
            <sz val="8"/>
            <color indexed="81"/>
            <rFont val="Tahoma"/>
            <family val="2"/>
          </rPr>
          <t>Matt Mortimer:</t>
        </r>
        <r>
          <rPr>
            <sz val="8"/>
            <color indexed="81"/>
            <rFont val="Tahoma"/>
            <family val="2"/>
          </rPr>
          <t xml:space="preserve">
Dean/N. Bentinck Arm</t>
        </r>
      </text>
    </comment>
    <comment ref="AN7" authorId="0" shapeId="0" xr:uid="{00000000-0006-0000-0600-000009000000}">
      <text>
        <r>
          <rPr>
            <b/>
            <sz val="8"/>
            <color indexed="81"/>
            <rFont val="Tahoma"/>
            <family val="2"/>
          </rPr>
          <t>Matt Mortimer:</t>
        </r>
        <r>
          <rPr>
            <sz val="8"/>
            <color indexed="81"/>
            <rFont val="Tahoma"/>
            <family val="2"/>
          </rPr>
          <t xml:space="preserve">
Dean/N. Bentinck Arm</t>
        </r>
      </text>
    </comment>
    <comment ref="B8" authorId="0" shapeId="0" xr:uid="{00000000-0006-0000-0600-00000A000000}">
      <text>
        <r>
          <rPr>
            <b/>
            <sz val="8"/>
            <color indexed="81"/>
            <rFont val="Tahoma"/>
            <family val="2"/>
          </rPr>
          <t>Matt Mortimer:</t>
        </r>
        <r>
          <rPr>
            <sz val="8"/>
            <color indexed="81"/>
            <rFont val="Tahoma"/>
            <family val="2"/>
          </rPr>
          <t xml:space="preserve">
Fitzhugh/Dean/N. Bentinck</t>
        </r>
      </text>
    </comment>
    <comment ref="AM8" authorId="0" shapeId="0" xr:uid="{00000000-0006-0000-0600-00000B000000}">
      <text>
        <r>
          <rPr>
            <b/>
            <sz val="8"/>
            <color indexed="81"/>
            <rFont val="Tahoma"/>
            <family val="2"/>
          </rPr>
          <t>Matt Mortimer:</t>
        </r>
        <r>
          <rPr>
            <sz val="8"/>
            <color indexed="81"/>
            <rFont val="Tahoma"/>
            <family val="2"/>
          </rPr>
          <t xml:space="preserve">
Fitzhugh/Dean/N. Bentinck</t>
        </r>
      </text>
    </comment>
    <comment ref="H9" authorId="0" shapeId="0" xr:uid="{00000000-0006-0000-0600-00000C000000}">
      <text>
        <r>
          <rPr>
            <b/>
            <sz val="8"/>
            <color indexed="81"/>
            <rFont val="Tahoma"/>
            <family val="2"/>
          </rPr>
          <t>Matt Mortimer:</t>
        </r>
        <r>
          <rPr>
            <sz val="8"/>
            <color indexed="81"/>
            <rFont val="Tahoma"/>
            <family val="2"/>
          </rPr>
          <t xml:space="preserve">
Labouchere
July 4
July 5</t>
        </r>
      </text>
    </comment>
    <comment ref="L9" authorId="0" shapeId="0" xr:uid="{00000000-0006-0000-0600-00000D000000}">
      <text>
        <r>
          <rPr>
            <b/>
            <sz val="8"/>
            <color indexed="81"/>
            <rFont val="Tahoma"/>
            <family val="2"/>
          </rPr>
          <t>Matt Mortimer:</t>
        </r>
        <r>
          <rPr>
            <sz val="8"/>
            <color indexed="81"/>
            <rFont val="Tahoma"/>
            <family val="2"/>
          </rPr>
          <t xml:space="preserve">
Fitzhugh Sound
July 4</t>
        </r>
      </text>
    </comment>
    <comment ref="R9" authorId="0" shapeId="0" xr:uid="{00000000-0006-0000-0600-00000E000000}">
      <text>
        <r>
          <rPr>
            <b/>
            <sz val="8"/>
            <color indexed="81"/>
            <rFont val="Tahoma"/>
            <family val="2"/>
          </rPr>
          <t>Matt Mortimer:</t>
        </r>
        <r>
          <rPr>
            <sz val="8"/>
            <color indexed="81"/>
            <rFont val="Tahoma"/>
            <family val="2"/>
          </rPr>
          <t xml:space="preserve">
Bella Coola River
June 28; July 6 and 10 assumed IFF</t>
        </r>
      </text>
    </comment>
    <comment ref="AR9" authorId="0" shapeId="0" xr:uid="{00000000-0006-0000-0600-00000F000000}">
      <text>
        <r>
          <rPr>
            <b/>
            <sz val="8"/>
            <color indexed="81"/>
            <rFont val="Tahoma"/>
            <family val="2"/>
          </rPr>
          <t>Matt Mortimer:</t>
        </r>
        <r>
          <rPr>
            <sz val="8"/>
            <color indexed="81"/>
            <rFont val="Tahoma"/>
            <family val="2"/>
          </rPr>
          <t xml:space="preserve">
Labouchere
July 4
July 5</t>
        </r>
      </text>
    </comment>
    <comment ref="AU9" authorId="0" shapeId="0" xr:uid="{00000000-0006-0000-0600-000010000000}">
      <text>
        <r>
          <rPr>
            <b/>
            <sz val="8"/>
            <color indexed="81"/>
            <rFont val="Tahoma"/>
            <family val="2"/>
          </rPr>
          <t>Matt Mortimer:</t>
        </r>
        <r>
          <rPr>
            <sz val="8"/>
            <color indexed="81"/>
            <rFont val="Tahoma"/>
            <family val="2"/>
          </rPr>
          <t xml:space="preserve">
Fitzhugh Sound
July 4</t>
        </r>
      </text>
    </comment>
    <comment ref="AZ9" authorId="0" shapeId="0" xr:uid="{00000000-0006-0000-0600-000011000000}">
      <text>
        <r>
          <rPr>
            <b/>
            <sz val="8"/>
            <color indexed="81"/>
            <rFont val="Tahoma"/>
            <family val="2"/>
          </rPr>
          <t>Matt Mortimer:</t>
        </r>
        <r>
          <rPr>
            <sz val="8"/>
            <color indexed="81"/>
            <rFont val="Tahoma"/>
            <family val="2"/>
          </rPr>
          <t xml:space="preserve">
Bella Coola River
June 28; July 6 and 10 assumed IFF</t>
        </r>
      </text>
    </comment>
    <comment ref="BL9" authorId="0" shapeId="0" xr:uid="{00000000-0006-0000-0600-000012000000}">
      <text>
        <r>
          <rPr>
            <b/>
            <sz val="8"/>
            <color indexed="81"/>
            <rFont val="Tahoma"/>
            <family val="2"/>
          </rPr>
          <t>Matt Mortimer:</t>
        </r>
        <r>
          <rPr>
            <sz val="8"/>
            <color indexed="81"/>
            <rFont val="Tahoma"/>
            <family val="2"/>
          </rPr>
          <t xml:space="preserve">
Bella Coola River
June 28; July 6 and 10 assumed IFF</t>
        </r>
      </text>
    </comment>
    <comment ref="B10" authorId="0" shapeId="0" xr:uid="{00000000-0006-0000-0600-000013000000}">
      <text>
        <r>
          <rPr>
            <b/>
            <sz val="8"/>
            <color indexed="81"/>
            <rFont val="Tahoma"/>
            <family val="2"/>
          </rPr>
          <t>Matt Mortimer:</t>
        </r>
        <r>
          <rPr>
            <sz val="8"/>
            <color indexed="81"/>
            <rFont val="Tahoma"/>
            <family val="2"/>
          </rPr>
          <t xml:space="preserve">
Lists as Bella Coola??
June 8</t>
        </r>
      </text>
    </comment>
    <comment ref="H10" authorId="0" shapeId="0" xr:uid="{00000000-0006-0000-0600-000014000000}">
      <text>
        <r>
          <rPr>
            <b/>
            <sz val="8"/>
            <color indexed="81"/>
            <rFont val="Tahoma"/>
            <family val="2"/>
          </rPr>
          <t>Matt Mortimer:</t>
        </r>
        <r>
          <rPr>
            <sz val="8"/>
            <color indexed="81"/>
            <rFont val="Tahoma"/>
            <family val="2"/>
          </rPr>
          <t xml:space="preserve">
Labouchere 
June 13</t>
        </r>
      </text>
    </comment>
    <comment ref="R10" authorId="0" shapeId="0" xr:uid="{00000000-0006-0000-0600-000015000000}">
      <text>
        <r>
          <rPr>
            <b/>
            <sz val="8"/>
            <color indexed="81"/>
            <rFont val="Tahoma"/>
            <family val="2"/>
          </rPr>
          <t>Matt Mortimer:</t>
        </r>
        <r>
          <rPr>
            <sz val="8"/>
            <color indexed="81"/>
            <rFont val="Tahoma"/>
            <family val="2"/>
          </rPr>
          <t xml:space="preserve">
June 4 and 15 location as Bella Coola River assumed were IFF</t>
        </r>
      </text>
    </comment>
    <comment ref="AM10" authorId="0" shapeId="0" xr:uid="{00000000-0006-0000-0600-000016000000}">
      <text>
        <r>
          <rPr>
            <b/>
            <sz val="8"/>
            <color indexed="81"/>
            <rFont val="Tahoma"/>
            <family val="2"/>
          </rPr>
          <t>Matt Mortimer:</t>
        </r>
        <r>
          <rPr>
            <sz val="8"/>
            <color indexed="81"/>
            <rFont val="Tahoma"/>
            <family val="2"/>
          </rPr>
          <t xml:space="preserve">
Lists as Bella Coola??
June 8</t>
        </r>
      </text>
    </comment>
    <comment ref="AR10" authorId="0" shapeId="0" xr:uid="{00000000-0006-0000-0600-000017000000}">
      <text>
        <r>
          <rPr>
            <b/>
            <sz val="8"/>
            <color indexed="81"/>
            <rFont val="Tahoma"/>
            <family val="2"/>
          </rPr>
          <t>Matt Mortimer:</t>
        </r>
        <r>
          <rPr>
            <sz val="8"/>
            <color indexed="81"/>
            <rFont val="Tahoma"/>
            <family val="2"/>
          </rPr>
          <t xml:space="preserve">
Labouchere 
June 13</t>
        </r>
      </text>
    </comment>
    <comment ref="AZ10" authorId="0" shapeId="0" xr:uid="{00000000-0006-0000-0600-000018000000}">
      <text>
        <r>
          <rPr>
            <b/>
            <sz val="8"/>
            <color indexed="81"/>
            <rFont val="Tahoma"/>
            <family val="2"/>
          </rPr>
          <t>Matt Mortimer:</t>
        </r>
        <r>
          <rPr>
            <sz val="8"/>
            <color indexed="81"/>
            <rFont val="Tahoma"/>
            <family val="2"/>
          </rPr>
          <t xml:space="preserve">
June 4 and 15 location as Bella Coola River assumed were IFF</t>
        </r>
      </text>
    </comment>
    <comment ref="BL10" authorId="0" shapeId="0" xr:uid="{00000000-0006-0000-0600-000019000000}">
      <text>
        <r>
          <rPr>
            <b/>
            <sz val="8"/>
            <color indexed="81"/>
            <rFont val="Tahoma"/>
            <family val="2"/>
          </rPr>
          <t>Matt Mortimer:</t>
        </r>
        <r>
          <rPr>
            <sz val="8"/>
            <color indexed="81"/>
            <rFont val="Tahoma"/>
            <family val="2"/>
          </rPr>
          <t xml:space="preserve">
June 4 and 15 location as Bella Coola River assumed were IFF</t>
        </r>
      </text>
    </comment>
    <comment ref="C11" authorId="0" shapeId="0" xr:uid="{00000000-0006-0000-0600-00001A000000}">
      <text>
        <r>
          <rPr>
            <b/>
            <sz val="8"/>
            <color indexed="81"/>
            <rFont val="Tahoma"/>
            <family val="2"/>
          </rPr>
          <t>Matt Mortimer:</t>
        </r>
        <r>
          <rPr>
            <sz val="8"/>
            <color indexed="81"/>
            <rFont val="Tahoma"/>
            <family val="2"/>
          </rPr>
          <t xml:space="preserve">
BCGNA
June 18</t>
        </r>
      </text>
    </comment>
    <comment ref="G11" authorId="0" shapeId="0" xr:uid="{00000000-0006-0000-0600-00001B00000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R11" authorId="0" shapeId="0" xr:uid="{00000000-0006-0000-0600-00001C000000}">
      <text>
        <r>
          <rPr>
            <b/>
            <sz val="8"/>
            <color indexed="81"/>
            <rFont val="Tahoma"/>
            <family val="2"/>
          </rPr>
          <t>Matt Mortimer:</t>
        </r>
        <r>
          <rPr>
            <sz val="8"/>
            <color indexed="81"/>
            <rFont val="Tahoma"/>
            <family val="2"/>
          </rPr>
          <t xml:space="preserve">
Did not include 1 sport caught June 28</t>
        </r>
      </text>
    </comment>
    <comment ref="AN11" authorId="0" shapeId="0" xr:uid="{00000000-0006-0000-0600-00001D000000}">
      <text>
        <r>
          <rPr>
            <b/>
            <sz val="8"/>
            <color indexed="81"/>
            <rFont val="Tahoma"/>
            <family val="2"/>
          </rPr>
          <t>Matt Mortimer:</t>
        </r>
        <r>
          <rPr>
            <sz val="8"/>
            <color indexed="81"/>
            <rFont val="Tahoma"/>
            <family val="2"/>
          </rPr>
          <t xml:space="preserve">
BCGNA
June 18</t>
        </r>
      </text>
    </comment>
    <comment ref="AQ11" authorId="0" shapeId="0" xr:uid="{00000000-0006-0000-0600-00001E00000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AZ11" authorId="0" shapeId="0" xr:uid="{00000000-0006-0000-0600-00001F000000}">
      <text>
        <r>
          <rPr>
            <b/>
            <sz val="8"/>
            <color indexed="81"/>
            <rFont val="Tahoma"/>
            <family val="2"/>
          </rPr>
          <t>Matt Mortimer:</t>
        </r>
        <r>
          <rPr>
            <sz val="8"/>
            <color indexed="81"/>
            <rFont val="Tahoma"/>
            <family val="2"/>
          </rPr>
          <t xml:space="preserve">
Did not include 1 sport caught June 28</t>
        </r>
      </text>
    </comment>
    <comment ref="BL11" authorId="0" shapeId="0" xr:uid="{00000000-0006-0000-0600-000020000000}">
      <text>
        <r>
          <rPr>
            <b/>
            <sz val="8"/>
            <color indexed="81"/>
            <rFont val="Tahoma"/>
            <family val="2"/>
          </rPr>
          <t>Matt Mortimer:</t>
        </r>
        <r>
          <rPr>
            <sz val="8"/>
            <color indexed="81"/>
            <rFont val="Tahoma"/>
            <family val="2"/>
          </rPr>
          <t xml:space="preserve">
Did not include 1 sport caught June 28</t>
        </r>
      </text>
    </comment>
    <comment ref="B13" authorId="0" shapeId="0" xr:uid="{00000000-0006-0000-0600-00002100000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AM13" authorId="0" shapeId="0" xr:uid="{00000000-0006-0000-0600-00002200000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C14" authorId="0" shapeId="0" xr:uid="{00000000-0006-0000-0600-000023000000}">
      <text>
        <r>
          <rPr>
            <b/>
            <sz val="8"/>
            <color indexed="81"/>
            <rFont val="Tahoma"/>
            <family val="2"/>
          </rPr>
          <t>Matt Mortimer:</t>
        </r>
        <r>
          <rPr>
            <sz val="8"/>
            <color indexed="81"/>
            <rFont val="Tahoma"/>
            <family val="2"/>
          </rPr>
          <t xml:space="preserve">
BCGNA
July 5 and 12</t>
        </r>
      </text>
    </comment>
    <comment ref="AN14" authorId="0" shapeId="0" xr:uid="{00000000-0006-0000-0600-000024000000}">
      <text>
        <r>
          <rPr>
            <b/>
            <sz val="8"/>
            <color indexed="81"/>
            <rFont val="Tahoma"/>
            <family val="2"/>
          </rPr>
          <t>Matt Mortimer:</t>
        </r>
        <r>
          <rPr>
            <sz val="8"/>
            <color indexed="81"/>
            <rFont val="Tahoma"/>
            <family val="2"/>
          </rPr>
          <t xml:space="preserve">
BCGNA
July 5 and 12</t>
        </r>
      </text>
    </comment>
    <comment ref="C15" authorId="0" shapeId="0" xr:uid="{00000000-0006-0000-0600-000025000000}">
      <text>
        <r>
          <rPr>
            <b/>
            <sz val="8"/>
            <color indexed="81"/>
            <rFont val="Tahoma"/>
            <family val="2"/>
          </rPr>
          <t>Matt Mortimer:</t>
        </r>
        <r>
          <rPr>
            <sz val="8"/>
            <color indexed="81"/>
            <rFont val="Tahoma"/>
            <family val="2"/>
          </rPr>
          <t xml:space="preserve">
BCGNA</t>
        </r>
      </text>
    </comment>
    <comment ref="R15" authorId="0" shapeId="0" xr:uid="{00000000-0006-0000-0600-000026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AN15" authorId="0" shapeId="0" xr:uid="{00000000-0006-0000-0600-000027000000}">
      <text>
        <r>
          <rPr>
            <b/>
            <sz val="8"/>
            <color indexed="81"/>
            <rFont val="Tahoma"/>
            <family val="2"/>
          </rPr>
          <t>Matt Mortimer:</t>
        </r>
        <r>
          <rPr>
            <sz val="8"/>
            <color indexed="81"/>
            <rFont val="Tahoma"/>
            <family val="2"/>
          </rPr>
          <t xml:space="preserve">
BCGNA</t>
        </r>
      </text>
    </comment>
    <comment ref="AZ15" authorId="0" shapeId="0" xr:uid="{00000000-0006-0000-0600-000028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BL15" authorId="0" shapeId="0" xr:uid="{00000000-0006-0000-0600-000029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C16" authorId="0" shapeId="0" xr:uid="{00000000-0006-0000-0600-00002A000000}">
      <text>
        <r>
          <rPr>
            <b/>
            <sz val="8"/>
            <color indexed="81"/>
            <rFont val="Tahoma"/>
            <family val="2"/>
          </rPr>
          <t>Matt Mortimer:</t>
        </r>
        <r>
          <rPr>
            <sz val="8"/>
            <color indexed="81"/>
            <rFont val="Tahoma"/>
            <family val="2"/>
          </rPr>
          <t xml:space="preserve">
Burke Channel</t>
        </r>
      </text>
    </comment>
    <comment ref="AN16" authorId="0" shapeId="0" xr:uid="{00000000-0006-0000-0600-00002B000000}">
      <text>
        <r>
          <rPr>
            <b/>
            <sz val="8"/>
            <color indexed="81"/>
            <rFont val="Tahoma"/>
            <family val="2"/>
          </rPr>
          <t>Matt Mortimer:</t>
        </r>
        <r>
          <rPr>
            <sz val="8"/>
            <color indexed="81"/>
            <rFont val="Tahoma"/>
            <family val="2"/>
          </rPr>
          <t xml:space="preserve">
Burke Channel</t>
        </r>
      </text>
    </comment>
    <comment ref="C17" authorId="0" shapeId="0" xr:uid="{00000000-0006-0000-0600-00002C000000}">
      <text>
        <r>
          <rPr>
            <b/>
            <sz val="8"/>
            <color indexed="81"/>
            <rFont val="Tahoma"/>
            <family val="2"/>
          </rPr>
          <t>Matt Mortimer:</t>
        </r>
        <r>
          <rPr>
            <sz val="8"/>
            <color indexed="81"/>
            <rFont val="Tahoma"/>
            <family val="2"/>
          </rPr>
          <t xml:space="preserve">
Includes Area 8 Seine 1-4's and 1-5's and  includes 1-5's from Dean/Burke.</t>
        </r>
      </text>
    </comment>
    <comment ref="H17" authorId="0" shapeId="0" xr:uid="{00000000-0006-0000-0600-00002D000000}">
      <text>
        <r>
          <rPr>
            <b/>
            <sz val="8"/>
            <color indexed="81"/>
            <rFont val="Tahoma"/>
            <family val="2"/>
          </rPr>
          <t>Matt Mortimer:</t>
        </r>
        <r>
          <rPr>
            <sz val="8"/>
            <color indexed="81"/>
            <rFont val="Tahoma"/>
            <family val="2"/>
          </rPr>
          <t xml:space="preserve">
Labouchere Channel</t>
        </r>
      </text>
    </comment>
    <comment ref="R17" authorId="0" shapeId="0" xr:uid="{00000000-0006-0000-0600-00002E000000}">
      <text>
        <r>
          <rPr>
            <b/>
            <sz val="8"/>
            <color indexed="81"/>
            <rFont val="Tahoma"/>
            <family val="2"/>
          </rPr>
          <t>Matt Mortimer:</t>
        </r>
        <r>
          <rPr>
            <sz val="8"/>
            <color indexed="81"/>
            <rFont val="Tahoma"/>
            <family val="2"/>
          </rPr>
          <t xml:space="preserve">
There was a Bella Coola River- GN that assumed IFF….27-4's, 24-5's, 1-6's.</t>
        </r>
      </text>
    </comment>
    <comment ref="AN17" authorId="0" shapeId="0" xr:uid="{00000000-0006-0000-0600-00002F000000}">
      <text>
        <r>
          <rPr>
            <b/>
            <sz val="8"/>
            <color indexed="81"/>
            <rFont val="Tahoma"/>
            <family val="2"/>
          </rPr>
          <t>Matt Mortimer:</t>
        </r>
        <r>
          <rPr>
            <sz val="8"/>
            <color indexed="81"/>
            <rFont val="Tahoma"/>
            <family val="2"/>
          </rPr>
          <t xml:space="preserve">
Includes Area 8 Seine 1-4's and 1-5's and  includes 1-5's from Dean/Burke.</t>
        </r>
      </text>
    </comment>
    <comment ref="AR17" authorId="0" shapeId="0" xr:uid="{00000000-0006-0000-0600-000030000000}">
      <text>
        <r>
          <rPr>
            <b/>
            <sz val="8"/>
            <color indexed="81"/>
            <rFont val="Tahoma"/>
            <family val="2"/>
          </rPr>
          <t>Matt Mortimer:</t>
        </r>
        <r>
          <rPr>
            <sz val="8"/>
            <color indexed="81"/>
            <rFont val="Tahoma"/>
            <family val="2"/>
          </rPr>
          <t xml:space="preserve">
Labouchere Channel</t>
        </r>
      </text>
    </comment>
    <comment ref="AZ17" authorId="0" shapeId="0" xr:uid="{00000000-0006-0000-0600-000031000000}">
      <text>
        <r>
          <rPr>
            <b/>
            <sz val="8"/>
            <color indexed="81"/>
            <rFont val="Tahoma"/>
            <family val="2"/>
          </rPr>
          <t>Matt Mortimer:</t>
        </r>
        <r>
          <rPr>
            <sz val="8"/>
            <color indexed="81"/>
            <rFont val="Tahoma"/>
            <family val="2"/>
          </rPr>
          <t xml:space="preserve">
There was a Bella Coola River- GN that assumed IFF….27-4's, 24-5's, 1-6's.</t>
        </r>
      </text>
    </comment>
    <comment ref="BL17" authorId="0" shapeId="0" xr:uid="{00000000-0006-0000-0600-000032000000}">
      <text>
        <r>
          <rPr>
            <b/>
            <sz val="8"/>
            <color indexed="81"/>
            <rFont val="Tahoma"/>
            <family val="2"/>
          </rPr>
          <t>Matt Mortimer:</t>
        </r>
        <r>
          <rPr>
            <sz val="8"/>
            <color indexed="81"/>
            <rFont val="Tahoma"/>
            <family val="2"/>
          </rPr>
          <t xml:space="preserve">
There was a Bella Coola River- GN that assumed IFF….27-4's, 24-5's, 1-6's.</t>
        </r>
      </text>
    </comment>
    <comment ref="C18" authorId="0" shapeId="0" xr:uid="{00000000-0006-0000-0600-000033000000}">
      <text>
        <r>
          <rPr>
            <b/>
            <sz val="8"/>
            <color indexed="81"/>
            <rFont val="Tahoma"/>
            <family val="2"/>
          </rPr>
          <t>Matt Mortimer:</t>
        </r>
        <r>
          <rPr>
            <sz val="8"/>
            <color indexed="81"/>
            <rFont val="Tahoma"/>
            <family val="2"/>
          </rPr>
          <t xml:space="preserve">
Labouchere Channel July 6-12 (Wk 15) 14-4's and 9-5's + 1-5's Area 8 GN.</t>
        </r>
      </text>
    </comment>
    <comment ref="S18" authorId="0" shapeId="0" xr:uid="{00000000-0006-0000-0600-00003400000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AN18" authorId="0" shapeId="0" xr:uid="{00000000-0006-0000-0600-000035000000}">
      <text>
        <r>
          <rPr>
            <b/>
            <sz val="8"/>
            <color indexed="81"/>
            <rFont val="Tahoma"/>
            <family val="2"/>
          </rPr>
          <t>Matt Mortimer:</t>
        </r>
        <r>
          <rPr>
            <sz val="8"/>
            <color indexed="81"/>
            <rFont val="Tahoma"/>
            <family val="2"/>
          </rPr>
          <t xml:space="preserve">
Labouchere Channel July 6-12 (Wk 15) 14-4's and 9-5's + 1-5's Area 8 GN.</t>
        </r>
      </text>
    </comment>
    <comment ref="BA18" authorId="0" shapeId="0" xr:uid="{00000000-0006-0000-0600-00003600000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BM18" authorId="0" shapeId="0" xr:uid="{00000000-0006-0000-0600-00003700000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C19" authorId="0" shapeId="0" xr:uid="{00000000-0006-0000-0600-000038000000}">
      <text>
        <r>
          <rPr>
            <b/>
            <sz val="8"/>
            <color indexed="81"/>
            <rFont val="Tahoma"/>
            <family val="2"/>
          </rPr>
          <t>Matt Mortimer:</t>
        </r>
        <r>
          <rPr>
            <sz val="8"/>
            <color indexed="81"/>
            <rFont val="Tahoma"/>
            <family val="2"/>
          </rPr>
          <t xml:space="preserve">
FFH GN and SN Marks Recovered</t>
        </r>
      </text>
    </comment>
    <comment ref="R19" authorId="0" shapeId="0" xr:uid="{00000000-0006-0000-0600-000039000000}">
      <text>
        <r>
          <rPr>
            <b/>
            <sz val="8"/>
            <color indexed="81"/>
            <rFont val="Tahoma"/>
            <family val="2"/>
          </rPr>
          <t>Matt Mortimer:</t>
        </r>
        <r>
          <rPr>
            <sz val="8"/>
            <color indexed="81"/>
            <rFont val="Tahoma"/>
            <family val="2"/>
          </rPr>
          <t xml:space="preserve">
Bella Coola IFF Marks Recovered</t>
        </r>
      </text>
    </comment>
    <comment ref="AN19" authorId="0" shapeId="0" xr:uid="{00000000-0006-0000-0600-00003A000000}">
      <text>
        <r>
          <rPr>
            <b/>
            <sz val="8"/>
            <color indexed="81"/>
            <rFont val="Tahoma"/>
            <family val="2"/>
          </rPr>
          <t>Matt Mortimer:</t>
        </r>
        <r>
          <rPr>
            <sz val="8"/>
            <color indexed="81"/>
            <rFont val="Tahoma"/>
            <family val="2"/>
          </rPr>
          <t xml:space="preserve">
FFH GN and SN Marks Recovered</t>
        </r>
      </text>
    </comment>
    <comment ref="AZ19" authorId="0" shapeId="0" xr:uid="{00000000-0006-0000-0600-00003B000000}">
      <text>
        <r>
          <rPr>
            <b/>
            <sz val="8"/>
            <color indexed="81"/>
            <rFont val="Tahoma"/>
            <family val="2"/>
          </rPr>
          <t>Matt Mortimer:</t>
        </r>
        <r>
          <rPr>
            <sz val="8"/>
            <color indexed="81"/>
            <rFont val="Tahoma"/>
            <family val="2"/>
          </rPr>
          <t xml:space="preserve">
Bella Coola IFF Marks Recovered</t>
        </r>
      </text>
    </comment>
    <comment ref="BL19" authorId="0" shapeId="0" xr:uid="{00000000-0006-0000-0600-00003C000000}">
      <text>
        <r>
          <rPr>
            <b/>
            <sz val="8"/>
            <color indexed="81"/>
            <rFont val="Tahoma"/>
            <family val="2"/>
          </rPr>
          <t>Matt Mortimer:</t>
        </r>
        <r>
          <rPr>
            <sz val="8"/>
            <color indexed="81"/>
            <rFont val="Tahoma"/>
            <family val="2"/>
          </rPr>
          <t xml:space="preserve">
Bella Coola IFF Marks Recovered</t>
        </r>
      </text>
    </comment>
    <comment ref="B20" authorId="0" shapeId="0" xr:uid="{00000000-0006-0000-0600-00003D000000}">
      <text>
        <r>
          <rPr>
            <b/>
            <sz val="8"/>
            <color indexed="81"/>
            <rFont val="Tahoma"/>
            <family val="2"/>
          </rPr>
          <t>Matt Mortimer:</t>
        </r>
        <r>
          <rPr>
            <sz val="8"/>
            <color indexed="81"/>
            <rFont val="Tahoma"/>
            <family val="2"/>
          </rPr>
          <t xml:space="preserve">
Labouchere Channel</t>
        </r>
      </text>
    </comment>
    <comment ref="AM20" authorId="0" shapeId="0" xr:uid="{00000000-0006-0000-0600-00003E000000}">
      <text>
        <r>
          <rPr>
            <b/>
            <sz val="8"/>
            <color indexed="81"/>
            <rFont val="Tahoma"/>
            <family val="2"/>
          </rPr>
          <t>Matt Mortimer:</t>
        </r>
        <r>
          <rPr>
            <sz val="8"/>
            <color indexed="81"/>
            <rFont val="Tahoma"/>
            <family val="2"/>
          </rPr>
          <t xml:space="preserve">
Labouchere Channel</t>
        </r>
      </text>
    </comment>
    <comment ref="B21" authorId="0" shapeId="0" xr:uid="{00000000-0006-0000-0600-00003F000000}">
      <text>
        <r>
          <rPr>
            <b/>
            <sz val="8"/>
            <color indexed="81"/>
            <rFont val="Tahoma"/>
            <family val="2"/>
          </rPr>
          <t>Matt Mortimer:</t>
        </r>
        <r>
          <rPr>
            <sz val="8"/>
            <color indexed="81"/>
            <rFont val="Tahoma"/>
            <family val="2"/>
          </rPr>
          <t xml:space="preserve">
Area 8 GN</t>
        </r>
      </text>
    </comment>
    <comment ref="G21" authorId="0" shapeId="0" xr:uid="{00000000-0006-0000-0600-000040000000}">
      <text>
        <r>
          <rPr>
            <b/>
            <sz val="8"/>
            <color indexed="81"/>
            <rFont val="Tahoma"/>
            <family val="2"/>
          </rPr>
          <t>Matt Mortimer:</t>
        </r>
        <r>
          <rPr>
            <sz val="8"/>
            <color indexed="81"/>
            <rFont val="Tahoma"/>
            <family val="2"/>
          </rPr>
          <t xml:space="preserve">
Area 8 SN</t>
        </r>
      </text>
    </comment>
    <comment ref="AM21" authorId="0" shapeId="0" xr:uid="{00000000-0006-0000-0600-000041000000}">
      <text>
        <r>
          <rPr>
            <b/>
            <sz val="8"/>
            <color indexed="81"/>
            <rFont val="Tahoma"/>
            <family val="2"/>
          </rPr>
          <t>Matt Mortimer:</t>
        </r>
        <r>
          <rPr>
            <sz val="8"/>
            <color indexed="81"/>
            <rFont val="Tahoma"/>
            <family val="2"/>
          </rPr>
          <t xml:space="preserve">
Area 8 GN</t>
        </r>
      </text>
    </comment>
    <comment ref="AQ21" authorId="0" shapeId="0" xr:uid="{00000000-0006-0000-0600-000042000000}">
      <text>
        <r>
          <rPr>
            <b/>
            <sz val="8"/>
            <color indexed="81"/>
            <rFont val="Tahoma"/>
            <family val="2"/>
          </rPr>
          <t>Matt Mortimer:</t>
        </r>
        <r>
          <rPr>
            <sz val="8"/>
            <color indexed="81"/>
            <rFont val="Tahoma"/>
            <family val="2"/>
          </rPr>
          <t xml:space="preserve">
Area 8 SN</t>
        </r>
      </text>
    </comment>
    <comment ref="B22" authorId="0" shapeId="0" xr:uid="{00000000-0006-0000-0600-000043000000}">
      <text>
        <r>
          <rPr>
            <b/>
            <sz val="8"/>
            <color indexed="81"/>
            <rFont val="Tahoma"/>
            <family val="2"/>
          </rPr>
          <t>Matt Mortimer:</t>
        </r>
        <r>
          <rPr>
            <sz val="8"/>
            <color indexed="81"/>
            <rFont val="Tahoma"/>
            <family val="2"/>
          </rPr>
          <t xml:space="preserve">
Area 8 Gear Unknown</t>
        </r>
      </text>
    </comment>
    <comment ref="AM22" authorId="0" shapeId="0" xr:uid="{00000000-0006-0000-0600-000044000000}">
      <text>
        <r>
          <rPr>
            <b/>
            <sz val="8"/>
            <color indexed="81"/>
            <rFont val="Tahoma"/>
            <family val="2"/>
          </rPr>
          <t>Matt Mortimer:</t>
        </r>
        <r>
          <rPr>
            <sz val="8"/>
            <color indexed="81"/>
            <rFont val="Tahoma"/>
            <family val="2"/>
          </rPr>
          <t xml:space="preserve">
Area 8 Gear Unknown</t>
        </r>
      </text>
    </comment>
    <comment ref="C28" authorId="0" shapeId="0" xr:uid="{00000000-0006-0000-0600-000045000000}">
      <text>
        <r>
          <rPr>
            <b/>
            <sz val="8"/>
            <color indexed="81"/>
            <rFont val="Tahoma"/>
            <family val="2"/>
          </rPr>
          <t>Matt Mortimer:</t>
        </r>
        <r>
          <rPr>
            <sz val="8"/>
            <color indexed="81"/>
            <rFont val="Tahoma"/>
            <family val="2"/>
          </rPr>
          <t xml:space="preserve">
Near Namu- Seine
Aug 9/96</t>
        </r>
      </text>
    </comment>
    <comment ref="AN28" authorId="0" shapeId="0" xr:uid="{00000000-0006-0000-0600-000046000000}">
      <text>
        <r>
          <rPr>
            <b/>
            <sz val="8"/>
            <color indexed="81"/>
            <rFont val="Tahoma"/>
            <family val="2"/>
          </rPr>
          <t>Matt Mortimer:</t>
        </r>
        <r>
          <rPr>
            <sz val="8"/>
            <color indexed="81"/>
            <rFont val="Tahoma"/>
            <family val="2"/>
          </rPr>
          <t xml:space="preserve">
Near Namu- Seine
Aug 9/96</t>
        </r>
      </text>
    </comment>
    <comment ref="Y29" authorId="0" shapeId="0" xr:uid="{00000000-0006-0000-0600-000047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G29" authorId="0" shapeId="0" xr:uid="{00000000-0006-0000-0600-000048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M29" authorId="0" shapeId="0" xr:uid="{00000000-0006-0000-0600-000049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R30" authorId="0" shapeId="0" xr:uid="{00000000-0006-0000-0600-00004A000000}">
      <text>
        <r>
          <rPr>
            <b/>
            <sz val="8"/>
            <color indexed="81"/>
            <rFont val="Tahoma"/>
            <family val="2"/>
          </rPr>
          <t>Matt Mortimer:</t>
        </r>
        <r>
          <rPr>
            <sz val="8"/>
            <color indexed="81"/>
            <rFont val="Tahoma"/>
            <family val="2"/>
          </rPr>
          <t xml:space="preserve">
Lower Bella Coola River
Gillnet Set net
July 8</t>
        </r>
      </text>
    </comment>
    <comment ref="AZ30" authorId="0" shapeId="0" xr:uid="{00000000-0006-0000-0600-00004B000000}">
      <text>
        <r>
          <rPr>
            <b/>
            <sz val="8"/>
            <color indexed="81"/>
            <rFont val="Tahoma"/>
            <family val="2"/>
          </rPr>
          <t>Matt Mortimer:</t>
        </r>
        <r>
          <rPr>
            <sz val="8"/>
            <color indexed="81"/>
            <rFont val="Tahoma"/>
            <family val="2"/>
          </rPr>
          <t xml:space="preserve">
Lower Bella Coola River
Gillnet Set net
July 8</t>
        </r>
      </text>
    </comment>
    <comment ref="R31" authorId="0" shapeId="0" xr:uid="{00000000-0006-0000-0600-00004C000000}">
      <text>
        <r>
          <rPr>
            <b/>
            <sz val="8"/>
            <color indexed="81"/>
            <rFont val="Tahoma"/>
            <family val="2"/>
          </rPr>
          <t>Matt Mortimer:</t>
        </r>
        <r>
          <rPr>
            <sz val="8"/>
            <color indexed="81"/>
            <rFont val="Tahoma"/>
            <family val="2"/>
          </rPr>
          <t xml:space="preserve">
Gillnet Set net
Lower Bella Coola River
July 1-Aug 4</t>
        </r>
      </text>
    </comment>
    <comment ref="AZ31" authorId="0" shapeId="0" xr:uid="{00000000-0006-0000-0600-00004D000000}">
      <text>
        <r>
          <rPr>
            <b/>
            <sz val="8"/>
            <color indexed="81"/>
            <rFont val="Tahoma"/>
            <family val="2"/>
          </rPr>
          <t>Matt Mortimer:</t>
        </r>
        <r>
          <rPr>
            <sz val="8"/>
            <color indexed="81"/>
            <rFont val="Tahoma"/>
            <family val="2"/>
          </rPr>
          <t xml:space="preserve">
Gillnet Set net
Lower Bella Coola River
July 1-Aug 4</t>
        </r>
      </text>
    </comment>
    <comment ref="BL31" authorId="0" shapeId="0" xr:uid="{00000000-0006-0000-0600-00004E000000}">
      <text>
        <r>
          <rPr>
            <b/>
            <sz val="8"/>
            <color indexed="81"/>
            <rFont val="Tahoma"/>
            <family val="2"/>
          </rPr>
          <t>Matt Mortimer:</t>
        </r>
        <r>
          <rPr>
            <sz val="8"/>
            <color indexed="81"/>
            <rFont val="Tahoma"/>
            <family val="2"/>
          </rPr>
          <t xml:space="preserve">
Gillnet Set net
Lower Bella Coola River
July 1-Aug 4</t>
        </r>
      </text>
    </comment>
    <comment ref="C32" authorId="0" shapeId="0" xr:uid="{00000000-0006-0000-0600-00004F000000}">
      <text>
        <r>
          <rPr>
            <b/>
            <sz val="8"/>
            <color indexed="81"/>
            <rFont val="Tahoma"/>
            <family val="2"/>
          </rPr>
          <t>Matt Mortimer:</t>
        </r>
        <r>
          <rPr>
            <sz val="8"/>
            <color indexed="81"/>
            <rFont val="Tahoma"/>
            <family val="2"/>
          </rPr>
          <t xml:space="preserve">
Area 8 Gillnet
July 24</t>
        </r>
      </text>
    </comment>
    <comment ref="AN32" authorId="0" shapeId="0" xr:uid="{00000000-0006-0000-0600-000050000000}">
      <text>
        <r>
          <rPr>
            <b/>
            <sz val="8"/>
            <color indexed="81"/>
            <rFont val="Tahoma"/>
            <family val="2"/>
          </rPr>
          <t>Matt Mortimer:</t>
        </r>
        <r>
          <rPr>
            <sz val="8"/>
            <color indexed="81"/>
            <rFont val="Tahoma"/>
            <family val="2"/>
          </rPr>
          <t xml:space="preserve">
Area 8 Gillnet
July 24</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Matt Mortimer</author>
    <author>Bradley Koroluk</author>
  </authors>
  <commentList>
    <comment ref="C17" authorId="0" shapeId="0" xr:uid="{00000000-0006-0000-0900-000001000000}">
      <text>
        <r>
          <rPr>
            <b/>
            <sz val="8"/>
            <color indexed="81"/>
            <rFont val="Tahoma"/>
            <family val="2"/>
          </rPr>
          <t>Matt Mortimer:</t>
        </r>
        <r>
          <rPr>
            <sz val="8"/>
            <color indexed="81"/>
            <rFont val="Tahoma"/>
            <family val="2"/>
          </rPr>
          <t xml:space="preserve">
This doesn't seem right.</t>
        </r>
      </text>
    </comment>
    <comment ref="AH29" authorId="1" shapeId="0" xr:uid="{00000000-0006-0000-0900-000002000000}">
      <text>
        <r>
          <rPr>
            <b/>
            <sz val="9"/>
            <color indexed="81"/>
            <rFont val="Tahoma"/>
            <family val="2"/>
          </rPr>
          <t>Bradley Koroluk:</t>
        </r>
        <r>
          <rPr>
            <sz val="9"/>
            <color indexed="81"/>
            <rFont val="Tahoma"/>
            <family val="2"/>
          </rPr>
          <t xml:space="preserve">
SOURCE: RMS 
A8IFF08.xls
</t>
        </r>
      </text>
    </comment>
    <comment ref="AI29" authorId="1" shapeId="0" xr:uid="{00000000-0006-0000-0900-000003000000}">
      <text>
        <r>
          <rPr>
            <b/>
            <sz val="9"/>
            <color indexed="81"/>
            <rFont val="Tahoma"/>
            <family val="2"/>
          </rPr>
          <t>Bradley Koroluk:</t>
        </r>
        <r>
          <rPr>
            <sz val="9"/>
            <color indexed="81"/>
            <rFont val="Tahoma"/>
            <family val="2"/>
          </rPr>
          <t xml:space="preserve">
SOURCE: A8IFF09.xls
USE TAB 'UPDATED BY J MOODY'
</t>
        </r>
      </text>
    </comment>
    <comment ref="AJ29" authorId="1" shapeId="0" xr:uid="{00000000-0006-0000-0900-000004000000}">
      <text>
        <r>
          <rPr>
            <b/>
            <sz val="9"/>
            <color indexed="81"/>
            <rFont val="Tahoma"/>
            <family val="2"/>
          </rPr>
          <t>Bradley Koroluk:</t>
        </r>
        <r>
          <rPr>
            <sz val="9"/>
            <color indexed="81"/>
            <rFont val="Tahoma"/>
            <family val="2"/>
          </rPr>
          <t xml:space="preserve">
SOURCE: RMS A8IFF10.xls
Extrapolated data used, monitoring not done as many hours as normal.
</t>
        </r>
      </text>
    </comment>
    <comment ref="AK29" authorId="1" shapeId="0" xr:uid="{00000000-0006-0000-0900-000005000000}">
      <text>
        <r>
          <rPr>
            <b/>
            <sz val="9"/>
            <color indexed="81"/>
            <rFont val="Tahoma"/>
            <family val="2"/>
          </rPr>
          <t>Bradley Koroluk:</t>
        </r>
        <r>
          <rPr>
            <sz val="9"/>
            <color indexed="81"/>
            <rFont val="Tahoma"/>
            <family val="2"/>
          </rPr>
          <t xml:space="preserve">
SOURCE: RMS Nuxalk FSC Salmon Catch 2011
</t>
        </r>
      </text>
    </comment>
    <comment ref="AL29" authorId="1" shapeId="0" xr:uid="{00000000-0006-0000-0900-000006000000}">
      <text>
        <r>
          <rPr>
            <b/>
            <sz val="9"/>
            <color indexed="81"/>
            <rFont val="Tahoma"/>
            <family val="2"/>
          </rPr>
          <t>Bradley Koroluk:</t>
        </r>
        <r>
          <rPr>
            <sz val="9"/>
            <color indexed="81"/>
            <rFont val="Tahoma"/>
            <family val="2"/>
          </rPr>
          <t xml:space="preserve">
SOURCE: RMS Nuxalk Salmon FSC 2012 Final.xls
</t>
        </r>
      </text>
    </comment>
    <comment ref="AM29" authorId="1" shapeId="0" xr:uid="{00000000-0006-0000-0900-000007000000}">
      <text>
        <r>
          <rPr>
            <b/>
            <sz val="9"/>
            <color indexed="81"/>
            <rFont val="Tahoma"/>
            <family val="2"/>
          </rPr>
          <t>Bradley Koroluk:</t>
        </r>
        <r>
          <rPr>
            <sz val="9"/>
            <color indexed="81"/>
            <rFont val="Tahoma"/>
            <family val="2"/>
          </rPr>
          <t xml:space="preserve">
SOURCE: RMS A8IFF13.xls
</t>
        </r>
      </text>
    </comment>
    <comment ref="AN29" authorId="1" shapeId="0" xr:uid="{00000000-0006-0000-0900-000008000000}">
      <text>
        <r>
          <rPr>
            <b/>
            <sz val="9"/>
            <color indexed="81"/>
            <rFont val="Tahoma"/>
            <family val="2"/>
          </rPr>
          <t>Bradley Koroluk:</t>
        </r>
        <r>
          <rPr>
            <sz val="9"/>
            <color indexed="81"/>
            <rFont val="Tahoma"/>
            <family val="2"/>
          </rPr>
          <t xml:space="preserve">
SOURCE: RMS A8AFF14.xls
</t>
        </r>
      </text>
    </comment>
    <comment ref="C58" authorId="0" shapeId="0" xr:uid="{00000000-0006-0000-0900-000009000000}">
      <text>
        <r>
          <rPr>
            <b/>
            <sz val="8"/>
            <color indexed="81"/>
            <rFont val="Tahoma"/>
            <family val="2"/>
          </rPr>
          <t>Matt Mortimer:</t>
        </r>
        <r>
          <rPr>
            <sz val="8"/>
            <color indexed="81"/>
            <rFont val="Tahoma"/>
            <family val="2"/>
          </rPr>
          <t xml:space="preserve">
Total does not match FSC review of 2499</t>
        </r>
      </text>
    </comment>
    <comment ref="L75" authorId="0" shapeId="0" xr:uid="{00000000-0006-0000-0900-00000A000000}">
      <text>
        <r>
          <rPr>
            <b/>
            <sz val="8"/>
            <color indexed="81"/>
            <rFont val="Tahoma"/>
            <family val="2"/>
          </rPr>
          <t>Matt Mortimer:</t>
        </r>
        <r>
          <rPr>
            <sz val="8"/>
            <color indexed="81"/>
            <rFont val="Tahoma"/>
            <family val="2"/>
          </rPr>
          <t xml:space="preserve">
F/O in Bella Bella for this span</t>
        </r>
      </text>
    </comment>
    <comment ref="L99" authorId="0" shapeId="0" xr:uid="{00000000-0006-0000-0900-00000B000000}">
      <text>
        <r>
          <rPr>
            <b/>
            <sz val="8"/>
            <color indexed="81"/>
            <rFont val="Tahoma"/>
            <family val="2"/>
          </rPr>
          <t>Matt Mortimer:</t>
        </r>
        <r>
          <rPr>
            <sz val="8"/>
            <color indexed="81"/>
            <rFont val="Tahoma"/>
            <family val="2"/>
          </rPr>
          <t xml:space="preserve">
No known effort- too many drifts in RMS</t>
        </r>
      </text>
    </comment>
    <comment ref="T122" authorId="0" shapeId="0" xr:uid="{00000000-0006-0000-0900-00000C000000}">
      <text>
        <r>
          <rPr>
            <b/>
            <sz val="8"/>
            <color indexed="81"/>
            <rFont val="Tahoma"/>
            <family val="2"/>
          </rPr>
          <t>Matt Mortimer:</t>
        </r>
        <r>
          <rPr>
            <sz val="8"/>
            <color indexed="81"/>
            <rFont val="Tahoma"/>
            <family val="2"/>
          </rPr>
          <t xml:space="preserve">
No Monitoring</t>
        </r>
      </text>
    </comment>
    <comment ref="G139" authorId="0" shapeId="0" xr:uid="{00000000-0006-0000-0900-00000D000000}">
      <text>
        <r>
          <rPr>
            <b/>
            <sz val="8"/>
            <color indexed="81"/>
            <rFont val="Tahoma"/>
            <family val="2"/>
          </rPr>
          <t>Matt Mortimer:</t>
        </r>
        <r>
          <rPr>
            <sz val="8"/>
            <color indexed="81"/>
            <rFont val="Tahoma"/>
            <family val="2"/>
          </rPr>
          <t xml:space="preserve">
Midpoint of range</t>
        </r>
      </text>
    </comment>
    <comment ref="K139" authorId="0" shapeId="0" xr:uid="{00000000-0006-0000-0900-00000E000000}">
      <text>
        <r>
          <rPr>
            <b/>
            <sz val="8"/>
            <color indexed="81"/>
            <rFont val="Tahoma"/>
            <family val="2"/>
          </rPr>
          <t>Matt Mortimer:</t>
        </r>
        <r>
          <rPr>
            <sz val="8"/>
            <color indexed="81"/>
            <rFont val="Tahoma"/>
            <family val="2"/>
          </rPr>
          <t xml:space="preserve">
F/O's in Bella Bella for Herrring Fishery</t>
        </r>
      </text>
    </comment>
    <comment ref="G140" authorId="0" shapeId="0" xr:uid="{00000000-0006-0000-0900-00000F000000}">
      <text>
        <r>
          <rPr>
            <b/>
            <sz val="8"/>
            <color indexed="81"/>
            <rFont val="Tahoma"/>
            <family val="2"/>
          </rPr>
          <t>Matt Mortimer:</t>
        </r>
        <r>
          <rPr>
            <sz val="8"/>
            <color indexed="81"/>
            <rFont val="Tahoma"/>
            <family val="2"/>
          </rPr>
          <t xml:space="preserve">
Midpoint of range</t>
        </r>
      </text>
    </comment>
    <comment ref="J140" authorId="0" shapeId="0" xr:uid="{00000000-0006-0000-0900-000010000000}">
      <text>
        <r>
          <rPr>
            <b/>
            <sz val="8"/>
            <color indexed="81"/>
            <rFont val="Tahoma"/>
            <family val="2"/>
          </rPr>
          <t>Matt Mortimer:</t>
        </r>
        <r>
          <rPr>
            <sz val="8"/>
            <color indexed="81"/>
            <rFont val="Tahoma"/>
            <family val="2"/>
          </rPr>
          <t xml:space="preserve">
Unknown effort from RMS</t>
        </r>
      </text>
    </comment>
    <comment ref="L140" authorId="0" shapeId="0" xr:uid="{00000000-0006-0000-0900-000011000000}">
      <text>
        <r>
          <rPr>
            <b/>
            <sz val="8"/>
            <color indexed="81"/>
            <rFont val="Tahoma"/>
            <family val="2"/>
          </rPr>
          <t>Matt Mortimer:</t>
        </r>
        <r>
          <rPr>
            <sz val="8"/>
            <color indexed="81"/>
            <rFont val="Tahoma"/>
            <family val="2"/>
          </rPr>
          <t xml:space="preserve">
F/O in Bella Bella for this span</t>
        </r>
      </text>
    </comment>
    <comment ref="G142" authorId="0" shapeId="0" xr:uid="{00000000-0006-0000-0900-000012000000}">
      <text>
        <r>
          <rPr>
            <b/>
            <sz val="8"/>
            <color indexed="81"/>
            <rFont val="Tahoma"/>
            <family val="2"/>
          </rPr>
          <t>Matt Mortimer:</t>
        </r>
        <r>
          <rPr>
            <sz val="8"/>
            <color indexed="81"/>
            <rFont val="Tahoma"/>
            <family val="2"/>
          </rPr>
          <t xml:space="preserve">
Midpoint of range</t>
        </r>
      </text>
    </comment>
    <comment ref="G144" authorId="0" shapeId="0" xr:uid="{00000000-0006-0000-0900-000013000000}">
      <text>
        <r>
          <rPr>
            <b/>
            <sz val="8"/>
            <color indexed="81"/>
            <rFont val="Tahoma"/>
            <family val="2"/>
          </rPr>
          <t>Matt Mortimer:</t>
        </r>
        <r>
          <rPr>
            <sz val="8"/>
            <color indexed="81"/>
            <rFont val="Tahoma"/>
            <family val="2"/>
          </rPr>
          <t xml:space="preserve">
Midpoint of range</t>
        </r>
      </text>
    </comment>
    <comment ref="G145" authorId="0" shapeId="0" xr:uid="{00000000-0006-0000-0900-000014000000}">
      <text>
        <r>
          <rPr>
            <b/>
            <sz val="8"/>
            <color indexed="81"/>
            <rFont val="Tahoma"/>
            <family val="2"/>
          </rPr>
          <t>Matt Mortimer:</t>
        </r>
        <r>
          <rPr>
            <sz val="8"/>
            <color indexed="81"/>
            <rFont val="Tahoma"/>
            <family val="2"/>
          </rPr>
          <t xml:space="preserve">
Midpoint of range</t>
        </r>
      </text>
    </comment>
    <comment ref="T183" authorId="0" shapeId="0" xr:uid="{00000000-0006-0000-0900-000015000000}">
      <text>
        <r>
          <rPr>
            <b/>
            <sz val="8"/>
            <color indexed="81"/>
            <rFont val="Tahoma"/>
            <family val="2"/>
          </rPr>
          <t>Matt Mortimer:</t>
        </r>
        <r>
          <rPr>
            <sz val="8"/>
            <color indexed="81"/>
            <rFont val="Tahoma"/>
            <family val="2"/>
          </rPr>
          <t xml:space="preserve">
No Monitoring</t>
        </r>
      </text>
    </comment>
    <comment ref="U183" authorId="0" shapeId="0" xr:uid="{00000000-0006-0000-0900-000016000000}">
      <text>
        <r>
          <rPr>
            <b/>
            <sz val="8"/>
            <color indexed="81"/>
            <rFont val="Tahoma"/>
            <family val="2"/>
          </rPr>
          <t>Matt Mortimer:</t>
        </r>
        <r>
          <rPr>
            <sz val="8"/>
            <color indexed="81"/>
            <rFont val="Tahoma"/>
            <family val="2"/>
          </rPr>
          <t xml:space="preserve">
Zero</t>
        </r>
      </text>
    </comment>
    <comment ref="V183" authorId="0" shapeId="0" xr:uid="{00000000-0006-0000-0900-000017000000}">
      <text>
        <r>
          <rPr>
            <b/>
            <sz val="8"/>
            <color indexed="81"/>
            <rFont val="Tahoma"/>
            <family val="2"/>
          </rPr>
          <t>Matt Mortimer:</t>
        </r>
        <r>
          <rPr>
            <sz val="8"/>
            <color indexed="81"/>
            <rFont val="Tahoma"/>
            <family val="2"/>
          </rPr>
          <t xml:space="preserve">
Zero</t>
        </r>
      </text>
    </comment>
    <comment ref="W183" authorId="0" shapeId="0" xr:uid="{00000000-0006-0000-0900-000018000000}">
      <text>
        <r>
          <rPr>
            <b/>
            <sz val="8"/>
            <color indexed="81"/>
            <rFont val="Tahoma"/>
            <family val="2"/>
          </rPr>
          <t>Matt Mortimer:</t>
        </r>
        <r>
          <rPr>
            <sz val="8"/>
            <color indexed="81"/>
            <rFont val="Tahoma"/>
            <family val="2"/>
          </rPr>
          <t xml:space="preserve">
Zero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Matt Mortimer</author>
  </authors>
  <commentList>
    <comment ref="B6" authorId="0" shapeId="0" xr:uid="{00000000-0006-0000-0A00-000001000000}">
      <text>
        <r>
          <rPr>
            <b/>
            <sz val="8"/>
            <color indexed="81"/>
            <rFont val="Tahoma"/>
            <family val="2"/>
          </rPr>
          <t>Matt Mortimer:</t>
        </r>
        <r>
          <rPr>
            <sz val="8"/>
            <color indexed="81"/>
            <rFont val="Tahoma"/>
            <family val="2"/>
          </rPr>
          <t xml:space="preserve">
Dean/N. Bentinck/Atnarko</t>
        </r>
      </text>
    </comment>
    <comment ref="G6" authorId="0" shapeId="0" xr:uid="{00000000-0006-0000-0A00-000002000000}">
      <text>
        <r>
          <rPr>
            <b/>
            <sz val="8"/>
            <color indexed="81"/>
            <rFont val="Tahoma"/>
            <family val="2"/>
          </rPr>
          <t>Matt Mortimer:</t>
        </r>
        <r>
          <rPr>
            <sz val="8"/>
            <color indexed="81"/>
            <rFont val="Tahoma"/>
            <family val="2"/>
          </rPr>
          <t xml:space="preserve">
North Bentinck 
July 17</t>
        </r>
      </text>
    </comment>
    <comment ref="X6" authorId="0" shapeId="0" xr:uid="{00000000-0006-0000-0A00-000003000000}">
      <text>
        <r>
          <rPr>
            <b/>
            <sz val="8"/>
            <color indexed="81"/>
            <rFont val="Tahoma"/>
            <family val="2"/>
          </rPr>
          <t>Matt Mortimer:</t>
        </r>
        <r>
          <rPr>
            <sz val="8"/>
            <color indexed="81"/>
            <rFont val="Tahoma"/>
            <family val="2"/>
          </rPr>
          <t xml:space="preserve">
Dead-pitch
Oct 3
Could be samples between Lonesome and Tenas Lakes</t>
        </r>
      </text>
    </comment>
    <comment ref="AM6" authorId="0" shapeId="0" xr:uid="{00000000-0006-0000-0A00-000004000000}">
      <text>
        <r>
          <rPr>
            <b/>
            <sz val="8"/>
            <color indexed="81"/>
            <rFont val="Tahoma"/>
            <family val="2"/>
          </rPr>
          <t>Matt Mortimer:</t>
        </r>
        <r>
          <rPr>
            <sz val="8"/>
            <color indexed="81"/>
            <rFont val="Tahoma"/>
            <family val="2"/>
          </rPr>
          <t xml:space="preserve">
Dean/N. Bentinck/Atnarko</t>
        </r>
      </text>
    </comment>
    <comment ref="AQ6" authorId="0" shapeId="0" xr:uid="{00000000-0006-0000-0A00-000005000000}">
      <text>
        <r>
          <rPr>
            <b/>
            <sz val="8"/>
            <color indexed="81"/>
            <rFont val="Tahoma"/>
            <family val="2"/>
          </rPr>
          <t>Matt Mortimer:</t>
        </r>
        <r>
          <rPr>
            <sz val="8"/>
            <color indexed="81"/>
            <rFont val="Tahoma"/>
            <family val="2"/>
          </rPr>
          <t xml:space="preserve">
North Bentinck 
July 17</t>
        </r>
      </text>
    </comment>
    <comment ref="BF6" authorId="0" shapeId="0" xr:uid="{00000000-0006-0000-0A00-000006000000}">
      <text>
        <r>
          <rPr>
            <b/>
            <sz val="8"/>
            <color indexed="81"/>
            <rFont val="Tahoma"/>
            <family val="2"/>
          </rPr>
          <t>Matt Mortimer:</t>
        </r>
        <r>
          <rPr>
            <sz val="8"/>
            <color indexed="81"/>
            <rFont val="Tahoma"/>
            <family val="2"/>
          </rPr>
          <t xml:space="preserve">
Dead-pitch
Oct 3
Could be samples between Lonesome and Tenas Lakes</t>
        </r>
      </text>
    </comment>
    <comment ref="BL6" authorId="0" shapeId="0" xr:uid="{00000000-0006-0000-0A00-000007000000}">
      <text>
        <r>
          <rPr>
            <b/>
            <sz val="8"/>
            <color indexed="81"/>
            <rFont val="Tahoma"/>
            <family val="2"/>
          </rPr>
          <t>Matt Mortimer:</t>
        </r>
        <r>
          <rPr>
            <sz val="8"/>
            <color indexed="81"/>
            <rFont val="Tahoma"/>
            <family val="2"/>
          </rPr>
          <t xml:space="preserve">
Dead-pitch
Oct 3
Could be samples between Lonesome and Tenas Lakes</t>
        </r>
      </text>
    </comment>
    <comment ref="C7" authorId="0" shapeId="0" xr:uid="{00000000-0006-0000-0A00-000008000000}">
      <text>
        <r>
          <rPr>
            <b/>
            <sz val="8"/>
            <color indexed="81"/>
            <rFont val="Tahoma"/>
            <family val="2"/>
          </rPr>
          <t>Matt Mortimer:</t>
        </r>
        <r>
          <rPr>
            <sz val="8"/>
            <color indexed="81"/>
            <rFont val="Tahoma"/>
            <family val="2"/>
          </rPr>
          <t xml:space="preserve">
Dean/N. Bentinck Arm</t>
        </r>
      </text>
    </comment>
    <comment ref="AN7" authorId="0" shapeId="0" xr:uid="{00000000-0006-0000-0A00-000009000000}">
      <text>
        <r>
          <rPr>
            <b/>
            <sz val="8"/>
            <color indexed="81"/>
            <rFont val="Tahoma"/>
            <family val="2"/>
          </rPr>
          <t>Matt Mortimer:</t>
        </r>
        <r>
          <rPr>
            <sz val="8"/>
            <color indexed="81"/>
            <rFont val="Tahoma"/>
            <family val="2"/>
          </rPr>
          <t xml:space="preserve">
Dean/N. Bentinck Arm</t>
        </r>
      </text>
    </comment>
    <comment ref="B8" authorId="0" shapeId="0" xr:uid="{00000000-0006-0000-0A00-00000A000000}">
      <text>
        <r>
          <rPr>
            <b/>
            <sz val="8"/>
            <color indexed="81"/>
            <rFont val="Tahoma"/>
            <family val="2"/>
          </rPr>
          <t>Matt Mortimer:</t>
        </r>
        <r>
          <rPr>
            <sz val="8"/>
            <color indexed="81"/>
            <rFont val="Tahoma"/>
            <family val="2"/>
          </rPr>
          <t xml:space="preserve">
Fitzhugh/Dean/N. Bentinck</t>
        </r>
      </text>
    </comment>
    <comment ref="AM8" authorId="0" shapeId="0" xr:uid="{00000000-0006-0000-0A00-00000B000000}">
      <text>
        <r>
          <rPr>
            <b/>
            <sz val="8"/>
            <color indexed="81"/>
            <rFont val="Tahoma"/>
            <family val="2"/>
          </rPr>
          <t>Matt Mortimer:</t>
        </r>
        <r>
          <rPr>
            <sz val="8"/>
            <color indexed="81"/>
            <rFont val="Tahoma"/>
            <family val="2"/>
          </rPr>
          <t xml:space="preserve">
Fitzhugh/Dean/N. Bentinck</t>
        </r>
      </text>
    </comment>
    <comment ref="H9" authorId="0" shapeId="0" xr:uid="{00000000-0006-0000-0A00-00000C000000}">
      <text>
        <r>
          <rPr>
            <b/>
            <sz val="8"/>
            <color indexed="81"/>
            <rFont val="Tahoma"/>
            <family val="2"/>
          </rPr>
          <t>Matt Mortimer:</t>
        </r>
        <r>
          <rPr>
            <sz val="8"/>
            <color indexed="81"/>
            <rFont val="Tahoma"/>
            <family val="2"/>
          </rPr>
          <t xml:space="preserve">
Labouchere
July 4
July 5</t>
        </r>
      </text>
    </comment>
    <comment ref="L9" authorId="0" shapeId="0" xr:uid="{00000000-0006-0000-0A00-00000D000000}">
      <text>
        <r>
          <rPr>
            <b/>
            <sz val="8"/>
            <color indexed="81"/>
            <rFont val="Tahoma"/>
            <family val="2"/>
          </rPr>
          <t>Matt Mortimer:</t>
        </r>
        <r>
          <rPr>
            <sz val="8"/>
            <color indexed="81"/>
            <rFont val="Tahoma"/>
            <family val="2"/>
          </rPr>
          <t xml:space="preserve">
Fitzhugh Sound
July 4</t>
        </r>
      </text>
    </comment>
    <comment ref="R9" authorId="0" shapeId="0" xr:uid="{00000000-0006-0000-0A00-00000E000000}">
      <text>
        <r>
          <rPr>
            <b/>
            <sz val="8"/>
            <color indexed="81"/>
            <rFont val="Tahoma"/>
            <family val="2"/>
          </rPr>
          <t>Matt Mortimer:</t>
        </r>
        <r>
          <rPr>
            <sz val="8"/>
            <color indexed="81"/>
            <rFont val="Tahoma"/>
            <family val="2"/>
          </rPr>
          <t xml:space="preserve">
Bella Coola River
June 28; July 6 and 10 assumed IFF</t>
        </r>
      </text>
    </comment>
    <comment ref="AR9" authorId="0" shapeId="0" xr:uid="{00000000-0006-0000-0A00-00000F000000}">
      <text>
        <r>
          <rPr>
            <b/>
            <sz val="8"/>
            <color indexed="81"/>
            <rFont val="Tahoma"/>
            <family val="2"/>
          </rPr>
          <t>Matt Mortimer:</t>
        </r>
        <r>
          <rPr>
            <sz val="8"/>
            <color indexed="81"/>
            <rFont val="Tahoma"/>
            <family val="2"/>
          </rPr>
          <t xml:space="preserve">
Labouchere
July 4
July 5</t>
        </r>
      </text>
    </comment>
    <comment ref="AU9" authorId="0" shapeId="0" xr:uid="{00000000-0006-0000-0A00-000010000000}">
      <text>
        <r>
          <rPr>
            <b/>
            <sz val="8"/>
            <color indexed="81"/>
            <rFont val="Tahoma"/>
            <family val="2"/>
          </rPr>
          <t>Matt Mortimer:</t>
        </r>
        <r>
          <rPr>
            <sz val="8"/>
            <color indexed="81"/>
            <rFont val="Tahoma"/>
            <family val="2"/>
          </rPr>
          <t xml:space="preserve">
Fitzhugh Sound
July 4</t>
        </r>
      </text>
    </comment>
    <comment ref="AZ9" authorId="0" shapeId="0" xr:uid="{00000000-0006-0000-0A00-000011000000}">
      <text>
        <r>
          <rPr>
            <b/>
            <sz val="8"/>
            <color indexed="81"/>
            <rFont val="Tahoma"/>
            <family val="2"/>
          </rPr>
          <t>Matt Mortimer:</t>
        </r>
        <r>
          <rPr>
            <sz val="8"/>
            <color indexed="81"/>
            <rFont val="Tahoma"/>
            <family val="2"/>
          </rPr>
          <t xml:space="preserve">
Bella Coola River
June 28; July 6 and 10 assumed IFF</t>
        </r>
      </text>
    </comment>
    <comment ref="BL9" authorId="0" shapeId="0" xr:uid="{00000000-0006-0000-0A00-000012000000}">
      <text>
        <r>
          <rPr>
            <b/>
            <sz val="8"/>
            <color indexed="81"/>
            <rFont val="Tahoma"/>
            <family val="2"/>
          </rPr>
          <t>Matt Mortimer:</t>
        </r>
        <r>
          <rPr>
            <sz val="8"/>
            <color indexed="81"/>
            <rFont val="Tahoma"/>
            <family val="2"/>
          </rPr>
          <t xml:space="preserve">
Bella Coola River
June 28; July 6 and 10 assumed IFF</t>
        </r>
      </text>
    </comment>
    <comment ref="B10" authorId="0" shapeId="0" xr:uid="{00000000-0006-0000-0A00-000013000000}">
      <text>
        <r>
          <rPr>
            <b/>
            <sz val="8"/>
            <color indexed="81"/>
            <rFont val="Tahoma"/>
            <family val="2"/>
          </rPr>
          <t>Matt Mortimer:</t>
        </r>
        <r>
          <rPr>
            <sz val="8"/>
            <color indexed="81"/>
            <rFont val="Tahoma"/>
            <family val="2"/>
          </rPr>
          <t xml:space="preserve">
Lists as Bella Coola??
June 8</t>
        </r>
      </text>
    </comment>
    <comment ref="H10" authorId="0" shapeId="0" xr:uid="{00000000-0006-0000-0A00-000014000000}">
      <text>
        <r>
          <rPr>
            <b/>
            <sz val="8"/>
            <color indexed="81"/>
            <rFont val="Tahoma"/>
            <family val="2"/>
          </rPr>
          <t>Matt Mortimer:</t>
        </r>
        <r>
          <rPr>
            <sz val="8"/>
            <color indexed="81"/>
            <rFont val="Tahoma"/>
            <family val="2"/>
          </rPr>
          <t xml:space="preserve">
Labouchere 
June 13</t>
        </r>
      </text>
    </comment>
    <comment ref="R10" authorId="0" shapeId="0" xr:uid="{00000000-0006-0000-0A00-000015000000}">
      <text>
        <r>
          <rPr>
            <b/>
            <sz val="8"/>
            <color indexed="81"/>
            <rFont val="Tahoma"/>
            <family val="2"/>
          </rPr>
          <t>Matt Mortimer:</t>
        </r>
        <r>
          <rPr>
            <sz val="8"/>
            <color indexed="81"/>
            <rFont val="Tahoma"/>
            <family val="2"/>
          </rPr>
          <t xml:space="preserve">
June 4 and 15 location as Bella Coola River assumed were IFF</t>
        </r>
      </text>
    </comment>
    <comment ref="AM10" authorId="0" shapeId="0" xr:uid="{00000000-0006-0000-0A00-000016000000}">
      <text>
        <r>
          <rPr>
            <b/>
            <sz val="8"/>
            <color indexed="81"/>
            <rFont val="Tahoma"/>
            <family val="2"/>
          </rPr>
          <t>Matt Mortimer:</t>
        </r>
        <r>
          <rPr>
            <sz val="8"/>
            <color indexed="81"/>
            <rFont val="Tahoma"/>
            <family val="2"/>
          </rPr>
          <t xml:space="preserve">
Lists as Bella Coola??
June 8</t>
        </r>
      </text>
    </comment>
    <comment ref="AR10" authorId="0" shapeId="0" xr:uid="{00000000-0006-0000-0A00-000017000000}">
      <text>
        <r>
          <rPr>
            <b/>
            <sz val="8"/>
            <color indexed="81"/>
            <rFont val="Tahoma"/>
            <family val="2"/>
          </rPr>
          <t>Matt Mortimer:</t>
        </r>
        <r>
          <rPr>
            <sz val="8"/>
            <color indexed="81"/>
            <rFont val="Tahoma"/>
            <family val="2"/>
          </rPr>
          <t xml:space="preserve">
Labouchere 
June 13</t>
        </r>
      </text>
    </comment>
    <comment ref="AZ10" authorId="0" shapeId="0" xr:uid="{00000000-0006-0000-0A00-000018000000}">
      <text>
        <r>
          <rPr>
            <b/>
            <sz val="8"/>
            <color indexed="81"/>
            <rFont val="Tahoma"/>
            <family val="2"/>
          </rPr>
          <t>Matt Mortimer:</t>
        </r>
        <r>
          <rPr>
            <sz val="8"/>
            <color indexed="81"/>
            <rFont val="Tahoma"/>
            <family val="2"/>
          </rPr>
          <t xml:space="preserve">
June 4 and 15 location as Bella Coola River assumed were IFF</t>
        </r>
      </text>
    </comment>
    <comment ref="BL10" authorId="0" shapeId="0" xr:uid="{00000000-0006-0000-0A00-000019000000}">
      <text>
        <r>
          <rPr>
            <b/>
            <sz val="8"/>
            <color indexed="81"/>
            <rFont val="Tahoma"/>
            <family val="2"/>
          </rPr>
          <t>Matt Mortimer:</t>
        </r>
        <r>
          <rPr>
            <sz val="8"/>
            <color indexed="81"/>
            <rFont val="Tahoma"/>
            <family val="2"/>
          </rPr>
          <t xml:space="preserve">
June 4 and 15 location as Bella Coola River assumed were IFF</t>
        </r>
      </text>
    </comment>
    <comment ref="C11" authorId="0" shapeId="0" xr:uid="{00000000-0006-0000-0A00-00001A000000}">
      <text>
        <r>
          <rPr>
            <b/>
            <sz val="8"/>
            <color indexed="81"/>
            <rFont val="Tahoma"/>
            <family val="2"/>
          </rPr>
          <t>Matt Mortimer:</t>
        </r>
        <r>
          <rPr>
            <sz val="8"/>
            <color indexed="81"/>
            <rFont val="Tahoma"/>
            <family val="2"/>
          </rPr>
          <t xml:space="preserve">
BCGNA
June 18</t>
        </r>
      </text>
    </comment>
    <comment ref="G11" authorId="0" shapeId="0" xr:uid="{00000000-0006-0000-0A00-00001B00000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R11" authorId="0" shapeId="0" xr:uid="{00000000-0006-0000-0A00-00001C000000}">
      <text>
        <r>
          <rPr>
            <b/>
            <sz val="8"/>
            <color indexed="81"/>
            <rFont val="Tahoma"/>
            <family val="2"/>
          </rPr>
          <t>Matt Mortimer:</t>
        </r>
        <r>
          <rPr>
            <sz val="8"/>
            <color indexed="81"/>
            <rFont val="Tahoma"/>
            <family val="2"/>
          </rPr>
          <t xml:space="preserve">
Did not include 1 sport caught June 28</t>
        </r>
      </text>
    </comment>
    <comment ref="AN11" authorId="0" shapeId="0" xr:uid="{00000000-0006-0000-0A00-00001D000000}">
      <text>
        <r>
          <rPr>
            <b/>
            <sz val="8"/>
            <color indexed="81"/>
            <rFont val="Tahoma"/>
            <family val="2"/>
          </rPr>
          <t>Matt Mortimer:</t>
        </r>
        <r>
          <rPr>
            <sz val="8"/>
            <color indexed="81"/>
            <rFont val="Tahoma"/>
            <family val="2"/>
          </rPr>
          <t xml:space="preserve">
BCGNA
June 18</t>
        </r>
      </text>
    </comment>
    <comment ref="AQ11" authorId="0" shapeId="0" xr:uid="{00000000-0006-0000-0A00-00001E000000}">
      <text>
        <r>
          <rPr>
            <b/>
            <sz val="8"/>
            <color indexed="81"/>
            <rFont val="Tahoma"/>
            <family val="2"/>
          </rPr>
          <t>Matt Mortimer:</t>
        </r>
        <r>
          <rPr>
            <sz val="8"/>
            <color indexed="81"/>
            <rFont val="Tahoma"/>
            <family val="2"/>
          </rPr>
          <t xml:space="preserve">
North Bentinck Arm
July 2
Bella Coola Docks
July 3
July 10
Assumed Bella Coola Docks North Bentinck same</t>
        </r>
      </text>
    </comment>
    <comment ref="AZ11" authorId="0" shapeId="0" xr:uid="{00000000-0006-0000-0A00-00001F000000}">
      <text>
        <r>
          <rPr>
            <b/>
            <sz val="8"/>
            <color indexed="81"/>
            <rFont val="Tahoma"/>
            <family val="2"/>
          </rPr>
          <t>Matt Mortimer:</t>
        </r>
        <r>
          <rPr>
            <sz val="8"/>
            <color indexed="81"/>
            <rFont val="Tahoma"/>
            <family val="2"/>
          </rPr>
          <t xml:space="preserve">
Did not include 1 sport caught June 28</t>
        </r>
      </text>
    </comment>
    <comment ref="BL11" authorId="0" shapeId="0" xr:uid="{00000000-0006-0000-0A00-000020000000}">
      <text>
        <r>
          <rPr>
            <b/>
            <sz val="8"/>
            <color indexed="81"/>
            <rFont val="Tahoma"/>
            <family val="2"/>
          </rPr>
          <t>Matt Mortimer:</t>
        </r>
        <r>
          <rPr>
            <sz val="8"/>
            <color indexed="81"/>
            <rFont val="Tahoma"/>
            <family val="2"/>
          </rPr>
          <t xml:space="preserve">
Did not include 1 sport caught June 28</t>
        </r>
      </text>
    </comment>
    <comment ref="B13" authorId="0" shapeId="0" xr:uid="{00000000-0006-0000-0A00-00002100000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AM13" authorId="0" shapeId="0" xr:uid="{00000000-0006-0000-0A00-000022000000}">
      <text>
        <r>
          <rPr>
            <b/>
            <sz val="8"/>
            <color indexed="81"/>
            <rFont val="Tahoma"/>
            <family val="2"/>
          </rPr>
          <t>Matt Mortimer:</t>
        </r>
        <r>
          <rPr>
            <sz val="8"/>
            <color indexed="81"/>
            <rFont val="Tahoma"/>
            <family val="2"/>
          </rPr>
          <t xml:space="preserve">
Area 8
July 31- GN
2 of 4's and 3 of 5's were Nimpkish so removed
Fitzhugh Sound
July 21- SN
Aug 6- SN
</t>
        </r>
      </text>
    </comment>
    <comment ref="C14" authorId="0" shapeId="0" xr:uid="{00000000-0006-0000-0A00-000023000000}">
      <text>
        <r>
          <rPr>
            <b/>
            <sz val="8"/>
            <color indexed="81"/>
            <rFont val="Tahoma"/>
            <family val="2"/>
          </rPr>
          <t>Matt Mortimer:</t>
        </r>
        <r>
          <rPr>
            <sz val="8"/>
            <color indexed="81"/>
            <rFont val="Tahoma"/>
            <family val="2"/>
          </rPr>
          <t xml:space="preserve">
BCGNA
July 5 and 12</t>
        </r>
      </text>
    </comment>
    <comment ref="AN14" authorId="0" shapeId="0" xr:uid="{00000000-0006-0000-0A00-000024000000}">
      <text>
        <r>
          <rPr>
            <b/>
            <sz val="8"/>
            <color indexed="81"/>
            <rFont val="Tahoma"/>
            <family val="2"/>
          </rPr>
          <t>Matt Mortimer:</t>
        </r>
        <r>
          <rPr>
            <sz val="8"/>
            <color indexed="81"/>
            <rFont val="Tahoma"/>
            <family val="2"/>
          </rPr>
          <t xml:space="preserve">
BCGNA
July 5 and 12</t>
        </r>
      </text>
    </comment>
    <comment ref="C15" authorId="0" shapeId="0" xr:uid="{00000000-0006-0000-0A00-000025000000}">
      <text>
        <r>
          <rPr>
            <b/>
            <sz val="8"/>
            <color indexed="81"/>
            <rFont val="Tahoma"/>
            <family val="2"/>
          </rPr>
          <t>Matt Mortimer:</t>
        </r>
        <r>
          <rPr>
            <sz val="8"/>
            <color indexed="81"/>
            <rFont val="Tahoma"/>
            <family val="2"/>
          </rPr>
          <t xml:space="preserve">
BCGNA</t>
        </r>
      </text>
    </comment>
    <comment ref="R15" authorId="0" shapeId="0" xr:uid="{00000000-0006-0000-0A00-000026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AN15" authorId="0" shapeId="0" xr:uid="{00000000-0006-0000-0A00-000027000000}">
      <text>
        <r>
          <rPr>
            <b/>
            <sz val="8"/>
            <color indexed="81"/>
            <rFont val="Tahoma"/>
            <family val="2"/>
          </rPr>
          <t>Matt Mortimer:</t>
        </r>
        <r>
          <rPr>
            <sz val="8"/>
            <color indexed="81"/>
            <rFont val="Tahoma"/>
            <family val="2"/>
          </rPr>
          <t xml:space="preserve">
BCGNA</t>
        </r>
      </text>
    </comment>
    <comment ref="AZ15" authorId="0" shapeId="0" xr:uid="{00000000-0006-0000-0A00-000028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BL15" authorId="0" shapeId="0" xr:uid="{00000000-0006-0000-0A00-000029000000}">
      <text>
        <r>
          <rPr>
            <b/>
            <sz val="8"/>
            <color indexed="81"/>
            <rFont val="Tahoma"/>
            <family val="2"/>
          </rPr>
          <t>Matt Mortimer:</t>
        </r>
        <r>
          <rPr>
            <sz val="8"/>
            <color indexed="81"/>
            <rFont val="Tahoma"/>
            <family val="2"/>
          </rPr>
          <t xml:space="preserve">
There was an entry into Age Database that said Bella Coola River- Gillnet that I assumed was IFF…2-3's, 60-4's, 28-5's, and 1-6's b/c there was a BCGNA entry on that same day?</t>
        </r>
      </text>
    </comment>
    <comment ref="C16" authorId="0" shapeId="0" xr:uid="{00000000-0006-0000-0A00-00002A000000}">
      <text>
        <r>
          <rPr>
            <b/>
            <sz val="8"/>
            <color indexed="81"/>
            <rFont val="Tahoma"/>
            <family val="2"/>
          </rPr>
          <t>Matt Mortimer:</t>
        </r>
        <r>
          <rPr>
            <sz val="8"/>
            <color indexed="81"/>
            <rFont val="Tahoma"/>
            <family val="2"/>
          </rPr>
          <t xml:space="preserve">
Burke Channel</t>
        </r>
      </text>
    </comment>
    <comment ref="AN16" authorId="0" shapeId="0" xr:uid="{00000000-0006-0000-0A00-00002B000000}">
      <text>
        <r>
          <rPr>
            <b/>
            <sz val="8"/>
            <color indexed="81"/>
            <rFont val="Tahoma"/>
            <family val="2"/>
          </rPr>
          <t>Matt Mortimer:</t>
        </r>
        <r>
          <rPr>
            <sz val="8"/>
            <color indexed="81"/>
            <rFont val="Tahoma"/>
            <family val="2"/>
          </rPr>
          <t xml:space="preserve">
Burke Channel</t>
        </r>
      </text>
    </comment>
    <comment ref="C17" authorId="0" shapeId="0" xr:uid="{00000000-0006-0000-0A00-00002C000000}">
      <text>
        <r>
          <rPr>
            <b/>
            <sz val="8"/>
            <color indexed="81"/>
            <rFont val="Tahoma"/>
            <family val="2"/>
          </rPr>
          <t>Matt Mortimer:</t>
        </r>
        <r>
          <rPr>
            <sz val="8"/>
            <color indexed="81"/>
            <rFont val="Tahoma"/>
            <family val="2"/>
          </rPr>
          <t xml:space="preserve">
Includes Area 8 Seine 1-4's and 1-5's and  includes 1-5's from Dean/Burke.</t>
        </r>
      </text>
    </comment>
    <comment ref="H17" authorId="0" shapeId="0" xr:uid="{00000000-0006-0000-0A00-00002D000000}">
      <text>
        <r>
          <rPr>
            <b/>
            <sz val="8"/>
            <color indexed="81"/>
            <rFont val="Tahoma"/>
            <family val="2"/>
          </rPr>
          <t>Matt Mortimer:</t>
        </r>
        <r>
          <rPr>
            <sz val="8"/>
            <color indexed="81"/>
            <rFont val="Tahoma"/>
            <family val="2"/>
          </rPr>
          <t xml:space="preserve">
Labouchere Channel</t>
        </r>
      </text>
    </comment>
    <comment ref="R17" authorId="0" shapeId="0" xr:uid="{00000000-0006-0000-0A00-00002E000000}">
      <text>
        <r>
          <rPr>
            <b/>
            <sz val="8"/>
            <color indexed="81"/>
            <rFont val="Tahoma"/>
            <family val="2"/>
          </rPr>
          <t>Matt Mortimer:</t>
        </r>
        <r>
          <rPr>
            <sz val="8"/>
            <color indexed="81"/>
            <rFont val="Tahoma"/>
            <family val="2"/>
          </rPr>
          <t xml:space="preserve">
There was a Bella Coola River- GN that assumed IFF….27-4's, 24-5's, 1-6's.</t>
        </r>
      </text>
    </comment>
    <comment ref="AN17" authorId="0" shapeId="0" xr:uid="{00000000-0006-0000-0A00-00002F000000}">
      <text>
        <r>
          <rPr>
            <b/>
            <sz val="8"/>
            <color indexed="81"/>
            <rFont val="Tahoma"/>
            <family val="2"/>
          </rPr>
          <t>Matt Mortimer:</t>
        </r>
        <r>
          <rPr>
            <sz val="8"/>
            <color indexed="81"/>
            <rFont val="Tahoma"/>
            <family val="2"/>
          </rPr>
          <t xml:space="preserve">
Includes Area 8 Seine 1-4's and 1-5's and  includes 1-5's from Dean/Burke.</t>
        </r>
      </text>
    </comment>
    <comment ref="AR17" authorId="0" shapeId="0" xr:uid="{00000000-0006-0000-0A00-000030000000}">
      <text>
        <r>
          <rPr>
            <b/>
            <sz val="8"/>
            <color indexed="81"/>
            <rFont val="Tahoma"/>
            <family val="2"/>
          </rPr>
          <t>Matt Mortimer:</t>
        </r>
        <r>
          <rPr>
            <sz val="8"/>
            <color indexed="81"/>
            <rFont val="Tahoma"/>
            <family val="2"/>
          </rPr>
          <t xml:space="preserve">
Labouchere Channel</t>
        </r>
      </text>
    </comment>
    <comment ref="AZ17" authorId="0" shapeId="0" xr:uid="{00000000-0006-0000-0A00-000031000000}">
      <text>
        <r>
          <rPr>
            <b/>
            <sz val="8"/>
            <color indexed="81"/>
            <rFont val="Tahoma"/>
            <family val="2"/>
          </rPr>
          <t>Matt Mortimer:</t>
        </r>
        <r>
          <rPr>
            <sz val="8"/>
            <color indexed="81"/>
            <rFont val="Tahoma"/>
            <family val="2"/>
          </rPr>
          <t xml:space="preserve">
There was a Bella Coola River- GN that assumed IFF….27-4's, 24-5's, 1-6's.</t>
        </r>
      </text>
    </comment>
    <comment ref="BL17" authorId="0" shapeId="0" xr:uid="{00000000-0006-0000-0A00-000032000000}">
      <text>
        <r>
          <rPr>
            <b/>
            <sz val="8"/>
            <color indexed="81"/>
            <rFont val="Tahoma"/>
            <family val="2"/>
          </rPr>
          <t>Matt Mortimer:</t>
        </r>
        <r>
          <rPr>
            <sz val="8"/>
            <color indexed="81"/>
            <rFont val="Tahoma"/>
            <family val="2"/>
          </rPr>
          <t xml:space="preserve">
There was a Bella Coola River- GN that assumed IFF….27-4's, 24-5's, 1-6's.</t>
        </r>
      </text>
    </comment>
    <comment ref="C18" authorId="0" shapeId="0" xr:uid="{00000000-0006-0000-0A00-000033000000}">
      <text>
        <r>
          <rPr>
            <b/>
            <sz val="8"/>
            <color indexed="81"/>
            <rFont val="Tahoma"/>
            <family val="2"/>
          </rPr>
          <t>Matt Mortimer:</t>
        </r>
        <r>
          <rPr>
            <sz val="8"/>
            <color indexed="81"/>
            <rFont val="Tahoma"/>
            <family val="2"/>
          </rPr>
          <t xml:space="preserve">
Labouchere Channel July 6-12 (Wk 15) 14-4's and 9-5's + 1-5's Area 8 GN.</t>
        </r>
      </text>
    </comment>
    <comment ref="S18" authorId="0" shapeId="0" xr:uid="{00000000-0006-0000-0A00-00003400000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AN18" authorId="0" shapeId="0" xr:uid="{00000000-0006-0000-0A00-000035000000}">
      <text>
        <r>
          <rPr>
            <b/>
            <sz val="8"/>
            <color indexed="81"/>
            <rFont val="Tahoma"/>
            <family val="2"/>
          </rPr>
          <t>Matt Mortimer:</t>
        </r>
        <r>
          <rPr>
            <sz val="8"/>
            <color indexed="81"/>
            <rFont val="Tahoma"/>
            <family val="2"/>
          </rPr>
          <t xml:space="preserve">
Labouchere Channel July 6-12 (Wk 15) 14-4's and 9-5's + 1-5's Area 8 GN.</t>
        </r>
      </text>
    </comment>
    <comment ref="BA18" authorId="0" shapeId="0" xr:uid="{00000000-0006-0000-0A00-000036000000}">
      <text>
        <r>
          <rPr>
            <b/>
            <sz val="8"/>
            <color indexed="81"/>
            <rFont val="Tahoma"/>
            <family val="2"/>
          </rPr>
          <t>Matt Mortimer:</t>
        </r>
        <r>
          <rPr>
            <sz val="8"/>
            <color indexed="81"/>
            <rFont val="Tahoma"/>
            <family val="2"/>
          </rPr>
          <t xml:space="preserve">
40-4's
17-5's
1-6's
During Wk 15 (July6-12) not accounted for in this summary total?  Or did diregard the one 6?</t>
        </r>
      </text>
    </comment>
    <comment ref="BM18" authorId="0" shapeId="0" xr:uid="{00000000-0006-0000-0A00-000037000000}">
      <text>
        <r>
          <rPr>
            <b/>
            <sz val="8"/>
            <color indexed="81"/>
            <rFont val="Tahoma"/>
            <family val="2"/>
          </rPr>
          <t>Matt Mortimer:</t>
        </r>
        <r>
          <rPr>
            <sz val="8"/>
            <color indexed="81"/>
            <rFont val="Tahoma"/>
            <family val="2"/>
          </rPr>
          <t xml:space="preserve">
40-4's
17-5's
1-6's
During Wk 15 (July6-12) not accounted for in this summary total?  Or did disregard the one 6?</t>
        </r>
      </text>
    </comment>
    <comment ref="C19" authorId="0" shapeId="0" xr:uid="{00000000-0006-0000-0A00-000038000000}">
      <text>
        <r>
          <rPr>
            <b/>
            <sz val="8"/>
            <color indexed="81"/>
            <rFont val="Tahoma"/>
            <family val="2"/>
          </rPr>
          <t>Matt Mortimer:</t>
        </r>
        <r>
          <rPr>
            <sz val="8"/>
            <color indexed="81"/>
            <rFont val="Tahoma"/>
            <family val="2"/>
          </rPr>
          <t xml:space="preserve">
FFH GN and SN Marks Recovered</t>
        </r>
      </text>
    </comment>
    <comment ref="R19" authorId="0" shapeId="0" xr:uid="{00000000-0006-0000-0A00-000039000000}">
      <text>
        <r>
          <rPr>
            <b/>
            <sz val="8"/>
            <color indexed="81"/>
            <rFont val="Tahoma"/>
            <family val="2"/>
          </rPr>
          <t>Matt Mortimer:</t>
        </r>
        <r>
          <rPr>
            <sz val="8"/>
            <color indexed="81"/>
            <rFont val="Tahoma"/>
            <family val="2"/>
          </rPr>
          <t xml:space="preserve">
Bella Coola IFF Marks Recovered</t>
        </r>
      </text>
    </comment>
    <comment ref="AN19" authorId="0" shapeId="0" xr:uid="{00000000-0006-0000-0A00-00003A000000}">
      <text>
        <r>
          <rPr>
            <b/>
            <sz val="8"/>
            <color indexed="81"/>
            <rFont val="Tahoma"/>
            <family val="2"/>
          </rPr>
          <t>Matt Mortimer:</t>
        </r>
        <r>
          <rPr>
            <sz val="8"/>
            <color indexed="81"/>
            <rFont val="Tahoma"/>
            <family val="2"/>
          </rPr>
          <t xml:space="preserve">
FFH GN and SN Marks Recovered</t>
        </r>
      </text>
    </comment>
    <comment ref="AZ19" authorId="0" shapeId="0" xr:uid="{00000000-0006-0000-0A00-00003B000000}">
      <text>
        <r>
          <rPr>
            <b/>
            <sz val="8"/>
            <color indexed="81"/>
            <rFont val="Tahoma"/>
            <family val="2"/>
          </rPr>
          <t>Matt Mortimer:</t>
        </r>
        <r>
          <rPr>
            <sz val="8"/>
            <color indexed="81"/>
            <rFont val="Tahoma"/>
            <family val="2"/>
          </rPr>
          <t xml:space="preserve">
Bella Coola IFF Marks Recovered</t>
        </r>
      </text>
    </comment>
    <comment ref="BL19" authorId="0" shapeId="0" xr:uid="{00000000-0006-0000-0A00-00003C000000}">
      <text>
        <r>
          <rPr>
            <b/>
            <sz val="8"/>
            <color indexed="81"/>
            <rFont val="Tahoma"/>
            <family val="2"/>
          </rPr>
          <t>Matt Mortimer:</t>
        </r>
        <r>
          <rPr>
            <sz val="8"/>
            <color indexed="81"/>
            <rFont val="Tahoma"/>
            <family val="2"/>
          </rPr>
          <t xml:space="preserve">
Bella Coola IFF Marks Recovered</t>
        </r>
      </text>
    </comment>
    <comment ref="B20" authorId="0" shapeId="0" xr:uid="{00000000-0006-0000-0A00-00003D000000}">
      <text>
        <r>
          <rPr>
            <b/>
            <sz val="8"/>
            <color indexed="81"/>
            <rFont val="Tahoma"/>
            <family val="2"/>
          </rPr>
          <t>Matt Mortimer:</t>
        </r>
        <r>
          <rPr>
            <sz val="8"/>
            <color indexed="81"/>
            <rFont val="Tahoma"/>
            <family val="2"/>
          </rPr>
          <t xml:space="preserve">
Labouchere Channel</t>
        </r>
      </text>
    </comment>
    <comment ref="AM20" authorId="0" shapeId="0" xr:uid="{00000000-0006-0000-0A00-00003E000000}">
      <text>
        <r>
          <rPr>
            <b/>
            <sz val="8"/>
            <color indexed="81"/>
            <rFont val="Tahoma"/>
            <family val="2"/>
          </rPr>
          <t>Matt Mortimer:</t>
        </r>
        <r>
          <rPr>
            <sz val="8"/>
            <color indexed="81"/>
            <rFont val="Tahoma"/>
            <family val="2"/>
          </rPr>
          <t xml:space="preserve">
Labouchere Channel</t>
        </r>
      </text>
    </comment>
    <comment ref="B21" authorId="0" shapeId="0" xr:uid="{00000000-0006-0000-0A00-00003F000000}">
      <text>
        <r>
          <rPr>
            <b/>
            <sz val="8"/>
            <color indexed="81"/>
            <rFont val="Tahoma"/>
            <family val="2"/>
          </rPr>
          <t>Matt Mortimer:</t>
        </r>
        <r>
          <rPr>
            <sz val="8"/>
            <color indexed="81"/>
            <rFont val="Tahoma"/>
            <family val="2"/>
          </rPr>
          <t xml:space="preserve">
Area 8 GN</t>
        </r>
      </text>
    </comment>
    <comment ref="G21" authorId="0" shapeId="0" xr:uid="{00000000-0006-0000-0A00-000040000000}">
      <text>
        <r>
          <rPr>
            <b/>
            <sz val="8"/>
            <color indexed="81"/>
            <rFont val="Tahoma"/>
            <family val="2"/>
          </rPr>
          <t>Matt Mortimer:</t>
        </r>
        <r>
          <rPr>
            <sz val="8"/>
            <color indexed="81"/>
            <rFont val="Tahoma"/>
            <family val="2"/>
          </rPr>
          <t xml:space="preserve">
Area 8 SN</t>
        </r>
      </text>
    </comment>
    <comment ref="AM21" authorId="0" shapeId="0" xr:uid="{00000000-0006-0000-0A00-000041000000}">
      <text>
        <r>
          <rPr>
            <b/>
            <sz val="8"/>
            <color indexed="81"/>
            <rFont val="Tahoma"/>
            <family val="2"/>
          </rPr>
          <t>Matt Mortimer:</t>
        </r>
        <r>
          <rPr>
            <sz val="8"/>
            <color indexed="81"/>
            <rFont val="Tahoma"/>
            <family val="2"/>
          </rPr>
          <t xml:space="preserve">
Area 8 GN</t>
        </r>
      </text>
    </comment>
    <comment ref="AQ21" authorId="0" shapeId="0" xr:uid="{00000000-0006-0000-0A00-000042000000}">
      <text>
        <r>
          <rPr>
            <b/>
            <sz val="8"/>
            <color indexed="81"/>
            <rFont val="Tahoma"/>
            <family val="2"/>
          </rPr>
          <t>Matt Mortimer:</t>
        </r>
        <r>
          <rPr>
            <sz val="8"/>
            <color indexed="81"/>
            <rFont val="Tahoma"/>
            <family val="2"/>
          </rPr>
          <t xml:space="preserve">
Area 8 SN</t>
        </r>
      </text>
    </comment>
    <comment ref="B22" authorId="0" shapeId="0" xr:uid="{00000000-0006-0000-0A00-000043000000}">
      <text>
        <r>
          <rPr>
            <b/>
            <sz val="8"/>
            <color indexed="81"/>
            <rFont val="Tahoma"/>
            <family val="2"/>
          </rPr>
          <t>Matt Mortimer:</t>
        </r>
        <r>
          <rPr>
            <sz val="8"/>
            <color indexed="81"/>
            <rFont val="Tahoma"/>
            <family val="2"/>
          </rPr>
          <t xml:space="preserve">
Area 8 Gear Unknown</t>
        </r>
      </text>
    </comment>
    <comment ref="AM22" authorId="0" shapeId="0" xr:uid="{00000000-0006-0000-0A00-000044000000}">
      <text>
        <r>
          <rPr>
            <b/>
            <sz val="8"/>
            <color indexed="81"/>
            <rFont val="Tahoma"/>
            <family val="2"/>
          </rPr>
          <t>Matt Mortimer:</t>
        </r>
        <r>
          <rPr>
            <sz val="8"/>
            <color indexed="81"/>
            <rFont val="Tahoma"/>
            <family val="2"/>
          </rPr>
          <t xml:space="preserve">
Area 8 Gear Unknown</t>
        </r>
      </text>
    </comment>
    <comment ref="C28" authorId="0" shapeId="0" xr:uid="{00000000-0006-0000-0A00-000045000000}">
      <text>
        <r>
          <rPr>
            <b/>
            <sz val="8"/>
            <color indexed="81"/>
            <rFont val="Tahoma"/>
            <family val="2"/>
          </rPr>
          <t>Matt Mortimer:</t>
        </r>
        <r>
          <rPr>
            <sz val="8"/>
            <color indexed="81"/>
            <rFont val="Tahoma"/>
            <family val="2"/>
          </rPr>
          <t xml:space="preserve">
Near Namu- Seine
Aug 9/96</t>
        </r>
      </text>
    </comment>
    <comment ref="AN28" authorId="0" shapeId="0" xr:uid="{00000000-0006-0000-0A00-000046000000}">
      <text>
        <r>
          <rPr>
            <b/>
            <sz val="8"/>
            <color indexed="81"/>
            <rFont val="Tahoma"/>
            <family val="2"/>
          </rPr>
          <t>Matt Mortimer:</t>
        </r>
        <r>
          <rPr>
            <sz val="8"/>
            <color indexed="81"/>
            <rFont val="Tahoma"/>
            <family val="2"/>
          </rPr>
          <t xml:space="preserve">
Near Namu- Seine
Aug 9/96</t>
        </r>
      </text>
    </comment>
    <comment ref="Y29" authorId="0" shapeId="0" xr:uid="{00000000-0006-0000-0A00-000047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G29" authorId="0" shapeId="0" xr:uid="{00000000-0006-0000-0A00-000048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M29" authorId="0" shapeId="0" xr:uid="{00000000-0006-0000-0A00-000049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t>
        </r>
      </text>
    </comment>
    <comment ref="BW29" authorId="0" shapeId="0" xr:uid="{00000000-0006-0000-0A00-00004A000000}">
      <text>
        <r>
          <rPr>
            <b/>
            <sz val="8"/>
            <color indexed="81"/>
            <rFont val="Tahoma"/>
            <family val="2"/>
          </rPr>
          <t>Matt Mortimer:</t>
        </r>
        <r>
          <rPr>
            <sz val="8"/>
            <color indexed="81"/>
            <rFont val="Tahoma"/>
            <family val="2"/>
          </rPr>
          <t xml:space="preserve">
From raw data (Box #3) found Sept 23/97 seine above Lonesome Lake 4/1- 3, 4/2- 35, 5/2- 14
seine below Lonesome Lake 2/1- 2, 3/1- 25, 4/1- 4, 4/2- 11, 5/2- 2
Chris Wood- Phylonema sampling + scales applied to spawner counts to the sections above and below Lonesome Lake</t>
        </r>
      </text>
    </comment>
    <comment ref="R30" authorId="0" shapeId="0" xr:uid="{00000000-0006-0000-0A00-00004B000000}">
      <text>
        <r>
          <rPr>
            <b/>
            <sz val="8"/>
            <color indexed="81"/>
            <rFont val="Tahoma"/>
            <family val="2"/>
          </rPr>
          <t>Matt Mortimer:</t>
        </r>
        <r>
          <rPr>
            <sz val="8"/>
            <color indexed="81"/>
            <rFont val="Tahoma"/>
            <family val="2"/>
          </rPr>
          <t xml:space="preserve">
Lower Bella Coola River
Gillnet Set net
July 8</t>
        </r>
      </text>
    </comment>
    <comment ref="AZ30" authorId="0" shapeId="0" xr:uid="{00000000-0006-0000-0A00-00004C000000}">
      <text>
        <r>
          <rPr>
            <b/>
            <sz val="8"/>
            <color indexed="81"/>
            <rFont val="Tahoma"/>
            <family val="2"/>
          </rPr>
          <t>Matt Mortimer:</t>
        </r>
        <r>
          <rPr>
            <sz val="8"/>
            <color indexed="81"/>
            <rFont val="Tahoma"/>
            <family val="2"/>
          </rPr>
          <t xml:space="preserve">
Lower Bella Coola River
Gillnet Set net
July 8</t>
        </r>
      </text>
    </comment>
    <comment ref="R31" authorId="0" shapeId="0" xr:uid="{00000000-0006-0000-0A00-00004D000000}">
      <text>
        <r>
          <rPr>
            <b/>
            <sz val="8"/>
            <color indexed="81"/>
            <rFont val="Tahoma"/>
            <family val="2"/>
          </rPr>
          <t>Matt Mortimer:</t>
        </r>
        <r>
          <rPr>
            <sz val="8"/>
            <color indexed="81"/>
            <rFont val="Tahoma"/>
            <family val="2"/>
          </rPr>
          <t xml:space="preserve">
Gillnet Set net
Lower Bella Coola River
July 1-Aug 4</t>
        </r>
      </text>
    </comment>
    <comment ref="AZ31" authorId="0" shapeId="0" xr:uid="{00000000-0006-0000-0A00-00004E000000}">
      <text>
        <r>
          <rPr>
            <b/>
            <sz val="8"/>
            <color indexed="81"/>
            <rFont val="Tahoma"/>
            <family val="2"/>
          </rPr>
          <t>Matt Mortimer:</t>
        </r>
        <r>
          <rPr>
            <sz val="8"/>
            <color indexed="81"/>
            <rFont val="Tahoma"/>
            <family val="2"/>
          </rPr>
          <t xml:space="preserve">
Gillnet Set net
Lower Bella Coola River
July 1-Aug 4</t>
        </r>
      </text>
    </comment>
    <comment ref="BL31" authorId="0" shapeId="0" xr:uid="{00000000-0006-0000-0A00-00004F000000}">
      <text>
        <r>
          <rPr>
            <b/>
            <sz val="8"/>
            <color indexed="81"/>
            <rFont val="Tahoma"/>
            <family val="2"/>
          </rPr>
          <t>Matt Mortimer:</t>
        </r>
        <r>
          <rPr>
            <sz val="8"/>
            <color indexed="81"/>
            <rFont val="Tahoma"/>
            <family val="2"/>
          </rPr>
          <t xml:space="preserve">
Gillnet Set net
Lower Bella Coola River
July 1-Aug 4</t>
        </r>
      </text>
    </comment>
    <comment ref="C32" authorId="0" shapeId="0" xr:uid="{00000000-0006-0000-0A00-000050000000}">
      <text>
        <r>
          <rPr>
            <b/>
            <sz val="8"/>
            <color indexed="81"/>
            <rFont val="Tahoma"/>
            <family val="2"/>
          </rPr>
          <t>Matt Mortimer:</t>
        </r>
        <r>
          <rPr>
            <sz val="8"/>
            <color indexed="81"/>
            <rFont val="Tahoma"/>
            <family val="2"/>
          </rPr>
          <t xml:space="preserve">
Area 8 Gillnet
July 24</t>
        </r>
      </text>
    </comment>
    <comment ref="AN32" authorId="0" shapeId="0" xr:uid="{00000000-0006-0000-0A00-000051000000}">
      <text>
        <r>
          <rPr>
            <b/>
            <sz val="8"/>
            <color indexed="81"/>
            <rFont val="Tahoma"/>
            <family val="2"/>
          </rPr>
          <t>Matt Mortimer:</t>
        </r>
        <r>
          <rPr>
            <sz val="8"/>
            <color indexed="81"/>
            <rFont val="Tahoma"/>
            <family val="2"/>
          </rPr>
          <t xml:space="preserve">
Area 8 Gillnet
July 24</t>
        </r>
      </text>
    </comment>
  </commentList>
</comments>
</file>

<file path=xl/sharedStrings.xml><?xml version="1.0" encoding="utf-8"?>
<sst xmlns="http://schemas.openxmlformats.org/spreadsheetml/2006/main" count="975" uniqueCount="316">
  <si>
    <t xml:space="preserve"> </t>
  </si>
  <si>
    <t>Atnarko</t>
  </si>
  <si>
    <t>Commercial</t>
  </si>
  <si>
    <t>IFF</t>
  </si>
  <si>
    <t>Total</t>
  </si>
  <si>
    <t>age composition</t>
  </si>
  <si>
    <t>Temp</t>
  </si>
  <si>
    <t>Year</t>
  </si>
  <si>
    <t>Escapement</t>
  </si>
  <si>
    <t>Catch</t>
  </si>
  <si>
    <t>Stock</t>
  </si>
  <si>
    <t>esc</t>
  </si>
  <si>
    <t>catch</t>
  </si>
  <si>
    <t>Age Comp</t>
  </si>
  <si>
    <t>Returns</t>
  </si>
  <si>
    <t>BCGNA</t>
  </si>
  <si>
    <t>DC</t>
  </si>
  <si>
    <t>Total Area 8</t>
  </si>
  <si>
    <t>Source</t>
  </si>
  <si>
    <t>GN</t>
  </si>
  <si>
    <t>SN</t>
  </si>
  <si>
    <t>RMS</t>
  </si>
  <si>
    <t>Tidal</t>
  </si>
  <si>
    <t>Non-Tidal</t>
  </si>
  <si>
    <t>Hakai Pass</t>
  </si>
  <si>
    <t>Upper BC/Atnarko</t>
  </si>
  <si>
    <t>Lw Bella Coola</t>
  </si>
  <si>
    <t>FFH (8-3, Koeye/Namu)</t>
  </si>
  <si>
    <t>8-4 (N of Walker Pt), 8-5</t>
  </si>
  <si>
    <t>BCGNA (8-11)</t>
  </si>
  <si>
    <t>RMS- Note 265 caught 8-3/8-11 so split evenly between the two subareas</t>
  </si>
  <si>
    <t>Ocean Falls</t>
  </si>
  <si>
    <t>N/O</t>
  </si>
  <si>
    <t>N/I</t>
  </si>
  <si>
    <t>N/R</t>
  </si>
  <si>
    <t>A/P</t>
  </si>
  <si>
    <t>RMS- note 8-3 Koeye/Namu and 8-4 N Walker were from RMS Food Fish Hails.</t>
  </si>
  <si>
    <t>RMS and Escapement Records</t>
  </si>
  <si>
    <t>RMS- note that recorded as Lower Fischer Channel and Fitzhugh Sound (includes Namu and Koeye), and Upper Fischer Channel</t>
  </si>
  <si>
    <t>Bella Coola</t>
  </si>
  <si>
    <t>Atn Sp Ch</t>
  </si>
  <si>
    <t>Escapement Records (RMS 29682 wrong b/c didn't add in Quatlena Sk)</t>
  </si>
  <si>
    <t>LFFH</t>
  </si>
  <si>
    <t>UFFH</t>
  </si>
  <si>
    <t>HAKAI</t>
  </si>
  <si>
    <t>RMS- Field Catches</t>
  </si>
  <si>
    <t>Total GN</t>
  </si>
  <si>
    <t>Total SN</t>
  </si>
  <si>
    <t>Field Catches</t>
  </si>
  <si>
    <t>RMS- but found summary table in 1988 RMS that reported 12,840</t>
  </si>
  <si>
    <t>Blue Book</t>
  </si>
  <si>
    <t>RMS- mentions high F/FH catch assumed non-Area 8 stocks and Dean Channel catches due to Kimsquit sockeye.</t>
  </si>
  <si>
    <t>TROLL</t>
  </si>
  <si>
    <t>RMS- 1988 summary table says 7632</t>
  </si>
  <si>
    <t>Comm</t>
  </si>
  <si>
    <t>RMS- 1988 summary table says 5930 and 1986 RMS has summary table with 5938</t>
  </si>
  <si>
    <t>RMS- 1988 summary table says 10550</t>
  </si>
  <si>
    <t>RMS- 1988 summary table agrees</t>
  </si>
  <si>
    <t>Start of Dean Ch Test Fishery</t>
  </si>
  <si>
    <t>RMS- 1988 summary table says 6674</t>
  </si>
  <si>
    <t>RMS- used field catch ratios by sub-area and gear type (Columns M to V) applied to the Blue Book Totals (Columns X and Y)</t>
  </si>
  <si>
    <t>Area 7-9 SN and GN raw data May 2005 (from NC Drive)</t>
  </si>
  <si>
    <t>Central Coast Age Database summary from Nov 2/90 (number not %)</t>
  </si>
  <si>
    <t>Central Coast Age Database summary from Oct 31/89 (number not %)</t>
  </si>
  <si>
    <t>Central Coast Age Database summary from Oct 31/89 (Note these figures do not agree with RMS and are numbers not %)</t>
  </si>
  <si>
    <t>Central Coast Age Database summary from Oct 31/89 (number not %)- Note all numbers check with RMS</t>
  </si>
  <si>
    <t>Central Coast Age Database summary from Oct 31/89 (number not %)- Note numbers don't all check with RMS</t>
  </si>
  <si>
    <t>Escapement Records + Summary of Salmon Spawning, Atnarko River, 1952-1974</t>
  </si>
  <si>
    <t>Escapement Records</t>
  </si>
  <si>
    <t>Range of Escapement (used Midpoint)--Escapement Records + Bella Coola Stream File (original Salmon Spawning Report)</t>
  </si>
  <si>
    <t xml:space="preserve">Range of Escapement (used Midpoint)--Escapement Records </t>
  </si>
  <si>
    <t>Range of Escapement (used Maximum)--Escapement Records</t>
  </si>
  <si>
    <t xml:space="preserve">Range of Escapement (20 to 50K)--Escapement Records </t>
  </si>
  <si>
    <t>Range of Escapement (5 to 10K)--Escapement Records + Summary of Salmon Spawning, Atnarko River, 1952-1975</t>
  </si>
  <si>
    <t>Range of Escapement (10 to 20K)--Escapement Records + Summary of Salmon Spawning, Atnarko River, 1952-1973</t>
  </si>
  <si>
    <t>Original Memo's Dave Flegel (Fishery Officer) to Y. Yole (Fish Morphology Technician)</t>
  </si>
  <si>
    <t>**</t>
  </si>
  <si>
    <t>Blue Book totals from NC Speadsheet updated by Ivan Winther 2005</t>
  </si>
  <si>
    <t>Treepointbaseline</t>
  </si>
  <si>
    <t>14 microsat, 1 MHC loci, 209 populations</t>
  </si>
  <si>
    <t>Area</t>
  </si>
  <si>
    <t xml:space="preserve"> Heiltsuk A8-3</t>
  </si>
  <si>
    <t xml:space="preserve"> Heiltsuk A8-4</t>
  </si>
  <si>
    <t xml:space="preserve"> Heiltsuk A8-5</t>
  </si>
  <si>
    <t>Gear</t>
  </si>
  <si>
    <t>Gill</t>
  </si>
  <si>
    <t xml:space="preserve">N   </t>
  </si>
  <si>
    <t>Early Stuart(Fr)</t>
  </si>
  <si>
    <t>Early Summer(Fr)</t>
  </si>
  <si>
    <t>Summer(Fr)</t>
  </si>
  <si>
    <t>Late(Fr)</t>
  </si>
  <si>
    <t>Washington</t>
  </si>
  <si>
    <t>South Coast</t>
  </si>
  <si>
    <t>VI</t>
  </si>
  <si>
    <t>Columbia</t>
  </si>
  <si>
    <t>Nass</t>
  </si>
  <si>
    <t>Lower Skeena</t>
  </si>
  <si>
    <t>Upper Skeena</t>
  </si>
  <si>
    <t>Bulkley</t>
  </si>
  <si>
    <t>Babine</t>
  </si>
  <si>
    <t>Stikine</t>
  </si>
  <si>
    <t>Central Coast</t>
  </si>
  <si>
    <t>Taku</t>
  </si>
  <si>
    <t>Alsek</t>
  </si>
  <si>
    <t>Owikeno</t>
  </si>
  <si>
    <t>QCI</t>
  </si>
  <si>
    <t>SE Alaska</t>
  </si>
  <si>
    <t>Heiltsuk Fishery A8-3</t>
  </si>
  <si>
    <t>Number</t>
  </si>
  <si>
    <t>Probability</t>
  </si>
  <si>
    <t>Namu_______</t>
  </si>
  <si>
    <t>Lonesome____</t>
  </si>
  <si>
    <t>Kimsquit___</t>
  </si>
  <si>
    <t>Koeye______</t>
  </si>
  <si>
    <t>Shustahini</t>
  </si>
  <si>
    <t>Tankeeah___</t>
  </si>
  <si>
    <t>FultonLate__</t>
  </si>
  <si>
    <t>Klinaklini</t>
  </si>
  <si>
    <t>Gingit______</t>
  </si>
  <si>
    <t>Kitlope____</t>
  </si>
  <si>
    <t>Count of Stock</t>
  </si>
  <si>
    <t>%</t>
  </si>
  <si>
    <t>Naden_River</t>
  </si>
  <si>
    <t>Grand Total</t>
  </si>
  <si>
    <t>Marble_Creek</t>
  </si>
  <si>
    <t>Martin</t>
  </si>
  <si>
    <t>Hanna_Creek</t>
  </si>
  <si>
    <t>GCL_McBride</t>
  </si>
  <si>
    <t>Scalebooks were misplaced</t>
  </si>
  <si>
    <t>PADS</t>
  </si>
  <si>
    <t>Atnarko Escapement</t>
  </si>
  <si>
    <t>Survey Method</t>
  </si>
  <si>
    <t>Fixed-wing</t>
  </si>
  <si>
    <t>Helicopter</t>
  </si>
  <si>
    <t>Foot Survey/Boat</t>
  </si>
  <si>
    <t>Foot Survey</t>
  </si>
  <si>
    <t>Atnarko Sockeye Binder // Neither (Escapement Records added 1 for Cascade and RMS 40652 not used as nothing for Kisameet = 97)</t>
  </si>
  <si>
    <t>Atnarko Sockeye Binder and BC16 Historic // Neither (Escapement Records had N/R for Cascade which in RMS was 3 and RMS 55593 wrong b/c of rounding on Bella Coola)</t>
  </si>
  <si>
    <t>BC16 Historic // RMS and Escapement Records</t>
  </si>
  <si>
    <t>Atnarko Sockeye Binder and BC16 Historic // Escapement Records (RMS 29327 wrong b/c missed 10 Atn Sp Ch and 1 Cascade)</t>
  </si>
  <si>
    <t>Atnarko Sockeye Binder (Bella Coola Office) // RMS and Escapement Records</t>
  </si>
  <si>
    <t>Atnarko Sockeye Binder (Bella Coola Office)  // RMS and Escapement Records</t>
  </si>
  <si>
    <t>Atnarko Sockeye Binder (Bella Coola Office) // Escapement Records (RMS had 25300 as total Area 8 Sk)</t>
  </si>
  <si>
    <t>Electronic BC16 Historic // RMS and Escapement Records</t>
  </si>
  <si>
    <t>Electronic BC16 Historic // Escapement Records (RMS had 25290 as total Area 8 Sk)</t>
  </si>
  <si>
    <t>Electronic BC16 Historic // Escapement Records (RMS had 31150 as total Area 8 Sk)</t>
  </si>
  <si>
    <t>BC16 Historic // Escapement Records (RMS escapement to Kimsquit River not finalized at time of printing)</t>
  </si>
  <si>
    <t>Atnarko Sockeye Binder // RMS and Escapement Records</t>
  </si>
  <si>
    <t>Atnarko Sockeye Binder and BC16 Historic // Escapement Records (RMS recorded as 57985 but table says 57975 corrected)</t>
  </si>
  <si>
    <t>BC16 Historic (Atnarko Sockeye Binder no estimates for 1982) // Escapement Records</t>
  </si>
  <si>
    <t>Atnarko Sockeye Binder and BC16 Histroic // Escapement Records</t>
  </si>
  <si>
    <t>Atnarko Sockeye Binder // Escapement Records</t>
  </si>
  <si>
    <t>Sockeye Observation Below Stillwater Lake</t>
  </si>
  <si>
    <t>**Foot Survey- probably 1 or 2 aerial inspections too</t>
  </si>
  <si>
    <t>Atnarko Sockeye Binder and BC16 Historic // Escapement Records</t>
  </si>
  <si>
    <t>2004 BC16 Electronic // RMS and Escapement Records</t>
  </si>
  <si>
    <t>2005 BC16 Electronic // RMS and Escapement Records</t>
  </si>
  <si>
    <t>2006 BC16 Electronic // RMS and Escapement Records</t>
  </si>
  <si>
    <t>BC16</t>
  </si>
  <si>
    <t>Atnarko Sockeye Binder</t>
  </si>
  <si>
    <t>Hail and Sales Slip Comparison 1962-2003 (electronic file from NC Drive)</t>
  </si>
  <si>
    <t>PDF- Bella Coola Office (Kristen Smith)</t>
  </si>
  <si>
    <t>Min Mesh</t>
  </si>
  <si>
    <t>Andrea Harvey Excel Sheet (Bella Coola Fish Mgm't Drive) Lw BC 2,662 // Regional Data Unit-- Bella Coola Area 5,489</t>
  </si>
  <si>
    <t>RMS // Regional Data Unit-- 4,199 Bella Coola Area but no breakdown of the catch.</t>
  </si>
  <si>
    <t>Assumptions</t>
  </si>
  <si>
    <t>Errors</t>
  </si>
  <si>
    <t>Need the data</t>
  </si>
  <si>
    <t>DCGNA</t>
  </si>
  <si>
    <t>Regional Data Unit- Laurie Biagini electronic search</t>
  </si>
  <si>
    <t>PADS- unsure origin of commercial samples</t>
  </si>
  <si>
    <t>Origin of data unknown</t>
  </si>
  <si>
    <t>Box #3</t>
  </si>
  <si>
    <t>Central Coast Age Database summary from Oct 31/89 (number not %) // 1989 Age Data- Green 2 drawer filing cabinet Campbell River Office</t>
  </si>
  <si>
    <t>Monthly Sport Catch Report- Hakai Pass Only (Box #2 Campbell River Office)</t>
  </si>
  <si>
    <t>Return</t>
  </si>
  <si>
    <t>Year ==&gt;</t>
  </si>
  <si>
    <t>Brood</t>
  </si>
  <si>
    <t>Return Year Catch</t>
  </si>
  <si>
    <t>Return Year Escapement</t>
  </si>
  <si>
    <t>Return Year Total Stock</t>
  </si>
  <si>
    <t>%3</t>
  </si>
  <si>
    <t>%4</t>
  </si>
  <si>
    <t>%5</t>
  </si>
  <si>
    <t>n</t>
  </si>
  <si>
    <t>Age Composition of Atnarko Sockeye- Percentage</t>
  </si>
  <si>
    <t>Age Composition of Atnarko Sockeye- Number sampled</t>
  </si>
  <si>
    <t>Bella Coola River FSC</t>
  </si>
  <si>
    <t>Data calculated by weighted average- IFF and Escapement Ages with n &gt; 50</t>
  </si>
  <si>
    <t>Weighted Average (for years with no data or n&lt;50)</t>
  </si>
  <si>
    <r>
      <t>Note:</t>
    </r>
    <r>
      <rPr>
        <sz val="10"/>
        <rFont val="Courier"/>
      </rPr>
      <t xml:space="preserve"> for years without age data use weighted average of escapement and Bella Coola/Atnarko FSC age data.</t>
    </r>
  </si>
  <si>
    <r>
      <t xml:space="preserve">If available, use escapement age data only.  If not available use Bella Coola/Atnarko FSC age data. *Does not include commercial age data or any data with &lt; 50 samples. </t>
    </r>
    <r>
      <rPr>
        <b/>
        <sz val="10"/>
        <rFont val="Courier"/>
        <family val="3"/>
      </rPr>
      <t xml:space="preserve"> </t>
    </r>
  </si>
  <si>
    <t>Include Escapement and FSC ages only</t>
  </si>
  <si>
    <t>Data used to calculate Weighted Average (for years with no data or n&lt;50)</t>
  </si>
  <si>
    <t>Include Escapement and FSC ages only (1974 to 2006)</t>
  </si>
  <si>
    <t>Weighted Average (1974-2006 data used)</t>
  </si>
  <si>
    <t>FSC</t>
  </si>
  <si>
    <t>GN LFFH</t>
  </si>
  <si>
    <t>SN LFFH</t>
  </si>
  <si>
    <t>GN UFFH</t>
  </si>
  <si>
    <t>SN UFFH</t>
  </si>
  <si>
    <t>LW BC</t>
  </si>
  <si>
    <t>Up BC/ATN</t>
  </si>
  <si>
    <t>LFFH Conversion</t>
  </si>
  <si>
    <t>UFFH Conversion</t>
  </si>
  <si>
    <t>Lower F/FH includes samples from 8-3 and 8-4 (South of Walker Pt.)</t>
  </si>
  <si>
    <t>Upper F/FH includes samples from 8-5</t>
  </si>
  <si>
    <t>Conversion Factors for F/FH catch (Commercial and FSC)</t>
  </si>
  <si>
    <t>** these were mostly from S of Walker Pt.-- Lower F/FH</t>
  </si>
  <si>
    <t>Post Season Review</t>
  </si>
  <si>
    <t>Errors (differences between data sources)</t>
  </si>
  <si>
    <t>From DNA Analysis 2003:</t>
  </si>
  <si>
    <t>Area 8- Atnarko Sockeye Combined Catches (Commercial and FSC only)</t>
  </si>
  <si>
    <t>Sport not used- negligible catch and areas fished assumed no impact to Atnarko stock</t>
  </si>
  <si>
    <t>Age 3</t>
  </si>
  <si>
    <t>Year N</t>
  </si>
  <si>
    <t>Age 4</t>
  </si>
  <si>
    <t>Age 5</t>
  </si>
  <si>
    <t>Return in Year</t>
  </si>
  <si>
    <t>N+3</t>
  </si>
  <si>
    <t>N+4</t>
  </si>
  <si>
    <t>N+5</t>
  </si>
  <si>
    <t>Brood Year</t>
  </si>
  <si>
    <t>Applied to catches in LFFH and FFH (8-3, Koeye, Namu)</t>
  </si>
  <si>
    <t>Applied to catches in UFFH and 8-4 (North of Walker Point)</t>
  </si>
  <si>
    <t>----&gt;</t>
  </si>
  <si>
    <t>Production File</t>
  </si>
  <si>
    <t>Production</t>
  </si>
  <si>
    <t>from BY</t>
  </si>
  <si>
    <t>Year (BY)</t>
  </si>
  <si>
    <t>Atnarko Sockeye Weekly Catches- Lower Bella Coola FSC (drift + set net)</t>
  </si>
  <si>
    <t>Source- Individual Electronic Files from the Bella Coola Fish Management Drive- Salmon by Year (Area 8 FSC and CC Joint)</t>
  </si>
  <si>
    <t>Week</t>
  </si>
  <si>
    <t>Atnarko Sockeye Effort- Number of Drifts</t>
  </si>
  <si>
    <t>Atnarko Sockeye Effort- Number of Set Nets</t>
  </si>
  <si>
    <t>BC FSC</t>
  </si>
  <si>
    <t>PADS FSC</t>
  </si>
  <si>
    <t>Ocean Type (below Lonesome Lake)</t>
  </si>
  <si>
    <t>Lake Type (above Lonesome Lake)</t>
  </si>
  <si>
    <t>Esc</t>
  </si>
  <si>
    <t>Catch +</t>
  </si>
  <si>
    <t>Harvest</t>
  </si>
  <si>
    <t>Rate</t>
  </si>
  <si>
    <t>Area 9</t>
  </si>
  <si>
    <t>Sx Esc't</t>
  </si>
  <si>
    <t>RMS- the Wui'kinuxv fished in 8-1,2 during Wk 32 for 350 Sk catch</t>
  </si>
  <si>
    <t>Sub 1</t>
  </si>
  <si>
    <t>Sub 2</t>
  </si>
  <si>
    <t>PADS Escapement</t>
  </si>
  <si>
    <t>due to lack of fishing in Area 8 that would intercept Atnarko fish</t>
  </si>
  <si>
    <t>Note assumed commercial catch of Atnarko after 2006 is zero</t>
  </si>
  <si>
    <t>Assumed after 2007 as no other age data</t>
  </si>
  <si>
    <t>after 2006 have followed Matt's analysis using weighted average</t>
  </si>
  <si>
    <t>New</t>
  </si>
  <si>
    <t>of previous years with data as per the linked age sheet tab</t>
  </si>
  <si>
    <t>Updated Setp 2015 S Cox-Rogers</t>
  </si>
  <si>
    <t>Atnarko Sockeye: Matt Mortimer's Atnarko reconstruction work thru to 2006 with updates 2007 thru 2014</t>
  </si>
  <si>
    <t>not updated past 2006 assumed to be very low</t>
  </si>
  <si>
    <t>BC16 Steve Cox-Rogers Sept 2015 Totals for Upper above and below: get the breakout for columns B and C</t>
  </si>
  <si>
    <t>Note, should attempt to update Matt's analysis here past 2006 to account for Atnarko Sx caught in commercial and FSC fisheries outside of the river area</t>
  </si>
  <si>
    <t>Not updated past 2006 as very low catches</t>
  </si>
  <si>
    <t>Return Year Age Composition (for dominant ages 3,4,and 5 (not all numbers total 100% as some years have 2's and 6's):</t>
  </si>
  <si>
    <t>Brad Korolluk Update Sept 2015 Atnarko Only (FSC catch of Atnarko not estimated in other Area 8 FSC fisheries after 2006</t>
  </si>
  <si>
    <t>From Brad Sept 2015</t>
  </si>
  <si>
    <t xml:space="preserve">ONLY LBCR DRIFTS AS PER PREVIOUS YEARS </t>
  </si>
  <si>
    <t>n/a</t>
  </si>
  <si>
    <t>Not updated past 2006</t>
  </si>
  <si>
    <t>Atnarko Sockeye production data: Dennis Rutherford's PSARC paper with C. Wood: Source and calcs from older data files</t>
  </si>
  <si>
    <t>Brad Koroluk has updated these weekly catch past 2006: Sept 2015</t>
  </si>
  <si>
    <t xml:space="preserve">but the numbers will be very low according to Dan Wagner (Sept 2015) due to low retruns of Atnarko sockeye since then. </t>
  </si>
  <si>
    <t>61%</t>
  </si>
  <si>
    <t>14%</t>
  </si>
  <si>
    <t>0%</t>
  </si>
  <si>
    <t>9%</t>
  </si>
  <si>
    <t>19%</t>
  </si>
  <si>
    <t>30%</t>
  </si>
  <si>
    <t>37%</t>
  </si>
  <si>
    <t>5%</t>
  </si>
  <si>
    <t>4%</t>
  </si>
  <si>
    <t>11%</t>
  </si>
  <si>
    <t>75%</t>
  </si>
  <si>
    <t>0</t>
  </si>
  <si>
    <t>1%</t>
  </si>
  <si>
    <t>3%</t>
  </si>
  <si>
    <t>60%</t>
  </si>
  <si>
    <t>35%</t>
  </si>
  <si>
    <t>56%</t>
  </si>
  <si>
    <t>39%</t>
  </si>
  <si>
    <t>2%</t>
  </si>
  <si>
    <t>68%</t>
  </si>
  <si>
    <t>23%</t>
  </si>
  <si>
    <t>82%</t>
  </si>
  <si>
    <t>7%</t>
  </si>
  <si>
    <t>52%</t>
  </si>
  <si>
    <t>18%</t>
  </si>
  <si>
    <t>31%</t>
  </si>
  <si>
    <t>92%</t>
  </si>
  <si>
    <t>6%</t>
  </si>
  <si>
    <t>72%</t>
  </si>
  <si>
    <t>15%</t>
  </si>
  <si>
    <t>8%</t>
  </si>
  <si>
    <t>69%</t>
  </si>
  <si>
    <t>12%</t>
  </si>
  <si>
    <t>29%</t>
  </si>
  <si>
    <t>41%</t>
  </si>
  <si>
    <t>34</t>
  </si>
  <si>
    <t>17%</t>
  </si>
  <si>
    <t>83%</t>
  </si>
  <si>
    <t>6</t>
  </si>
  <si>
    <t>78%</t>
  </si>
  <si>
    <t>28</t>
  </si>
  <si>
    <t>there is a problem here in that the ages don't sum to 100% going back in time…</t>
  </si>
  <si>
    <t>fron updated age information (see age tab)</t>
  </si>
  <si>
    <t>updated from post season review files (2018)</t>
  </si>
  <si>
    <r>
      <t xml:space="preserve">Note: </t>
    </r>
    <r>
      <rPr>
        <sz val="10"/>
        <rFont val="Courier"/>
      </rPr>
      <t>catch data does not include estimates of post-release mortality or gillnet dropouts</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</si>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</sst>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General_)"/>
    <numFmt numFmtId="165" formatCode="0.0"/>
    <numFmt numFmtId="166" formatCode="\(0.0\)"/>
    <numFmt numFmtId="167" formatCode="0.0%"/>
  </numFmts>
  <fonts count="29">
    <font>
      <sz val="10"/>
      <name val="Courier"/>
    </font>
    <font>
      <sz val="10"/>
      <name val="MS Sans Serif"/>
      <family val="2"/>
    </font>
    <font>
      <sz val="10"/>
      <name val="Courier"/>
      <family val="3"/>
    </font>
    <font>
      <sz val="8"/>
      <name val="Courier"/>
      <family val="3"/>
    </font>
    <font>
      <b/>
      <sz val="8"/>
      <color indexed="81"/>
      <name val="Tahoma"/>
      <family val="2"/>
    </font>
    <font>
      <sz val="8"/>
      <color indexed="81"/>
      <name val="Tahoma"/>
      <family val="2"/>
    </font>
    <font>
      <sz val="10"/>
      <name val="Arial"/>
      <family val="2"/>
    </font>
    <font>
      <sz val="8"/>
      <name val="Arial"/>
      <family val="2"/>
    </font>
    <font>
      <sz val="10"/>
      <name val="Courier"/>
      <family val="3"/>
    </font>
    <font>
      <b/>
      <sz val="10"/>
      <name val="Arial"/>
      <family val="2"/>
    </font>
    <font>
      <sz val="10"/>
      <name val="Arial"/>
      <family val="2"/>
    </font>
    <font>
      <b/>
      <sz val="10"/>
      <name val="Courier"/>
      <family val="3"/>
    </font>
    <font>
      <sz val="12"/>
      <name val="Courier"/>
      <family val="3"/>
    </font>
    <font>
      <b/>
      <sz val="12"/>
      <name val="Courier"/>
      <family val="3"/>
    </font>
    <font>
      <b/>
      <sz val="12"/>
      <name val="Courier"/>
      <family val="3"/>
    </font>
    <font>
      <sz val="12"/>
      <name val="Times New Roman"/>
      <family val="1"/>
    </font>
    <font>
      <sz val="10"/>
      <name val="Arial MT"/>
    </font>
    <font>
      <b/>
      <sz val="12"/>
      <name val="Arial"/>
      <family val="2"/>
    </font>
    <font>
      <sz val="12"/>
      <name val="Arial"/>
      <family val="2"/>
    </font>
    <font>
      <sz val="10"/>
      <color theme="6" tint="-0.499984740745262"/>
      <name val="Courier"/>
      <family val="3"/>
    </font>
    <font>
      <b/>
      <sz val="9"/>
      <color indexed="81"/>
      <name val="Tahoma"/>
      <family val="2"/>
    </font>
    <font>
      <sz val="9"/>
      <color indexed="81"/>
      <name val="Tahoma"/>
      <family val="2"/>
    </font>
    <font>
      <sz val="12"/>
      <color theme="6" tint="-0.499984740745262"/>
      <name val="Arial"/>
      <family val="2"/>
    </font>
    <font>
      <sz val="12"/>
      <color rgb="FFFF0000"/>
      <name val="Arial"/>
      <family val="2"/>
    </font>
    <font>
      <sz val="11"/>
      <color indexed="8"/>
      <name val="Calibri"/>
      <family val="2"/>
    </font>
    <font>
      <sz val="10"/>
      <color indexed="8"/>
      <name val="Courier"/>
      <family val="3"/>
    </font>
    <font>
      <sz val="10"/>
      <color theme="1"/>
      <name val="Courier"/>
      <family val="3"/>
    </font>
    <font>
      <b/>
      <sz val="10"/>
      <name val="Courier"/>
    </font>
    <font>
      <sz val="10"/>
      <name val="Calibri"/>
      <family val="2"/>
      <scheme val="minor"/>
    </font>
  </fonts>
  <fills count="1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theme="6" tint="0.59996337778862885"/>
        <bgColor indexed="64"/>
      </patternFill>
    </fill>
    <fill>
      <patternFill patternType="solid">
        <fgColor rgb="FF92D050"/>
        <bgColor indexed="64"/>
      </patternFill>
    </fill>
    <fill>
      <patternFill patternType="solid">
        <fgColor theme="2"/>
        <bgColor indexed="64"/>
      </patternFill>
    </fill>
    <fill>
      <patternFill patternType="solid">
        <fgColor theme="8" tint="0.79998168889431442"/>
        <bgColor indexed="64"/>
      </patternFill>
    </fill>
    <fill>
      <patternFill patternType="solid">
        <fgColor theme="9"/>
        <bgColor indexed="64"/>
      </patternFill>
    </fill>
    <fill>
      <patternFill patternType="solid">
        <fgColor theme="9"/>
        <bgColor theme="4" tint="0.79998168889431442"/>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top/>
      <bottom style="thick">
        <color auto="1"/>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ck">
        <color auto="1"/>
      </top>
      <bottom/>
      <diagonal/>
    </border>
    <border>
      <left style="thick">
        <color auto="1"/>
      </left>
      <right/>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n">
        <color theme="4" tint="0.39997558519241921"/>
      </top>
      <bottom/>
      <diagonal/>
    </border>
  </borders>
  <cellStyleXfs count="13">
    <xf numFmtId="164" fontId="0" fillId="0" borderId="0"/>
    <xf numFmtId="0" fontId="6" fillId="0" borderId="0"/>
    <xf numFmtId="164" fontId="2" fillId="0" borderId="0"/>
    <xf numFmtId="0" fontId="6" fillId="0" borderId="0"/>
    <xf numFmtId="0" fontId="15" fillId="0" borderId="0"/>
    <xf numFmtId="164" fontId="16" fillId="0" borderId="0"/>
    <xf numFmtId="0" fontId="6" fillId="0" borderId="0"/>
    <xf numFmtId="0" fontId="6" fillId="0" borderId="0"/>
    <xf numFmtId="0" fontId="15" fillId="0" borderId="0"/>
    <xf numFmtId="0" fontId="15" fillId="0" borderId="0"/>
    <xf numFmtId="0" fontId="15" fillId="0" borderId="0"/>
    <xf numFmtId="9" fontId="1" fillId="0" borderId="0" applyFont="0" applyFill="0" applyBorder="0" applyAlignment="0" applyProtection="0"/>
    <xf numFmtId="0" fontId="24" fillId="0" borderId="0"/>
  </cellStyleXfs>
  <cellXfs count="136">
    <xf numFmtId="164" fontId="0" fillId="0" borderId="0" xfId="0"/>
    <xf numFmtId="0" fontId="6" fillId="0" borderId="0" xfId="6"/>
    <xf numFmtId="3" fontId="6" fillId="0" borderId="0" xfId="6" applyNumberFormat="1"/>
    <xf numFmtId="1" fontId="6" fillId="0" borderId="0" xfId="6" applyNumberFormat="1"/>
    <xf numFmtId="164" fontId="0" fillId="2" borderId="0" xfId="0" applyFill="1"/>
    <xf numFmtId="164" fontId="8" fillId="0" borderId="0" xfId="0" applyFont="1"/>
    <xf numFmtId="164" fontId="8" fillId="0" borderId="0" xfId="1" applyNumberFormat="1" applyFont="1" applyAlignment="1">
      <alignment horizontal="right"/>
    </xf>
    <xf numFmtId="164" fontId="0" fillId="3" borderId="0" xfId="0" applyFill="1"/>
    <xf numFmtId="1" fontId="0" fillId="0" borderId="0" xfId="0" applyNumberFormat="1"/>
    <xf numFmtId="164" fontId="0" fillId="4" borderId="0" xfId="0" applyFill="1"/>
    <xf numFmtId="164" fontId="8" fillId="0" borderId="1" xfId="0" applyFont="1" applyBorder="1"/>
    <xf numFmtId="0" fontId="9" fillId="0" borderId="0" xfId="7" applyFont="1"/>
    <xf numFmtId="0" fontId="10" fillId="0" borderId="0" xfId="7" applyFont="1"/>
    <xf numFmtId="0" fontId="6" fillId="0" borderId="0" xfId="7"/>
    <xf numFmtId="0" fontId="9" fillId="0" borderId="0" xfId="7" applyFont="1" applyAlignment="1">
      <alignment horizontal="left"/>
    </xf>
    <xf numFmtId="165" fontId="10" fillId="0" borderId="0" xfId="7" applyNumberFormat="1" applyFont="1"/>
    <xf numFmtId="166" fontId="10" fillId="0" borderId="0" xfId="7" applyNumberFormat="1" applyFont="1"/>
    <xf numFmtId="165" fontId="6" fillId="0" borderId="0" xfId="7" applyNumberFormat="1"/>
    <xf numFmtId="0" fontId="6" fillId="0" borderId="0" xfId="7" applyAlignment="1">
      <alignment horizontal="center"/>
    </xf>
    <xf numFmtId="0" fontId="6" fillId="0" borderId="2" xfId="7" pivotButton="1" applyBorder="1"/>
    <xf numFmtId="0" fontId="6" fillId="0" borderId="3" xfId="7" applyBorder="1"/>
    <xf numFmtId="0" fontId="6" fillId="0" borderId="2" xfId="7" applyBorder="1"/>
    <xf numFmtId="167" fontId="6" fillId="0" borderId="0" xfId="7" applyNumberFormat="1"/>
    <xf numFmtId="0" fontId="6" fillId="0" borderId="4" xfId="7" applyBorder="1"/>
    <xf numFmtId="0" fontId="6" fillId="0" borderId="5" xfId="7" applyBorder="1"/>
    <xf numFmtId="0" fontId="6" fillId="0" borderId="6" xfId="7" applyBorder="1"/>
    <xf numFmtId="0" fontId="6" fillId="0" borderId="7" xfId="7" applyBorder="1"/>
    <xf numFmtId="0" fontId="6" fillId="4" borderId="4" xfId="7" applyFill="1" applyBorder="1"/>
    <xf numFmtId="167" fontId="6" fillId="4" borderId="0" xfId="7" applyNumberFormat="1" applyFill="1"/>
    <xf numFmtId="9" fontId="0" fillId="0" borderId="0" xfId="0" applyNumberFormat="1"/>
    <xf numFmtId="164" fontId="8" fillId="2" borderId="0" xfId="0" applyFont="1" applyFill="1"/>
    <xf numFmtId="164" fontId="8" fillId="0" borderId="8" xfId="0" applyFont="1" applyBorder="1"/>
    <xf numFmtId="164" fontId="0" fillId="0" borderId="1" xfId="0" applyBorder="1"/>
    <xf numFmtId="164" fontId="0" fillId="5" borderId="0" xfId="0" applyFill="1"/>
    <xf numFmtId="164" fontId="0" fillId="6" borderId="0" xfId="0" applyFill="1"/>
    <xf numFmtId="164" fontId="8" fillId="6" borderId="0" xfId="1" applyNumberFormat="1" applyFont="1" applyFill="1" applyAlignment="1">
      <alignment horizontal="right"/>
    </xf>
    <xf numFmtId="164" fontId="8" fillId="6" borderId="0" xfId="0" applyFont="1" applyFill="1"/>
    <xf numFmtId="164" fontId="8" fillId="3" borderId="0" xfId="0" applyFont="1" applyFill="1"/>
    <xf numFmtId="164" fontId="0" fillId="7" borderId="0" xfId="0" applyFill="1"/>
    <xf numFmtId="164" fontId="2" fillId="7" borderId="0" xfId="0" applyFont="1" applyFill="1"/>
    <xf numFmtId="9" fontId="0" fillId="7" borderId="0" xfId="0" applyNumberFormat="1" applyFill="1"/>
    <xf numFmtId="9" fontId="0" fillId="3" borderId="0" xfId="0" applyNumberFormat="1" applyFill="1"/>
    <xf numFmtId="164" fontId="0" fillId="0" borderId="9" xfId="0" applyBorder="1"/>
    <xf numFmtId="164" fontId="0" fillId="7" borderId="9" xfId="0" applyFill="1" applyBorder="1"/>
    <xf numFmtId="164" fontId="2" fillId="0" borderId="0" xfId="0" applyFont="1"/>
    <xf numFmtId="164" fontId="11" fillId="0" borderId="0" xfId="0" applyFont="1"/>
    <xf numFmtId="9" fontId="0" fillId="5" borderId="0" xfId="0" applyNumberFormat="1" applyFill="1"/>
    <xf numFmtId="164" fontId="11" fillId="0" borderId="0" xfId="0" quotePrefix="1" applyFont="1"/>
    <xf numFmtId="0" fontId="6" fillId="0" borderId="10" xfId="7" applyBorder="1"/>
    <xf numFmtId="0" fontId="6" fillId="0" borderId="8" xfId="7" applyBorder="1"/>
    <xf numFmtId="0" fontId="6" fillId="0" borderId="11" xfId="7" applyBorder="1"/>
    <xf numFmtId="0" fontId="6" fillId="0" borderId="9" xfId="7" applyBorder="1"/>
    <xf numFmtId="0" fontId="6" fillId="0" borderId="12" xfId="7" applyBorder="1"/>
    <xf numFmtId="0" fontId="6" fillId="0" borderId="13" xfId="7" applyBorder="1"/>
    <xf numFmtId="0" fontId="6" fillId="0" borderId="1" xfId="7" applyBorder="1"/>
    <xf numFmtId="0" fontId="6" fillId="0" borderId="14" xfId="7" applyBorder="1"/>
    <xf numFmtId="164" fontId="12" fillId="0" borderId="0" xfId="0" applyFont="1"/>
    <xf numFmtId="1" fontId="0" fillId="2" borderId="0" xfId="0" applyNumberFormat="1" applyFill="1"/>
    <xf numFmtId="1" fontId="0" fillId="3" borderId="0" xfId="0" applyNumberFormat="1" applyFill="1"/>
    <xf numFmtId="164" fontId="0" fillId="0" borderId="0" xfId="0" quotePrefix="1"/>
    <xf numFmtId="1" fontId="0" fillId="0" borderId="0" xfId="0" quotePrefix="1" applyNumberFormat="1"/>
    <xf numFmtId="1" fontId="0" fillId="6" borderId="0" xfId="0" applyNumberFormat="1" applyFill="1"/>
    <xf numFmtId="164" fontId="13" fillId="0" borderId="9" xfId="0" applyFont="1" applyBorder="1"/>
    <xf numFmtId="164" fontId="13" fillId="0" borderId="0" xfId="0" applyFont="1"/>
    <xf numFmtId="164" fontId="14" fillId="0" borderId="0" xfId="0" applyFont="1"/>
    <xf numFmtId="0" fontId="17" fillId="0" borderId="0" xfId="3" applyFont="1"/>
    <xf numFmtId="0" fontId="18" fillId="0" borderId="0" xfId="3" applyFont="1"/>
    <xf numFmtId="0" fontId="18" fillId="0" borderId="0" xfId="4" applyFont="1" applyAlignment="1">
      <alignment horizontal="left"/>
    </xf>
    <xf numFmtId="0" fontId="18" fillId="0" borderId="0" xfId="4" applyFont="1"/>
    <xf numFmtId="164" fontId="18" fillId="0" borderId="0" xfId="5" applyFont="1"/>
    <xf numFmtId="1" fontId="18" fillId="0" borderId="0" xfId="5" applyNumberFormat="1" applyFont="1"/>
    <xf numFmtId="1" fontId="18" fillId="0" borderId="0" xfId="8" applyNumberFormat="1" applyFont="1"/>
    <xf numFmtId="1" fontId="18" fillId="0" borderId="0" xfId="9" applyNumberFormat="1" applyFont="1"/>
    <xf numFmtId="1" fontId="18" fillId="0" borderId="0" xfId="10" applyNumberFormat="1" applyFont="1"/>
    <xf numFmtId="0" fontId="18" fillId="2" borderId="0" xfId="3" applyFont="1" applyFill="1"/>
    <xf numFmtId="0" fontId="18" fillId="3" borderId="0" xfId="3" applyFont="1" applyFill="1"/>
    <xf numFmtId="0" fontId="18" fillId="6" borderId="0" xfId="3" applyFont="1" applyFill="1"/>
    <xf numFmtId="164" fontId="18" fillId="0" borderId="0" xfId="2" applyFont="1"/>
    <xf numFmtId="164" fontId="18" fillId="7" borderId="0" xfId="2" applyFont="1" applyFill="1"/>
    <xf numFmtId="164" fontId="18" fillId="0" borderId="0" xfId="3" applyNumberFormat="1" applyFont="1"/>
    <xf numFmtId="2" fontId="12" fillId="0" borderId="0" xfId="0" applyNumberFormat="1" applyFont="1"/>
    <xf numFmtId="2" fontId="14" fillId="0" borderId="0" xfId="0" applyNumberFormat="1" applyFont="1"/>
    <xf numFmtId="2" fontId="0" fillId="0" borderId="0" xfId="0" applyNumberFormat="1"/>
    <xf numFmtId="0" fontId="18" fillId="2" borderId="0" xfId="4" applyFont="1" applyFill="1"/>
    <xf numFmtId="164" fontId="12" fillId="0" borderId="10" xfId="0" applyFont="1" applyBorder="1"/>
    <xf numFmtId="164" fontId="12" fillId="0" borderId="8" xfId="0" applyFont="1" applyBorder="1"/>
    <xf numFmtId="164" fontId="12" fillId="0" borderId="11" xfId="0" applyFont="1" applyBorder="1"/>
    <xf numFmtId="164" fontId="12" fillId="0" borderId="9" xfId="0" applyFont="1" applyBorder="1"/>
    <xf numFmtId="164" fontId="12" fillId="0" borderId="12" xfId="0" applyFont="1" applyBorder="1"/>
    <xf numFmtId="165" fontId="14" fillId="0" borderId="0" xfId="0" applyNumberFormat="1" applyFont="1"/>
    <xf numFmtId="164" fontId="12" fillId="0" borderId="13" xfId="0" applyFont="1" applyBorder="1"/>
    <xf numFmtId="164" fontId="12" fillId="0" borderId="1" xfId="0" applyFont="1" applyBorder="1"/>
    <xf numFmtId="165" fontId="14" fillId="0" borderId="1" xfId="0" applyNumberFormat="1" applyFont="1" applyBorder="1"/>
    <xf numFmtId="164" fontId="12" fillId="0" borderId="14" xfId="0" applyFont="1" applyBorder="1"/>
    <xf numFmtId="1" fontId="2" fillId="0" borderId="0" xfId="0" applyNumberFormat="1" applyFont="1"/>
    <xf numFmtId="1" fontId="2" fillId="0" borderId="0" xfId="0" quotePrefix="1" applyNumberFormat="1" applyFont="1"/>
    <xf numFmtId="2" fontId="2" fillId="0" borderId="0" xfId="0" applyNumberFormat="1" applyFont="1"/>
    <xf numFmtId="1" fontId="0" fillId="0" borderId="0" xfId="11" applyNumberFormat="1" applyFont="1"/>
    <xf numFmtId="164" fontId="0" fillId="9" borderId="0" xfId="0" applyFill="1"/>
    <xf numFmtId="164" fontId="8" fillId="8" borderId="0" xfId="0" applyFont="1" applyFill="1"/>
    <xf numFmtId="164" fontId="2" fillId="8" borderId="0" xfId="0" applyFont="1" applyFill="1"/>
    <xf numFmtId="1" fontId="0" fillId="8" borderId="0" xfId="0" applyNumberFormat="1" applyFill="1"/>
    <xf numFmtId="164" fontId="19" fillId="0" borderId="0" xfId="0" applyFont="1"/>
    <xf numFmtId="0" fontId="22" fillId="0" borderId="0" xfId="3" applyFont="1"/>
    <xf numFmtId="0" fontId="23" fillId="0" borderId="0" xfId="3" applyFont="1"/>
    <xf numFmtId="0" fontId="22" fillId="10" borderId="0" xfId="3" applyFont="1" applyFill="1"/>
    <xf numFmtId="0" fontId="18" fillId="10" borderId="0" xfId="3" applyFont="1" applyFill="1"/>
    <xf numFmtId="0" fontId="23" fillId="10" borderId="0" xfId="3" applyFont="1" applyFill="1"/>
    <xf numFmtId="16" fontId="18" fillId="0" borderId="0" xfId="3" applyNumberFormat="1" applyFont="1"/>
    <xf numFmtId="1" fontId="0" fillId="11" borderId="0" xfId="0" applyNumberFormat="1" applyFill="1"/>
    <xf numFmtId="9" fontId="25" fillId="12" borderId="0" xfId="12" applyNumberFormat="1" applyFont="1" applyFill="1" applyAlignment="1">
      <alignment horizontal="right"/>
    </xf>
    <xf numFmtId="49" fontId="25" fillId="12" borderId="0" xfId="12" applyNumberFormat="1" applyFont="1" applyFill="1" applyAlignment="1">
      <alignment horizontal="right"/>
    </xf>
    <xf numFmtId="49" fontId="2" fillId="12" borderId="0" xfId="0" applyNumberFormat="1" applyFont="1" applyFill="1" applyAlignment="1">
      <alignment horizontal="right"/>
    </xf>
    <xf numFmtId="164" fontId="2" fillId="12" borderId="0" xfId="0" applyFont="1" applyFill="1" applyAlignment="1">
      <alignment horizontal="right"/>
    </xf>
    <xf numFmtId="0" fontId="25" fillId="12" borderId="0" xfId="12" applyFont="1" applyFill="1" applyAlignment="1">
      <alignment horizontal="right"/>
    </xf>
    <xf numFmtId="49" fontId="0" fillId="12" borderId="0" xfId="0" applyNumberFormat="1" applyFill="1" applyAlignment="1">
      <alignment horizontal="right"/>
    </xf>
    <xf numFmtId="9" fontId="25" fillId="12" borderId="0" xfId="12" applyNumberFormat="1" applyFont="1" applyFill="1"/>
    <xf numFmtId="0" fontId="25" fillId="12" borderId="0" xfId="12" applyFont="1" applyFill="1"/>
    <xf numFmtId="0" fontId="26" fillId="13" borderId="15" xfId="12" applyFont="1" applyFill="1" applyBorder="1"/>
    <xf numFmtId="164" fontId="0" fillId="0" borderId="0" xfId="0" applyAlignment="1">
      <alignment horizontal="right"/>
    </xf>
    <xf numFmtId="49" fontId="2" fillId="0" borderId="0" xfId="0" applyNumberFormat="1" applyFont="1" applyAlignment="1">
      <alignment horizontal="right"/>
    </xf>
    <xf numFmtId="49" fontId="0" fillId="5" borderId="0" xfId="0" applyNumberFormat="1" applyFill="1"/>
    <xf numFmtId="49" fontId="0" fillId="14" borderId="0" xfId="0" applyNumberFormat="1" applyFill="1"/>
    <xf numFmtId="9" fontId="0" fillId="14" borderId="0" xfId="0" applyNumberFormat="1" applyFill="1"/>
    <xf numFmtId="164" fontId="0" fillId="14" borderId="0" xfId="0" applyFill="1"/>
    <xf numFmtId="164" fontId="27" fillId="0" borderId="0" xfId="0" applyFont="1"/>
    <xf numFmtId="164" fontId="0" fillId="15" borderId="0" xfId="0" applyFill="1"/>
    <xf numFmtId="2" fontId="0" fillId="15" borderId="0" xfId="0" applyNumberFormat="1" applyFill="1"/>
    <xf numFmtId="1" fontId="28" fillId="0" borderId="0" xfId="0" applyNumberFormat="1" applyFont="1"/>
    <xf numFmtId="2" fontId="2" fillId="15" borderId="0" xfId="0" applyNumberFormat="1" applyFont="1" applyFill="1"/>
    <xf numFmtId="0" fontId="10" fillId="0" borderId="0" xfId="7" applyFont="1" applyAlignment="1">
      <alignment horizontal="center"/>
    </xf>
    <xf numFmtId="49" fontId="9" fillId="0" borderId="0" xfId="7" applyNumberFormat="1" applyFont="1" applyAlignment="1">
      <alignment horizontal="center"/>
    </xf>
    <xf numFmtId="16" fontId="9" fillId="0" borderId="0" xfId="7" applyNumberFormat="1" applyFont="1" applyAlignment="1">
      <alignment horizontal="center"/>
    </xf>
    <xf numFmtId="0" fontId="6" fillId="0" borderId="0" xfId="7" applyAlignment="1">
      <alignment horizontal="center"/>
    </xf>
    <xf numFmtId="0" fontId="6" fillId="3" borderId="0" xfId="7" applyFill="1" applyAlignment="1">
      <alignment horizontal="center"/>
    </xf>
    <xf numFmtId="1" fontId="0" fillId="15" borderId="0" xfId="0" applyNumberFormat="1" applyFill="1"/>
  </cellXfs>
  <cellStyles count="13">
    <cellStyle name="Normal" xfId="0" builtinId="0"/>
    <cellStyle name="Normal 2" xfId="12" xr:uid="{00000000-0005-0000-0000-000001000000}"/>
    <cellStyle name="Normal_8 Esc Data" xfId="1" xr:uid="{00000000-0005-0000-0000-000002000000}"/>
    <cellStyle name="Normal_A8SOCK" xfId="2" xr:uid="{00000000-0005-0000-0000-000003000000}"/>
    <cellStyle name="Normal_Area 8 Sk FSC Historical- Table for Production File" xfId="3" xr:uid="{00000000-0005-0000-0000-000004000000}"/>
    <cellStyle name="Normal_BCR_IFF" xfId="4" xr:uid="{00000000-0005-0000-0000-000005000000}"/>
    <cellStyle name="Normal_BCRIFF94" xfId="5" xr:uid="{00000000-0005-0000-0000-000006000000}"/>
    <cellStyle name="Normal_Denis Rutherford Atnarko Sockeye Status" xfId="6" xr:uid="{00000000-0005-0000-0000-000007000000}"/>
    <cellStyle name="Normal_Heiltsuk FSC Sockeye DNA 2003" xfId="7" xr:uid="{00000000-0005-0000-0000-000008000000}"/>
    <cellStyle name="Normal_IFF95" xfId="8" xr:uid="{00000000-0005-0000-0000-000009000000}"/>
    <cellStyle name="Normal_IFF96" xfId="9" xr:uid="{00000000-0005-0000-0000-00000A000000}"/>
    <cellStyle name="Normal_IFF97" xfId="10" xr:uid="{00000000-0005-0000-0000-00000B000000}"/>
    <cellStyle name="Percent" xfId="11" builtinId="5"/>
  </cellStyles>
  <dxfs count="3">
    <dxf>
      <fill>
        <patternFill patternType="solid">
          <bgColor indexed="43"/>
        </patternFill>
      </fill>
    </dxf>
    <dxf>
      <fill>
        <patternFill patternType="solid">
          <bgColor indexed="43"/>
        </patternFill>
      </fill>
    </dxf>
    <dxf>
      <fill>
        <patternFill patternType="solid">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82529421526299"/>
          <c:y val="8.6111344703083501E-2"/>
          <c:w val="0.80559495574393303"/>
          <c:h val="0.58055713041756296"/>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File'!$BA$13:$BA$53</c:f>
              <c:numCache>
                <c:formatCode>General_)</c:formatCode>
                <c:ptCount val="4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numCache>
            </c:numRef>
          </c:cat>
          <c:val>
            <c:numRef>
              <c:f>'Production File'!$BD$13:$BD$53</c:f>
              <c:numCache>
                <c:formatCode>0</c:formatCode>
                <c:ptCount val="41"/>
                <c:pt idx="0">
                  <c:v>58508.99207627232</c:v>
                </c:pt>
                <c:pt idx="1">
                  <c:v>53633.284083712904</c:v>
                </c:pt>
                <c:pt idx="2">
                  <c:v>43444.494797690531</c:v>
                </c:pt>
                <c:pt idx="3">
                  <c:v>11073.663336986847</c:v>
                </c:pt>
                <c:pt idx="4">
                  <c:v>48884.633814075321</c:v>
                </c:pt>
                <c:pt idx="5">
                  <c:v>47126.614723128485</c:v>
                </c:pt>
                <c:pt idx="6">
                  <c:v>45973.882048643907</c:v>
                </c:pt>
                <c:pt idx="7">
                  <c:v>14054.881000886873</c:v>
                </c:pt>
                <c:pt idx="8">
                  <c:v>36916.362123984669</c:v>
                </c:pt>
                <c:pt idx="9">
                  <c:v>23717.417199858832</c:v>
                </c:pt>
                <c:pt idx="10">
                  <c:v>41128.14051366481</c:v>
                </c:pt>
                <c:pt idx="11">
                  <c:v>24436.539767210401</c:v>
                </c:pt>
                <c:pt idx="12">
                  <c:v>39487.950600149867</c:v>
                </c:pt>
                <c:pt idx="13">
                  <c:v>47040.755592254944</c:v>
                </c:pt>
                <c:pt idx="14">
                  <c:v>14793.680827898004</c:v>
                </c:pt>
                <c:pt idx="15">
                  <c:v>23174.142087229164</c:v>
                </c:pt>
                <c:pt idx="16">
                  <c:v>31621.515717021204</c:v>
                </c:pt>
                <c:pt idx="17">
                  <c:v>25820.319157965951</c:v>
                </c:pt>
                <c:pt idx="18">
                  <c:v>14706.771180170874</c:v>
                </c:pt>
                <c:pt idx="19">
                  <c:v>31265.771374176958</c:v>
                </c:pt>
                <c:pt idx="20">
                  <c:v>21904.098971263706</c:v>
                </c:pt>
                <c:pt idx="21">
                  <c:v>10026.000979472465</c:v>
                </c:pt>
                <c:pt idx="22">
                  <c:v>10438.335306547806</c:v>
                </c:pt>
                <c:pt idx="23">
                  <c:v>6125.589026890244</c:v>
                </c:pt>
                <c:pt idx="24">
                  <c:v>2082.9558201544687</c:v>
                </c:pt>
                <c:pt idx="25">
                  <c:v>2859.8744633273704</c:v>
                </c:pt>
                <c:pt idx="26">
                  <c:v>2189.4490944017562</c:v>
                </c:pt>
                <c:pt idx="27">
                  <c:v>2998.7383306674419</c:v>
                </c:pt>
                <c:pt idx="28">
                  <c:v>4759.6703467393118</c:v>
                </c:pt>
                <c:pt idx="29">
                  <c:v>2035.4551282051282</c:v>
                </c:pt>
                <c:pt idx="30">
                  <c:v>741.83680923453642</c:v>
                </c:pt>
                <c:pt idx="31">
                  <c:v>816.15384615384619</c:v>
                </c:pt>
                <c:pt idx="32">
                  <c:v>423.00320512820508</c:v>
                </c:pt>
                <c:pt idx="33">
                  <c:v>423.33653846153845</c:v>
                </c:pt>
                <c:pt idx="34">
                  <c:v>1040.2580128205127</c:v>
                </c:pt>
                <c:pt idx="35">
                  <c:v>231.33333333333334</c:v>
                </c:pt>
                <c:pt idx="36">
                  <c:v>323.30769230769232</c:v>
                </c:pt>
                <c:pt idx="37">
                  <c:v>891.83333333333337</c:v>
                </c:pt>
                <c:pt idx="38">
                  <c:v>573.34455128205127</c:v>
                </c:pt>
                <c:pt idx="39">
                  <c:v>458.94871794871796</c:v>
                </c:pt>
                <c:pt idx="40">
                  <c:v>734.69230769230762</c:v>
                </c:pt>
              </c:numCache>
            </c:numRef>
          </c:val>
          <c:extLst>
            <c:ext xmlns:c16="http://schemas.microsoft.com/office/drawing/2014/chart" uri="{C3380CC4-5D6E-409C-BE32-E72D297353CC}">
              <c16:uniqueId val="{00000001-DCEE-4B55-A09D-760778F7C459}"/>
            </c:ext>
          </c:extLst>
        </c:ser>
        <c:dLbls>
          <c:showLegendKey val="0"/>
          <c:showVal val="0"/>
          <c:showCatName val="0"/>
          <c:showSerName val="0"/>
          <c:showPercent val="0"/>
          <c:showBubbleSize val="0"/>
        </c:dLbls>
        <c:gapWidth val="150"/>
        <c:axId val="1132663312"/>
        <c:axId val="1132671120"/>
      </c:barChart>
      <c:catAx>
        <c:axId val="1132663312"/>
        <c:scaling>
          <c:orientation val="minMax"/>
        </c:scaling>
        <c:delete val="0"/>
        <c:axPos val="b"/>
        <c:title>
          <c:tx>
            <c:rich>
              <a:bodyPr/>
              <a:lstStyle/>
              <a:p>
                <a:pPr>
                  <a:defRPr sz="1475" b="1" i="0" u="none" strike="noStrike" baseline="0">
                    <a:solidFill>
                      <a:srgbClr val="000000"/>
                    </a:solidFill>
                    <a:latin typeface="Arial"/>
                    <a:ea typeface="Arial"/>
                    <a:cs typeface="Arial"/>
                  </a:defRPr>
                </a:pPr>
                <a:r>
                  <a:rPr lang="en-CA"/>
                  <a:t>Year</a:t>
                </a:r>
              </a:p>
            </c:rich>
          </c:tx>
          <c:layout>
            <c:manualLayout>
              <c:xMode val="edge"/>
              <c:yMode val="edge"/>
              <c:x val="0.54405631559789902"/>
              <c:y val="0.85833566171783204"/>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475" b="0" i="0" u="none" strike="noStrike" baseline="0">
                <a:solidFill>
                  <a:srgbClr val="000000"/>
                </a:solidFill>
                <a:latin typeface="Arial"/>
                <a:ea typeface="Arial"/>
                <a:cs typeface="Arial"/>
              </a:defRPr>
            </a:pPr>
            <a:endParaRPr lang="en-US"/>
          </a:p>
        </c:txPr>
        <c:crossAx val="1132671120"/>
        <c:crosses val="autoZero"/>
        <c:auto val="1"/>
        <c:lblAlgn val="ctr"/>
        <c:lblOffset val="100"/>
        <c:tickLblSkip val="3"/>
        <c:tickMarkSkip val="1"/>
        <c:noMultiLvlLbl val="0"/>
      </c:catAx>
      <c:valAx>
        <c:axId val="1132671120"/>
        <c:scaling>
          <c:orientation val="minMax"/>
        </c:scaling>
        <c:delete val="0"/>
        <c:axPos val="l"/>
        <c:majorGridlines>
          <c:spPr>
            <a:ln w="3175">
              <a:solidFill>
                <a:srgbClr val="000000"/>
              </a:solidFill>
              <a:prstDash val="solid"/>
            </a:ln>
          </c:spPr>
        </c:majorGridlines>
        <c:title>
          <c:tx>
            <c:rich>
              <a:bodyPr/>
              <a:lstStyle/>
              <a:p>
                <a:pPr>
                  <a:defRPr sz="1475" b="1" i="0" u="none" strike="noStrike" baseline="0">
                    <a:solidFill>
                      <a:srgbClr val="000000"/>
                    </a:solidFill>
                    <a:latin typeface="Arial"/>
                    <a:ea typeface="Arial"/>
                    <a:cs typeface="Arial"/>
                  </a:defRPr>
                </a:pPr>
                <a:r>
                  <a:rPr lang="en-CA"/>
                  <a:t>Area 8 Atnarko Sx Catch</a:t>
                </a:r>
              </a:p>
            </c:rich>
          </c:tx>
          <c:layout>
            <c:manualLayout>
              <c:xMode val="edge"/>
              <c:yMode val="edge"/>
              <c:x val="2.2377637659553699E-2"/>
              <c:y val="4.7222350321045797E-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1326633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9482591537501"/>
          <c:y val="7.5794711513781102E-2"/>
          <c:w val="0.80640723364001698"/>
          <c:h val="0.63080759905017902"/>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File'!$BA$13:$BA$53</c:f>
              <c:numCache>
                <c:formatCode>General_)</c:formatCode>
                <c:ptCount val="4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numCache>
            </c:numRef>
          </c:cat>
          <c:val>
            <c:numRef>
              <c:f>'Production File'!$BE$10:$BE$53</c:f>
              <c:numCache>
                <c:formatCode>0</c:formatCode>
                <c:ptCount val="44"/>
                <c:pt idx="0">
                  <c:v>32500</c:v>
                </c:pt>
                <c:pt idx="1">
                  <c:v>85000</c:v>
                </c:pt>
                <c:pt idx="2">
                  <c:v>55000</c:v>
                </c:pt>
                <c:pt idx="3">
                  <c:v>45000</c:v>
                </c:pt>
                <c:pt idx="4">
                  <c:v>30000</c:v>
                </c:pt>
                <c:pt idx="5">
                  <c:v>30000</c:v>
                </c:pt>
                <c:pt idx="6">
                  <c:v>20000</c:v>
                </c:pt>
                <c:pt idx="7">
                  <c:v>18000</c:v>
                </c:pt>
                <c:pt idx="8">
                  <c:v>24000</c:v>
                </c:pt>
                <c:pt idx="9">
                  <c:v>40000</c:v>
                </c:pt>
                <c:pt idx="10">
                  <c:v>20000</c:v>
                </c:pt>
                <c:pt idx="11">
                  <c:v>25000</c:v>
                </c:pt>
                <c:pt idx="12">
                  <c:v>45000</c:v>
                </c:pt>
                <c:pt idx="13">
                  <c:v>50000</c:v>
                </c:pt>
                <c:pt idx="14">
                  <c:v>19975</c:v>
                </c:pt>
                <c:pt idx="15">
                  <c:v>30780</c:v>
                </c:pt>
                <c:pt idx="16">
                  <c:v>30000</c:v>
                </c:pt>
                <c:pt idx="17">
                  <c:v>15000</c:v>
                </c:pt>
                <c:pt idx="18">
                  <c:v>20000</c:v>
                </c:pt>
                <c:pt idx="19">
                  <c:v>52500</c:v>
                </c:pt>
                <c:pt idx="20">
                  <c:v>41000</c:v>
                </c:pt>
                <c:pt idx="21">
                  <c:v>15000</c:v>
                </c:pt>
                <c:pt idx="22">
                  <c:v>25000</c:v>
                </c:pt>
                <c:pt idx="23">
                  <c:v>55000</c:v>
                </c:pt>
                <c:pt idx="24">
                  <c:v>45000</c:v>
                </c:pt>
                <c:pt idx="25">
                  <c:v>20000</c:v>
                </c:pt>
                <c:pt idx="26">
                  <c:v>30000</c:v>
                </c:pt>
                <c:pt idx="27">
                  <c:v>25000</c:v>
                </c:pt>
                <c:pt idx="28">
                  <c:v>15000</c:v>
                </c:pt>
                <c:pt idx="29">
                  <c:v>30000</c:v>
                </c:pt>
                <c:pt idx="30">
                  <c:v>50000</c:v>
                </c:pt>
                <c:pt idx="31">
                  <c:v>18000</c:v>
                </c:pt>
                <c:pt idx="32">
                  <c:v>25000</c:v>
                </c:pt>
                <c:pt idx="33">
                  <c:v>6000</c:v>
                </c:pt>
                <c:pt idx="34">
                  <c:v>6000</c:v>
                </c:pt>
                <c:pt idx="35">
                  <c:v>1200</c:v>
                </c:pt>
                <c:pt idx="36">
                  <c:v>900</c:v>
                </c:pt>
                <c:pt idx="37">
                  <c:v>3500</c:v>
                </c:pt>
                <c:pt idx="38">
                  <c:v>2300</c:v>
                </c:pt>
                <c:pt idx="39">
                  <c:v>1500</c:v>
                </c:pt>
                <c:pt idx="40">
                  <c:v>3000</c:v>
                </c:pt>
                <c:pt idx="41">
                  <c:v>1500</c:v>
                </c:pt>
                <c:pt idx="42">
                  <c:v>2500</c:v>
                </c:pt>
                <c:pt idx="43">
                  <c:v>11194</c:v>
                </c:pt>
              </c:numCache>
            </c:numRef>
          </c:val>
          <c:extLst>
            <c:ext xmlns:c16="http://schemas.microsoft.com/office/drawing/2014/chart" uri="{C3380CC4-5D6E-409C-BE32-E72D297353CC}">
              <c16:uniqueId val="{00000001-4996-48F4-8015-72849038ADB4}"/>
            </c:ext>
          </c:extLst>
        </c:ser>
        <c:dLbls>
          <c:showLegendKey val="0"/>
          <c:showVal val="0"/>
          <c:showCatName val="0"/>
          <c:showSerName val="0"/>
          <c:showPercent val="0"/>
          <c:showBubbleSize val="0"/>
        </c:dLbls>
        <c:gapWidth val="150"/>
        <c:axId val="1132773888"/>
        <c:axId val="1132781632"/>
      </c:barChart>
      <c:catAx>
        <c:axId val="1132773888"/>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4317585685597003"/>
              <c:y val="0.87530666844947302"/>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1132781632"/>
        <c:crosses val="autoZero"/>
        <c:auto val="1"/>
        <c:lblAlgn val="ctr"/>
        <c:lblOffset val="100"/>
        <c:tickLblSkip val="3"/>
        <c:tickMarkSkip val="1"/>
        <c:noMultiLvlLbl val="0"/>
      </c:catAx>
      <c:valAx>
        <c:axId val="1132781632"/>
        <c:scaling>
          <c:orientation val="minMax"/>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Spawning Escapement</a:t>
                </a:r>
              </a:p>
            </c:rich>
          </c:tx>
          <c:layout>
            <c:manualLayout>
              <c:xMode val="edge"/>
              <c:yMode val="edge"/>
              <c:x val="2.2284137717168001E-2"/>
              <c:y val="0.12224953469964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1327738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44464036002699"/>
          <c:y val="8.4239130434782594E-2"/>
          <c:w val="0.83611224516092197"/>
          <c:h val="0.59239130434782605"/>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File'!$BA$13:$BA$53</c:f>
              <c:numCache>
                <c:formatCode>General_)</c:formatCode>
                <c:ptCount val="4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numCache>
            </c:numRef>
          </c:cat>
          <c:val>
            <c:numRef>
              <c:f>'Production File'!$BG$13:$BG$53</c:f>
              <c:numCache>
                <c:formatCode>0.00</c:formatCode>
                <c:ptCount val="41"/>
                <c:pt idx="0">
                  <c:v>0.56525516192022229</c:v>
                </c:pt>
                <c:pt idx="1">
                  <c:v>0.6412911399010538</c:v>
                </c:pt>
                <c:pt idx="2">
                  <c:v>0.59152826794387103</c:v>
                </c:pt>
                <c:pt idx="3">
                  <c:v>0.35636813133023532</c:v>
                </c:pt>
                <c:pt idx="4">
                  <c:v>0.73087989013984778</c:v>
                </c:pt>
                <c:pt idx="5">
                  <c:v>0.66257356555736879</c:v>
                </c:pt>
                <c:pt idx="6">
                  <c:v>0.53474242354942103</c:v>
                </c:pt>
                <c:pt idx="7">
                  <c:v>0.41271267400760697</c:v>
                </c:pt>
                <c:pt idx="8">
                  <c:v>0.59622950796206908</c:v>
                </c:pt>
                <c:pt idx="9">
                  <c:v>0.3451441885669061</c:v>
                </c:pt>
                <c:pt idx="10">
                  <c:v>0.45132206453282758</c:v>
                </c:pt>
                <c:pt idx="11">
                  <c:v>0.55022951006198184</c:v>
                </c:pt>
                <c:pt idx="12">
                  <c:v>0.56196246315550924</c:v>
                </c:pt>
                <c:pt idx="13">
                  <c:v>0.61059571950750746</c:v>
                </c:pt>
                <c:pt idx="14">
                  <c:v>0.49653753469915668</c:v>
                </c:pt>
                <c:pt idx="15">
                  <c:v>0.53675975866313819</c:v>
                </c:pt>
                <c:pt idx="16">
                  <c:v>0.37590282875303549</c:v>
                </c:pt>
                <c:pt idx="17">
                  <c:v>0.38641418483688572</c:v>
                </c:pt>
                <c:pt idx="18">
                  <c:v>0.49506461308011734</c:v>
                </c:pt>
                <c:pt idx="19">
                  <c:v>0.55568013395309657</c:v>
                </c:pt>
                <c:pt idx="20">
                  <c:v>0.28482355640690205</c:v>
                </c:pt>
                <c:pt idx="21">
                  <c:v>0.18220479048100699</c:v>
                </c:pt>
                <c:pt idx="22">
                  <c:v>0.3429338431757909</c:v>
                </c:pt>
                <c:pt idx="23">
                  <c:v>0.16956371347552657</c:v>
                </c:pt>
                <c:pt idx="24">
                  <c:v>7.6910210022363382E-2</c:v>
                </c:pt>
                <c:pt idx="25">
                  <c:v>0.16012847510209002</c:v>
                </c:pt>
                <c:pt idx="26">
                  <c:v>6.8017600673462145E-2</c:v>
                </c:pt>
                <c:pt idx="27">
                  <c:v>5.6581315425998313E-2</c:v>
                </c:pt>
                <c:pt idx="28">
                  <c:v>0.20912738516097229</c:v>
                </c:pt>
                <c:pt idx="29">
                  <c:v>7.5288361840138221E-2</c:v>
                </c:pt>
                <c:pt idx="30">
                  <c:v>0.11003482140333268</c:v>
                </c:pt>
                <c:pt idx="31">
                  <c:v>0.11973817853515406</c:v>
                </c:pt>
                <c:pt idx="32">
                  <c:v>0.26062992592475565</c:v>
                </c:pt>
                <c:pt idx="33">
                  <c:v>0.31990089154017742</c:v>
                </c:pt>
                <c:pt idx="34">
                  <c:v>0.22911869983668187</c:v>
                </c:pt>
                <c:pt idx="35">
                  <c:v>9.1387937845667636E-2</c:v>
                </c:pt>
                <c:pt idx="36">
                  <c:v>0.17731932666751044</c:v>
                </c:pt>
                <c:pt idx="37">
                  <c:v>0.2291550683054259</c:v>
                </c:pt>
                <c:pt idx="38">
                  <c:v>0.27653124557976821</c:v>
                </c:pt>
                <c:pt idx="39">
                  <c:v>0.15510533020216813</c:v>
                </c:pt>
                <c:pt idx="40">
                  <c:v>6.1590347771694608E-2</c:v>
                </c:pt>
              </c:numCache>
            </c:numRef>
          </c:val>
          <c:extLst>
            <c:ext xmlns:c16="http://schemas.microsoft.com/office/drawing/2014/chart" uri="{C3380CC4-5D6E-409C-BE32-E72D297353CC}">
              <c16:uniqueId val="{00000001-3B3E-4989-98E1-B3F5C5A084DD}"/>
            </c:ext>
          </c:extLst>
        </c:ser>
        <c:dLbls>
          <c:showLegendKey val="0"/>
          <c:showVal val="0"/>
          <c:showCatName val="0"/>
          <c:showSerName val="0"/>
          <c:showPercent val="0"/>
          <c:showBubbleSize val="0"/>
        </c:dLbls>
        <c:gapWidth val="150"/>
        <c:axId val="1132836976"/>
        <c:axId val="1132844720"/>
      </c:barChart>
      <c:catAx>
        <c:axId val="1132836976"/>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2916738439586597"/>
              <c:y val="0.86141304347826098"/>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5400000" vert="horz"/>
          <a:lstStyle/>
          <a:p>
            <a:pPr>
              <a:defRPr sz="1500" b="0" i="0" u="none" strike="noStrike" baseline="0">
                <a:solidFill>
                  <a:srgbClr val="000000"/>
                </a:solidFill>
                <a:latin typeface="Arial"/>
                <a:ea typeface="Arial"/>
                <a:cs typeface="Arial"/>
              </a:defRPr>
            </a:pPr>
            <a:endParaRPr lang="en-US"/>
          </a:p>
        </c:txPr>
        <c:crossAx val="1132844720"/>
        <c:crosses val="autoZero"/>
        <c:auto val="1"/>
        <c:lblAlgn val="ctr"/>
        <c:lblOffset val="100"/>
        <c:tickLblSkip val="2"/>
        <c:tickMarkSkip val="1"/>
        <c:noMultiLvlLbl val="0"/>
      </c:catAx>
      <c:valAx>
        <c:axId val="1132844720"/>
        <c:scaling>
          <c:orientation val="minMax"/>
          <c:max val="1"/>
        </c:scaling>
        <c:delete val="0"/>
        <c:axPos val="l"/>
        <c:majorGridlines>
          <c:spPr>
            <a:ln w="3175">
              <a:solidFill>
                <a:srgbClr val="000000"/>
              </a:solidFill>
              <a:prstDash val="solid"/>
            </a:ln>
          </c:spPr>
        </c:majorGridlines>
        <c:title>
          <c:tx>
            <c:rich>
              <a:bodyPr/>
              <a:lstStyle/>
              <a:p>
                <a:pPr>
                  <a:defRPr sz="1350" b="1" i="0" u="none" strike="noStrike" baseline="0">
                    <a:solidFill>
                      <a:srgbClr val="000000"/>
                    </a:solidFill>
                    <a:latin typeface="Arial"/>
                    <a:ea typeface="Arial"/>
                    <a:cs typeface="Arial"/>
                  </a:defRPr>
                </a:pPr>
                <a:r>
                  <a:rPr lang="en-CA"/>
                  <a:t>Exploitation Rate</a:t>
                </a:r>
              </a:p>
            </c:rich>
          </c:tx>
          <c:layout>
            <c:manualLayout>
              <c:xMode val="edge"/>
              <c:yMode val="edge"/>
              <c:x val="2.2222252363081001E-2"/>
              <c:y val="0.17119565217391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1328369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862703481698201"/>
          <c:y val="8.5635359116022103E-2"/>
          <c:w val="0.79195615353306603"/>
          <c:h val="0.58287292817679603"/>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5"/>
            <c:dispRSqr val="0"/>
            <c:dispEq val="0"/>
          </c:trendline>
          <c:cat>
            <c:numRef>
              <c:f>'Production File'!$BA$13:$BA$53</c:f>
              <c:numCache>
                <c:formatCode>General_)</c:formatCode>
                <c:ptCount val="4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numCache>
            </c:numRef>
          </c:cat>
          <c:val>
            <c:numRef>
              <c:f>'Production File'!$BF$10:$BF$53</c:f>
              <c:numCache>
                <c:formatCode>0</c:formatCode>
                <c:ptCount val="44"/>
                <c:pt idx="0">
                  <c:v>32500</c:v>
                </c:pt>
                <c:pt idx="1">
                  <c:v>85000</c:v>
                </c:pt>
                <c:pt idx="2">
                  <c:v>55000</c:v>
                </c:pt>
                <c:pt idx="3">
                  <c:v>103508.99207627232</c:v>
                </c:pt>
                <c:pt idx="4">
                  <c:v>83633.284083712904</c:v>
                </c:pt>
                <c:pt idx="5">
                  <c:v>73444.494797690539</c:v>
                </c:pt>
                <c:pt idx="6">
                  <c:v>31073.663336986847</c:v>
                </c:pt>
                <c:pt idx="7">
                  <c:v>66884.633814075321</c:v>
                </c:pt>
                <c:pt idx="8">
                  <c:v>71126.614723128485</c:v>
                </c:pt>
                <c:pt idx="9">
                  <c:v>85973.882048643907</c:v>
                </c:pt>
                <c:pt idx="10">
                  <c:v>34054.881000886875</c:v>
                </c:pt>
                <c:pt idx="11">
                  <c:v>61916.362123984669</c:v>
                </c:pt>
                <c:pt idx="12">
                  <c:v>68717.417199858828</c:v>
                </c:pt>
                <c:pt idx="13">
                  <c:v>91128.14051366481</c:v>
                </c:pt>
                <c:pt idx="14">
                  <c:v>44411.539767210401</c:v>
                </c:pt>
                <c:pt idx="15">
                  <c:v>70267.950600149867</c:v>
                </c:pt>
                <c:pt idx="16">
                  <c:v>77040.755592254951</c:v>
                </c:pt>
                <c:pt idx="17">
                  <c:v>29793.680827898002</c:v>
                </c:pt>
                <c:pt idx="18">
                  <c:v>43174.142087229164</c:v>
                </c:pt>
                <c:pt idx="19">
                  <c:v>84121.515717021204</c:v>
                </c:pt>
                <c:pt idx="20">
                  <c:v>66820.319157965947</c:v>
                </c:pt>
                <c:pt idx="21">
                  <c:v>29706.771180170872</c:v>
                </c:pt>
                <c:pt idx="22">
                  <c:v>56265.771374176955</c:v>
                </c:pt>
                <c:pt idx="23">
                  <c:v>76904.098971263709</c:v>
                </c:pt>
                <c:pt idx="24">
                  <c:v>55026.000979472461</c:v>
                </c:pt>
                <c:pt idx="25">
                  <c:v>30438.335306547808</c:v>
                </c:pt>
                <c:pt idx="26">
                  <c:v>36125.589026890244</c:v>
                </c:pt>
                <c:pt idx="27">
                  <c:v>27082.955820154468</c:v>
                </c:pt>
                <c:pt idx="28">
                  <c:v>17859.874463327371</c:v>
                </c:pt>
                <c:pt idx="29">
                  <c:v>32189.449094401756</c:v>
                </c:pt>
                <c:pt idx="30">
                  <c:v>52998.738330667446</c:v>
                </c:pt>
                <c:pt idx="31">
                  <c:v>22759.670346739313</c:v>
                </c:pt>
                <c:pt idx="32">
                  <c:v>27035.455128205129</c:v>
                </c:pt>
                <c:pt idx="33">
                  <c:v>6741.8368092345363</c:v>
                </c:pt>
                <c:pt idx="34">
                  <c:v>6816.1538461538457</c:v>
                </c:pt>
                <c:pt idx="35">
                  <c:v>1623.0032051282051</c:v>
                </c:pt>
                <c:pt idx="36">
                  <c:v>1323.3365384615386</c:v>
                </c:pt>
                <c:pt idx="37">
                  <c:v>4540.2580128205127</c:v>
                </c:pt>
                <c:pt idx="38">
                  <c:v>2531.3333333333335</c:v>
                </c:pt>
                <c:pt idx="39">
                  <c:v>1823.3076923076924</c:v>
                </c:pt>
                <c:pt idx="40">
                  <c:v>3891.8333333333335</c:v>
                </c:pt>
                <c:pt idx="41">
                  <c:v>2073.3445512820513</c:v>
                </c:pt>
                <c:pt idx="42">
                  <c:v>2958.9487179487178</c:v>
                </c:pt>
                <c:pt idx="43">
                  <c:v>11928.692307692309</c:v>
                </c:pt>
              </c:numCache>
            </c:numRef>
          </c:val>
          <c:extLst>
            <c:ext xmlns:c16="http://schemas.microsoft.com/office/drawing/2014/chart" uri="{C3380CC4-5D6E-409C-BE32-E72D297353CC}">
              <c16:uniqueId val="{00000001-52BC-458E-9ED1-0854F5F6A01C}"/>
            </c:ext>
          </c:extLst>
        </c:ser>
        <c:dLbls>
          <c:showLegendKey val="0"/>
          <c:showVal val="0"/>
          <c:showCatName val="0"/>
          <c:showSerName val="0"/>
          <c:showPercent val="0"/>
          <c:showBubbleSize val="0"/>
        </c:dLbls>
        <c:gapWidth val="150"/>
        <c:axId val="1132899520"/>
        <c:axId val="1132907264"/>
      </c:barChart>
      <c:catAx>
        <c:axId val="1132899520"/>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a:t>
                </a:r>
              </a:p>
            </c:rich>
          </c:tx>
          <c:layout>
            <c:manualLayout>
              <c:xMode val="edge"/>
              <c:yMode val="edge"/>
              <c:x val="0.55062450604663304"/>
              <c:y val="0.85911602209944804"/>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1132907264"/>
        <c:crosses val="autoZero"/>
        <c:auto val="1"/>
        <c:lblAlgn val="ctr"/>
        <c:lblOffset val="100"/>
        <c:tickLblSkip val="3"/>
        <c:tickMarkSkip val="1"/>
        <c:noMultiLvlLbl val="0"/>
      </c:catAx>
      <c:valAx>
        <c:axId val="1132907264"/>
        <c:scaling>
          <c:orientation val="minMax"/>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Total Return (Catch + Esc)</a:t>
                </a:r>
              </a:p>
            </c:rich>
          </c:tx>
          <c:layout>
            <c:manualLayout>
              <c:xMode val="edge"/>
              <c:yMode val="edge"/>
              <c:x val="2.21914158608215E-2"/>
              <c:y val="1.93370165745856E-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132899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CA"/>
              <a:t>Atnarko Lakes Brood Year Recruits</a:t>
            </a:r>
            <a:r>
              <a:rPr lang="en-CA" baseline="0"/>
              <a:t> (Age 3/4/5)</a:t>
            </a:r>
            <a:endParaRPr lang="en-CA"/>
          </a:p>
        </c:rich>
      </c:tx>
      <c:layout>
        <c:manualLayout>
          <c:xMode val="edge"/>
          <c:yMode val="edge"/>
          <c:x val="0.19390581717451499"/>
          <c:y val="3.3057940173952402E-2"/>
        </c:manualLayout>
      </c:layout>
      <c:overlay val="0"/>
      <c:spPr>
        <a:noFill/>
        <a:ln w="25400">
          <a:noFill/>
        </a:ln>
      </c:spPr>
    </c:title>
    <c:autoTitleDeleted val="0"/>
    <c:plotArea>
      <c:layout>
        <c:manualLayout>
          <c:layoutTarget val="inner"/>
          <c:xMode val="edge"/>
          <c:yMode val="edge"/>
          <c:x val="0.224376731301939"/>
          <c:y val="0.242424894608984"/>
          <c:w val="0.75623268698060897"/>
          <c:h val="0.42699839391355099"/>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movingAvg"/>
            <c:period val="5"/>
            <c:dispRSqr val="0"/>
            <c:dispEq val="0"/>
          </c:trendline>
          <c:cat>
            <c:numRef>
              <c:f>'Production File'!$BA$10:$BA$47</c:f>
              <c:numCache>
                <c:formatCode>General_)</c:formatCode>
                <c:ptCount val="3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numCache>
            </c:numRef>
          </c:cat>
          <c:val>
            <c:numRef>
              <c:f>'Production File'!$BK$10:$BK$47</c:f>
              <c:numCache>
                <c:formatCode>0</c:formatCode>
                <c:ptCount val="38"/>
                <c:pt idx="0">
                  <c:v>49977.821859300217</c:v>
                </c:pt>
                <c:pt idx="1">
                  <c:v>78816.302746918343</c:v>
                </c:pt>
                <c:pt idx="2">
                  <c:v>42022.082112551478</c:v>
                </c:pt>
                <c:pt idx="3">
                  <c:v>52801.195568235467</c:v>
                </c:pt>
                <c:pt idx="4">
                  <c:v>84494.104427668048</c:v>
                </c:pt>
                <c:pt idx="5">
                  <c:v>72803.004232526306</c:v>
                </c:pt>
                <c:pt idx="6">
                  <c:v>50807.876195973484</c:v>
                </c:pt>
                <c:pt idx="7">
                  <c:v>59036.152910759643</c:v>
                </c:pt>
                <c:pt idx="8">
                  <c:v>86709.52534504603</c:v>
                </c:pt>
                <c:pt idx="9">
                  <c:v>63906.180097906174</c:v>
                </c:pt>
                <c:pt idx="10">
                  <c:v>48066.383432342649</c:v>
                </c:pt>
                <c:pt idx="11">
                  <c:v>64073.025051046869</c:v>
                </c:pt>
                <c:pt idx="12">
                  <c:v>65777.452440706344</c:v>
                </c:pt>
                <c:pt idx="13">
                  <c:v>26060.068783795199</c:v>
                </c:pt>
                <c:pt idx="14">
                  <c:v>45878.89768476459</c:v>
                </c:pt>
                <c:pt idx="15">
                  <c:v>91299.796706584471</c:v>
                </c:pt>
                <c:pt idx="16">
                  <c:v>65985.251754752011</c:v>
                </c:pt>
                <c:pt idx="17">
                  <c:v>35633.944287121529</c:v>
                </c:pt>
                <c:pt idx="18">
                  <c:v>59771.082436691555</c:v>
                </c:pt>
                <c:pt idx="19">
                  <c:v>69274.346948367747</c:v>
                </c:pt>
                <c:pt idx="20">
                  <c:v>45240.286364005515</c:v>
                </c:pt>
                <c:pt idx="21">
                  <c:v>27896.019299050302</c:v>
                </c:pt>
                <c:pt idx="22">
                  <c:v>39144.006984950924</c:v>
                </c:pt>
                <c:pt idx="23">
                  <c:v>22986.891609560385</c:v>
                </c:pt>
                <c:pt idx="24">
                  <c:v>27297.382024811493</c:v>
                </c:pt>
                <c:pt idx="25">
                  <c:v>36657.668585260457</c:v>
                </c:pt>
                <c:pt idx="26">
                  <c:v>44730.127589649637</c:v>
                </c:pt>
                <c:pt idx="27">
                  <c:v>24048.195163498069</c:v>
                </c:pt>
                <c:pt idx="28">
                  <c:v>21968.872063753384</c:v>
                </c:pt>
                <c:pt idx="29">
                  <c:v>6359.0424332243065</c:v>
                </c:pt>
                <c:pt idx="30">
                  <c:v>6346.5469920803207</c:v>
                </c:pt>
                <c:pt idx="31">
                  <c:v>738.81626180836702</c:v>
                </c:pt>
                <c:pt idx="32">
                  <c:v>2935.3658974358978</c:v>
                </c:pt>
                <c:pt idx="33">
                  <c:v>3935.1886217948718</c:v>
                </c:pt>
                <c:pt idx="34">
                  <c:v>2018.5177564102564</c:v>
                </c:pt>
                <c:pt idx="35">
                  <c:v>1924.8775641025641</c:v>
                </c:pt>
                <c:pt idx="36">
                  <c:v>4205.4722916666669</c:v>
                </c:pt>
                <c:pt idx="37">
                  <c:v>2112.1682692307691</c:v>
                </c:pt>
              </c:numCache>
            </c:numRef>
          </c:val>
          <c:smooth val="0"/>
          <c:extLst>
            <c:ext xmlns:c16="http://schemas.microsoft.com/office/drawing/2014/chart" uri="{C3380CC4-5D6E-409C-BE32-E72D297353CC}">
              <c16:uniqueId val="{00000001-7342-4A46-9C20-3135E52F60BA}"/>
            </c:ext>
          </c:extLst>
        </c:ser>
        <c:dLbls>
          <c:showLegendKey val="0"/>
          <c:showVal val="0"/>
          <c:showCatName val="0"/>
          <c:showSerName val="0"/>
          <c:showPercent val="0"/>
          <c:showBubbleSize val="0"/>
        </c:dLbls>
        <c:marker val="1"/>
        <c:smooth val="0"/>
        <c:axId val="1132967088"/>
        <c:axId val="1132974880"/>
      </c:lineChart>
      <c:catAx>
        <c:axId val="1132967088"/>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CA"/>
                  <a:t>Year of Spawning</a:t>
                </a:r>
              </a:p>
            </c:rich>
          </c:tx>
          <c:layout>
            <c:manualLayout>
              <c:xMode val="edge"/>
              <c:yMode val="edge"/>
              <c:x val="0.48337950138504199"/>
              <c:y val="0.85950644452276104"/>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1132974880"/>
        <c:crosses val="autoZero"/>
        <c:auto val="1"/>
        <c:lblAlgn val="ctr"/>
        <c:lblOffset val="100"/>
        <c:tickLblSkip val="3"/>
        <c:tickMarkSkip val="1"/>
        <c:noMultiLvlLbl val="0"/>
      </c:catAx>
      <c:valAx>
        <c:axId val="1132974880"/>
        <c:scaling>
          <c:orientation val="minMax"/>
          <c:max val="120000"/>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CA"/>
                  <a:t>Brood Year Recruits</a:t>
                </a:r>
              </a:p>
            </c:rich>
          </c:tx>
          <c:layout>
            <c:manualLayout>
              <c:xMode val="edge"/>
              <c:yMode val="edge"/>
              <c:x val="2.2160664819944598E-2"/>
              <c:y val="0.3002762899134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1329670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752577319588"/>
          <c:y val="0.100775575246697"/>
          <c:w val="0.77938144329896897"/>
          <c:h val="0.58139754950017197"/>
        </c:manualLayout>
      </c:layout>
      <c:barChart>
        <c:barDir val="col"/>
        <c:grouping val="clustered"/>
        <c:varyColors val="0"/>
        <c:ser>
          <c:idx val="0"/>
          <c:order val="0"/>
          <c:spPr>
            <a:solidFill>
              <a:srgbClr val="9999FF"/>
            </a:solidFill>
            <a:ln w="12700">
              <a:solidFill>
                <a:srgbClr val="000000"/>
              </a:solidFill>
              <a:prstDash val="solid"/>
            </a:ln>
          </c:spPr>
          <c:invertIfNegative val="0"/>
          <c:trendline>
            <c:spPr>
              <a:ln w="25400">
                <a:solidFill>
                  <a:srgbClr val="000000"/>
                </a:solidFill>
                <a:prstDash val="solid"/>
              </a:ln>
            </c:spPr>
            <c:trendlineType val="movingAvg"/>
            <c:period val="4"/>
            <c:dispRSqr val="0"/>
            <c:dispEq val="0"/>
          </c:trendline>
          <c:cat>
            <c:numRef>
              <c:f>'Commercial Catch'!$A$4:$A$39</c:f>
              <c:numCache>
                <c:formatCode>General_)</c:formatCode>
                <c:ptCount val="36"/>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numCache>
            </c:numRef>
          </c:cat>
          <c:val>
            <c:numRef>
              <c:f>'Commercial Catch'!$M$4:$M$35</c:f>
              <c:numCache>
                <c:formatCode>0</c:formatCode>
                <c:ptCount val="32"/>
                <c:pt idx="0">
                  <c:v>226050</c:v>
                </c:pt>
                <c:pt idx="1">
                  <c:v>202812</c:v>
                </c:pt>
                <c:pt idx="2">
                  <c:v>89367</c:v>
                </c:pt>
                <c:pt idx="3">
                  <c:v>56305</c:v>
                </c:pt>
                <c:pt idx="4">
                  <c:v>223766</c:v>
                </c:pt>
                <c:pt idx="5">
                  <c:v>167139</c:v>
                </c:pt>
                <c:pt idx="6">
                  <c:v>180821</c:v>
                </c:pt>
                <c:pt idx="7">
                  <c:v>36845</c:v>
                </c:pt>
                <c:pt idx="8">
                  <c:v>135496</c:v>
                </c:pt>
                <c:pt idx="9">
                  <c:v>44020</c:v>
                </c:pt>
                <c:pt idx="10">
                  <c:v>152157</c:v>
                </c:pt>
                <c:pt idx="11">
                  <c:v>138146</c:v>
                </c:pt>
                <c:pt idx="12">
                  <c:v>218500</c:v>
                </c:pt>
                <c:pt idx="13">
                  <c:v>166651</c:v>
                </c:pt>
                <c:pt idx="14">
                  <c:v>34766</c:v>
                </c:pt>
                <c:pt idx="15">
                  <c:v>126020</c:v>
                </c:pt>
                <c:pt idx="16">
                  <c:v>106239</c:v>
                </c:pt>
                <c:pt idx="17">
                  <c:v>109577</c:v>
                </c:pt>
                <c:pt idx="18">
                  <c:v>61879</c:v>
                </c:pt>
                <c:pt idx="19">
                  <c:v>232669</c:v>
                </c:pt>
                <c:pt idx="20">
                  <c:v>69879</c:v>
                </c:pt>
                <c:pt idx="21">
                  <c:v>25932</c:v>
                </c:pt>
                <c:pt idx="22">
                  <c:v>31584</c:v>
                </c:pt>
                <c:pt idx="23">
                  <c:v>22386</c:v>
                </c:pt>
                <c:pt idx="24">
                  <c:v>6040</c:v>
                </c:pt>
                <c:pt idx="25">
                  <c:v>2555</c:v>
                </c:pt>
                <c:pt idx="26">
                  <c:v>2403</c:v>
                </c:pt>
                <c:pt idx="27">
                  <c:v>5792</c:v>
                </c:pt>
                <c:pt idx="28">
                  <c:v>19180</c:v>
                </c:pt>
                <c:pt idx="29">
                  <c:v>4984</c:v>
                </c:pt>
                <c:pt idx="30">
                  <c:v>966</c:v>
                </c:pt>
                <c:pt idx="31">
                  <c:v>1189</c:v>
                </c:pt>
              </c:numCache>
            </c:numRef>
          </c:val>
          <c:extLst>
            <c:ext xmlns:c16="http://schemas.microsoft.com/office/drawing/2014/chart" uri="{C3380CC4-5D6E-409C-BE32-E72D297353CC}">
              <c16:uniqueId val="{00000001-FA60-49DF-B342-B6972B024D2A}"/>
            </c:ext>
          </c:extLst>
        </c:ser>
        <c:dLbls>
          <c:showLegendKey val="0"/>
          <c:showVal val="0"/>
          <c:showCatName val="0"/>
          <c:showSerName val="0"/>
          <c:showPercent val="0"/>
          <c:showBubbleSize val="0"/>
        </c:dLbls>
        <c:gapWidth val="150"/>
        <c:axId val="1133100256"/>
        <c:axId val="1133108000"/>
      </c:barChart>
      <c:catAx>
        <c:axId val="113310025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Year</a:t>
                </a:r>
              </a:p>
            </c:rich>
          </c:tx>
          <c:layout>
            <c:manualLayout>
              <c:xMode val="edge"/>
              <c:yMode val="edge"/>
              <c:x val="0.54845360824742295"/>
              <c:y val="0.852716405933586"/>
            </c:manualLayout>
          </c:layout>
          <c:overlay val="0"/>
          <c:spPr>
            <a:noFill/>
            <a:ln w="25400">
              <a:noFill/>
            </a:ln>
          </c:spPr>
        </c:title>
        <c:numFmt formatCode="General_)"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33108000"/>
        <c:crosses val="autoZero"/>
        <c:auto val="1"/>
        <c:lblAlgn val="ctr"/>
        <c:lblOffset val="100"/>
        <c:tickLblSkip val="2"/>
        <c:tickMarkSkip val="1"/>
        <c:noMultiLvlLbl val="0"/>
      </c:catAx>
      <c:valAx>
        <c:axId val="113310800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CA"/>
                  <a:t>Area Comm.Sockeye Catch</a:t>
                </a:r>
              </a:p>
            </c:rich>
          </c:tx>
          <c:layout>
            <c:manualLayout>
              <c:xMode val="edge"/>
              <c:yMode val="edge"/>
              <c:x val="3.2989690721649499E-2"/>
              <c:y val="5.03877876233483E-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31002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64</xdr:col>
      <xdr:colOff>0</xdr:colOff>
      <xdr:row>9</xdr:row>
      <xdr:rowOff>0</xdr:rowOff>
    </xdr:from>
    <xdr:to>
      <xdr:col>73</xdr:col>
      <xdr:colOff>638175</xdr:colOff>
      <xdr:row>31</xdr:row>
      <xdr:rowOff>76200</xdr:rowOff>
    </xdr:to>
    <xdr:graphicFrame macro="">
      <xdr:nvGraphicFramePr>
        <xdr:cNvPr id="2" name="Chart 8">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0</xdr:colOff>
      <xdr:row>33</xdr:row>
      <xdr:rowOff>0</xdr:rowOff>
    </xdr:from>
    <xdr:to>
      <xdr:col>73</xdr:col>
      <xdr:colOff>666750</xdr:colOff>
      <xdr:row>58</xdr:row>
      <xdr:rowOff>85725</xdr:rowOff>
    </xdr:to>
    <xdr:graphicFrame macro="">
      <xdr:nvGraphicFramePr>
        <xdr:cNvPr id="3" name="Chart 9">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64</xdr:col>
      <xdr:colOff>0</xdr:colOff>
      <xdr:row>60</xdr:row>
      <xdr:rowOff>0</xdr:rowOff>
    </xdr:from>
    <xdr:to>
      <xdr:col>74</xdr:col>
      <xdr:colOff>0</xdr:colOff>
      <xdr:row>83</xdr:row>
      <xdr:rowOff>0</xdr:rowOff>
    </xdr:to>
    <xdr:graphicFrame macro="">
      <xdr:nvGraphicFramePr>
        <xdr:cNvPr id="4" name="Chart 12">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0</xdr:colOff>
      <xdr:row>85</xdr:row>
      <xdr:rowOff>0</xdr:rowOff>
    </xdr:from>
    <xdr:to>
      <xdr:col>74</xdr:col>
      <xdr:colOff>9525</xdr:colOff>
      <xdr:row>107</xdr:row>
      <xdr:rowOff>95250</xdr:rowOff>
    </xdr:to>
    <xdr:graphicFrame macro="">
      <xdr:nvGraphicFramePr>
        <xdr:cNvPr id="5" name="Chart 10">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0</xdr:colOff>
      <xdr:row>109</xdr:row>
      <xdr:rowOff>0</xdr:rowOff>
    </xdr:from>
    <xdr:to>
      <xdr:col>74</xdr:col>
      <xdr:colOff>19050</xdr:colOff>
      <xdr:row>131</xdr:row>
      <xdr:rowOff>104775</xdr:rowOff>
    </xdr:to>
    <xdr:graphicFrame macro="">
      <xdr:nvGraphicFramePr>
        <xdr:cNvPr id="6" name="Chart 13">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104775</xdr:colOff>
      <xdr:row>7</xdr:row>
      <xdr:rowOff>66675</xdr:rowOff>
    </xdr:from>
    <xdr:to>
      <xdr:col>21</xdr:col>
      <xdr:colOff>104775</xdr:colOff>
      <xdr:row>11</xdr:row>
      <xdr:rowOff>123825</xdr:rowOff>
    </xdr:to>
    <xdr:sp macro="" textlink="">
      <xdr:nvSpPr>
        <xdr:cNvPr id="5145" name="Line 25">
          <a:extLst>
            <a:ext uri="{FF2B5EF4-FFF2-40B4-BE49-F238E27FC236}">
              <a16:creationId xmlns:a16="http://schemas.microsoft.com/office/drawing/2014/main" id="{00000000-0008-0000-0200-000019140000}"/>
            </a:ext>
          </a:extLst>
        </xdr:cNvPr>
        <xdr:cNvSpPr>
          <a:spLocks noChangeShapeType="1"/>
        </xdr:cNvSpPr>
      </xdr:nvSpPr>
      <xdr:spPr bwMode="auto">
        <a:xfrm flipV="1">
          <a:off x="15668625" y="1133475"/>
          <a:ext cx="0" cy="6667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type="triangle" w="med" len="lg"/>
        </a:ln>
        <a:extLst>
          <a:ext uri="{909E8E84-426E-40dd-AFC4-6F175D3DCCD1}">
            <a14:hiddenFill xmlns:a14="http://schemas.microsoft.com/office/drawing/2010/main" xmlns="">
              <a:noFill/>
            </a14:hiddenFill>
          </a:ext>
        </a:extLst>
      </xdr:spPr>
    </xdr:sp>
    <xdr:clientData/>
  </xdr:twoCellAnchor>
  <xdr:twoCellAnchor>
    <xdr:from>
      <xdr:col>21</xdr:col>
      <xdr:colOff>228600</xdr:colOff>
      <xdr:row>6</xdr:row>
      <xdr:rowOff>114300</xdr:rowOff>
    </xdr:from>
    <xdr:to>
      <xdr:col>23</xdr:col>
      <xdr:colOff>57150</xdr:colOff>
      <xdr:row>10</xdr:row>
      <xdr:rowOff>28575</xdr:rowOff>
    </xdr:to>
    <xdr:sp macro="" textlink="">
      <xdr:nvSpPr>
        <xdr:cNvPr id="5146" name="Text Box 26">
          <a:extLst>
            <a:ext uri="{FF2B5EF4-FFF2-40B4-BE49-F238E27FC236}">
              <a16:creationId xmlns:a16="http://schemas.microsoft.com/office/drawing/2014/main" id="{00000000-0008-0000-0200-00001A140000}"/>
            </a:ext>
          </a:extLst>
        </xdr:cNvPr>
        <xdr:cNvSpPr txBox="1">
          <a:spLocks noChangeArrowheads="1"/>
        </xdr:cNvSpPr>
      </xdr:nvSpPr>
      <xdr:spPr bwMode="auto">
        <a:xfrm>
          <a:off x="15792450" y="1028700"/>
          <a:ext cx="1200150"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Courier"/>
            </a:rPr>
            <a:t>Just FFH from 1983 previous- SN and GN</a:t>
          </a:r>
        </a:p>
      </xdr:txBody>
    </xdr:sp>
    <xdr:clientData/>
  </xdr:twoCellAnchor>
  <xdr:twoCellAnchor>
    <xdr:from>
      <xdr:col>35</xdr:col>
      <xdr:colOff>219075</xdr:colOff>
      <xdr:row>40</xdr:row>
      <xdr:rowOff>47625</xdr:rowOff>
    </xdr:from>
    <xdr:to>
      <xdr:col>35</xdr:col>
      <xdr:colOff>219075</xdr:colOff>
      <xdr:row>44</xdr:row>
      <xdr:rowOff>104775</xdr:rowOff>
    </xdr:to>
    <xdr:sp macro="" textlink="">
      <xdr:nvSpPr>
        <xdr:cNvPr id="5148" name="Line 28">
          <a:extLst>
            <a:ext uri="{FF2B5EF4-FFF2-40B4-BE49-F238E27FC236}">
              <a16:creationId xmlns:a16="http://schemas.microsoft.com/office/drawing/2014/main" id="{00000000-0008-0000-0200-00001C140000}"/>
            </a:ext>
          </a:extLst>
        </xdr:cNvPr>
        <xdr:cNvSpPr>
          <a:spLocks noChangeShapeType="1"/>
        </xdr:cNvSpPr>
      </xdr:nvSpPr>
      <xdr:spPr bwMode="auto">
        <a:xfrm flipV="1">
          <a:off x="25746075" y="6162675"/>
          <a:ext cx="0" cy="6667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type="triangle" w="med" len="lg"/>
        </a:ln>
        <a:extLst>
          <a:ext uri="{909E8E84-426E-40dd-AFC4-6F175D3DCCD1}">
            <a14:hiddenFill xmlns:a14="http://schemas.microsoft.com/office/drawing/2010/main" xmlns="">
              <a:noFill/>
            </a14:hiddenFill>
          </a:ext>
        </a:extLst>
      </xdr:spPr>
    </xdr:sp>
    <xdr:clientData/>
  </xdr:twoCellAnchor>
  <xdr:twoCellAnchor>
    <xdr:from>
      <xdr:col>15</xdr:col>
      <xdr:colOff>152400</xdr:colOff>
      <xdr:row>7</xdr:row>
      <xdr:rowOff>76200</xdr:rowOff>
    </xdr:from>
    <xdr:to>
      <xdr:col>15</xdr:col>
      <xdr:colOff>152400</xdr:colOff>
      <xdr:row>11</xdr:row>
      <xdr:rowOff>133350</xdr:rowOff>
    </xdr:to>
    <xdr:sp macro="" textlink="">
      <xdr:nvSpPr>
        <xdr:cNvPr id="5149" name="Line 29">
          <a:extLst>
            <a:ext uri="{FF2B5EF4-FFF2-40B4-BE49-F238E27FC236}">
              <a16:creationId xmlns:a16="http://schemas.microsoft.com/office/drawing/2014/main" id="{00000000-0008-0000-0200-00001D140000}"/>
            </a:ext>
          </a:extLst>
        </xdr:cNvPr>
        <xdr:cNvSpPr>
          <a:spLocks noChangeShapeType="1"/>
        </xdr:cNvSpPr>
      </xdr:nvSpPr>
      <xdr:spPr bwMode="auto">
        <a:xfrm flipV="1">
          <a:off x="11601450" y="1143000"/>
          <a:ext cx="0" cy="6667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type="triangle" w="med" len="lg"/>
        </a:ln>
        <a:extLst>
          <a:ext uri="{909E8E84-426E-40dd-AFC4-6F175D3DCCD1}">
            <a14:hiddenFill xmlns:a14="http://schemas.microsoft.com/office/drawing/2010/main" xmlns="">
              <a:noFill/>
            </a14:hiddenFill>
          </a:ext>
        </a:extLst>
      </xdr:spPr>
    </xdr:sp>
    <xdr:clientData/>
  </xdr:twoCellAnchor>
  <xdr:twoCellAnchor>
    <xdr:from>
      <xdr:col>4</xdr:col>
      <xdr:colOff>563336</xdr:colOff>
      <xdr:row>49</xdr:row>
      <xdr:rowOff>2722</xdr:rowOff>
    </xdr:from>
    <xdr:to>
      <xdr:col>11</xdr:col>
      <xdr:colOff>387804</xdr:colOff>
      <xdr:row>65</xdr:row>
      <xdr:rowOff>29936</xdr:rowOff>
    </xdr:to>
    <xdr:graphicFrame macro="">
      <xdr:nvGraphicFramePr>
        <xdr:cNvPr id="5154" name="Chart 34">
          <a:extLst>
            <a:ext uri="{FF2B5EF4-FFF2-40B4-BE49-F238E27FC236}">
              <a16:creationId xmlns:a16="http://schemas.microsoft.com/office/drawing/2014/main" id="{00000000-0008-0000-0200-00002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ndanconnorsESSA/Dropbox%20(Personal)/Projects/Atnarko/2_Atnarko_e_library/6_Production%20files/Denis%20Rutherford%20Atnarko%20Sockeye%20Statu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ESC. SUMMARY"/>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Matt%20Mortimer/AFS/Heiltsuk/DNA%20Sampling/Heiltsuk%20FSC%20Sockeye%20DNA%202003.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Matt%20Mortimer/AFS/Heiltsuk/DNA%20Sampling/Heiltsuk%20FSC%20Sockeye%20DNA%202003.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Matt%20Mortimer/AFS/Heiltsuk/DNA%20Sampling/Heiltsuk%20FSC%20Sockeye%20DNA%202003.xls"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Mortimer" refreshedDate="38135.339706944447" createdVersion="1" refreshedVersion="1" recordCount="16" upgradeOnRefresh="1" xr:uid="{00000000-000A-0000-FFFF-FFFF00000000}">
  <cacheSource type="worksheet">
    <worksheetSource ref="I5:K21" sheet="IndivID" r:id="rId2"/>
  </cacheSource>
  <cacheFields count="3">
    <cacheField name="Number" numFmtId="0">
      <sharedItems containsSemiMixedTypes="0" containsString="0" containsNumber="1" containsInteger="1" minValue="1" maxValue="16" count="16">
        <n v="1"/>
        <n v="2"/>
        <n v="3"/>
        <n v="4"/>
        <n v="5"/>
        <n v="6"/>
        <n v="7"/>
        <n v="8"/>
        <n v="9"/>
        <n v="10"/>
        <n v="11"/>
        <n v="12"/>
        <n v="13"/>
        <n v="14"/>
        <n v="15"/>
        <n v="16"/>
      </sharedItems>
    </cacheField>
    <cacheField name="Probability" numFmtId="0">
      <sharedItems containsSemiMixedTypes="0" containsString="0" containsNumber="1" minValue="0.39" maxValue="1" count="12">
        <n v="1"/>
        <n v="0.59"/>
        <n v="0.96"/>
        <n v="0.43"/>
        <n v="0.94"/>
        <n v="0.39"/>
        <n v="0.5"/>
        <n v="0.44"/>
        <n v="0.75"/>
        <n v="0.97"/>
        <n v="0.77"/>
        <n v="0.69"/>
      </sharedItems>
    </cacheField>
    <cacheField name="Stock" numFmtId="0">
      <sharedItems count="7">
        <s v="Kimsquit___"/>
        <s v="Shustahini"/>
        <s v="Namu_______"/>
        <s v="Lonesome____"/>
        <s v="Koeye______"/>
        <s v="FultonLate__"/>
        <s v="Kitlope____"/>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Mortimer" refreshedDate="38135.333340856479" createdVersion="1" refreshedVersion="1" recordCount="14" upgradeOnRefresh="1" xr:uid="{00000000-000A-0000-FFFF-FFFF01000000}">
  <cacheSource type="worksheet">
    <worksheetSource ref="E5:G19" sheet="IndivID" r:id="rId2"/>
  </cacheSource>
  <cacheFields count="3">
    <cacheField name="Number" numFmtId="0">
      <sharedItems containsSemiMixedTypes="0" containsString="0" containsNumber="1" containsInteger="1" minValue="1" maxValue="14" count="14">
        <n v="1"/>
        <n v="2"/>
        <n v="3"/>
        <n v="4"/>
        <n v="5"/>
        <n v="6"/>
        <n v="7"/>
        <n v="8"/>
        <n v="9"/>
        <n v="10"/>
        <n v="11"/>
        <n v="12"/>
        <n v="13"/>
        <n v="14"/>
      </sharedItems>
    </cacheField>
    <cacheField name="Probability" numFmtId="0">
      <sharedItems containsSemiMixedTypes="0" containsString="0" containsNumber="1" minValue="0.46" maxValue="1" count="8">
        <n v="0.75"/>
        <n v="0.99"/>
        <n v="1"/>
        <n v="0.9"/>
        <n v="0.98"/>
        <n v="0.82"/>
        <n v="0.46"/>
        <n v="0.65"/>
      </sharedItems>
    </cacheField>
    <cacheField name="Stock" numFmtId="0">
      <sharedItems count="6">
        <s v="Lonesome____"/>
        <s v="Namu_______"/>
        <s v="Koeye______"/>
        <s v="Tankeeah___"/>
        <s v="Klinaklini"/>
        <s v="Gingit_____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Mortimer" refreshedDate="38134.63454363426" createdVersion="1" refreshedVersion="1" recordCount="64" upgradeOnRefresh="1" xr:uid="{00000000-000A-0000-FFFF-FFFF02000000}">
  <cacheSource type="worksheet">
    <worksheetSource ref="A5:C69" sheet="IndivID" r:id="rId2"/>
  </cacheSource>
  <cacheFields count="3">
    <cacheField name="Number" numFmtId="0">
      <sharedItems containsSemiMixedTypes="0" containsString="0" containsNumber="1" containsInteger="1" minValue="1" maxValue="64"/>
    </cacheField>
    <cacheField name="Probability" numFmtId="0">
      <sharedItems containsSemiMixedTypes="0" containsString="0" containsNumber="1" minValue="0.23" maxValue="1" count="19">
        <n v="1"/>
        <n v="0.96"/>
        <n v="0.25"/>
        <n v="0.98"/>
        <n v="0.32"/>
        <n v="0.99"/>
        <n v="0.42"/>
        <n v="0.51"/>
        <n v="0.63"/>
        <n v="0.48"/>
        <n v="0.97"/>
        <n v="0.57999999999999996"/>
        <n v="0.5"/>
        <n v="0.83"/>
        <n v="0.23"/>
        <n v="0.31"/>
        <n v="0.8"/>
        <n v="0.53"/>
        <n v="0.49"/>
      </sharedItems>
    </cacheField>
    <cacheField name="Stock" numFmtId="0">
      <sharedItems count="12">
        <s v="Namu_______"/>
        <s v="Koeye______"/>
        <s v="Kimsquit___"/>
        <s v="Lonesome____"/>
        <s v="Tankeeah___"/>
        <s v="FultonLate__"/>
        <s v="Kitlope____"/>
        <s v="Naden_River"/>
        <s v="Marble_Creek"/>
        <s v="Martin"/>
        <s v="Hanna_Creek"/>
        <s v="GCL_McBrid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r>
  <r>
    <x v="1"/>
    <x v="0"/>
    <x v="0"/>
  </r>
  <r>
    <x v="2"/>
    <x v="1"/>
    <x v="1"/>
  </r>
  <r>
    <x v="3"/>
    <x v="0"/>
    <x v="0"/>
  </r>
  <r>
    <x v="4"/>
    <x v="2"/>
    <x v="0"/>
  </r>
  <r>
    <x v="5"/>
    <x v="3"/>
    <x v="2"/>
  </r>
  <r>
    <x v="6"/>
    <x v="4"/>
    <x v="3"/>
  </r>
  <r>
    <x v="7"/>
    <x v="0"/>
    <x v="4"/>
  </r>
  <r>
    <x v="8"/>
    <x v="5"/>
    <x v="5"/>
  </r>
  <r>
    <x v="9"/>
    <x v="6"/>
    <x v="1"/>
  </r>
  <r>
    <x v="10"/>
    <x v="7"/>
    <x v="5"/>
  </r>
  <r>
    <x v="11"/>
    <x v="8"/>
    <x v="2"/>
  </r>
  <r>
    <x v="12"/>
    <x v="0"/>
    <x v="0"/>
  </r>
  <r>
    <x v="13"/>
    <x v="9"/>
    <x v="6"/>
  </r>
  <r>
    <x v="14"/>
    <x v="10"/>
    <x v="2"/>
  </r>
  <r>
    <x v="15"/>
    <x v="11"/>
    <x v="6"/>
  </r>
</pivotCacheRecords>
</file>

<file path=xl/pivotCache/pivotCacheRecords2.xml><?xml version="1.0" encoding="utf-8"?>
<pivotCacheRecords xmlns="http://schemas.openxmlformats.org/spreadsheetml/2006/main" xmlns:r="http://schemas.openxmlformats.org/officeDocument/2006/relationships" count="14">
  <r>
    <x v="0"/>
    <x v="0"/>
    <x v="0"/>
  </r>
  <r>
    <x v="1"/>
    <x v="1"/>
    <x v="1"/>
  </r>
  <r>
    <x v="2"/>
    <x v="2"/>
    <x v="2"/>
  </r>
  <r>
    <x v="3"/>
    <x v="2"/>
    <x v="1"/>
  </r>
  <r>
    <x v="4"/>
    <x v="3"/>
    <x v="0"/>
  </r>
  <r>
    <x v="5"/>
    <x v="4"/>
    <x v="0"/>
  </r>
  <r>
    <x v="6"/>
    <x v="1"/>
    <x v="1"/>
  </r>
  <r>
    <x v="7"/>
    <x v="5"/>
    <x v="3"/>
  </r>
  <r>
    <x v="8"/>
    <x v="2"/>
    <x v="2"/>
  </r>
  <r>
    <x v="9"/>
    <x v="2"/>
    <x v="2"/>
  </r>
  <r>
    <x v="10"/>
    <x v="6"/>
    <x v="4"/>
  </r>
  <r>
    <x v="11"/>
    <x v="2"/>
    <x v="2"/>
  </r>
  <r>
    <x v="12"/>
    <x v="2"/>
    <x v="2"/>
  </r>
  <r>
    <x v="13"/>
    <x v="7"/>
    <x v="5"/>
  </r>
</pivotCacheRecords>
</file>

<file path=xl/pivotCache/pivotCacheRecords3.xml><?xml version="1.0" encoding="utf-8"?>
<pivotCacheRecords xmlns="http://schemas.openxmlformats.org/spreadsheetml/2006/main" xmlns:r="http://schemas.openxmlformats.org/officeDocument/2006/relationships" count="64">
  <r>
    <n v="1"/>
    <x v="0"/>
    <x v="0"/>
  </r>
  <r>
    <n v="2"/>
    <x v="0"/>
    <x v="1"/>
  </r>
  <r>
    <n v="3"/>
    <x v="1"/>
    <x v="0"/>
  </r>
  <r>
    <n v="4"/>
    <x v="0"/>
    <x v="0"/>
  </r>
  <r>
    <n v="5"/>
    <x v="0"/>
    <x v="0"/>
  </r>
  <r>
    <n v="6"/>
    <x v="0"/>
    <x v="1"/>
  </r>
  <r>
    <n v="7"/>
    <x v="0"/>
    <x v="0"/>
  </r>
  <r>
    <n v="8"/>
    <x v="0"/>
    <x v="1"/>
  </r>
  <r>
    <n v="9"/>
    <x v="0"/>
    <x v="0"/>
  </r>
  <r>
    <n v="10"/>
    <x v="2"/>
    <x v="2"/>
  </r>
  <r>
    <n v="11"/>
    <x v="1"/>
    <x v="3"/>
  </r>
  <r>
    <n v="12"/>
    <x v="0"/>
    <x v="0"/>
  </r>
  <r>
    <n v="13"/>
    <x v="0"/>
    <x v="0"/>
  </r>
  <r>
    <n v="14"/>
    <x v="0"/>
    <x v="4"/>
  </r>
  <r>
    <n v="15"/>
    <x v="0"/>
    <x v="1"/>
  </r>
  <r>
    <n v="16"/>
    <x v="3"/>
    <x v="3"/>
  </r>
  <r>
    <n v="17"/>
    <x v="3"/>
    <x v="0"/>
  </r>
  <r>
    <n v="18"/>
    <x v="0"/>
    <x v="0"/>
  </r>
  <r>
    <n v="19"/>
    <x v="0"/>
    <x v="1"/>
  </r>
  <r>
    <n v="20"/>
    <x v="4"/>
    <x v="5"/>
  </r>
  <r>
    <n v="21"/>
    <x v="0"/>
    <x v="1"/>
  </r>
  <r>
    <n v="22"/>
    <x v="5"/>
    <x v="6"/>
  </r>
  <r>
    <n v="23"/>
    <x v="0"/>
    <x v="0"/>
  </r>
  <r>
    <n v="24"/>
    <x v="0"/>
    <x v="1"/>
  </r>
  <r>
    <n v="25"/>
    <x v="6"/>
    <x v="7"/>
  </r>
  <r>
    <n v="26"/>
    <x v="7"/>
    <x v="4"/>
  </r>
  <r>
    <n v="27"/>
    <x v="0"/>
    <x v="1"/>
  </r>
  <r>
    <n v="28"/>
    <x v="0"/>
    <x v="0"/>
  </r>
  <r>
    <n v="29"/>
    <x v="0"/>
    <x v="0"/>
  </r>
  <r>
    <n v="30"/>
    <x v="0"/>
    <x v="0"/>
  </r>
  <r>
    <n v="31"/>
    <x v="0"/>
    <x v="4"/>
  </r>
  <r>
    <n v="32"/>
    <x v="8"/>
    <x v="4"/>
  </r>
  <r>
    <n v="33"/>
    <x v="9"/>
    <x v="8"/>
  </r>
  <r>
    <n v="34"/>
    <x v="10"/>
    <x v="3"/>
  </r>
  <r>
    <n v="35"/>
    <x v="5"/>
    <x v="6"/>
  </r>
  <r>
    <n v="36"/>
    <x v="11"/>
    <x v="8"/>
  </r>
  <r>
    <n v="37"/>
    <x v="0"/>
    <x v="1"/>
  </r>
  <r>
    <n v="38"/>
    <x v="12"/>
    <x v="9"/>
  </r>
  <r>
    <n v="39"/>
    <x v="0"/>
    <x v="0"/>
  </r>
  <r>
    <n v="40"/>
    <x v="0"/>
    <x v="2"/>
  </r>
  <r>
    <n v="41"/>
    <x v="0"/>
    <x v="0"/>
  </r>
  <r>
    <n v="42"/>
    <x v="0"/>
    <x v="0"/>
  </r>
  <r>
    <n v="43"/>
    <x v="13"/>
    <x v="3"/>
  </r>
  <r>
    <n v="44"/>
    <x v="14"/>
    <x v="10"/>
  </r>
  <r>
    <n v="45"/>
    <x v="10"/>
    <x v="3"/>
  </r>
  <r>
    <n v="46"/>
    <x v="0"/>
    <x v="2"/>
  </r>
  <r>
    <n v="47"/>
    <x v="15"/>
    <x v="11"/>
  </r>
  <r>
    <n v="48"/>
    <x v="0"/>
    <x v="2"/>
  </r>
  <r>
    <n v="49"/>
    <x v="16"/>
    <x v="4"/>
  </r>
  <r>
    <n v="50"/>
    <x v="0"/>
    <x v="2"/>
  </r>
  <r>
    <n v="51"/>
    <x v="0"/>
    <x v="2"/>
  </r>
  <r>
    <n v="52"/>
    <x v="11"/>
    <x v="6"/>
  </r>
  <r>
    <n v="53"/>
    <x v="13"/>
    <x v="3"/>
  </r>
  <r>
    <n v="54"/>
    <x v="0"/>
    <x v="2"/>
  </r>
  <r>
    <n v="55"/>
    <x v="17"/>
    <x v="8"/>
  </r>
  <r>
    <n v="56"/>
    <x v="1"/>
    <x v="3"/>
  </r>
  <r>
    <n v="57"/>
    <x v="0"/>
    <x v="6"/>
  </r>
  <r>
    <n v="58"/>
    <x v="0"/>
    <x v="2"/>
  </r>
  <r>
    <n v="59"/>
    <x v="0"/>
    <x v="2"/>
  </r>
  <r>
    <n v="60"/>
    <x v="0"/>
    <x v="2"/>
  </r>
  <r>
    <n v="61"/>
    <x v="12"/>
    <x v="9"/>
  </r>
  <r>
    <n v="62"/>
    <x v="18"/>
    <x v="9"/>
  </r>
  <r>
    <n v="63"/>
    <x v="14"/>
    <x v="0"/>
  </r>
  <r>
    <n v="64"/>
    <x v="1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0"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J24:K33"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8">
        <item x="5"/>
        <item x="0"/>
        <item x="6"/>
        <item x="4"/>
        <item x="3"/>
        <item x="2"/>
        <item x="1"/>
        <item t="default"/>
      </items>
    </pivotField>
  </pivotFields>
  <rowFields count="1">
    <field x="2"/>
  </rowFields>
  <rowItems count="8">
    <i>
      <x/>
    </i>
    <i>
      <x v="1"/>
    </i>
    <i>
      <x v="2"/>
    </i>
    <i>
      <x v="3"/>
    </i>
    <i>
      <x v="4"/>
    </i>
    <i>
      <x v="5"/>
    </i>
    <i>
      <x v="6"/>
    </i>
    <i t="grand">
      <x/>
    </i>
  </rowItems>
  <colItems count="1">
    <i/>
  </colItems>
  <dataFields count="1">
    <dataField name="Count of Stock" fld="2" subtotal="count" baseField="0" baseItem="0"/>
  </dataFields>
  <formats count="1">
    <format dxfId="0">
      <pivotArea dataOnly="0" labelOnly="1" outline="0" fieldPosition="0">
        <references count="1">
          <reference field="2" count="1">
            <x v="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5" cacheId="2"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F59:G73"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13">
        <item x="5"/>
        <item x="11"/>
        <item x="10"/>
        <item x="2"/>
        <item x="6"/>
        <item x="1"/>
        <item x="3"/>
        <item x="8"/>
        <item x="9"/>
        <item x="7"/>
        <item x="0"/>
        <item x="4"/>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Stock" fld="2" subtotal="count" baseField="0" baseItem="0"/>
  </dataFields>
  <formats count="1">
    <format dxfId="1">
      <pivotArea dataOnly="0" labelOnly="1" outline="0" fieldPosition="0">
        <references count="1">
          <reference field="2" count="1">
            <x v="6"/>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dataOnRows="1" applyNumberFormats="0" applyBorderFormats="0" applyFontFormats="0" applyPatternFormats="0" applyAlignmentFormats="0" applyWidthHeightFormats="1" dataCaption="Data" updatedVersion="1" showMemberPropertyTips="0" useAutoFormatting="1" itemPrintTitles="1" createdVersion="1" indent="0" compact="0" compactData="0" gridDropZones="1">
  <location ref="F24:G32" firstHeaderRow="2" firstDataRow="2" firstDataCol="1"/>
  <pivotFields count="3">
    <pivotField compact="0" outline="0" subtotalTop="0" showAll="0" includeNewItemsInFilter="1"/>
    <pivotField compact="0" outline="0" subtotalTop="0" showAll="0" includeNewItemsInFilter="1"/>
    <pivotField axis="axisRow" dataField="1" compact="0" outline="0" subtotalTop="0" showAll="0" includeNewItemsInFilter="1">
      <items count="7">
        <item x="5"/>
        <item x="4"/>
        <item x="2"/>
        <item x="0"/>
        <item x="1"/>
        <item x="3"/>
        <item t="default"/>
      </items>
    </pivotField>
  </pivotFields>
  <rowFields count="1">
    <field x="2"/>
  </rowFields>
  <rowItems count="7">
    <i>
      <x/>
    </i>
    <i>
      <x v="1"/>
    </i>
    <i>
      <x v="2"/>
    </i>
    <i>
      <x v="3"/>
    </i>
    <i>
      <x v="4"/>
    </i>
    <i>
      <x v="5"/>
    </i>
    <i t="grand">
      <x/>
    </i>
  </rowItems>
  <colItems count="1">
    <i/>
  </colItems>
  <dataFields count="1">
    <dataField name="Count of Stock" fld="2" subtotal="count" baseField="0" baseItem="0"/>
  </dataFields>
  <formats count="1">
    <format dxfId="2">
      <pivotArea dataOnly="0" labelOnly="1" outline="0" fieldPosition="0">
        <references count="1">
          <reference field="2" count="1">
            <x v="3"/>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P79"/>
  <sheetViews>
    <sheetView tabSelected="1" topLeftCell="AK1" zoomScale="85" zoomScaleNormal="85" workbookViewId="0">
      <pane ySplit="6" topLeftCell="A40" activePane="bottomLeft" state="frozen"/>
      <selection activeCell="AL1" sqref="AL1"/>
      <selection pane="bottomLeft" activeCell="BF69" sqref="BF69"/>
    </sheetView>
  </sheetViews>
  <sheetFormatPr defaultColWidth="8.88671875" defaultRowHeight="12"/>
  <cols>
    <col min="3" max="3" width="10.33203125" bestFit="1" customWidth="1"/>
    <col min="53" max="56" width="10.109375" customWidth="1"/>
    <col min="57" max="57" width="10.6640625" customWidth="1"/>
    <col min="58" max="58" width="9.21875" bestFit="1" customWidth="1"/>
    <col min="59" max="59" width="8.88671875" style="82"/>
  </cols>
  <sheetData>
    <row r="1" spans="1:68" s="56" customFormat="1" ht="15">
      <c r="A1" s="63" t="s">
        <v>256</v>
      </c>
      <c r="BG1" s="80"/>
    </row>
    <row r="2" spans="1:68" s="56" customFormat="1" ht="15">
      <c r="A2" s="63" t="s">
        <v>226</v>
      </c>
      <c r="BA2" s="64" t="s">
        <v>215</v>
      </c>
      <c r="BB2" s="64"/>
      <c r="BC2" s="64"/>
      <c r="BD2" s="64"/>
      <c r="BE2" s="64"/>
      <c r="BF2" s="64"/>
      <c r="BG2" s="81"/>
      <c r="BH2" s="64" t="s">
        <v>218</v>
      </c>
      <c r="BI2" s="64"/>
      <c r="BJ2" s="64"/>
      <c r="BK2" s="64" t="s">
        <v>227</v>
      </c>
    </row>
    <row r="3" spans="1:68" s="56" customFormat="1" ht="15">
      <c r="A3" s="56" t="s">
        <v>255</v>
      </c>
      <c r="BA3" s="64"/>
      <c r="BB3" s="64"/>
      <c r="BC3" s="64"/>
      <c r="BD3" s="64"/>
      <c r="BE3" s="64"/>
      <c r="BF3" s="64"/>
      <c r="BG3" s="81"/>
      <c r="BH3" s="64" t="s">
        <v>219</v>
      </c>
      <c r="BI3" s="64" t="s">
        <v>220</v>
      </c>
      <c r="BJ3" s="64" t="s">
        <v>221</v>
      </c>
      <c r="BK3" s="64" t="s">
        <v>228</v>
      </c>
    </row>
    <row r="5" spans="1:68">
      <c r="A5" t="s">
        <v>177</v>
      </c>
      <c r="C5" t="s">
        <v>175</v>
      </c>
      <c r="BA5" t="s">
        <v>177</v>
      </c>
      <c r="BB5" s="44" t="s">
        <v>196</v>
      </c>
      <c r="BC5" s="44" t="s">
        <v>2</v>
      </c>
      <c r="BD5" s="44" t="s">
        <v>4</v>
      </c>
      <c r="BE5" t="s">
        <v>8</v>
      </c>
      <c r="BF5" t="s">
        <v>240</v>
      </c>
      <c r="BG5" s="82" t="s">
        <v>241</v>
      </c>
      <c r="BH5" t="s">
        <v>214</v>
      </c>
      <c r="BI5" t="s">
        <v>216</v>
      </c>
      <c r="BJ5" t="s">
        <v>217</v>
      </c>
      <c r="BK5" t="s">
        <v>222</v>
      </c>
      <c r="BP5" s="44" t="s">
        <v>253</v>
      </c>
    </row>
    <row r="6" spans="1:68">
      <c r="A6" t="s">
        <v>7</v>
      </c>
      <c r="C6" t="s">
        <v>176</v>
      </c>
      <c r="D6">
        <v>1974</v>
      </c>
      <c r="E6">
        <f>D6+1</f>
        <v>1975</v>
      </c>
      <c r="F6">
        <f t="shared" ref="F6:AL6" si="0">E6+1</f>
        <v>1976</v>
      </c>
      <c r="G6">
        <f t="shared" si="0"/>
        <v>1977</v>
      </c>
      <c r="H6">
        <f t="shared" si="0"/>
        <v>1978</v>
      </c>
      <c r="I6">
        <f t="shared" si="0"/>
        <v>1979</v>
      </c>
      <c r="J6">
        <f t="shared" si="0"/>
        <v>1980</v>
      </c>
      <c r="K6">
        <f t="shared" si="0"/>
        <v>1981</v>
      </c>
      <c r="L6">
        <f t="shared" si="0"/>
        <v>1982</v>
      </c>
      <c r="M6">
        <f t="shared" si="0"/>
        <v>1983</v>
      </c>
      <c r="N6">
        <f t="shared" si="0"/>
        <v>1984</v>
      </c>
      <c r="O6">
        <f t="shared" si="0"/>
        <v>1985</v>
      </c>
      <c r="P6">
        <f t="shared" si="0"/>
        <v>1986</v>
      </c>
      <c r="Q6">
        <f t="shared" si="0"/>
        <v>1987</v>
      </c>
      <c r="R6">
        <f t="shared" si="0"/>
        <v>1988</v>
      </c>
      <c r="S6">
        <f t="shared" si="0"/>
        <v>1989</v>
      </c>
      <c r="T6">
        <f t="shared" si="0"/>
        <v>1990</v>
      </c>
      <c r="U6">
        <f t="shared" si="0"/>
        <v>1991</v>
      </c>
      <c r="V6">
        <f t="shared" si="0"/>
        <v>1992</v>
      </c>
      <c r="W6">
        <f t="shared" si="0"/>
        <v>1993</v>
      </c>
      <c r="X6">
        <f t="shared" si="0"/>
        <v>1994</v>
      </c>
      <c r="Y6">
        <f t="shared" si="0"/>
        <v>1995</v>
      </c>
      <c r="Z6">
        <f t="shared" si="0"/>
        <v>1996</v>
      </c>
      <c r="AA6">
        <f t="shared" si="0"/>
        <v>1997</v>
      </c>
      <c r="AB6">
        <f t="shared" si="0"/>
        <v>1998</v>
      </c>
      <c r="AC6">
        <f t="shared" si="0"/>
        <v>1999</v>
      </c>
      <c r="AD6">
        <f t="shared" si="0"/>
        <v>2000</v>
      </c>
      <c r="AE6">
        <f t="shared" si="0"/>
        <v>2001</v>
      </c>
      <c r="AF6">
        <f t="shared" si="0"/>
        <v>2002</v>
      </c>
      <c r="AG6">
        <f t="shared" si="0"/>
        <v>2003</v>
      </c>
      <c r="AH6">
        <f t="shared" si="0"/>
        <v>2004</v>
      </c>
      <c r="AI6">
        <f t="shared" si="0"/>
        <v>2005</v>
      </c>
      <c r="AJ6">
        <f t="shared" si="0"/>
        <v>2006</v>
      </c>
      <c r="AK6">
        <f>AJ6+1</f>
        <v>2007</v>
      </c>
      <c r="AL6">
        <f t="shared" si="0"/>
        <v>2008</v>
      </c>
      <c r="AM6">
        <v>2009</v>
      </c>
      <c r="AN6">
        <v>2010</v>
      </c>
      <c r="AO6">
        <v>2011</v>
      </c>
      <c r="AP6">
        <v>2012</v>
      </c>
      <c r="AQ6">
        <v>2013</v>
      </c>
      <c r="AR6">
        <v>2014</v>
      </c>
      <c r="AS6">
        <v>2015</v>
      </c>
      <c r="AT6">
        <v>2016</v>
      </c>
      <c r="AU6">
        <v>2017</v>
      </c>
      <c r="AV6">
        <v>2018</v>
      </c>
      <c r="AW6">
        <v>2019</v>
      </c>
      <c r="AX6">
        <v>2020</v>
      </c>
      <c r="AY6">
        <v>2021</v>
      </c>
      <c r="BA6" t="s">
        <v>229</v>
      </c>
      <c r="BB6" s="44" t="s">
        <v>9</v>
      </c>
      <c r="BC6" s="44" t="s">
        <v>12</v>
      </c>
      <c r="BD6" s="44" t="s">
        <v>9</v>
      </c>
      <c r="BF6" t="s">
        <v>239</v>
      </c>
      <c r="BG6" s="82" t="s">
        <v>242</v>
      </c>
      <c r="BK6" t="s">
        <v>175</v>
      </c>
    </row>
    <row r="7" spans="1:68">
      <c r="BA7">
        <v>1969</v>
      </c>
      <c r="BE7" s="8"/>
      <c r="BF7" s="8"/>
      <c r="BH7" s="8"/>
      <c r="BI7" s="8"/>
      <c r="BJ7" s="8"/>
      <c r="BK7" s="8"/>
    </row>
    <row r="8" spans="1:68">
      <c r="A8">
        <v>1970</v>
      </c>
      <c r="D8" s="8"/>
      <c r="E8" s="8">
        <f>E$61*E$67</f>
        <v>27695.709009647624</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BA8">
        <f>BA7+1</f>
        <v>1970</v>
      </c>
      <c r="BE8" s="8"/>
      <c r="BF8" s="8"/>
      <c r="BH8" s="8"/>
      <c r="BI8" s="8"/>
      <c r="BJ8" s="8"/>
      <c r="BK8" s="8"/>
    </row>
    <row r="9" spans="1:68">
      <c r="A9">
        <f>A8+1</f>
        <v>1971</v>
      </c>
      <c r="D9" s="8"/>
      <c r="E9" s="8">
        <f>E$61*E$66</f>
        <v>68680.924207804084</v>
      </c>
      <c r="F9" s="8">
        <f>F$61*F$67</f>
        <v>45033.306814306947</v>
      </c>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BA9">
        <f t="shared" ref="BA9:BA44" si="1">BA8+1</f>
        <v>1971</v>
      </c>
      <c r="BE9" s="8"/>
      <c r="BF9" s="8"/>
      <c r="BH9" s="8"/>
      <c r="BI9" s="8"/>
      <c r="BJ9" s="8"/>
      <c r="BK9" s="8"/>
    </row>
    <row r="10" spans="1:68">
      <c r="A10">
        <f t="shared" ref="A10:A42" si="2">A9+1</f>
        <v>1972</v>
      </c>
      <c r="D10" s="8"/>
      <c r="E10" s="8">
        <f>E$61*E$65</f>
        <v>6481.544936714894</v>
      </c>
      <c r="F10" s="8">
        <f>F$61*F$66</f>
        <v>38599.977269405957</v>
      </c>
      <c r="G10" s="8">
        <f>G$61*G$67</f>
        <v>4896.2996531793688</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BA10">
        <f t="shared" si="1"/>
        <v>1972</v>
      </c>
      <c r="BE10" s="8">
        <f>Escapement!$D10</f>
        <v>32500</v>
      </c>
      <c r="BF10" s="8">
        <f>SUM(BD10:BE10)</f>
        <v>32500</v>
      </c>
      <c r="BG10" s="82">
        <f>BD10/BF10</f>
        <v>0</v>
      </c>
      <c r="BH10" s="8">
        <f>E10</f>
        <v>6481.544936714894</v>
      </c>
      <c r="BI10" s="8">
        <f>F10</f>
        <v>38599.977269405957</v>
      </c>
      <c r="BJ10" s="8">
        <f>G10</f>
        <v>4896.2996531793688</v>
      </c>
      <c r="BK10" s="8">
        <f>SUM(BH10:BJ10)</f>
        <v>49977.821859300217</v>
      </c>
    </row>
    <row r="11" spans="1:68">
      <c r="A11">
        <f t="shared" si="2"/>
        <v>1973</v>
      </c>
      <c r="D11" s="8"/>
      <c r="E11" s="8"/>
      <c r="F11" s="8">
        <f>F$61*F$65</f>
        <v>0</v>
      </c>
      <c r="G11" s="8">
        <f>G$61*G$66</f>
        <v>66288.364535351458</v>
      </c>
      <c r="H11" s="8">
        <f>H$61*H$67</f>
        <v>12527.938211566881</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BA11">
        <f t="shared" si="1"/>
        <v>1973</v>
      </c>
      <c r="BE11" s="8">
        <f>Escapement!$D11</f>
        <v>85000</v>
      </c>
      <c r="BF11" s="8">
        <f t="shared" ref="BF11:BF44" si="3">SUM(BD11:BE11)</f>
        <v>85000</v>
      </c>
      <c r="BG11" s="82">
        <f t="shared" ref="BG11:BG44" si="4">BD11/BF11</f>
        <v>0</v>
      </c>
      <c r="BH11" s="8">
        <f>F11</f>
        <v>0</v>
      </c>
      <c r="BI11" s="8">
        <f>G11</f>
        <v>66288.364535351458</v>
      </c>
      <c r="BJ11" s="8">
        <f>H11</f>
        <v>12527.938211566881</v>
      </c>
      <c r="BK11" s="8">
        <f t="shared" ref="BK11:BK60" si="5">SUM(BH11:BJ11)</f>
        <v>78816.302746918343</v>
      </c>
    </row>
    <row r="12" spans="1:68">
      <c r="A12">
        <f t="shared" si="2"/>
        <v>1974</v>
      </c>
      <c r="D12" s="8"/>
      <c r="E12" s="8"/>
      <c r="F12" s="8"/>
      <c r="G12" s="8">
        <f>G$61*G$65</f>
        <v>2259.8306091597092</v>
      </c>
      <c r="H12" s="8">
        <f>H$61*H$66</f>
        <v>17725.117818985455</v>
      </c>
      <c r="I12" s="8">
        <f>I$61*I$67</f>
        <v>22037.133684406319</v>
      </c>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BA12">
        <f t="shared" si="1"/>
        <v>1974</v>
      </c>
      <c r="BE12" s="8">
        <f>Escapement!$D12</f>
        <v>55000</v>
      </c>
      <c r="BF12" s="8">
        <f t="shared" si="3"/>
        <v>55000</v>
      </c>
      <c r="BG12" s="82">
        <f t="shared" si="4"/>
        <v>0</v>
      </c>
      <c r="BH12" s="8">
        <f>G12</f>
        <v>2259.8306091597092</v>
      </c>
      <c r="BI12" s="8">
        <f>H12</f>
        <v>17725.117818985455</v>
      </c>
      <c r="BJ12" s="8">
        <f>I12</f>
        <v>22037.133684406319</v>
      </c>
      <c r="BK12" s="8">
        <f t="shared" si="5"/>
        <v>42022.082112551478</v>
      </c>
    </row>
    <row r="13" spans="1:68">
      <c r="A13">
        <f t="shared" si="2"/>
        <v>1975</v>
      </c>
      <c r="D13" s="8"/>
      <c r="E13" s="8"/>
      <c r="F13" s="8"/>
      <c r="G13" s="8"/>
      <c r="H13" s="8">
        <f>H$61*H$65</f>
        <v>601.77869138530866</v>
      </c>
      <c r="I13" s="8">
        <f>I$61*I$66</f>
        <v>41367.952705815369</v>
      </c>
      <c r="J13" s="8">
        <f>J$61*J$67</f>
        <v>10831.464171034795</v>
      </c>
      <c r="K13" s="8"/>
      <c r="L13" s="8"/>
      <c r="M13" s="8"/>
      <c r="N13" s="8"/>
      <c r="O13" s="8"/>
      <c r="P13" s="8"/>
      <c r="Q13" s="8"/>
      <c r="R13" s="8"/>
      <c r="S13" s="8"/>
      <c r="T13" s="8"/>
      <c r="U13" s="8"/>
      <c r="V13" s="8"/>
      <c r="W13" s="8"/>
      <c r="X13" s="8"/>
      <c r="Y13" s="8"/>
      <c r="Z13" s="8"/>
      <c r="AA13" s="8"/>
      <c r="AB13" s="8"/>
      <c r="AC13" s="8"/>
      <c r="AD13" s="8"/>
      <c r="AE13" s="8"/>
      <c r="AF13" s="8"/>
      <c r="AG13" s="8"/>
      <c r="AH13" s="8"/>
      <c r="AI13" s="8"/>
      <c r="AJ13" s="8"/>
      <c r="BA13">
        <f t="shared" si="1"/>
        <v>1975</v>
      </c>
      <c r="BB13" s="8">
        <f>'Combined Catch'!$M11</f>
        <v>0</v>
      </c>
      <c r="BC13" s="8">
        <f>'Combined Catch'!$G11</f>
        <v>58508.99207627232</v>
      </c>
      <c r="BD13" s="8">
        <f>'Combined Catch'!$N11</f>
        <v>58508.99207627232</v>
      </c>
      <c r="BE13" s="8">
        <f>Escapement!$D13</f>
        <v>45000</v>
      </c>
      <c r="BF13" s="8">
        <f t="shared" si="3"/>
        <v>103508.99207627232</v>
      </c>
      <c r="BG13" s="82">
        <f t="shared" si="4"/>
        <v>0.56525516192022229</v>
      </c>
      <c r="BH13" s="8">
        <f>H13</f>
        <v>601.77869138530866</v>
      </c>
      <c r="BI13" s="8">
        <f>I13</f>
        <v>41367.952705815369</v>
      </c>
      <c r="BJ13" s="8">
        <f>J13</f>
        <v>10831.464171034795</v>
      </c>
      <c r="BK13" s="8">
        <f t="shared" si="5"/>
        <v>52801.195568235467</v>
      </c>
    </row>
    <row r="14" spans="1:68">
      <c r="A14">
        <f t="shared" si="2"/>
        <v>1976</v>
      </c>
      <c r="D14" s="8"/>
      <c r="E14" s="8"/>
      <c r="F14" s="8"/>
      <c r="G14" s="8"/>
      <c r="H14" s="8"/>
      <c r="I14" s="8">
        <f>I$61*I$65</f>
        <v>3479.5474238536294</v>
      </c>
      <c r="J14" s="8">
        <f>J$61*J$66</f>
        <v>55962.564883679777</v>
      </c>
      <c r="K14" s="8">
        <f>K$61*K$67</f>
        <v>25051.992120134648</v>
      </c>
      <c r="L14" s="8"/>
      <c r="M14" s="8"/>
      <c r="N14" s="8"/>
      <c r="O14" s="8"/>
      <c r="P14" s="8"/>
      <c r="Q14" s="8"/>
      <c r="R14" s="8"/>
      <c r="S14" s="8"/>
      <c r="T14" s="8"/>
      <c r="U14" s="8"/>
      <c r="V14" s="8"/>
      <c r="W14" s="8"/>
      <c r="X14" s="8"/>
      <c r="Y14" s="8"/>
      <c r="Z14" s="8"/>
      <c r="AA14" s="8"/>
      <c r="AB14" s="8"/>
      <c r="AC14" s="8"/>
      <c r="AD14" s="8"/>
      <c r="AE14" s="8"/>
      <c r="AF14" s="8"/>
      <c r="AG14" s="8"/>
      <c r="AH14" s="8"/>
      <c r="AI14" s="8"/>
      <c r="AJ14" s="8"/>
      <c r="BA14">
        <f t="shared" si="1"/>
        <v>1976</v>
      </c>
      <c r="BB14" s="8">
        <f>'Combined Catch'!$M12</f>
        <v>2090</v>
      </c>
      <c r="BC14" s="8">
        <f>'Combined Catch'!$G12</f>
        <v>51543.284083712904</v>
      </c>
      <c r="BD14" s="8">
        <f>'Combined Catch'!$N12</f>
        <v>53633.284083712904</v>
      </c>
      <c r="BE14" s="8">
        <f>Escapement!$D14</f>
        <v>30000</v>
      </c>
      <c r="BF14" s="8">
        <f t="shared" si="3"/>
        <v>83633.284083712904</v>
      </c>
      <c r="BG14" s="82">
        <f t="shared" si="4"/>
        <v>0.6412911399010538</v>
      </c>
      <c r="BH14" s="8">
        <f>I14</f>
        <v>3479.5474238536294</v>
      </c>
      <c r="BI14" s="8">
        <f>J14</f>
        <v>55962.564883679777</v>
      </c>
      <c r="BJ14" s="8">
        <f>K14</f>
        <v>25051.992120134648</v>
      </c>
      <c r="BK14" s="8">
        <f t="shared" si="5"/>
        <v>84494.104427668048</v>
      </c>
    </row>
    <row r="15" spans="1:68">
      <c r="A15">
        <f t="shared" si="2"/>
        <v>1977</v>
      </c>
      <c r="D15" s="8"/>
      <c r="E15" s="8"/>
      <c r="F15" s="8"/>
      <c r="G15" s="8"/>
      <c r="H15" s="8"/>
      <c r="I15" s="8"/>
      <c r="J15" s="8">
        <f>J$61*J$65</f>
        <v>4152.0612655633377</v>
      </c>
      <c r="K15" s="8">
        <f>K$61*K$66</f>
        <v>57505.709184854531</v>
      </c>
      <c r="L15" s="8">
        <f>L$61*L$67</f>
        <v>11145.233782108431</v>
      </c>
      <c r="M15" s="8"/>
      <c r="N15" s="8"/>
      <c r="O15" s="8"/>
      <c r="P15" s="8"/>
      <c r="Q15" s="8"/>
      <c r="R15" s="8"/>
      <c r="S15" s="8"/>
      <c r="T15" s="8"/>
      <c r="U15" s="8"/>
      <c r="V15" s="8"/>
      <c r="W15" s="8"/>
      <c r="X15" s="8"/>
      <c r="Y15" s="8"/>
      <c r="Z15" s="8"/>
      <c r="AA15" s="8"/>
      <c r="AB15" s="8"/>
      <c r="AC15" s="8"/>
      <c r="AD15" s="8"/>
      <c r="AE15" s="8"/>
      <c r="AF15" s="8"/>
      <c r="AG15" s="8"/>
      <c r="AH15" s="8"/>
      <c r="AI15" s="8"/>
      <c r="AJ15" s="8"/>
      <c r="BA15">
        <f t="shared" si="1"/>
        <v>1977</v>
      </c>
      <c r="BB15" s="8">
        <f>'Combined Catch'!$M13</f>
        <v>3875.2820512820513</v>
      </c>
      <c r="BC15" s="8">
        <f>'Combined Catch'!$G13</f>
        <v>39569.212746408477</v>
      </c>
      <c r="BD15" s="60">
        <f>'Combined Catch'!$N13</f>
        <v>43444.494797690531</v>
      </c>
      <c r="BE15" s="8">
        <f>Escapement!$D15</f>
        <v>30000</v>
      </c>
      <c r="BF15" s="8">
        <f t="shared" si="3"/>
        <v>73444.494797690539</v>
      </c>
      <c r="BG15" s="82">
        <f t="shared" si="4"/>
        <v>0.59152826794387103</v>
      </c>
      <c r="BH15" s="8">
        <f>J15</f>
        <v>4152.0612655633377</v>
      </c>
      <c r="BI15" s="8">
        <f>K15</f>
        <v>57505.709184854531</v>
      </c>
      <c r="BJ15" s="8">
        <f>L15</f>
        <v>11145.233782108431</v>
      </c>
      <c r="BK15" s="8">
        <f t="shared" si="5"/>
        <v>72803.004232526306</v>
      </c>
    </row>
    <row r="16" spans="1:68">
      <c r="A16">
        <f t="shared" si="2"/>
        <v>1978</v>
      </c>
      <c r="D16" s="8"/>
      <c r="E16" s="8"/>
      <c r="F16" s="8"/>
      <c r="G16" s="8"/>
      <c r="H16" s="8"/>
      <c r="I16" s="8"/>
      <c r="J16" s="8"/>
      <c r="K16" s="8">
        <f>K$61*K$65</f>
        <v>3416.1807436547251</v>
      </c>
      <c r="L16" s="8">
        <f>L$61*L$66</f>
        <v>22290.467564216862</v>
      </c>
      <c r="M16" s="8">
        <f>M$61*M$67</f>
        <v>25101.227888101894</v>
      </c>
      <c r="N16" s="8"/>
      <c r="O16" s="8"/>
      <c r="P16" s="8"/>
      <c r="Q16" s="8"/>
      <c r="R16" s="8"/>
      <c r="S16" s="8"/>
      <c r="T16" s="8"/>
      <c r="U16" s="8"/>
      <c r="V16" s="8"/>
      <c r="W16" s="8"/>
      <c r="X16" s="8"/>
      <c r="Y16" s="8"/>
      <c r="Z16" s="8"/>
      <c r="AA16" s="8"/>
      <c r="AB16" s="8"/>
      <c r="AC16" s="8"/>
      <c r="AD16" s="8"/>
      <c r="AE16" s="8"/>
      <c r="AF16" s="8"/>
      <c r="AG16" s="8"/>
      <c r="AH16" s="8"/>
      <c r="AI16" s="8"/>
      <c r="AJ16" s="8"/>
      <c r="BA16">
        <f t="shared" si="1"/>
        <v>1978</v>
      </c>
      <c r="BB16" s="8">
        <f>'Combined Catch'!$M14</f>
        <v>4355.4102564102559</v>
      </c>
      <c r="BC16" s="8">
        <f>'Combined Catch'!$G14</f>
        <v>6718.25308057659</v>
      </c>
      <c r="BD16" s="60">
        <f>'Combined Catch'!$N14</f>
        <v>11073.663336986847</v>
      </c>
      <c r="BE16" s="8">
        <f>Escapement!$D16</f>
        <v>20000</v>
      </c>
      <c r="BF16" s="8">
        <f t="shared" si="3"/>
        <v>31073.663336986847</v>
      </c>
      <c r="BG16" s="82">
        <f t="shared" si="4"/>
        <v>0.35636813133023532</v>
      </c>
      <c r="BH16" s="8">
        <f>K16</f>
        <v>3416.1807436547251</v>
      </c>
      <c r="BI16" s="8">
        <f>L16</f>
        <v>22290.467564216862</v>
      </c>
      <c r="BJ16" s="8">
        <f>M16</f>
        <v>25101.227888101894</v>
      </c>
      <c r="BK16" s="8">
        <f t="shared" si="5"/>
        <v>50807.876195973484</v>
      </c>
    </row>
    <row r="17" spans="1:63">
      <c r="A17">
        <f t="shared" si="2"/>
        <v>1979</v>
      </c>
      <c r="D17" s="8"/>
      <c r="E17" s="8"/>
      <c r="F17" s="8"/>
      <c r="G17" s="8"/>
      <c r="H17" s="8"/>
      <c r="I17" s="8"/>
      <c r="J17" s="8"/>
      <c r="K17" s="8"/>
      <c r="L17" s="8">
        <f>L$61*L$65</f>
        <v>619.17965456157947</v>
      </c>
      <c r="M17" s="8">
        <f>M$61*M$66</f>
        <v>35141.719043342651</v>
      </c>
      <c r="N17" s="8">
        <f>N$61*N$67</f>
        <v>23275.254212855409</v>
      </c>
      <c r="O17" s="8"/>
      <c r="P17" s="8"/>
      <c r="Q17" s="8"/>
      <c r="R17" s="8"/>
      <c r="S17" s="8"/>
      <c r="T17" s="8"/>
      <c r="U17" s="8"/>
      <c r="V17" s="8"/>
      <c r="W17" s="8"/>
      <c r="X17" s="8"/>
      <c r="Y17" s="8"/>
      <c r="Z17" s="8"/>
      <c r="AA17" s="8"/>
      <c r="AB17" s="8"/>
      <c r="AC17" s="8"/>
      <c r="AD17" s="8"/>
      <c r="AE17" s="8"/>
      <c r="AF17" s="8"/>
      <c r="AG17" s="8"/>
      <c r="AH17" s="8"/>
      <c r="AI17" s="8"/>
      <c r="AJ17" s="8"/>
      <c r="BA17">
        <f t="shared" si="1"/>
        <v>1979</v>
      </c>
      <c r="BB17" s="8">
        <f>'Combined Catch'!$M15</f>
        <v>2784.0256410256411</v>
      </c>
      <c r="BC17" s="8">
        <f>'Combined Catch'!$G15</f>
        <v>46100.608173049681</v>
      </c>
      <c r="BD17" s="60">
        <f>'Combined Catch'!$N15</f>
        <v>48884.633814075321</v>
      </c>
      <c r="BE17" s="8">
        <f>Escapement!$D17</f>
        <v>18000</v>
      </c>
      <c r="BF17" s="8">
        <f t="shared" si="3"/>
        <v>66884.633814075321</v>
      </c>
      <c r="BG17" s="82">
        <f t="shared" si="4"/>
        <v>0.73087989013984778</v>
      </c>
      <c r="BH17" s="8">
        <f>L17</f>
        <v>619.17965456157947</v>
      </c>
      <c r="BI17" s="8">
        <f>M17</f>
        <v>35141.719043342651</v>
      </c>
      <c r="BJ17" s="8">
        <f>N17</f>
        <v>23275.254212855409</v>
      </c>
      <c r="BK17" s="8">
        <f t="shared" si="5"/>
        <v>59036.152910759643</v>
      </c>
    </row>
    <row r="18" spans="1:63">
      <c r="A18">
        <f t="shared" si="2"/>
        <v>1980</v>
      </c>
      <c r="D18" s="8"/>
      <c r="E18" s="8"/>
      <c r="F18" s="8"/>
      <c r="G18" s="8"/>
      <c r="H18" s="8"/>
      <c r="I18" s="8"/>
      <c r="J18" s="8"/>
      <c r="K18" s="8"/>
      <c r="L18" s="8"/>
      <c r="M18" s="8">
        <f>M$61*M$65</f>
        <v>1255.0613944050947</v>
      </c>
      <c r="N18" s="8">
        <f>N$61*N$66</f>
        <v>42671.299390234919</v>
      </c>
      <c r="O18" s="8">
        <f>O$61*O$67</f>
        <v>42783.164560406018</v>
      </c>
      <c r="P18" s="8"/>
      <c r="Q18" s="8"/>
      <c r="R18" s="8"/>
      <c r="S18" s="8"/>
      <c r="T18" s="8"/>
      <c r="U18" s="8"/>
      <c r="V18" s="8"/>
      <c r="W18" s="8"/>
      <c r="X18" s="8"/>
      <c r="Y18" s="8"/>
      <c r="Z18" s="8"/>
      <c r="AA18" s="8"/>
      <c r="AB18" s="8"/>
      <c r="AC18" s="8"/>
      <c r="AD18" s="8"/>
      <c r="AE18" s="8"/>
      <c r="AF18" s="8"/>
      <c r="AG18" s="8"/>
      <c r="AH18" s="8"/>
      <c r="AI18" s="8"/>
      <c r="AJ18" s="8"/>
      <c r="BA18">
        <f t="shared" si="1"/>
        <v>1980</v>
      </c>
      <c r="BB18" s="8">
        <f>'Combined Catch'!$M16</f>
        <v>5688.2820512820508</v>
      </c>
      <c r="BC18" s="8">
        <f>'Combined Catch'!$G16</f>
        <v>41438.332671846438</v>
      </c>
      <c r="BD18" s="60">
        <f>'Combined Catch'!$N16</f>
        <v>47126.614723128485</v>
      </c>
      <c r="BE18" s="8">
        <f>Escapement!$D18</f>
        <v>24000</v>
      </c>
      <c r="BF18" s="8">
        <f t="shared" si="3"/>
        <v>71126.614723128485</v>
      </c>
      <c r="BG18" s="82">
        <f t="shared" si="4"/>
        <v>0.66257356555736879</v>
      </c>
      <c r="BH18" s="8">
        <f>M18</f>
        <v>1255.0613944050947</v>
      </c>
      <c r="BI18" s="8">
        <f>N18</f>
        <v>42671.299390234919</v>
      </c>
      <c r="BJ18" s="8">
        <f>O18</f>
        <v>42783.164560406018</v>
      </c>
      <c r="BK18" s="8">
        <f t="shared" si="5"/>
        <v>86709.52534504603</v>
      </c>
    </row>
    <row r="19" spans="1:63">
      <c r="A19">
        <f t="shared" si="2"/>
        <v>1981</v>
      </c>
      <c r="D19" s="8"/>
      <c r="E19" s="8"/>
      <c r="F19" s="8"/>
      <c r="G19" s="8"/>
      <c r="H19" s="8"/>
      <c r="I19" s="8"/>
      <c r="J19" s="8"/>
      <c r="K19" s="8"/>
      <c r="L19" s="8"/>
      <c r="M19" s="8"/>
      <c r="N19" s="8">
        <f>N$61*N$65</f>
        <v>2770.8635967685009</v>
      </c>
      <c r="O19" s="8">
        <f>O$61*O$66</f>
        <v>47489.312662050674</v>
      </c>
      <c r="P19" s="8">
        <f>P$61*P$67</f>
        <v>13646.003839086996</v>
      </c>
      <c r="Q19" s="8"/>
      <c r="R19" s="8"/>
      <c r="S19" s="8"/>
      <c r="T19" s="8"/>
      <c r="U19" s="8"/>
      <c r="V19" s="8"/>
      <c r="W19" s="8"/>
      <c r="X19" s="8"/>
      <c r="Y19" s="8"/>
      <c r="Z19" s="8"/>
      <c r="AA19" s="8"/>
      <c r="AB19" s="8"/>
      <c r="AC19" s="8"/>
      <c r="AD19" s="8"/>
      <c r="AE19" s="8"/>
      <c r="AF19" s="8"/>
      <c r="AG19" s="8"/>
      <c r="AH19" s="8"/>
      <c r="AI19" s="8"/>
      <c r="AJ19" s="8"/>
      <c r="BA19">
        <f t="shared" si="1"/>
        <v>1981</v>
      </c>
      <c r="BB19" s="8">
        <f>'Combined Catch'!$M17</f>
        <v>5335</v>
      </c>
      <c r="BC19" s="8">
        <f>'Combined Catch'!$G17</f>
        <v>40638.882048643907</v>
      </c>
      <c r="BD19" s="60">
        <f>'Combined Catch'!$N17</f>
        <v>45973.882048643907</v>
      </c>
      <c r="BE19" s="8">
        <f>Escapement!$D19</f>
        <v>40000</v>
      </c>
      <c r="BF19" s="8">
        <f t="shared" si="3"/>
        <v>85973.882048643907</v>
      </c>
      <c r="BG19" s="82">
        <f t="shared" si="4"/>
        <v>0.53474242354942103</v>
      </c>
      <c r="BH19" s="8">
        <f>N19</f>
        <v>2770.8635967685009</v>
      </c>
      <c r="BI19" s="8">
        <f>O19</f>
        <v>47489.312662050674</v>
      </c>
      <c r="BJ19" s="8">
        <f>P19</f>
        <v>13646.003839086996</v>
      </c>
      <c r="BK19" s="8">
        <f t="shared" si="5"/>
        <v>63906.180097906174</v>
      </c>
    </row>
    <row r="20" spans="1:63">
      <c r="A20">
        <f t="shared" si="2"/>
        <v>1982</v>
      </c>
      <c r="D20" s="8"/>
      <c r="E20" s="8"/>
      <c r="F20" s="8"/>
      <c r="G20" s="8"/>
      <c r="H20" s="8"/>
      <c r="I20" s="8"/>
      <c r="J20" s="8"/>
      <c r="K20" s="8"/>
      <c r="L20" s="8"/>
      <c r="M20" s="8"/>
      <c r="N20" s="8"/>
      <c r="O20" s="8">
        <f>O$61*O$65</f>
        <v>427.83164560406016</v>
      </c>
      <c r="P20" s="8">
        <f>P$61*P$66</f>
        <v>30517.426767412733</v>
      </c>
      <c r="Q20" s="8">
        <f>Q$61*Q$67</f>
        <v>17121.125019325857</v>
      </c>
      <c r="R20" s="8"/>
      <c r="S20" s="8"/>
      <c r="T20" s="8"/>
      <c r="U20" s="8"/>
      <c r="V20" s="8"/>
      <c r="W20" s="8"/>
      <c r="X20" s="8"/>
      <c r="Y20" s="8"/>
      <c r="Z20" s="8"/>
      <c r="AA20" s="8"/>
      <c r="AB20" s="8"/>
      <c r="AC20" s="8"/>
      <c r="AD20" s="8"/>
      <c r="AE20" s="8"/>
      <c r="AF20" s="8"/>
      <c r="AG20" s="8"/>
      <c r="AH20" s="8"/>
      <c r="AI20" s="8"/>
      <c r="AJ20" s="8"/>
      <c r="BA20">
        <f t="shared" si="1"/>
        <v>1982</v>
      </c>
      <c r="BB20" s="8">
        <f>'Combined Catch'!$M18</f>
        <v>2662</v>
      </c>
      <c r="BC20" s="8">
        <f>'Combined Catch'!$G18</f>
        <v>11392.881000886873</v>
      </c>
      <c r="BD20" s="60">
        <f>'Combined Catch'!$N18</f>
        <v>14054.881000886873</v>
      </c>
      <c r="BE20" s="8">
        <f>Escapement!$D20</f>
        <v>20000</v>
      </c>
      <c r="BF20" s="8">
        <f t="shared" si="3"/>
        <v>34054.881000886875</v>
      </c>
      <c r="BG20" s="82">
        <f t="shared" si="4"/>
        <v>0.41271267400760697</v>
      </c>
      <c r="BH20" s="8">
        <f>O20</f>
        <v>427.83164560406016</v>
      </c>
      <c r="BI20" s="8">
        <f>P20</f>
        <v>30517.426767412733</v>
      </c>
      <c r="BJ20" s="8">
        <f>Q20</f>
        <v>17121.125019325857</v>
      </c>
      <c r="BK20" s="8">
        <f t="shared" si="5"/>
        <v>48066.383432342649</v>
      </c>
    </row>
    <row r="21" spans="1:63">
      <c r="A21">
        <f t="shared" si="2"/>
        <v>1983</v>
      </c>
      <c r="D21" s="8"/>
      <c r="E21" s="8"/>
      <c r="F21" s="8"/>
      <c r="G21" s="8"/>
      <c r="H21" s="8"/>
      <c r="I21" s="8"/>
      <c r="J21" s="8"/>
      <c r="K21" s="8"/>
      <c r="L21" s="8"/>
      <c r="M21" s="8"/>
      <c r="N21" s="8"/>
      <c r="O21" s="8"/>
      <c r="P21" s="8">
        <f>P$61*P$65</f>
        <v>0</v>
      </c>
      <c r="Q21" s="8">
        <f>Q$61*Q$66</f>
        <v>48153.164116853965</v>
      </c>
      <c r="R21" s="8">
        <f>R$61*R$67</f>
        <v>15919.860934192906</v>
      </c>
      <c r="S21" s="8"/>
      <c r="T21" s="8"/>
      <c r="U21" s="8"/>
      <c r="V21" s="8"/>
      <c r="W21" s="8"/>
      <c r="X21" s="8"/>
      <c r="Y21" s="8"/>
      <c r="Z21" s="8"/>
      <c r="AA21" s="8"/>
      <c r="AB21" s="8"/>
      <c r="AC21" s="8"/>
      <c r="AD21" s="8"/>
      <c r="AE21" s="8"/>
      <c r="AF21" s="8"/>
      <c r="AG21" s="8"/>
      <c r="AH21" s="8"/>
      <c r="AI21" s="8"/>
      <c r="AJ21" s="8"/>
      <c r="BA21">
        <f t="shared" si="1"/>
        <v>1983</v>
      </c>
      <c r="BB21" s="8">
        <f>'Combined Catch'!$M19</f>
        <v>5601.8974358974356</v>
      </c>
      <c r="BC21" s="8">
        <f>'Combined Catch'!$G19</f>
        <v>31314.464688087231</v>
      </c>
      <c r="BD21" s="60">
        <f>'Combined Catch'!$N19</f>
        <v>36916.362123984669</v>
      </c>
      <c r="BE21" s="8">
        <f>Escapement!$D21</f>
        <v>25000</v>
      </c>
      <c r="BF21" s="8">
        <f t="shared" si="3"/>
        <v>61916.362123984669</v>
      </c>
      <c r="BG21" s="82">
        <f t="shared" si="4"/>
        <v>0.59622950796206908</v>
      </c>
      <c r="BH21" s="8">
        <f>P21</f>
        <v>0</v>
      </c>
      <c r="BI21" s="8">
        <f>Q21</f>
        <v>48153.164116853965</v>
      </c>
      <c r="BJ21" s="8">
        <f>R21</f>
        <v>15919.860934192906</v>
      </c>
      <c r="BK21" s="8">
        <f t="shared" si="5"/>
        <v>64073.025051046869</v>
      </c>
    </row>
    <row r="22" spans="1:63">
      <c r="A22">
        <f t="shared" si="2"/>
        <v>1984</v>
      </c>
      <c r="D22" s="8"/>
      <c r="E22" s="8"/>
      <c r="F22" s="8"/>
      <c r="G22" s="8"/>
      <c r="H22" s="8"/>
      <c r="I22" s="8"/>
      <c r="J22" s="8"/>
      <c r="K22" s="8"/>
      <c r="L22" s="8"/>
      <c r="M22" s="8"/>
      <c r="N22" s="8"/>
      <c r="O22" s="8"/>
      <c r="P22" s="8"/>
      <c r="Q22" s="8">
        <f>Q$61*Q$65</f>
        <v>3566.9010456928868</v>
      </c>
      <c r="R22" s="8">
        <f>R$61*R$66</f>
        <v>58562.345579352477</v>
      </c>
      <c r="S22" s="8">
        <f>S$61*S$67</f>
        <v>3648.2058156609796</v>
      </c>
      <c r="T22" s="8"/>
      <c r="U22" s="8"/>
      <c r="V22" s="8"/>
      <c r="W22" s="8"/>
      <c r="X22" s="8"/>
      <c r="Y22" s="8"/>
      <c r="Z22" s="8"/>
      <c r="AA22" s="8"/>
      <c r="AB22" s="8"/>
      <c r="AC22" s="8"/>
      <c r="AD22" s="8"/>
      <c r="AE22" s="8"/>
      <c r="AF22" s="8"/>
      <c r="AG22" s="8"/>
      <c r="AH22" s="8"/>
      <c r="AI22" s="8"/>
      <c r="AJ22" s="8"/>
      <c r="BA22">
        <f t="shared" si="1"/>
        <v>1984</v>
      </c>
      <c r="BB22" s="8">
        <f>'Combined Catch'!$M20</f>
        <v>7082.9743589743593</v>
      </c>
      <c r="BC22" s="8">
        <f>'Combined Catch'!$G20</f>
        <v>16634.442840884472</v>
      </c>
      <c r="BD22" s="60">
        <f>'Combined Catch'!$N20</f>
        <v>23717.417199858832</v>
      </c>
      <c r="BE22" s="8">
        <f>Escapement!$D22</f>
        <v>45000</v>
      </c>
      <c r="BF22" s="8">
        <f t="shared" si="3"/>
        <v>68717.417199858828</v>
      </c>
      <c r="BG22" s="82">
        <f t="shared" si="4"/>
        <v>0.3451441885669061</v>
      </c>
      <c r="BH22" s="8">
        <f>Q22</f>
        <v>3566.9010456928868</v>
      </c>
      <c r="BI22" s="8">
        <f>R22</f>
        <v>58562.345579352477</v>
      </c>
      <c r="BJ22" s="8">
        <f>S22</f>
        <v>3648.2058156609796</v>
      </c>
      <c r="BK22" s="8">
        <f t="shared" si="5"/>
        <v>65777.452440706344</v>
      </c>
    </row>
    <row r="23" spans="1:63">
      <c r="A23">
        <f t="shared" si="2"/>
        <v>1985</v>
      </c>
      <c r="D23" s="8"/>
      <c r="E23" s="8"/>
      <c r="F23" s="8"/>
      <c r="G23" s="8"/>
      <c r="H23" s="8"/>
      <c r="I23" s="8"/>
      <c r="J23" s="8"/>
      <c r="K23" s="8"/>
      <c r="L23" s="8"/>
      <c r="M23" s="8"/>
      <c r="N23" s="8"/>
      <c r="O23" s="8"/>
      <c r="P23" s="8"/>
      <c r="Q23" s="8"/>
      <c r="R23" s="8">
        <f>R$61*R$65</f>
        <v>2274.2658477418436</v>
      </c>
      <c r="S23" s="8">
        <f>S$61*S$66</f>
        <v>16720.94332177949</v>
      </c>
      <c r="T23" s="8">
        <f>T$61*T$67</f>
        <v>7064.8596142738634</v>
      </c>
      <c r="U23" s="8"/>
      <c r="V23" s="8"/>
      <c r="W23" s="8"/>
      <c r="X23" s="8"/>
      <c r="Y23" s="8"/>
      <c r="Z23" s="8"/>
      <c r="AA23" s="8"/>
      <c r="AB23" s="8"/>
      <c r="AC23" s="8"/>
      <c r="AD23" s="8"/>
      <c r="AE23" s="8"/>
      <c r="AF23" s="8"/>
      <c r="AG23" s="8"/>
      <c r="AH23" s="8"/>
      <c r="AI23" s="8"/>
      <c r="AJ23" s="8"/>
      <c r="BA23">
        <f t="shared" si="1"/>
        <v>1985</v>
      </c>
      <c r="BB23" s="8">
        <f>'Combined Catch'!$M21</f>
        <v>8197.0512820512813</v>
      </c>
      <c r="BC23" s="8">
        <f>'Combined Catch'!$G21</f>
        <v>32931.089231613529</v>
      </c>
      <c r="BD23" s="60">
        <f>'Combined Catch'!$N21</f>
        <v>41128.14051366481</v>
      </c>
      <c r="BE23" s="8">
        <f>Escapement!$D23</f>
        <v>50000</v>
      </c>
      <c r="BF23" s="8">
        <f t="shared" si="3"/>
        <v>91128.14051366481</v>
      </c>
      <c r="BG23" s="82">
        <f t="shared" si="4"/>
        <v>0.45132206453282758</v>
      </c>
      <c r="BH23" s="8">
        <f>R23</f>
        <v>2274.2658477418436</v>
      </c>
      <c r="BI23" s="8">
        <f>S23</f>
        <v>16720.94332177949</v>
      </c>
      <c r="BJ23" s="8">
        <f>T23</f>
        <v>7064.8596142738634</v>
      </c>
      <c r="BK23" s="8">
        <f t="shared" si="5"/>
        <v>26060.068783795199</v>
      </c>
    </row>
    <row r="24" spans="1:63">
      <c r="A24">
        <f t="shared" si="2"/>
        <v>1986</v>
      </c>
      <c r="D24" s="8"/>
      <c r="E24" s="8"/>
      <c r="F24" s="8"/>
      <c r="G24" s="8"/>
      <c r="H24" s="8"/>
      <c r="I24" s="8"/>
      <c r="J24" s="8"/>
      <c r="K24" s="8"/>
      <c r="L24" s="8"/>
      <c r="M24" s="8"/>
      <c r="N24" s="8"/>
      <c r="O24" s="8"/>
      <c r="P24" s="8"/>
      <c r="Q24" s="8"/>
      <c r="R24" s="8"/>
      <c r="S24" s="8">
        <f>S$61*S$65</f>
        <v>9424.531690457532</v>
      </c>
      <c r="T24" s="8">
        <f>T$61*T$66</f>
        <v>28063.192356698957</v>
      </c>
      <c r="U24" s="8">
        <f>U$61*U$67</f>
        <v>8391.1736376081008</v>
      </c>
      <c r="V24" s="8"/>
      <c r="W24" s="8"/>
      <c r="X24" s="8"/>
      <c r="Y24" s="8"/>
      <c r="Z24" s="8"/>
      <c r="AA24" s="8"/>
      <c r="AB24" s="8"/>
      <c r="AC24" s="8"/>
      <c r="AD24" s="8"/>
      <c r="AE24" s="8"/>
      <c r="AF24" s="8"/>
      <c r="AG24" s="8"/>
      <c r="AH24" s="8"/>
      <c r="AI24" s="8"/>
      <c r="AJ24" s="8"/>
      <c r="BA24">
        <f t="shared" si="1"/>
        <v>1986</v>
      </c>
      <c r="BB24" s="8">
        <f>'Combined Catch'!$M22</f>
        <v>4927.4871794871797</v>
      </c>
      <c r="BC24" s="8">
        <f>'Combined Catch'!$G22</f>
        <v>19509.052587723221</v>
      </c>
      <c r="BD24" s="60">
        <f>'Combined Catch'!$N22</f>
        <v>24436.539767210401</v>
      </c>
      <c r="BE24" s="8">
        <f>Escapement!$D24</f>
        <v>19975</v>
      </c>
      <c r="BF24" s="8">
        <f t="shared" si="3"/>
        <v>44411.539767210401</v>
      </c>
      <c r="BG24" s="82">
        <f t="shared" si="4"/>
        <v>0.55022951006198184</v>
      </c>
      <c r="BH24" s="8">
        <f>S24</f>
        <v>9424.531690457532</v>
      </c>
      <c r="BI24" s="8">
        <f>T24</f>
        <v>28063.192356698957</v>
      </c>
      <c r="BJ24" s="8">
        <f>U24</f>
        <v>8391.1736376081008</v>
      </c>
      <c r="BK24" s="8">
        <f t="shared" si="5"/>
        <v>45878.89768476459</v>
      </c>
    </row>
    <row r="25" spans="1:63">
      <c r="A25">
        <f t="shared" si="2"/>
        <v>1987</v>
      </c>
      <c r="D25" s="8"/>
      <c r="E25" s="8"/>
      <c r="F25" s="8"/>
      <c r="G25" s="8"/>
      <c r="H25" s="8"/>
      <c r="I25" s="8"/>
      <c r="J25" s="8"/>
      <c r="K25" s="8"/>
      <c r="L25" s="8"/>
      <c r="M25" s="8"/>
      <c r="N25" s="8"/>
      <c r="O25" s="8"/>
      <c r="P25" s="8"/>
      <c r="Q25" s="8"/>
      <c r="R25" s="8"/>
      <c r="S25" s="8"/>
      <c r="T25" s="8">
        <f>T$61*T$65</f>
        <v>7653.5979154633515</v>
      </c>
      <c r="U25" s="8">
        <f>U$61*U$66</f>
        <v>66290.271737103991</v>
      </c>
      <c r="V25" s="8">
        <f>V$61*V$67</f>
        <v>17355.927054017127</v>
      </c>
      <c r="W25" s="8"/>
      <c r="X25" s="8"/>
      <c r="Y25" s="8"/>
      <c r="Z25" s="8"/>
      <c r="AA25" s="8"/>
      <c r="AB25" s="8"/>
      <c r="AC25" s="8"/>
      <c r="AD25" s="8"/>
      <c r="AE25" s="8"/>
      <c r="AF25" s="8"/>
      <c r="AG25" s="8"/>
      <c r="AH25" s="8"/>
      <c r="AI25" s="8"/>
      <c r="AJ25" s="8"/>
      <c r="BA25">
        <f t="shared" si="1"/>
        <v>1987</v>
      </c>
      <c r="BB25" s="8">
        <f>'Combined Catch'!$M23</f>
        <v>5753.2307692307695</v>
      </c>
      <c r="BC25" s="8">
        <f>'Combined Catch'!$G23</f>
        <v>33734.719830919094</v>
      </c>
      <c r="BD25" s="60">
        <f>'Combined Catch'!$N23</f>
        <v>39487.950600149867</v>
      </c>
      <c r="BE25" s="8">
        <f>Escapement!$D25</f>
        <v>30780</v>
      </c>
      <c r="BF25" s="8">
        <f t="shared" si="3"/>
        <v>70267.950600149867</v>
      </c>
      <c r="BG25" s="82">
        <f t="shared" si="4"/>
        <v>0.56196246315550924</v>
      </c>
      <c r="BH25" s="8">
        <f>T25</f>
        <v>7653.5979154633515</v>
      </c>
      <c r="BI25" s="8">
        <f>U25</f>
        <v>66290.271737103991</v>
      </c>
      <c r="BJ25" s="8">
        <f>V25</f>
        <v>17355.927054017127</v>
      </c>
      <c r="BK25" s="8">
        <f t="shared" si="5"/>
        <v>91299.796706584471</v>
      </c>
    </row>
    <row r="26" spans="1:63">
      <c r="A26">
        <f t="shared" si="2"/>
        <v>1988</v>
      </c>
      <c r="D26" s="8"/>
      <c r="E26" s="8"/>
      <c r="F26" s="8"/>
      <c r="G26" s="8"/>
      <c r="H26" s="8"/>
      <c r="I26" s="8"/>
      <c r="J26" s="8"/>
      <c r="K26" s="8"/>
      <c r="L26" s="8"/>
      <c r="M26" s="8"/>
      <c r="N26" s="8"/>
      <c r="O26" s="8"/>
      <c r="P26" s="8"/>
      <c r="Q26" s="8"/>
      <c r="R26" s="8"/>
      <c r="S26" s="8"/>
      <c r="T26" s="8"/>
      <c r="U26" s="8">
        <f>U$61*U$65</f>
        <v>9440.0703423091127</v>
      </c>
      <c r="V26" s="8">
        <f>V$61*V$66</f>
        <v>48596.595751247965</v>
      </c>
      <c r="W26" s="8">
        <f>W$61*W$67</f>
        <v>7948.5856611949403</v>
      </c>
      <c r="X26" s="8"/>
      <c r="Y26" s="8"/>
      <c r="Z26" s="8"/>
      <c r="AA26" s="8"/>
      <c r="AB26" s="8"/>
      <c r="AC26" s="8"/>
      <c r="AD26" s="8"/>
      <c r="AE26" s="8"/>
      <c r="AF26" s="8"/>
      <c r="AG26" s="8"/>
      <c r="AH26" s="8"/>
      <c r="AI26" s="8"/>
      <c r="AJ26" s="8"/>
      <c r="BA26">
        <f t="shared" si="1"/>
        <v>1988</v>
      </c>
      <c r="BB26" s="8">
        <f>'Combined Catch'!$M24</f>
        <v>7824.9615384615381</v>
      </c>
      <c r="BC26" s="8">
        <f>'Combined Catch'!$G24</f>
        <v>39215.794053793405</v>
      </c>
      <c r="BD26" s="60">
        <f>'Combined Catch'!$N24</f>
        <v>47040.755592254944</v>
      </c>
      <c r="BE26" s="8">
        <f>Escapement!$D26</f>
        <v>30000</v>
      </c>
      <c r="BF26" s="8">
        <f t="shared" si="3"/>
        <v>77040.755592254951</v>
      </c>
      <c r="BG26" s="82">
        <f t="shared" si="4"/>
        <v>0.61059571950750746</v>
      </c>
      <c r="BH26" s="8">
        <f>U26</f>
        <v>9440.0703423091127</v>
      </c>
      <c r="BI26" s="8">
        <f>V26</f>
        <v>48596.595751247965</v>
      </c>
      <c r="BJ26" s="8">
        <f>W26</f>
        <v>7948.5856611949403</v>
      </c>
      <c r="BK26" s="8">
        <f t="shared" si="5"/>
        <v>65985.251754752011</v>
      </c>
    </row>
    <row r="27" spans="1:63">
      <c r="A27">
        <f t="shared" si="2"/>
        <v>1989</v>
      </c>
      <c r="D27" s="8"/>
      <c r="E27" s="8"/>
      <c r="F27" s="8"/>
      <c r="G27" s="8"/>
      <c r="H27" s="8"/>
      <c r="I27" s="8"/>
      <c r="J27" s="8"/>
      <c r="K27" s="8"/>
      <c r="L27" s="8"/>
      <c r="M27" s="8"/>
      <c r="N27" s="8"/>
      <c r="O27" s="8"/>
      <c r="P27" s="8"/>
      <c r="Q27" s="8"/>
      <c r="R27" s="8"/>
      <c r="S27" s="8"/>
      <c r="T27" s="8"/>
      <c r="U27" s="8"/>
      <c r="V27" s="8">
        <f>V$61*V$65</f>
        <v>867.79635270085646</v>
      </c>
      <c r="W27" s="8">
        <f>W$61*W$66</f>
        <v>19711.219855956806</v>
      </c>
      <c r="X27" s="8">
        <f>X$61*X$67</f>
        <v>15054.928078463867</v>
      </c>
      <c r="Y27" s="8"/>
      <c r="Z27" s="8"/>
      <c r="AA27" s="8"/>
      <c r="AB27" s="8"/>
      <c r="AC27" s="8"/>
      <c r="AD27" s="8"/>
      <c r="AE27" s="8"/>
      <c r="AF27" s="8"/>
      <c r="AG27" s="8"/>
      <c r="AH27" s="8"/>
      <c r="AI27" s="8"/>
      <c r="AJ27" s="8"/>
      <c r="BA27">
        <f t="shared" si="1"/>
        <v>1989</v>
      </c>
      <c r="BB27" s="8">
        <f>'Combined Catch'!$M25</f>
        <v>5914.8974358974356</v>
      </c>
      <c r="BC27" s="8">
        <f>'Combined Catch'!$G25</f>
        <v>8878.7833920005687</v>
      </c>
      <c r="BD27" s="60">
        <f>'Combined Catch'!$N25</f>
        <v>14793.680827898004</v>
      </c>
      <c r="BE27" s="8">
        <f>Escapement!$D27</f>
        <v>15000</v>
      </c>
      <c r="BF27" s="8">
        <f t="shared" si="3"/>
        <v>29793.680827898002</v>
      </c>
      <c r="BG27" s="82">
        <f t="shared" si="4"/>
        <v>0.49653753469915668</v>
      </c>
      <c r="BH27" s="8">
        <f>V27</f>
        <v>867.79635270085646</v>
      </c>
      <c r="BI27" s="8">
        <f>W27</f>
        <v>19711.219855956806</v>
      </c>
      <c r="BJ27" s="8">
        <f>X27</f>
        <v>15054.928078463867</v>
      </c>
      <c r="BK27" s="8">
        <f t="shared" si="5"/>
        <v>35633.944287121529</v>
      </c>
    </row>
    <row r="28" spans="1:63">
      <c r="A28">
        <f t="shared" si="2"/>
        <v>1990</v>
      </c>
      <c r="D28" s="8"/>
      <c r="E28" s="8"/>
      <c r="F28" s="8"/>
      <c r="G28" s="8"/>
      <c r="H28" s="8"/>
      <c r="I28" s="8"/>
      <c r="J28" s="8"/>
      <c r="K28" s="8"/>
      <c r="L28" s="8"/>
      <c r="M28" s="8"/>
      <c r="N28" s="8"/>
      <c r="O28" s="8"/>
      <c r="P28" s="8"/>
      <c r="Q28" s="8"/>
      <c r="R28" s="8"/>
      <c r="S28" s="8"/>
      <c r="T28" s="8"/>
      <c r="U28" s="8"/>
      <c r="V28" s="8"/>
      <c r="W28" s="8">
        <f>W$61*W$65</f>
        <v>1860.1840136468907</v>
      </c>
      <c r="X28" s="8">
        <f>X$61*X$66</f>
        <v>37333.811311735546</v>
      </c>
      <c r="Y28" s="8">
        <f>Y$61*Y$67</f>
        <v>20577.08711130912</v>
      </c>
      <c r="Z28" s="8"/>
      <c r="AA28" s="8"/>
      <c r="AB28" s="8"/>
      <c r="AC28" s="8"/>
      <c r="AD28" s="8"/>
      <c r="AE28" s="8"/>
      <c r="AF28" s="8"/>
      <c r="AG28" s="8"/>
      <c r="AH28" s="8"/>
      <c r="AI28" s="8"/>
      <c r="AJ28" s="8"/>
      <c r="BA28">
        <f t="shared" si="1"/>
        <v>1990</v>
      </c>
      <c r="BB28" s="8">
        <f>'Combined Catch'!$M26</f>
        <v>4472.4102564102559</v>
      </c>
      <c r="BC28" s="8">
        <f>'Combined Catch'!$G26</f>
        <v>18701.731830818906</v>
      </c>
      <c r="BD28" s="60">
        <f>'Combined Catch'!$N26</f>
        <v>23174.142087229164</v>
      </c>
      <c r="BE28" s="8">
        <f>Escapement!$D28</f>
        <v>20000</v>
      </c>
      <c r="BF28" s="8">
        <f t="shared" si="3"/>
        <v>43174.142087229164</v>
      </c>
      <c r="BG28" s="82">
        <f t="shared" si="4"/>
        <v>0.53675975866313819</v>
      </c>
      <c r="BH28" s="8">
        <f>W28</f>
        <v>1860.1840136468907</v>
      </c>
      <c r="BI28" s="8">
        <f>X28</f>
        <v>37333.811311735546</v>
      </c>
      <c r="BJ28" s="8">
        <f>Y28</f>
        <v>20577.08711130912</v>
      </c>
      <c r="BK28" s="8">
        <f t="shared" si="5"/>
        <v>59771.082436691555</v>
      </c>
    </row>
    <row r="29" spans="1:63">
      <c r="A29">
        <f t="shared" si="2"/>
        <v>1991</v>
      </c>
      <c r="D29" s="8"/>
      <c r="E29" s="8"/>
      <c r="F29" s="8"/>
      <c r="G29" s="8"/>
      <c r="H29" s="8"/>
      <c r="I29" s="8"/>
      <c r="J29" s="8"/>
      <c r="K29" s="8"/>
      <c r="L29" s="8"/>
      <c r="M29" s="8"/>
      <c r="N29" s="8"/>
      <c r="O29" s="8"/>
      <c r="P29" s="8"/>
      <c r="Q29" s="8"/>
      <c r="R29" s="8"/>
      <c r="S29" s="8"/>
      <c r="T29" s="8"/>
      <c r="U29" s="8"/>
      <c r="V29" s="8"/>
      <c r="W29" s="8"/>
      <c r="X29" s="8">
        <f>X$61*X$65</f>
        <v>3523.2603298071654</v>
      </c>
      <c r="Y29" s="8">
        <f>Y$61*Y$66</f>
        <v>51027.881604941264</v>
      </c>
      <c r="Z29" s="8">
        <f>Z$61*Z$67</f>
        <v>14723.205013619314</v>
      </c>
      <c r="AA29" s="8"/>
      <c r="AB29" s="8"/>
      <c r="AC29" s="8"/>
      <c r="AD29" s="8"/>
      <c r="AE29" s="8"/>
      <c r="AF29" s="8"/>
      <c r="AG29" s="8"/>
      <c r="AH29" s="8"/>
      <c r="AI29" s="8"/>
      <c r="AJ29" s="8"/>
      <c r="BA29">
        <f t="shared" si="1"/>
        <v>1991</v>
      </c>
      <c r="BB29" s="8">
        <f>'Combined Catch'!$M27</f>
        <v>10152.121794871795</v>
      </c>
      <c r="BC29" s="8">
        <f>'Combined Catch'!$G27</f>
        <v>21469.393922149407</v>
      </c>
      <c r="BD29" s="60">
        <f>'Combined Catch'!$N27</f>
        <v>31621.515717021204</v>
      </c>
      <c r="BE29" s="8">
        <f>Escapement!$D29</f>
        <v>52500</v>
      </c>
      <c r="BF29" s="8">
        <f t="shared" si="3"/>
        <v>84121.515717021204</v>
      </c>
      <c r="BG29" s="82">
        <f t="shared" si="4"/>
        <v>0.37590282875303549</v>
      </c>
      <c r="BH29" s="8">
        <f>X29</f>
        <v>3523.2603298071654</v>
      </c>
      <c r="BI29" s="8">
        <f>Y29</f>
        <v>51027.881604941264</v>
      </c>
      <c r="BJ29" s="8">
        <f>Z29</f>
        <v>14723.205013619314</v>
      </c>
      <c r="BK29" s="8">
        <f t="shared" si="5"/>
        <v>69274.346948367747</v>
      </c>
    </row>
    <row r="30" spans="1:63">
      <c r="A30">
        <f t="shared" si="2"/>
        <v>1992</v>
      </c>
      <c r="D30" s="8"/>
      <c r="E30" s="8"/>
      <c r="F30" s="8"/>
      <c r="G30" s="8"/>
      <c r="H30" s="8"/>
      <c r="I30" s="8"/>
      <c r="J30" s="8"/>
      <c r="K30" s="8"/>
      <c r="L30" s="8"/>
      <c r="M30" s="8"/>
      <c r="N30" s="8"/>
      <c r="O30" s="8"/>
      <c r="P30" s="8"/>
      <c r="Q30" s="8"/>
      <c r="R30" s="8"/>
      <c r="S30" s="8"/>
      <c r="T30" s="8"/>
      <c r="U30" s="8"/>
      <c r="V30" s="8"/>
      <c r="W30" s="8"/>
      <c r="X30" s="8"/>
      <c r="Y30" s="8">
        <f>Y$61*Y$65</f>
        <v>4815.5948898866563</v>
      </c>
      <c r="Z30" s="8">
        <f>Z$61*Z$66</f>
        <v>36511.191220419852</v>
      </c>
      <c r="AA30" s="8">
        <f>AA$61*AA$67</f>
        <v>3913.5002536990037</v>
      </c>
      <c r="AB30" s="8"/>
      <c r="AC30" s="8"/>
      <c r="AD30" s="8"/>
      <c r="AE30" s="8"/>
      <c r="AF30" s="8"/>
      <c r="AG30" s="8"/>
      <c r="AH30" s="8"/>
      <c r="AI30" s="8"/>
      <c r="AJ30" s="8"/>
      <c r="BA30">
        <f t="shared" si="1"/>
        <v>1992</v>
      </c>
      <c r="BB30" s="8">
        <f>'Combined Catch'!$M28</f>
        <v>7598.4951923076924</v>
      </c>
      <c r="BC30" s="8">
        <f>'Combined Catch'!$G28</f>
        <v>18221.823965658259</v>
      </c>
      <c r="BD30" s="60">
        <f>'Combined Catch'!$N28</f>
        <v>25820.319157965951</v>
      </c>
      <c r="BE30" s="8">
        <f>Escapement!$D30</f>
        <v>41000</v>
      </c>
      <c r="BF30" s="8">
        <f t="shared" si="3"/>
        <v>66820.319157965947</v>
      </c>
      <c r="BG30" s="82">
        <f t="shared" si="4"/>
        <v>0.38641418483688572</v>
      </c>
      <c r="BH30" s="8">
        <f>Y30</f>
        <v>4815.5948898866563</v>
      </c>
      <c r="BI30" s="8">
        <f>Z30</f>
        <v>36511.191220419852</v>
      </c>
      <c r="BJ30" s="8">
        <f>AA30</f>
        <v>3913.5002536990037</v>
      </c>
      <c r="BK30" s="8">
        <f t="shared" si="5"/>
        <v>45240.286364005515</v>
      </c>
    </row>
    <row r="31" spans="1:63">
      <c r="A31">
        <f t="shared" si="2"/>
        <v>1993</v>
      </c>
      <c r="D31" s="8"/>
      <c r="E31" s="8"/>
      <c r="F31" s="8"/>
      <c r="G31" s="8"/>
      <c r="H31" s="8"/>
      <c r="I31" s="8"/>
      <c r="J31" s="8"/>
      <c r="K31" s="8"/>
      <c r="L31" s="8"/>
      <c r="M31" s="8"/>
      <c r="N31" s="8"/>
      <c r="O31" s="8"/>
      <c r="P31" s="8"/>
      <c r="Q31" s="8"/>
      <c r="R31" s="8"/>
      <c r="S31" s="8"/>
      <c r="T31" s="8"/>
      <c r="U31" s="8"/>
      <c r="V31" s="8"/>
      <c r="W31" s="8"/>
      <c r="X31" s="8"/>
      <c r="Y31" s="8"/>
      <c r="Z31" s="8">
        <f>Z$61*Z$65</f>
        <v>3445.6281612071198</v>
      </c>
      <c r="AA31" s="8">
        <f>AA$61*AA$66</f>
        <v>14784.334291751793</v>
      </c>
      <c r="AB31" s="8">
        <f>AB$61*AB$67</f>
        <v>9666.0568460913892</v>
      </c>
      <c r="AC31" s="8"/>
      <c r="AD31" s="8"/>
      <c r="AE31" s="8"/>
      <c r="AF31" s="8"/>
      <c r="AG31" s="8"/>
      <c r="AH31" s="8"/>
      <c r="AI31" s="8"/>
      <c r="AJ31" s="8"/>
      <c r="BA31">
        <f t="shared" si="1"/>
        <v>1993</v>
      </c>
      <c r="BB31" s="8">
        <f>'Combined Catch'!$M29</f>
        <v>5188.5336538461543</v>
      </c>
      <c r="BC31" s="8">
        <f>'Combined Catch'!$G29</f>
        <v>9518.2375263247195</v>
      </c>
      <c r="BD31" s="60">
        <f>'Combined Catch'!$N29</f>
        <v>14706.771180170874</v>
      </c>
      <c r="BE31" s="8">
        <f>Escapement!$D31</f>
        <v>15000</v>
      </c>
      <c r="BF31" s="8">
        <f t="shared" si="3"/>
        <v>29706.771180170872</v>
      </c>
      <c r="BG31" s="82">
        <f t="shared" si="4"/>
        <v>0.49506461308011734</v>
      </c>
      <c r="BH31" s="8">
        <f>Z31</f>
        <v>3445.6281612071198</v>
      </c>
      <c r="BI31" s="8">
        <f>AA31</f>
        <v>14784.334291751793</v>
      </c>
      <c r="BJ31" s="8">
        <f>AB31</f>
        <v>9666.0568460913892</v>
      </c>
      <c r="BK31" s="8">
        <f t="shared" si="5"/>
        <v>27896.019299050302</v>
      </c>
    </row>
    <row r="32" spans="1:63">
      <c r="A32">
        <f t="shared" si="2"/>
        <v>1994</v>
      </c>
      <c r="D32" s="8"/>
      <c r="E32" s="8"/>
      <c r="F32" s="8"/>
      <c r="G32" s="8"/>
      <c r="H32" s="8"/>
      <c r="I32" s="8"/>
      <c r="J32" s="8"/>
      <c r="K32" s="8"/>
      <c r="L32" s="8"/>
      <c r="M32" s="8"/>
      <c r="N32" s="8"/>
      <c r="O32" s="8"/>
      <c r="P32" s="8"/>
      <c r="Q32" s="8"/>
      <c r="R32" s="8"/>
      <c r="S32" s="8"/>
      <c r="T32" s="8"/>
      <c r="U32" s="8"/>
      <c r="V32" s="8"/>
      <c r="W32" s="8"/>
      <c r="X32" s="8"/>
      <c r="Y32" s="8"/>
      <c r="Z32" s="8"/>
      <c r="AA32" s="8">
        <f>AA$61*AA$65</f>
        <v>10870.834038052788</v>
      </c>
      <c r="AB32" s="8">
        <f>AB$61*AB$66</f>
        <v>23970.273424069859</v>
      </c>
      <c r="AC32" s="8">
        <f>AC$61*AC$67</f>
        <v>4302.8995228282793</v>
      </c>
      <c r="AD32" s="8"/>
      <c r="AE32" s="8"/>
      <c r="AF32" s="8"/>
      <c r="AG32" s="8"/>
      <c r="AH32" s="8"/>
      <c r="AI32" s="8"/>
      <c r="AJ32" s="8"/>
      <c r="BA32">
        <f t="shared" si="1"/>
        <v>1994</v>
      </c>
      <c r="BB32" s="8">
        <f>'Combined Catch'!$M30</f>
        <v>958.88301282051282</v>
      </c>
      <c r="BC32" s="8">
        <f>'Combined Catch'!$G30</f>
        <v>30306.888361356447</v>
      </c>
      <c r="BD32" s="60">
        <f>'Combined Catch'!$N30</f>
        <v>31265.771374176958</v>
      </c>
      <c r="BE32" s="8">
        <f>Escapement!$D32</f>
        <v>25000</v>
      </c>
      <c r="BF32" s="8">
        <f t="shared" si="3"/>
        <v>56265.771374176955</v>
      </c>
      <c r="BG32" s="82">
        <f t="shared" si="4"/>
        <v>0.55568013395309657</v>
      </c>
      <c r="BH32" s="8">
        <f>AA32</f>
        <v>10870.834038052788</v>
      </c>
      <c r="BI32" s="8">
        <f>AB32</f>
        <v>23970.273424069859</v>
      </c>
      <c r="BJ32" s="8">
        <f>AC32</f>
        <v>4302.8995228282793</v>
      </c>
      <c r="BK32" s="8">
        <f t="shared" si="5"/>
        <v>39144.006984950924</v>
      </c>
    </row>
    <row r="33" spans="1:63">
      <c r="A33">
        <f t="shared" si="2"/>
        <v>1995</v>
      </c>
      <c r="D33" s="8"/>
      <c r="E33" s="8"/>
      <c r="F33" s="8"/>
      <c r="G33" s="8"/>
      <c r="H33" s="8"/>
      <c r="I33" s="8"/>
      <c r="J33" s="8"/>
      <c r="K33" s="8"/>
      <c r="L33" s="8"/>
      <c r="M33" s="8"/>
      <c r="N33" s="8"/>
      <c r="O33" s="8"/>
      <c r="P33" s="8"/>
      <c r="Q33" s="8"/>
      <c r="R33" s="8"/>
      <c r="S33" s="8"/>
      <c r="T33" s="8"/>
      <c r="U33" s="8"/>
      <c r="V33" s="8"/>
      <c r="W33" s="8"/>
      <c r="X33" s="8"/>
      <c r="Y33" s="8"/>
      <c r="Z33" s="8"/>
      <c r="AA33" s="8"/>
      <c r="AB33" s="8">
        <f>AB$61*AB$65</f>
        <v>2262.1187197972768</v>
      </c>
      <c r="AC33" s="8">
        <f>AC$61*AC$66</f>
        <v>15946.03940812833</v>
      </c>
      <c r="AD33" s="8">
        <f>AD$61*AD$67</f>
        <v>4778.7334816347775</v>
      </c>
      <c r="AE33" s="8"/>
      <c r="AF33" s="8"/>
      <c r="AG33" s="8"/>
      <c r="AH33" s="8"/>
      <c r="AI33" s="8"/>
      <c r="AJ33" s="8"/>
      <c r="BA33">
        <f t="shared" si="1"/>
        <v>1995</v>
      </c>
      <c r="BB33" s="8">
        <f>'Combined Catch'!$M31</f>
        <v>5450.5560897435898</v>
      </c>
      <c r="BC33" s="8">
        <f>'Combined Catch'!$G31</f>
        <v>16453.542881520116</v>
      </c>
      <c r="BD33" s="60">
        <f>'Combined Catch'!$N31</f>
        <v>21904.098971263706</v>
      </c>
      <c r="BE33" s="8">
        <f>Escapement!$D33</f>
        <v>55000</v>
      </c>
      <c r="BF33" s="8">
        <f t="shared" si="3"/>
        <v>76904.098971263709</v>
      </c>
      <c r="BG33" s="82">
        <f t="shared" si="4"/>
        <v>0.28482355640690205</v>
      </c>
      <c r="BH33" s="8">
        <f>AB33</f>
        <v>2262.1187197972768</v>
      </c>
      <c r="BI33" s="8">
        <f>AC33</f>
        <v>15946.03940812833</v>
      </c>
      <c r="BJ33" s="8">
        <f>AD33</f>
        <v>4778.7334816347775</v>
      </c>
      <c r="BK33" s="8">
        <f t="shared" si="5"/>
        <v>22986.891609560385</v>
      </c>
    </row>
    <row r="34" spans="1:63">
      <c r="A34">
        <f t="shared" si="2"/>
        <v>1996</v>
      </c>
      <c r="D34" s="8"/>
      <c r="E34" s="8"/>
      <c r="F34" s="8"/>
      <c r="G34" s="8"/>
      <c r="H34" s="8"/>
      <c r="I34" s="8"/>
      <c r="J34" s="8"/>
      <c r="K34" s="8"/>
      <c r="L34" s="8"/>
      <c r="M34" s="8"/>
      <c r="N34" s="8"/>
      <c r="O34" s="8"/>
      <c r="P34" s="8"/>
      <c r="Q34" s="8"/>
      <c r="R34" s="8"/>
      <c r="S34" s="8"/>
      <c r="T34" s="8"/>
      <c r="U34" s="8"/>
      <c r="V34" s="8"/>
      <c r="W34" s="8"/>
      <c r="X34" s="8"/>
      <c r="Y34" s="8"/>
      <c r="Z34" s="8"/>
      <c r="AA34" s="8"/>
      <c r="AB34" s="8"/>
      <c r="AC34" s="8">
        <f>AC$61*AC$65</f>
        <v>6834.0168891978556</v>
      </c>
      <c r="AD34" s="8">
        <f>AD$61*AD$66</f>
        <v>11850.49395006009</v>
      </c>
      <c r="AE34" s="8">
        <f>AE$61*AE$67</f>
        <v>8612.8711855535475</v>
      </c>
      <c r="AF34" s="8"/>
      <c r="AG34" s="8"/>
      <c r="AH34" s="8"/>
      <c r="AI34" s="8"/>
      <c r="AJ34" s="8"/>
      <c r="BA34">
        <f t="shared" si="1"/>
        <v>1996</v>
      </c>
      <c r="BB34" s="8">
        <f>'Combined Catch'!$M32</f>
        <v>3769.1185897435898</v>
      </c>
      <c r="BC34" s="8">
        <f>'Combined Catch'!$G32</f>
        <v>6256.8823897288748</v>
      </c>
      <c r="BD34" s="60">
        <f>'Combined Catch'!$N32</f>
        <v>10026.000979472465</v>
      </c>
      <c r="BE34" s="8">
        <f>Escapement!$D34</f>
        <v>45000</v>
      </c>
      <c r="BF34" s="8">
        <f t="shared" si="3"/>
        <v>55026.000979472461</v>
      </c>
      <c r="BG34" s="82">
        <f t="shared" si="4"/>
        <v>0.18220479048100699</v>
      </c>
      <c r="BH34" s="8">
        <f>AC34</f>
        <v>6834.0168891978556</v>
      </c>
      <c r="BI34" s="8">
        <f>AD34</f>
        <v>11850.49395006009</v>
      </c>
      <c r="BJ34" s="8">
        <f>AE34</f>
        <v>8612.8711855535475</v>
      </c>
      <c r="BK34" s="8">
        <f t="shared" si="5"/>
        <v>27297.382024811493</v>
      </c>
    </row>
    <row r="35" spans="1:63">
      <c r="A35">
        <f t="shared" si="2"/>
        <v>1997</v>
      </c>
      <c r="D35" s="8"/>
      <c r="E35" s="8"/>
      <c r="F35" s="8"/>
      <c r="G35" s="8"/>
      <c r="H35" s="8"/>
      <c r="I35" s="8"/>
      <c r="J35" s="8"/>
      <c r="K35" s="8"/>
      <c r="L35" s="8"/>
      <c r="M35" s="8"/>
      <c r="N35" s="8"/>
      <c r="O35" s="8"/>
      <c r="P35" s="8"/>
      <c r="Q35" s="8"/>
      <c r="R35" s="8"/>
      <c r="S35" s="8"/>
      <c r="T35" s="8"/>
      <c r="U35" s="8"/>
      <c r="V35" s="8"/>
      <c r="W35" s="8"/>
      <c r="X35" s="8"/>
      <c r="Y35" s="8"/>
      <c r="Z35" s="8"/>
      <c r="AA35" s="8"/>
      <c r="AB35" s="8"/>
      <c r="AC35" s="8"/>
      <c r="AD35" s="8">
        <f>AD$61*AD$65</f>
        <v>1118.3528752057</v>
      </c>
      <c r="AE35" s="8">
        <f>AE$61*AE$66</f>
        <v>21358.541602979862</v>
      </c>
      <c r="AF35" s="8">
        <f>AF$61*AF$67</f>
        <v>14180.774107074898</v>
      </c>
      <c r="AG35" s="8"/>
      <c r="AH35" s="8"/>
      <c r="AI35" s="8"/>
      <c r="AJ35" s="8"/>
      <c r="BA35">
        <f t="shared" si="1"/>
        <v>1997</v>
      </c>
      <c r="BB35" s="8">
        <f>'Combined Catch'!$M33</f>
        <v>5862.7003205128203</v>
      </c>
      <c r="BC35" s="8">
        <f>'Combined Catch'!$G33</f>
        <v>4575.6349860349856</v>
      </c>
      <c r="BD35" s="60">
        <f>'Combined Catch'!$N33</f>
        <v>10438.335306547806</v>
      </c>
      <c r="BE35" s="8">
        <f>Escapement!$D35</f>
        <v>20000</v>
      </c>
      <c r="BF35" s="8">
        <f t="shared" si="3"/>
        <v>30438.335306547808</v>
      </c>
      <c r="BG35" s="82">
        <f t="shared" si="4"/>
        <v>0.3429338431757909</v>
      </c>
      <c r="BH35" s="8">
        <f>AD35</f>
        <v>1118.3528752057</v>
      </c>
      <c r="BI35" s="8">
        <f>AE35</f>
        <v>21358.541602979862</v>
      </c>
      <c r="BJ35" s="8">
        <f>AF35</f>
        <v>14180.774107074898</v>
      </c>
      <c r="BK35" s="8">
        <f t="shared" si="5"/>
        <v>36657.668585260457</v>
      </c>
    </row>
    <row r="36" spans="1:63">
      <c r="A36">
        <f t="shared" si="2"/>
        <v>1998</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f>AE$61*AE$65</f>
        <v>2015.6447919010131</v>
      </c>
      <c r="AF36" s="8">
        <f>AF$61*AF$66</f>
        <v>35166.049416418005</v>
      </c>
      <c r="AG36" s="8">
        <f>AG$61*AG$67</f>
        <v>7548.4333813306257</v>
      </c>
      <c r="AH36" s="8"/>
      <c r="AI36" s="8"/>
      <c r="AJ36" s="8"/>
      <c r="BA36">
        <f t="shared" si="1"/>
        <v>1998</v>
      </c>
      <c r="BB36" s="8">
        <f>'Combined Catch'!$M34</f>
        <v>2273.4935897435898</v>
      </c>
      <c r="BC36" s="8">
        <f>'Combined Catch'!$G34</f>
        <v>3852.0954371466546</v>
      </c>
      <c r="BD36" s="60">
        <f>'Combined Catch'!$N34</f>
        <v>6125.589026890244</v>
      </c>
      <c r="BE36" s="8">
        <f>Escapement!$D36</f>
        <v>30000</v>
      </c>
      <c r="BF36" s="8">
        <f t="shared" si="3"/>
        <v>36125.589026890244</v>
      </c>
      <c r="BG36" s="82">
        <f t="shared" si="4"/>
        <v>0.16956371347552657</v>
      </c>
      <c r="BH36" s="8">
        <f>AE36</f>
        <v>2015.6447919010131</v>
      </c>
      <c r="BI36" s="8">
        <f>AF36</f>
        <v>35166.049416418005</v>
      </c>
      <c r="BJ36" s="8">
        <f>AG36</f>
        <v>7548.4333813306257</v>
      </c>
      <c r="BK36" s="8">
        <f t="shared" si="5"/>
        <v>44730.127589649637</v>
      </c>
    </row>
    <row r="37" spans="1:63">
      <c r="A37">
        <f t="shared" si="2"/>
        <v>1999</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f>AF$61*AF$65</f>
        <v>3318.6846590708892</v>
      </c>
      <c r="AG37" s="8">
        <f>AG$61*AG$66</f>
        <v>13495.683924197181</v>
      </c>
      <c r="AH37" s="8">
        <f>AH$61*AH$67</f>
        <v>7233.8265802299975</v>
      </c>
      <c r="AI37" s="8"/>
      <c r="AJ37" s="8"/>
      <c r="BA37">
        <f t="shared" si="1"/>
        <v>1999</v>
      </c>
      <c r="BB37" s="8">
        <f>'Combined Catch'!$M35</f>
        <v>1182.9967948717949</v>
      </c>
      <c r="BC37" s="8">
        <f>'Combined Catch'!$G35</f>
        <v>899.95902528267357</v>
      </c>
      <c r="BD37" s="60">
        <f>'Combined Catch'!$N35</f>
        <v>2082.9558201544687</v>
      </c>
      <c r="BE37" s="8">
        <f>Escapement!$D37</f>
        <v>25000</v>
      </c>
      <c r="BF37" s="8">
        <f t="shared" si="3"/>
        <v>27082.955820154468</v>
      </c>
      <c r="BG37" s="82">
        <f t="shared" si="4"/>
        <v>7.6910210022363382E-2</v>
      </c>
      <c r="BH37" s="8">
        <f>AF37</f>
        <v>3318.6846590708892</v>
      </c>
      <c r="BI37" s="8">
        <f>AG37</f>
        <v>13495.683924197181</v>
      </c>
      <c r="BJ37" s="8">
        <f>AH37</f>
        <v>7233.8265802299975</v>
      </c>
      <c r="BK37" s="8">
        <f t="shared" si="5"/>
        <v>24048.195163498069</v>
      </c>
    </row>
    <row r="38" spans="1:63">
      <c r="A38">
        <f t="shared" si="2"/>
        <v>2000</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f>AG$61*AG$65</f>
        <v>1486.8126357166386</v>
      </c>
      <c r="AH38" s="8">
        <f>AH$61*AH$66</f>
        <v>17938.731769463237</v>
      </c>
      <c r="AI38" s="8">
        <f>AI$61*AI$67</f>
        <v>2543.3276585735075</v>
      </c>
      <c r="AJ38" s="8"/>
      <c r="BA38">
        <f t="shared" si="1"/>
        <v>2000</v>
      </c>
      <c r="BB38" s="8">
        <f>'Combined Catch'!$M36</f>
        <v>2082.375</v>
      </c>
      <c r="BC38" s="8">
        <f>'Combined Catch'!$G36</f>
        <v>777.49946332737034</v>
      </c>
      <c r="BD38" s="60">
        <f>'Combined Catch'!$N36</f>
        <v>2859.8744633273704</v>
      </c>
      <c r="BE38" s="8">
        <f>Escapement!$D38</f>
        <v>15000</v>
      </c>
      <c r="BF38" s="8">
        <f t="shared" si="3"/>
        <v>17859.874463327371</v>
      </c>
      <c r="BG38" s="82">
        <f t="shared" si="4"/>
        <v>0.16012847510209002</v>
      </c>
      <c r="BH38" s="8">
        <f>AG38</f>
        <v>1486.8126357166386</v>
      </c>
      <c r="BI38" s="8">
        <f>AH38</f>
        <v>17938.731769463237</v>
      </c>
      <c r="BJ38" s="8">
        <f>AI38</f>
        <v>2543.3276585735075</v>
      </c>
      <c r="BK38" s="8">
        <f t="shared" si="5"/>
        <v>21968.872063753384</v>
      </c>
    </row>
    <row r="39" spans="1:63">
      <c r="A39">
        <f t="shared" si="2"/>
        <v>2001</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f>AH$61*AH$65</f>
        <v>1692.9110580931792</v>
      </c>
      <c r="AI39" s="8">
        <f>AI$61*AI$66</f>
        <v>3350.733264469859</v>
      </c>
      <c r="AJ39" s="8">
        <f>AJ$61*AJ$67</f>
        <v>1315.3981106612684</v>
      </c>
      <c r="BA39">
        <f t="shared" si="1"/>
        <v>2001</v>
      </c>
      <c r="BB39" s="8">
        <f>'Combined Catch'!$M37</f>
        <v>1736.4647435897436</v>
      </c>
      <c r="BC39" s="8">
        <f>'Combined Catch'!$G37</f>
        <v>452.98435081201274</v>
      </c>
      <c r="BD39" s="60">
        <f>'Combined Catch'!$N37</f>
        <v>2189.4490944017562</v>
      </c>
      <c r="BE39" s="8">
        <f>Escapement!$D39</f>
        <v>30000</v>
      </c>
      <c r="BF39" s="8">
        <f t="shared" si="3"/>
        <v>32189.449094401756</v>
      </c>
      <c r="BG39" s="82">
        <f t="shared" si="4"/>
        <v>6.8017600673462145E-2</v>
      </c>
      <c r="BH39" s="8">
        <f>AH39</f>
        <v>1692.9110580931792</v>
      </c>
      <c r="BI39" s="8">
        <f>AI39</f>
        <v>3350.733264469859</v>
      </c>
      <c r="BJ39" s="8">
        <f>AJ39</f>
        <v>1315.3981106612684</v>
      </c>
      <c r="BK39" s="8">
        <f t="shared" si="5"/>
        <v>6359.0424332243065</v>
      </c>
    </row>
    <row r="40" spans="1:63">
      <c r="A40">
        <f>A39+1</f>
        <v>2002</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f>AI$61*AI$65</f>
        <v>484.44336353781097</v>
      </c>
      <c r="AJ40" s="97">
        <f>AJ$61*AJ$66</f>
        <v>5261.5924426450738</v>
      </c>
      <c r="AK40" s="8">
        <f>AK$61*AK$67</f>
        <v>600.51118589743589</v>
      </c>
      <c r="BA40" s="44">
        <f t="shared" si="1"/>
        <v>2002</v>
      </c>
      <c r="BB40" s="94">
        <f>'Combined Catch'!$M38</f>
        <v>1924.2820512820513</v>
      </c>
      <c r="BC40" s="94">
        <f>'Combined Catch'!$G38</f>
        <v>1074.4562793853909</v>
      </c>
      <c r="BD40" s="95">
        <f>'Combined Catch'!$N38</f>
        <v>2998.7383306674419</v>
      </c>
      <c r="BE40" s="94">
        <f>Escapement!$D40</f>
        <v>50000</v>
      </c>
      <c r="BF40" s="94">
        <f t="shared" si="3"/>
        <v>52998.738330667446</v>
      </c>
      <c r="BG40" s="96">
        <f t="shared" si="4"/>
        <v>5.6581315425998313E-2</v>
      </c>
      <c r="BH40" s="94">
        <f>+AI40</f>
        <v>484.44336353781097</v>
      </c>
      <c r="BI40" s="94">
        <f>AJ40</f>
        <v>5261.5924426450738</v>
      </c>
      <c r="BJ40" s="94">
        <f>+AK40</f>
        <v>600.51118589743589</v>
      </c>
      <c r="BK40" s="8">
        <f t="shared" si="5"/>
        <v>6346.5469920803207</v>
      </c>
    </row>
    <row r="41" spans="1:63">
      <c r="A41">
        <f t="shared" si="2"/>
        <v>2003</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f>AJ$61*AJ$65</f>
        <v>119.58164642375168</v>
      </c>
      <c r="AK41" s="97">
        <f>AK$61*AK$66</f>
        <v>486.9009615384615</v>
      </c>
      <c r="AL41" s="8">
        <f>AL$61*AL$67</f>
        <v>132.33365384615385</v>
      </c>
      <c r="BA41" s="44">
        <f t="shared" si="1"/>
        <v>2003</v>
      </c>
      <c r="BB41" s="94">
        <f>'Combined Catch'!$M39</f>
        <v>2033.102564102564</v>
      </c>
      <c r="BC41" s="94">
        <f>'Combined Catch'!$G39</f>
        <v>2726.5677826367478</v>
      </c>
      <c r="BD41" s="95">
        <f>'Combined Catch'!$N39</f>
        <v>4759.6703467393118</v>
      </c>
      <c r="BE41" s="94">
        <f>Escapement!$D41</f>
        <v>18000</v>
      </c>
      <c r="BF41" s="94">
        <f t="shared" si="3"/>
        <v>22759.670346739313</v>
      </c>
      <c r="BG41" s="96">
        <f t="shared" si="4"/>
        <v>0.20912738516097229</v>
      </c>
      <c r="BH41" s="94">
        <f>AJ41</f>
        <v>119.58164642375168</v>
      </c>
      <c r="BI41" s="94">
        <f>+AK41</f>
        <v>486.9009615384615</v>
      </c>
      <c r="BJ41" s="94">
        <f>+AL41</f>
        <v>132.33365384615385</v>
      </c>
      <c r="BK41" s="8">
        <f t="shared" si="5"/>
        <v>738.81626180836702</v>
      </c>
    </row>
    <row r="42" spans="1:63">
      <c r="A42">
        <f t="shared" si="2"/>
        <v>2004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f>AK$61*AK$65</f>
        <v>308.37060897435896</v>
      </c>
      <c r="AL42" s="97">
        <f>AL$61*AL$66</f>
        <v>992.50240384615392</v>
      </c>
      <c r="AM42" s="8">
        <f>AM$61*AM$67</f>
        <v>1634.4928846153846</v>
      </c>
      <c r="BA42" s="44">
        <f t="shared" si="1"/>
        <v>2004</v>
      </c>
      <c r="BB42" s="94">
        <f>'Combined Catch'!$M40</f>
        <v>1186.3076923076924</v>
      </c>
      <c r="BC42" s="94">
        <f>'Combined Catch'!$G40</f>
        <v>849.1474358974358</v>
      </c>
      <c r="BD42" s="95">
        <f>'Combined Catch'!$N40</f>
        <v>2035.4551282051282</v>
      </c>
      <c r="BE42" s="94">
        <f>Escapement!$D42</f>
        <v>25000</v>
      </c>
      <c r="BF42" s="94">
        <f t="shared" si="3"/>
        <v>27035.455128205129</v>
      </c>
      <c r="BG42" s="96">
        <f t="shared" si="4"/>
        <v>7.5288361840138221E-2</v>
      </c>
      <c r="BH42" s="94">
        <f>+AK42</f>
        <v>308.37060897435896</v>
      </c>
      <c r="BI42" s="94">
        <f>+AL42</f>
        <v>992.50240384615392</v>
      </c>
      <c r="BJ42" s="94">
        <f>+AM42</f>
        <v>1634.4928846153846</v>
      </c>
      <c r="BK42" s="8">
        <f t="shared" si="5"/>
        <v>2935.3658974358978</v>
      </c>
    </row>
    <row r="43" spans="1:63">
      <c r="A43">
        <v>2005</v>
      </c>
      <c r="AL43" s="8">
        <f>AL$61*AL$65</f>
        <v>198.50048076923079</v>
      </c>
      <c r="AM43" s="97">
        <f>AM$61*AM$66</f>
        <v>2724.1548076923077</v>
      </c>
      <c r="AN43" s="8">
        <f>AN$61*AN$67</f>
        <v>1012.5333333333334</v>
      </c>
      <c r="BA43" s="44">
        <f t="shared" si="1"/>
        <v>2005</v>
      </c>
      <c r="BB43" s="94">
        <f>'Combined Catch'!$M41</f>
        <v>520.64423076923072</v>
      </c>
      <c r="BC43" s="94">
        <f>'Combined Catch'!$G41</f>
        <v>221.19257846530573</v>
      </c>
      <c r="BD43" s="95">
        <f>'Combined Catch'!$N41</f>
        <v>741.83680923453642</v>
      </c>
      <c r="BE43" s="94">
        <f>Escapement!$D43</f>
        <v>6000</v>
      </c>
      <c r="BF43" s="94">
        <f t="shared" si="3"/>
        <v>6741.8368092345363</v>
      </c>
      <c r="BG43" s="96">
        <f t="shared" si="4"/>
        <v>0.11003482140333268</v>
      </c>
      <c r="BH43" s="94">
        <f>+AL43</f>
        <v>198.50048076923079</v>
      </c>
      <c r="BI43" s="94">
        <f>+AM43</f>
        <v>2724.1548076923077</v>
      </c>
      <c r="BJ43" s="94">
        <f>+AN43</f>
        <v>1012.5333333333334</v>
      </c>
      <c r="BK43" s="8">
        <f t="shared" si="5"/>
        <v>3935.1886217948718</v>
      </c>
    </row>
    <row r="44" spans="1:63">
      <c r="A44">
        <v>2006</v>
      </c>
      <c r="AM44" s="8">
        <f>AM$61*AM$65</f>
        <v>181.61032051282052</v>
      </c>
      <c r="AN44" s="97">
        <f>AN$61*AN$66</f>
        <v>1417.5466666666669</v>
      </c>
      <c r="AO44" s="8">
        <f>AO$61*AO$67</f>
        <v>419.36076923076928</v>
      </c>
      <c r="BA44" s="44">
        <f t="shared" si="1"/>
        <v>2006</v>
      </c>
      <c r="BB44" s="94">
        <f>'Combined Catch'!$M42</f>
        <v>624.74358974358972</v>
      </c>
      <c r="BC44" s="94">
        <f>'Combined Catch'!$G42</f>
        <v>191.41025641025641</v>
      </c>
      <c r="BD44" s="95">
        <f>'Combined Catch'!$N42</f>
        <v>816.15384615384619</v>
      </c>
      <c r="BE44" s="94">
        <f>Escapement!$D44</f>
        <v>6000</v>
      </c>
      <c r="BF44" s="94">
        <f t="shared" si="3"/>
        <v>6816.1538461538457</v>
      </c>
      <c r="BG44" s="96">
        <f t="shared" si="4"/>
        <v>0.11973817853515406</v>
      </c>
      <c r="BH44" s="94">
        <f>+AM44</f>
        <v>181.61032051282052</v>
      </c>
      <c r="BI44" s="94">
        <f>+AN44</f>
        <v>1417.5466666666669</v>
      </c>
      <c r="BJ44" s="94">
        <f>+AO44</f>
        <v>419.36076923076928</v>
      </c>
      <c r="BK44" s="8">
        <f t="shared" si="5"/>
        <v>2018.5177564102564</v>
      </c>
    </row>
    <row r="45" spans="1:63">
      <c r="A45">
        <v>2007</v>
      </c>
      <c r="AN45" s="8">
        <f>AN$61*AN$65</f>
        <v>101.25333333333334</v>
      </c>
      <c r="AO45" s="97">
        <f>AO$61*AO$66</f>
        <v>1239.8492307692309</v>
      </c>
      <c r="AP45" s="8">
        <f>AP$61*AP$67</f>
        <v>583.77499999999998</v>
      </c>
      <c r="BA45">
        <v>2007</v>
      </c>
      <c r="BB45" s="94">
        <f>'Combined Catch'!$M43</f>
        <v>344.33653846153845</v>
      </c>
      <c r="BC45" s="94">
        <f>'Combined Catch'!$G43</f>
        <v>78.666666666666657</v>
      </c>
      <c r="BD45" s="95">
        <f>'Combined Catch'!$N43</f>
        <v>423.00320512820508</v>
      </c>
      <c r="BE45" s="94">
        <f>Escapement!$D45</f>
        <v>1200</v>
      </c>
      <c r="BF45" s="94">
        <f t="shared" ref="BF45" si="6">SUM(BD45:BE45)</f>
        <v>1623.0032051282051</v>
      </c>
      <c r="BG45" s="96">
        <f t="shared" ref="BG45" si="7">BD45/BF45</f>
        <v>0.26062992592475565</v>
      </c>
      <c r="BH45" s="8">
        <f>+AN45</f>
        <v>101.25333333333334</v>
      </c>
      <c r="BI45" s="8">
        <f>+AO45</f>
        <v>1239.8492307692309</v>
      </c>
      <c r="BJ45" s="8">
        <f>+AP45</f>
        <v>583.77499999999998</v>
      </c>
      <c r="BK45" s="8">
        <f t="shared" si="5"/>
        <v>1924.8775641025641</v>
      </c>
    </row>
    <row r="46" spans="1:63">
      <c r="A46">
        <v>2008</v>
      </c>
      <c r="AO46" s="8">
        <f>AO$61*AO$65</f>
        <v>164.09769230769231</v>
      </c>
      <c r="AP46" s="97">
        <f>AP$61*AP$66</f>
        <v>3191.3033333333333</v>
      </c>
      <c r="AQ46" s="8">
        <f>AQ$61*AQ$67</f>
        <v>850.07126602564097</v>
      </c>
      <c r="BA46">
        <v>2008</v>
      </c>
      <c r="BB46" s="94">
        <f>'Combined Catch'!$M44</f>
        <v>361.49038461538464</v>
      </c>
      <c r="BC46" s="94">
        <f>'Combined Catch'!$G44</f>
        <v>61.84615384615384</v>
      </c>
      <c r="BD46" s="95">
        <f>'Combined Catch'!$N44</f>
        <v>423.33653846153845</v>
      </c>
      <c r="BE46" s="94">
        <f>Escapement!$D46</f>
        <v>900</v>
      </c>
      <c r="BF46" s="94">
        <f t="shared" ref="BF46:BF55" si="8">SUM(BD46:BE46)</f>
        <v>1323.3365384615386</v>
      </c>
      <c r="BG46" s="96">
        <f t="shared" ref="BG46:BG58" si="9">BD46/BF46</f>
        <v>0.31990089154017742</v>
      </c>
      <c r="BH46" s="8">
        <f>+AO46</f>
        <v>164.09769230769231</v>
      </c>
      <c r="BI46" s="8">
        <f>+AP46</f>
        <v>3191.3033333333333</v>
      </c>
      <c r="BJ46" s="8">
        <f>+AQ46</f>
        <v>850.07126602564097</v>
      </c>
      <c r="BK46" s="8">
        <f t="shared" si="5"/>
        <v>4205.4722916666669</v>
      </c>
    </row>
    <row r="47" spans="1:63">
      <c r="A47">
        <v>2009</v>
      </c>
      <c r="AP47" s="8">
        <f>AP$61*AP$65</f>
        <v>116.755</v>
      </c>
      <c r="AQ47" s="97">
        <f>AQ$61*AQ$66</f>
        <v>1078.1391666666666</v>
      </c>
      <c r="AR47" s="8">
        <f>AR$61*AR$67</f>
        <v>917.27410256410246</v>
      </c>
      <c r="BA47">
        <v>2009</v>
      </c>
      <c r="BB47" s="94">
        <f>'Combined Catch'!$M45</f>
        <v>636.18108974358972</v>
      </c>
      <c r="BC47" s="94">
        <f>'Combined Catch'!$G45</f>
        <v>404.07692307692309</v>
      </c>
      <c r="BD47" s="95">
        <f>'Combined Catch'!$N45</f>
        <v>1040.2580128205127</v>
      </c>
      <c r="BE47" s="94">
        <f>Escapement!$D47</f>
        <v>3500</v>
      </c>
      <c r="BF47" s="94">
        <f t="shared" si="8"/>
        <v>4540.2580128205127</v>
      </c>
      <c r="BG47" s="96">
        <f t="shared" si="9"/>
        <v>0.22911869983668187</v>
      </c>
      <c r="BH47" s="8">
        <f>+AP47</f>
        <v>116.755</v>
      </c>
      <c r="BI47" s="8">
        <f>+AQ47</f>
        <v>1078.1391666666666</v>
      </c>
      <c r="BJ47" s="8">
        <f>+AR47</f>
        <v>917.27410256410246</v>
      </c>
      <c r="BK47" s="8">
        <f t="shared" si="5"/>
        <v>2112.1682692307691</v>
      </c>
    </row>
    <row r="48" spans="1:63">
      <c r="A48">
        <v>2010</v>
      </c>
      <c r="AQ48" s="8">
        <f>AQ$61*AQ$65</f>
        <v>145.13411858974359</v>
      </c>
      <c r="AR48" s="97">
        <f>AR$61*AR$66</f>
        <v>532.61076923076917</v>
      </c>
      <c r="AS48" s="8">
        <f>AS$61*AS$67</f>
        <v>715.72153846153844</v>
      </c>
      <c r="BA48">
        <v>2010</v>
      </c>
      <c r="BB48" s="94">
        <f>'Combined Catch'!$M46</f>
        <v>164.97435897435898</v>
      </c>
      <c r="BC48" s="94">
        <f>'Combined Catch'!$G46</f>
        <v>66.358974358974365</v>
      </c>
      <c r="BD48" s="95">
        <f>'Combined Catch'!$N46</f>
        <v>231.33333333333334</v>
      </c>
      <c r="BE48" s="94">
        <f>Escapement!$D48</f>
        <v>2300</v>
      </c>
      <c r="BF48" s="94">
        <f t="shared" si="8"/>
        <v>2531.3333333333335</v>
      </c>
      <c r="BG48" s="96">
        <f t="shared" si="9"/>
        <v>9.1387937845667636E-2</v>
      </c>
      <c r="BH48" s="8">
        <f>+AQ48</f>
        <v>145.13411858974359</v>
      </c>
      <c r="BI48" s="8">
        <f>+AR48</f>
        <v>532.61076923076917</v>
      </c>
      <c r="BJ48" s="94">
        <f>+AS48</f>
        <v>715.72153846153844</v>
      </c>
      <c r="BK48" s="8">
        <f t="shared" si="5"/>
        <v>1393.4664262820511</v>
      </c>
    </row>
    <row r="49" spans="1:63">
      <c r="A49">
        <v>2011</v>
      </c>
      <c r="AR49" s="8">
        <f>AR$61*AR$65</f>
        <v>1509.063846153846</v>
      </c>
      <c r="AS49" s="97">
        <f>AS$61*AS$66</f>
        <v>10974.396923076923</v>
      </c>
      <c r="AT49" s="8">
        <f>AT$61*AT$67</f>
        <v>1861.4714583333332</v>
      </c>
      <c r="BA49">
        <v>2011</v>
      </c>
      <c r="BB49" s="94">
        <f>'Combined Catch'!$M47</f>
        <v>91.538461538461547</v>
      </c>
      <c r="BC49" s="94">
        <f>'Combined Catch'!$G47</f>
        <v>231.76923076923077</v>
      </c>
      <c r="BD49" s="95">
        <f>'Combined Catch'!$N47</f>
        <v>323.30769230769232</v>
      </c>
      <c r="BE49" s="94">
        <f>Escapement!$D49</f>
        <v>1500</v>
      </c>
      <c r="BF49" s="94">
        <f t="shared" si="8"/>
        <v>1823.3076923076924</v>
      </c>
      <c r="BG49" s="96">
        <f t="shared" si="9"/>
        <v>0.17731932666751044</v>
      </c>
      <c r="BH49" s="8">
        <f>+AR49</f>
        <v>1509.063846153846</v>
      </c>
      <c r="BI49" s="8">
        <f>+AS49</f>
        <v>10974.396923076923</v>
      </c>
      <c r="BJ49" s="8">
        <f>+AT49</f>
        <v>1861.4714583333332</v>
      </c>
      <c r="BK49" s="8">
        <f t="shared" si="5"/>
        <v>14344.932227564103</v>
      </c>
    </row>
    <row r="50" spans="1:63">
      <c r="A50">
        <v>2012</v>
      </c>
      <c r="AS50" s="8">
        <f>AS$61*AS$65</f>
        <v>238.57384615384618</v>
      </c>
      <c r="AT50" s="97">
        <f>AT$61*AT$66</f>
        <v>5827.2149999999992</v>
      </c>
      <c r="AU50" s="8">
        <f>AU$61*AU$67</f>
        <v>1464.5438257495241</v>
      </c>
      <c r="AV50" s="8"/>
      <c r="AW50" s="8"/>
      <c r="BA50">
        <v>2012</v>
      </c>
      <c r="BB50" s="94">
        <f>'Combined Catch'!$M48</f>
        <v>187.60256410256409</v>
      </c>
      <c r="BC50" s="94">
        <f>'Combined Catch'!$G48</f>
        <v>704.23076923076928</v>
      </c>
      <c r="BD50" s="95">
        <f>'Combined Catch'!$N48</f>
        <v>891.83333333333337</v>
      </c>
      <c r="BE50" s="94">
        <f>Escapement!$D50</f>
        <v>3000</v>
      </c>
      <c r="BF50" s="94">
        <f t="shared" si="8"/>
        <v>3891.8333333333335</v>
      </c>
      <c r="BG50" s="96">
        <f t="shared" si="9"/>
        <v>0.2291550683054259</v>
      </c>
      <c r="BH50" s="94">
        <v>238.57384615384618</v>
      </c>
      <c r="BI50" s="8">
        <v>5827.2149999999992</v>
      </c>
      <c r="BJ50" s="8">
        <v>1464.5438257495241</v>
      </c>
      <c r="BK50" s="8">
        <f t="shared" si="5"/>
        <v>7530.3326719033694</v>
      </c>
    </row>
    <row r="51" spans="1:63">
      <c r="A51">
        <v>2013</v>
      </c>
      <c r="AT51" s="8">
        <f>AT$61*AT$65</f>
        <v>404.66770833333334</v>
      </c>
      <c r="AU51" s="97">
        <f>AU$61*AU$66</f>
        <v>3586.9939887829605</v>
      </c>
      <c r="AV51" s="8">
        <f>AV$61*AV$67</f>
        <v>1667.8713858424726</v>
      </c>
      <c r="AW51" s="97"/>
      <c r="BA51">
        <v>2013</v>
      </c>
      <c r="BB51" s="94">
        <f>'Combined Catch'!$M49</f>
        <v>63.0625</v>
      </c>
      <c r="BC51" s="94">
        <f>'Combined Catch'!$G49</f>
        <v>510.28205128205127</v>
      </c>
      <c r="BD51" s="95">
        <f>'Combined Catch'!$N49</f>
        <v>573.34455128205127</v>
      </c>
      <c r="BE51" s="94">
        <f>Escapement!$D51</f>
        <v>1500</v>
      </c>
      <c r="BF51" s="94">
        <f t="shared" si="8"/>
        <v>2073.3445512820513</v>
      </c>
      <c r="BG51" s="96">
        <f t="shared" si="9"/>
        <v>0.27653124557976821</v>
      </c>
      <c r="BH51" s="8">
        <v>404.66770833333334</v>
      </c>
      <c r="BI51" s="8">
        <v>3586.9939887829605</v>
      </c>
      <c r="BJ51" s="8">
        <v>1667.8713858424726</v>
      </c>
      <c r="BK51" s="8">
        <f t="shared" si="5"/>
        <v>5659.5330829587665</v>
      </c>
    </row>
    <row r="52" spans="1:63">
      <c r="A52">
        <v>2014</v>
      </c>
      <c r="AU52" s="8">
        <f>AU$61*AU$65</f>
        <v>454.33883431995235</v>
      </c>
      <c r="AV52" s="97">
        <f>AV$61*AV$66</f>
        <v>6967.9960119641082</v>
      </c>
      <c r="AW52" s="8">
        <f>AW$61*AW$67</f>
        <v>1433.4009437059819</v>
      </c>
      <c r="BA52">
        <v>2014</v>
      </c>
      <c r="BB52" s="94">
        <f>'Combined Catch'!$M50</f>
        <v>303.71794871794873</v>
      </c>
      <c r="BC52" s="94">
        <f>'Combined Catch'!$G50</f>
        <v>155.23076923076923</v>
      </c>
      <c r="BD52" s="95">
        <f>'Combined Catch'!$N50</f>
        <v>458.94871794871796</v>
      </c>
      <c r="BE52" s="94">
        <f>Escapement!$D52</f>
        <v>2500</v>
      </c>
      <c r="BF52" s="94">
        <f t="shared" si="8"/>
        <v>2958.9487179487178</v>
      </c>
      <c r="BG52" s="96">
        <f t="shared" si="9"/>
        <v>0.15510533020216813</v>
      </c>
      <c r="BH52" s="8">
        <v>454.33883431995235</v>
      </c>
      <c r="BI52" s="8">
        <v>6967.9960119641082</v>
      </c>
      <c r="BJ52" s="94">
        <v>1433.4009437059819</v>
      </c>
      <c r="BK52" s="8">
        <f t="shared" si="5"/>
        <v>8855.7357899900417</v>
      </c>
    </row>
    <row r="53" spans="1:63">
      <c r="A53">
        <v>2015</v>
      </c>
      <c r="AV53" s="8">
        <f>AV$61*AV$65</f>
        <v>111.19142572283153</v>
      </c>
      <c r="AW53" s="97">
        <f>AW$61*AW$66</f>
        <v>3969.4179979550267</v>
      </c>
      <c r="AX53" s="8">
        <f>AX$61*AX$67</f>
        <v>409.50857964105637</v>
      </c>
      <c r="BA53">
        <v>2015</v>
      </c>
      <c r="BB53" s="94">
        <f>'Combined Catch'!$M51</f>
        <v>286.30769230769226</v>
      </c>
      <c r="BC53" s="94">
        <f>'Combined Catch'!$G51</f>
        <v>448.38461538461536</v>
      </c>
      <c r="BD53" s="95">
        <f>'Combined Catch'!$N51</f>
        <v>734.69230769230762</v>
      </c>
      <c r="BE53" s="94">
        <f>Escapement!$D53</f>
        <v>11194</v>
      </c>
      <c r="BF53" s="94">
        <f t="shared" si="8"/>
        <v>11928.692307692309</v>
      </c>
      <c r="BG53" s="96">
        <f t="shared" si="9"/>
        <v>6.1590347771694608E-2</v>
      </c>
      <c r="BH53" s="8">
        <v>111.19142572283153</v>
      </c>
      <c r="BI53" s="8">
        <v>3969.4179979550267</v>
      </c>
      <c r="BJ53" s="8">
        <v>409.50857964105637</v>
      </c>
      <c r="BK53" s="8">
        <f t="shared" si="5"/>
        <v>4490.1180033189148</v>
      </c>
    </row>
    <row r="54" spans="1:63">
      <c r="A54">
        <v>2016</v>
      </c>
      <c r="AW54" s="8">
        <f>AW$61*AW$65</f>
        <v>0</v>
      </c>
      <c r="AX54" s="97">
        <f>AX$61*AX$66</f>
        <v>8963.6877988097895</v>
      </c>
      <c r="AY54" s="8">
        <f>AY$61*AY$67</f>
        <v>1968.5714285714287</v>
      </c>
      <c r="BA54">
        <v>2016</v>
      </c>
      <c r="BB54" s="94">
        <f>'Combined Catch'!$M52</f>
        <v>138.86698717948718</v>
      </c>
      <c r="BC54" s="94">
        <f>'Combined Catch'!$G52</f>
        <v>1014.4871794871794</v>
      </c>
      <c r="BD54" s="95">
        <f>'Combined Catch'!$N52</f>
        <v>1153.3541666666665</v>
      </c>
      <c r="BE54" s="94">
        <f>Escapement!$D54</f>
        <v>6940</v>
      </c>
      <c r="BF54" s="94">
        <f t="shared" si="8"/>
        <v>8093.3541666666661</v>
      </c>
      <c r="BG54" s="96">
        <f t="shared" si="9"/>
        <v>0.14250632592070139</v>
      </c>
      <c r="BH54" s="8">
        <v>0</v>
      </c>
      <c r="BI54" s="8">
        <v>8963.6877988097895</v>
      </c>
      <c r="BJ54" s="8">
        <v>1968.5714285714287</v>
      </c>
      <c r="BK54" s="8">
        <f t="shared" si="5"/>
        <v>10932.259227381219</v>
      </c>
    </row>
    <row r="55" spans="1:63">
      <c r="A55">
        <v>2017</v>
      </c>
      <c r="AX55" s="8">
        <f>AX$61*AX$65</f>
        <v>318.50667305415499</v>
      </c>
      <c r="AY55" s="97">
        <f>AY$61*AY$66</f>
        <v>3074</v>
      </c>
      <c r="BA55">
        <v>2017</v>
      </c>
      <c r="BB55" s="94">
        <f>'Combined Catch'!$M53</f>
        <v>132.4551282051282</v>
      </c>
      <c r="BC55" s="94">
        <f>'Combined Catch'!$G53</f>
        <v>189.82051282051282</v>
      </c>
      <c r="BD55" s="95">
        <f>'Combined Catch'!$N53</f>
        <v>322.27564102564099</v>
      </c>
      <c r="BE55" s="94">
        <f>Escapement!$D55</f>
        <v>5224</v>
      </c>
      <c r="BF55" s="94">
        <f t="shared" si="8"/>
        <v>5546.2756410256407</v>
      </c>
      <c r="BG55" s="96">
        <f t="shared" si="9"/>
        <v>5.8106675882059915E-2</v>
      </c>
      <c r="BH55" s="8"/>
      <c r="BI55" s="8"/>
      <c r="BJ55" s="8"/>
      <c r="BK55" s="8">
        <f t="shared" si="5"/>
        <v>0</v>
      </c>
    </row>
    <row r="56" spans="1:63">
      <c r="AY56" s="8">
        <f>AY$61*AY$65</f>
        <v>257.42857142857144</v>
      </c>
      <c r="BA56">
        <v>2018</v>
      </c>
      <c r="BB56" t="s">
        <v>315</v>
      </c>
      <c r="BC56" t="s">
        <v>315</v>
      </c>
      <c r="BD56" s="8">
        <v>1312.0588235294126</v>
      </c>
      <c r="BE56" s="8">
        <v>7435</v>
      </c>
      <c r="BF56" s="8">
        <f>SUM(BD56:BE56)</f>
        <v>8747.0588235294126</v>
      </c>
      <c r="BG56" s="129">
        <f t="shared" si="9"/>
        <v>0.15000000000000008</v>
      </c>
      <c r="BK56" s="8">
        <f t="shared" si="5"/>
        <v>0</v>
      </c>
    </row>
    <row r="57" spans="1:63">
      <c r="BA57">
        <v>2019</v>
      </c>
      <c r="BB57" t="s">
        <v>315</v>
      </c>
      <c r="BC57" t="s">
        <v>315</v>
      </c>
      <c r="BD57" s="8">
        <v>804.81894166100847</v>
      </c>
      <c r="BE57" s="8">
        <v>4598</v>
      </c>
      <c r="BF57" s="8">
        <f t="shared" ref="BF57:BF58" si="10">SUM(BD57:BE57)</f>
        <v>5402.8189416610085</v>
      </c>
      <c r="BG57" s="129">
        <f t="shared" si="9"/>
        <v>0.14896278227187454</v>
      </c>
      <c r="BK57" s="8">
        <f t="shared" si="5"/>
        <v>0</v>
      </c>
    </row>
    <row r="58" spans="1:63">
      <c r="BA58">
        <v>2020</v>
      </c>
      <c r="BB58" t="s">
        <v>315</v>
      </c>
      <c r="BC58" t="s">
        <v>315</v>
      </c>
      <c r="BD58" s="8">
        <v>1443.703051505001</v>
      </c>
      <c r="BE58" s="8">
        <v>8248</v>
      </c>
      <c r="BF58" s="8">
        <f t="shared" si="10"/>
        <v>9691.703051505001</v>
      </c>
      <c r="BG58" s="129">
        <f t="shared" si="9"/>
        <v>0.14896278227187448</v>
      </c>
      <c r="BK58" s="8">
        <f t="shared" si="5"/>
        <v>0</v>
      </c>
    </row>
    <row r="59" spans="1:63">
      <c r="A59" s="45" t="s">
        <v>178</v>
      </c>
      <c r="E59" s="8">
        <f>'Combined Catch'!$N11</f>
        <v>58508.99207627232</v>
      </c>
      <c r="F59" s="8">
        <f>'Combined Catch'!$N12</f>
        <v>53633.284083712904</v>
      </c>
      <c r="G59" s="60">
        <f>'Combined Catch'!$N13</f>
        <v>43444.494797690531</v>
      </c>
      <c r="H59" s="60">
        <f>'Combined Catch'!$N14</f>
        <v>11073.663336986847</v>
      </c>
      <c r="I59" s="60">
        <f>'Combined Catch'!$N15</f>
        <v>48884.633814075321</v>
      </c>
      <c r="J59" s="60">
        <f>'Combined Catch'!$N16</f>
        <v>47126.614723128485</v>
      </c>
      <c r="K59" s="60">
        <f>'Combined Catch'!$N17</f>
        <v>45973.882048643907</v>
      </c>
      <c r="L59" s="60">
        <f>'Combined Catch'!$N18</f>
        <v>14054.881000886873</v>
      </c>
      <c r="M59" s="60">
        <f>'Combined Catch'!$N19</f>
        <v>36916.362123984669</v>
      </c>
      <c r="N59" s="60">
        <f>'Combined Catch'!$N20</f>
        <v>23717.417199858832</v>
      </c>
      <c r="O59" s="60">
        <f>'Combined Catch'!$N21</f>
        <v>41128.14051366481</v>
      </c>
      <c r="P59" s="60">
        <f>'Combined Catch'!$N22</f>
        <v>24436.539767210401</v>
      </c>
      <c r="Q59" s="60">
        <f>'Combined Catch'!$N23</f>
        <v>39487.950600149867</v>
      </c>
      <c r="R59" s="60">
        <f>'Combined Catch'!$N24</f>
        <v>47040.755592254944</v>
      </c>
      <c r="S59" s="60">
        <f>'Combined Catch'!$N25</f>
        <v>14793.680827898004</v>
      </c>
      <c r="T59" s="60">
        <f>'Combined Catch'!$N26</f>
        <v>23174.142087229164</v>
      </c>
      <c r="U59" s="60">
        <f>'Combined Catch'!$N27</f>
        <v>31621.515717021204</v>
      </c>
      <c r="V59" s="60">
        <f>'Combined Catch'!$N28</f>
        <v>25820.319157965951</v>
      </c>
      <c r="W59" s="60">
        <f>'Combined Catch'!$N29</f>
        <v>14706.771180170874</v>
      </c>
      <c r="X59" s="60">
        <f>'Combined Catch'!$N30</f>
        <v>31265.771374176958</v>
      </c>
      <c r="Y59" s="60">
        <f>'Combined Catch'!$N31</f>
        <v>21904.098971263706</v>
      </c>
      <c r="Z59" s="60">
        <f>'Combined Catch'!$N32</f>
        <v>10026.000979472465</v>
      </c>
      <c r="AA59" s="60">
        <f>'Combined Catch'!$N33</f>
        <v>10438.335306547806</v>
      </c>
      <c r="AB59" s="60">
        <f>'Combined Catch'!$N34</f>
        <v>6125.589026890244</v>
      </c>
      <c r="AC59" s="60">
        <f>'Combined Catch'!$N35</f>
        <v>2082.9558201544687</v>
      </c>
      <c r="AD59" s="60">
        <f>'Combined Catch'!$N36</f>
        <v>2859.8744633273704</v>
      </c>
      <c r="AE59" s="60">
        <f>'Combined Catch'!$N37</f>
        <v>2189.4490944017562</v>
      </c>
      <c r="AF59" s="95">
        <f>'Combined Catch'!$N38</f>
        <v>2998.7383306674419</v>
      </c>
      <c r="AG59" s="95">
        <f>'Combined Catch'!$N39</f>
        <v>4759.6703467393118</v>
      </c>
      <c r="AH59" s="95">
        <f>'Combined Catch'!$N40</f>
        <v>2035.4551282051282</v>
      </c>
      <c r="AI59" s="95">
        <f>'Combined Catch'!$N41</f>
        <v>741.83680923453642</v>
      </c>
      <c r="AJ59" s="95">
        <f>'Combined Catch'!$N42</f>
        <v>816.15384615384619</v>
      </c>
      <c r="AK59" s="95">
        <f>'Combined Catch'!$N43</f>
        <v>423.00320512820508</v>
      </c>
      <c r="AL59" s="95">
        <f>'Combined Catch'!$N44</f>
        <v>423.33653846153845</v>
      </c>
      <c r="AM59" s="95">
        <f>'Combined Catch'!$N45</f>
        <v>1040.2580128205127</v>
      </c>
      <c r="AN59" s="95">
        <f>'Combined Catch'!$N46</f>
        <v>231.33333333333334</v>
      </c>
      <c r="AO59" s="95">
        <f>'Combined Catch'!$N47</f>
        <v>323.30769230769232</v>
      </c>
      <c r="AP59" s="95">
        <f>'Combined Catch'!$N48</f>
        <v>891.83333333333337</v>
      </c>
      <c r="AQ59" s="95">
        <f>'Combined Catch'!$N49</f>
        <v>573.34455128205127</v>
      </c>
      <c r="AR59" s="95">
        <f>'Combined Catch'!$N50</f>
        <v>458.94871794871796</v>
      </c>
      <c r="AS59" s="95">
        <f>'Combined Catch'!$N51</f>
        <v>734.69230769230762</v>
      </c>
      <c r="AT59" s="95">
        <f>'Combined Catch'!$N52</f>
        <v>1153.3541666666665</v>
      </c>
      <c r="AU59" s="95">
        <f>'Combined Catch'!$N53</f>
        <v>322.27564102564099</v>
      </c>
      <c r="AV59" s="135">
        <v>1312.0588235294126</v>
      </c>
      <c r="AW59" s="135">
        <v>804.81894166100847</v>
      </c>
      <c r="AX59" s="135">
        <v>1443.703051505001</v>
      </c>
      <c r="AY59" s="135">
        <v>800</v>
      </c>
      <c r="BA59" s="126">
        <v>2021</v>
      </c>
      <c r="BB59" s="126"/>
      <c r="BC59" s="126"/>
      <c r="BD59" s="126"/>
      <c r="BE59" s="126"/>
      <c r="BF59" s="126"/>
      <c r="BG59" s="127"/>
      <c r="BH59" s="126"/>
      <c r="BI59" s="126"/>
      <c r="BJ59" s="126"/>
      <c r="BK59" s="135">
        <f t="shared" si="5"/>
        <v>0</v>
      </c>
    </row>
    <row r="60" spans="1:63">
      <c r="A60" s="45" t="s">
        <v>179</v>
      </c>
      <c r="D60" s="8">
        <f>Escapement!$D$12</f>
        <v>55000</v>
      </c>
      <c r="E60">
        <v>45000</v>
      </c>
      <c r="F60">
        <v>30000</v>
      </c>
      <c r="G60">
        <v>30000</v>
      </c>
      <c r="H60">
        <v>20000</v>
      </c>
      <c r="I60">
        <v>18000</v>
      </c>
      <c r="J60">
        <v>24000</v>
      </c>
      <c r="K60">
        <v>40000</v>
      </c>
      <c r="L60">
        <v>20000</v>
      </c>
      <c r="M60">
        <v>25000</v>
      </c>
      <c r="N60">
        <v>45000</v>
      </c>
      <c r="O60">
        <v>50000</v>
      </c>
      <c r="P60">
        <v>19975</v>
      </c>
      <c r="Q60">
        <v>30780</v>
      </c>
      <c r="R60">
        <v>30000</v>
      </c>
      <c r="S60">
        <v>15000</v>
      </c>
      <c r="T60">
        <v>20000</v>
      </c>
      <c r="U60">
        <v>52500</v>
      </c>
      <c r="V60">
        <v>41000</v>
      </c>
      <c r="W60">
        <v>15000</v>
      </c>
      <c r="X60">
        <v>25000</v>
      </c>
      <c r="Y60">
        <v>55000</v>
      </c>
      <c r="Z60">
        <v>45000</v>
      </c>
      <c r="AA60">
        <v>20000</v>
      </c>
      <c r="AB60">
        <v>30000</v>
      </c>
      <c r="AC60">
        <v>25000</v>
      </c>
      <c r="AD60">
        <v>15000</v>
      </c>
      <c r="AE60">
        <v>30000</v>
      </c>
      <c r="AF60">
        <v>50000</v>
      </c>
      <c r="AG60">
        <v>18000</v>
      </c>
      <c r="AH60">
        <v>25000</v>
      </c>
      <c r="AI60">
        <v>6000</v>
      </c>
      <c r="AJ60">
        <v>6000</v>
      </c>
      <c r="AK60">
        <v>1200</v>
      </c>
      <c r="AL60">
        <v>900</v>
      </c>
      <c r="AM60">
        <v>3500</v>
      </c>
      <c r="AN60">
        <v>2300</v>
      </c>
      <c r="AO60">
        <v>1500</v>
      </c>
      <c r="AP60">
        <v>3000</v>
      </c>
      <c r="AQ60">
        <v>1500</v>
      </c>
      <c r="AR60">
        <v>2500</v>
      </c>
      <c r="AS60">
        <v>11194</v>
      </c>
      <c r="AT60">
        <v>6940</v>
      </c>
      <c r="AU60">
        <v>5224</v>
      </c>
      <c r="AV60" s="8">
        <v>7435</v>
      </c>
      <c r="AW60" s="8">
        <v>4598</v>
      </c>
      <c r="AX60" s="8">
        <v>8248</v>
      </c>
      <c r="AY60" s="135">
        <v>4500</v>
      </c>
      <c r="BA60" s="126">
        <v>2022</v>
      </c>
      <c r="BB60" s="126"/>
      <c r="BC60" s="126"/>
      <c r="BD60" s="126"/>
      <c r="BE60" s="126"/>
      <c r="BF60" s="126"/>
      <c r="BG60" s="127"/>
      <c r="BH60" s="126"/>
      <c r="BI60" s="126"/>
      <c r="BJ60" s="126"/>
      <c r="BK60" s="135">
        <f t="shared" si="5"/>
        <v>0</v>
      </c>
    </row>
    <row r="61" spans="1:63">
      <c r="A61" s="45" t="s">
        <v>180</v>
      </c>
      <c r="D61" s="8">
        <f t="shared" ref="D61:AU61" si="11">SUM(D59:D60)</f>
        <v>55000</v>
      </c>
      <c r="E61" s="8">
        <f t="shared" si="11"/>
        <v>103508.99207627232</v>
      </c>
      <c r="F61" s="8">
        <f t="shared" si="11"/>
        <v>83633.284083712904</v>
      </c>
      <c r="G61" s="8">
        <f t="shared" si="11"/>
        <v>73444.494797690539</v>
      </c>
      <c r="H61" s="8">
        <f t="shared" si="11"/>
        <v>31073.663336986847</v>
      </c>
      <c r="I61" s="8">
        <f t="shared" si="11"/>
        <v>66884.633814075321</v>
      </c>
      <c r="J61" s="8">
        <f t="shared" si="11"/>
        <v>71126.614723128485</v>
      </c>
      <c r="K61" s="8">
        <f t="shared" si="11"/>
        <v>85973.882048643907</v>
      </c>
      <c r="L61" s="8">
        <f t="shared" si="11"/>
        <v>34054.881000886875</v>
      </c>
      <c r="M61" s="8">
        <f t="shared" si="11"/>
        <v>61916.362123984669</v>
      </c>
      <c r="N61" s="8">
        <f t="shared" si="11"/>
        <v>68717.417199858828</v>
      </c>
      <c r="O61" s="8">
        <f t="shared" si="11"/>
        <v>91128.14051366481</v>
      </c>
      <c r="P61" s="8">
        <f t="shared" si="11"/>
        <v>44411.539767210401</v>
      </c>
      <c r="Q61" s="8">
        <f t="shared" si="11"/>
        <v>70267.950600149867</v>
      </c>
      <c r="R61" s="8">
        <f t="shared" si="11"/>
        <v>77040.755592254951</v>
      </c>
      <c r="S61" s="8">
        <f t="shared" si="11"/>
        <v>29793.680827898002</v>
      </c>
      <c r="T61" s="8">
        <f t="shared" si="11"/>
        <v>43174.142087229164</v>
      </c>
      <c r="U61" s="8">
        <f t="shared" si="11"/>
        <v>84121.515717021204</v>
      </c>
      <c r="V61" s="8">
        <f t="shared" si="11"/>
        <v>66820.319157965947</v>
      </c>
      <c r="W61" s="8">
        <f t="shared" si="11"/>
        <v>29706.771180170872</v>
      </c>
      <c r="X61" s="8">
        <f t="shared" si="11"/>
        <v>56265.771374176955</v>
      </c>
      <c r="Y61" s="8">
        <f t="shared" si="11"/>
        <v>76904.098971263709</v>
      </c>
      <c r="Z61" s="8">
        <f t="shared" si="11"/>
        <v>55026.000979472461</v>
      </c>
      <c r="AA61" s="8">
        <f t="shared" si="11"/>
        <v>30438.335306547808</v>
      </c>
      <c r="AB61" s="8">
        <f t="shared" si="11"/>
        <v>36125.589026890244</v>
      </c>
      <c r="AC61" s="8">
        <f t="shared" si="11"/>
        <v>27082.955820154468</v>
      </c>
      <c r="AD61" s="8">
        <f t="shared" si="11"/>
        <v>17859.874463327371</v>
      </c>
      <c r="AE61" s="8">
        <f t="shared" si="11"/>
        <v>32189.449094401756</v>
      </c>
      <c r="AF61" s="8">
        <f t="shared" si="11"/>
        <v>52998.738330667446</v>
      </c>
      <c r="AG61" s="8">
        <f t="shared" si="11"/>
        <v>22759.670346739313</v>
      </c>
      <c r="AH61" s="8">
        <f t="shared" si="11"/>
        <v>27035.455128205129</v>
      </c>
      <c r="AI61" s="8">
        <f t="shared" si="11"/>
        <v>6741.8368092345363</v>
      </c>
      <c r="AJ61" s="8">
        <f t="shared" si="11"/>
        <v>6816.1538461538457</v>
      </c>
      <c r="AK61" s="8">
        <f t="shared" si="11"/>
        <v>1623.0032051282051</v>
      </c>
      <c r="AL61" s="8">
        <f t="shared" si="11"/>
        <v>1323.3365384615386</v>
      </c>
      <c r="AM61" s="8">
        <f t="shared" si="11"/>
        <v>4540.2580128205127</v>
      </c>
      <c r="AN61" s="8">
        <f t="shared" si="11"/>
        <v>2531.3333333333335</v>
      </c>
      <c r="AO61" s="8">
        <f t="shared" si="11"/>
        <v>1823.3076923076924</v>
      </c>
      <c r="AP61" s="8">
        <f t="shared" si="11"/>
        <v>3891.8333333333335</v>
      </c>
      <c r="AQ61" s="8">
        <f t="shared" si="11"/>
        <v>2073.3445512820513</v>
      </c>
      <c r="AR61" s="8">
        <f t="shared" si="11"/>
        <v>2958.9487179487178</v>
      </c>
      <c r="AS61" s="8">
        <f t="shared" si="11"/>
        <v>11928.692307692309</v>
      </c>
      <c r="AT61" s="8">
        <f t="shared" si="11"/>
        <v>8093.3541666666661</v>
      </c>
      <c r="AU61" s="8">
        <f t="shared" si="11"/>
        <v>5546.2756410256407</v>
      </c>
      <c r="AV61" s="8">
        <v>8747.0588235294126</v>
      </c>
      <c r="AW61" s="8">
        <v>5402.8189416610085</v>
      </c>
      <c r="AX61" s="8">
        <v>9691.703051505001</v>
      </c>
      <c r="AY61" s="126">
        <f>SUM(AY59:AY60)</f>
        <v>5300</v>
      </c>
    </row>
    <row r="63" spans="1:63" ht="13.8">
      <c r="BB63" s="128"/>
      <c r="BC63" s="8"/>
      <c r="BD63" s="128"/>
    </row>
    <row r="64" spans="1:63">
      <c r="A64" s="44" t="s">
        <v>261</v>
      </c>
      <c r="BD64" s="8"/>
    </row>
    <row r="65" spans="1:56">
      <c r="C65" s="47" t="s">
        <v>181</v>
      </c>
      <c r="D65" s="29">
        <f>Age!X6</f>
        <v>0.13541666666666666</v>
      </c>
      <c r="E65" s="46">
        <f>Age!AD7</f>
        <v>6.2618182311531545E-2</v>
      </c>
      <c r="F65" s="29">
        <f>Age!R8</f>
        <v>0</v>
      </c>
      <c r="G65" s="29">
        <f>Age!R9</f>
        <v>3.0769230769230771E-2</v>
      </c>
      <c r="H65" s="29">
        <f>Age!R10</f>
        <v>1.936619718309859E-2</v>
      </c>
      <c r="I65" s="29">
        <f>Age!R11</f>
        <v>5.2023121387283239E-2</v>
      </c>
      <c r="J65" s="29">
        <f>Age!R12</f>
        <v>5.8375634517766499E-2</v>
      </c>
      <c r="K65" s="29">
        <f>Age!R13</f>
        <v>3.9735099337748346E-2</v>
      </c>
      <c r="L65" s="29">
        <f>Age!R14</f>
        <v>1.8181818181818181E-2</v>
      </c>
      <c r="M65" s="29">
        <f>Age!R15</f>
        <v>2.0270270270270271E-2</v>
      </c>
      <c r="N65" s="29">
        <f>Age!R16</f>
        <v>4.0322580645161289E-2</v>
      </c>
      <c r="O65" s="29">
        <f>Age!R17</f>
        <v>4.6948356807511738E-3</v>
      </c>
      <c r="P65" s="29">
        <f>Age!R18</f>
        <v>0</v>
      </c>
      <c r="Q65" s="29">
        <f>Age!R19</f>
        <v>5.0761421319796954E-2</v>
      </c>
      <c r="R65" s="29">
        <f>Age!R20</f>
        <v>2.9520295202952029E-2</v>
      </c>
      <c r="S65" s="29">
        <f>Age!R21</f>
        <v>0.31632653061224492</v>
      </c>
      <c r="T65" s="29">
        <f>Age!R22</f>
        <v>0.17727272727272728</v>
      </c>
      <c r="U65" s="29">
        <f>Age!R23</f>
        <v>0.11221945137157108</v>
      </c>
      <c r="V65" s="29">
        <f>Age!R24</f>
        <v>1.2987012987012988E-2</v>
      </c>
      <c r="W65" s="46">
        <f>Age!AD25</f>
        <v>6.2618182311531545E-2</v>
      </c>
      <c r="X65" s="46">
        <f>Age!AD26</f>
        <v>6.2618182311531545E-2</v>
      </c>
      <c r="Y65" s="46">
        <f>Age!AD27</f>
        <v>6.2618182311531545E-2</v>
      </c>
      <c r="Z65" s="46">
        <f>Age!AD28</f>
        <v>6.2618182311531545E-2</v>
      </c>
      <c r="AA65" s="29">
        <f>Age!X29</f>
        <v>0.35714285714285715</v>
      </c>
      <c r="AB65" s="46">
        <f>Age!AD30</f>
        <v>6.2618182311531545E-2</v>
      </c>
      <c r="AC65" s="29">
        <f>Age!R31</f>
        <v>0.25233644859813081</v>
      </c>
      <c r="AD65" s="46">
        <f>Age!AD32</f>
        <v>6.2618182311531545E-2</v>
      </c>
      <c r="AE65" s="46">
        <f>Age!AD33</f>
        <v>6.2618182311531545E-2</v>
      </c>
      <c r="AF65" s="46">
        <f>Age!AD34</f>
        <v>6.2618182311531545E-2</v>
      </c>
      <c r="AG65" s="29">
        <f>Age!R35</f>
        <v>6.5326633165829151E-2</v>
      </c>
      <c r="AH65" s="46">
        <f>Age!AD36</f>
        <v>6.2618182311531545E-2</v>
      </c>
      <c r="AI65" s="29">
        <f>Age!R37</f>
        <v>7.1856287425149698E-2</v>
      </c>
      <c r="AJ65" s="29">
        <f>Age!R38</f>
        <v>1.7543859649122806E-2</v>
      </c>
      <c r="AK65" s="121" t="str">
        <f>Age!X39</f>
        <v>19%</v>
      </c>
      <c r="AL65" s="122" t="s">
        <v>299</v>
      </c>
      <c r="AM65" s="123">
        <v>0.04</v>
      </c>
      <c r="AN65" s="123">
        <v>0.04</v>
      </c>
      <c r="AO65" s="123">
        <v>0.09</v>
      </c>
      <c r="AP65" s="123">
        <v>0.03</v>
      </c>
      <c r="AQ65" s="123">
        <v>7.0000000000000007E-2</v>
      </c>
      <c r="AR65" s="123">
        <v>0.51</v>
      </c>
      <c r="AS65" s="123">
        <v>0.02</v>
      </c>
      <c r="AT65" s="123">
        <v>0.05</v>
      </c>
      <c r="AU65" s="123">
        <v>8.1917824451280624E-2</v>
      </c>
      <c r="AV65" s="123">
        <v>1.2711864406779662E-2</v>
      </c>
      <c r="AW65" s="123">
        <v>0</v>
      </c>
      <c r="AX65" s="123">
        <v>3.2863849765258218E-2</v>
      </c>
      <c r="AY65" s="123">
        <v>4.8571428571428571E-2</v>
      </c>
      <c r="BD65" s="8"/>
    </row>
    <row r="66" spans="1:56">
      <c r="C66" s="47" t="s">
        <v>182</v>
      </c>
      <c r="D66" s="29">
        <f>Age!Y6</f>
        <v>0.609375</v>
      </c>
      <c r="E66" s="46">
        <f>Age!AE7</f>
        <v>0.66352616164202827</v>
      </c>
      <c r="F66" s="29">
        <f>Age!S8</f>
        <v>0.46153846153846156</v>
      </c>
      <c r="G66" s="29">
        <f>Age!S9</f>
        <v>0.90256410256410258</v>
      </c>
      <c r="H66" s="29">
        <f>Age!S10</f>
        <v>0.57042253521126762</v>
      </c>
      <c r="I66" s="29">
        <f>Age!S11</f>
        <v>0.61849710982658956</v>
      </c>
      <c r="J66" s="29">
        <f>Age!S12</f>
        <v>0.78680203045685282</v>
      </c>
      <c r="K66" s="29">
        <f>Age!S13</f>
        <v>0.66887417218543044</v>
      </c>
      <c r="L66" s="29">
        <f>Age!S14</f>
        <v>0.65454545454545454</v>
      </c>
      <c r="M66" s="29">
        <f>Age!S15</f>
        <v>0.56756756756756754</v>
      </c>
      <c r="N66" s="29">
        <f>Age!S16</f>
        <v>0.62096774193548387</v>
      </c>
      <c r="O66" s="29">
        <f>Age!S17</f>
        <v>0.52112676056338025</v>
      </c>
      <c r="P66" s="29">
        <f>Age!S18</f>
        <v>0.68715083798882681</v>
      </c>
      <c r="Q66" s="29">
        <f>Age!S19</f>
        <v>0.68527918781725883</v>
      </c>
      <c r="R66" s="29">
        <f>Age!S20</f>
        <v>0.76014760147601479</v>
      </c>
      <c r="S66" s="29">
        <f>Age!S21</f>
        <v>0.56122448979591832</v>
      </c>
      <c r="T66" s="29">
        <f>Age!S22</f>
        <v>0.65</v>
      </c>
      <c r="U66" s="29">
        <f>Age!S23</f>
        <v>0.78802992518703241</v>
      </c>
      <c r="V66" s="29">
        <f>Age!S24</f>
        <v>0.72727272727272729</v>
      </c>
      <c r="W66" s="46">
        <f>Age!AE25</f>
        <v>0.66352616164202827</v>
      </c>
      <c r="X66" s="46">
        <f>Age!AE26</f>
        <v>0.66352616164202827</v>
      </c>
      <c r="Y66" s="46">
        <f>Age!AE27</f>
        <v>0.66352616164202827</v>
      </c>
      <c r="Z66" s="46">
        <f>Age!AE28</f>
        <v>0.66352616164202827</v>
      </c>
      <c r="AA66" s="29">
        <f>Age!Y29</f>
        <v>0.48571428571428571</v>
      </c>
      <c r="AB66" s="46">
        <f>Age!AE30</f>
        <v>0.66352616164202827</v>
      </c>
      <c r="AC66" s="29">
        <f>Age!S31</f>
        <v>0.58878504672897192</v>
      </c>
      <c r="AD66" s="46">
        <f>Age!AE32</f>
        <v>0.66352616164202827</v>
      </c>
      <c r="AE66" s="46">
        <f>Age!AE33</f>
        <v>0.66352616164202827</v>
      </c>
      <c r="AF66" s="46">
        <f>Age!AE34</f>
        <v>0.66352616164202827</v>
      </c>
      <c r="AG66" s="29">
        <f>Age!S35</f>
        <v>0.59296482412060303</v>
      </c>
      <c r="AH66" s="46">
        <f>Age!AE36</f>
        <v>0.66352616164202827</v>
      </c>
      <c r="AI66" s="29">
        <f>Age!S37</f>
        <v>0.49700598802395207</v>
      </c>
      <c r="AJ66" s="29">
        <f>Age!S38</f>
        <v>0.77192982456140347</v>
      </c>
      <c r="AK66" s="121" t="str">
        <f>Age!Y39</f>
        <v>30%</v>
      </c>
      <c r="AL66" s="123">
        <v>0.75</v>
      </c>
      <c r="AM66" s="123">
        <v>0.6</v>
      </c>
      <c r="AN66" s="123">
        <v>0.56000000000000005</v>
      </c>
      <c r="AO66" s="123">
        <v>0.68</v>
      </c>
      <c r="AP66" s="123">
        <v>0.82</v>
      </c>
      <c r="AQ66" s="123">
        <v>0.52</v>
      </c>
      <c r="AR66" s="123">
        <v>0.18</v>
      </c>
      <c r="AS66" s="123">
        <v>0.92</v>
      </c>
      <c r="AT66" s="123">
        <v>0.72</v>
      </c>
      <c r="AU66" s="123">
        <f>AVERAGE(D66:AT66)</f>
        <v>0.64673922122623506</v>
      </c>
      <c r="AV66" s="123">
        <v>0.79661016949152541</v>
      </c>
      <c r="AW66" s="123">
        <v>0.73469387755102045</v>
      </c>
      <c r="AX66" s="123">
        <v>0.92488262910798125</v>
      </c>
      <c r="AY66" s="123">
        <v>0.57999999999999996</v>
      </c>
      <c r="BD66" s="8"/>
    </row>
    <row r="67" spans="1:56">
      <c r="C67" s="47" t="s">
        <v>183</v>
      </c>
      <c r="D67" s="29">
        <f>Age!Z6</f>
        <v>0.25</v>
      </c>
      <c r="E67" s="46">
        <f>Age!AF7</f>
        <v>0.26756814508675325</v>
      </c>
      <c r="F67" s="29">
        <f>Age!T8</f>
        <v>0.53846153846153844</v>
      </c>
      <c r="G67" s="29">
        <f>Age!T9</f>
        <v>6.6666666666666666E-2</v>
      </c>
      <c r="H67" s="29">
        <f>Age!T10</f>
        <v>0.40316901408450706</v>
      </c>
      <c r="I67" s="29">
        <f>Age!T11</f>
        <v>0.32947976878612717</v>
      </c>
      <c r="J67" s="29">
        <f>Age!T12</f>
        <v>0.15228426395939088</v>
      </c>
      <c r="K67" s="29">
        <f>Age!T13</f>
        <v>0.29139072847682118</v>
      </c>
      <c r="L67" s="29">
        <f>Age!T14</f>
        <v>0.32727272727272727</v>
      </c>
      <c r="M67" s="29">
        <f>Age!T15</f>
        <v>0.40540540540540543</v>
      </c>
      <c r="N67" s="29">
        <f>Age!T16</f>
        <v>0.33870967741935482</v>
      </c>
      <c r="O67" s="29">
        <f>Age!T17</f>
        <v>0.46948356807511737</v>
      </c>
      <c r="P67" s="29">
        <f>Age!T18</f>
        <v>0.30726256983240224</v>
      </c>
      <c r="Q67" s="29">
        <f>Age!T19</f>
        <v>0.24365482233502539</v>
      </c>
      <c r="R67" s="29">
        <f>Age!T20</f>
        <v>0.20664206642066421</v>
      </c>
      <c r="S67" s="29">
        <f>Age!T21</f>
        <v>0.12244897959183673</v>
      </c>
      <c r="T67" s="29">
        <f>Age!T22</f>
        <v>0.16363636363636364</v>
      </c>
      <c r="U67" s="29">
        <f>Age!T23</f>
        <v>9.9750623441396513E-2</v>
      </c>
      <c r="V67" s="29">
        <f>Age!T24</f>
        <v>0.25974025974025972</v>
      </c>
      <c r="W67" s="46">
        <f>Age!AF25</f>
        <v>0.26756814508675325</v>
      </c>
      <c r="X67" s="46">
        <f>Age!AF26</f>
        <v>0.26756814508675325</v>
      </c>
      <c r="Y67" s="46">
        <f>Age!AF27</f>
        <v>0.26756814508675325</v>
      </c>
      <c r="Z67" s="46">
        <f>Age!AF28</f>
        <v>0.26756814508675325</v>
      </c>
      <c r="AA67" s="29">
        <f>Age!Z29</f>
        <v>0.12857142857142856</v>
      </c>
      <c r="AB67" s="46">
        <f>Age!AF30</f>
        <v>0.26756814508675325</v>
      </c>
      <c r="AC67" s="29">
        <f>Age!T31</f>
        <v>0.15887850467289719</v>
      </c>
      <c r="AD67" s="46">
        <f>Age!AF32</f>
        <v>0.26756814508675325</v>
      </c>
      <c r="AE67" s="46">
        <f>Age!AF33</f>
        <v>0.26756814508675325</v>
      </c>
      <c r="AF67" s="46">
        <f>Age!AF34</f>
        <v>0.26756814508675325</v>
      </c>
      <c r="AG67" s="29">
        <f>Age!T35</f>
        <v>0.33165829145728642</v>
      </c>
      <c r="AH67" s="46">
        <f>Age!AF36</f>
        <v>0.26756814508675325</v>
      </c>
      <c r="AI67" s="29">
        <f>Age!T37</f>
        <v>0.3772455089820359</v>
      </c>
      <c r="AJ67" s="29">
        <f>Age!T38</f>
        <v>0.19298245614035087</v>
      </c>
      <c r="AK67" s="121" t="str">
        <f>Age!Z39</f>
        <v>37%</v>
      </c>
      <c r="AL67" s="123">
        <v>0.1</v>
      </c>
      <c r="AM67" s="123">
        <v>0.36</v>
      </c>
      <c r="AN67" s="123">
        <v>0.4</v>
      </c>
      <c r="AO67" s="123">
        <v>0.23</v>
      </c>
      <c r="AP67" s="123">
        <v>0.15</v>
      </c>
      <c r="AQ67" s="123">
        <v>0.41</v>
      </c>
      <c r="AR67" s="123">
        <v>0.31</v>
      </c>
      <c r="AS67" s="123">
        <v>0.06</v>
      </c>
      <c r="AT67" s="123">
        <v>0.23</v>
      </c>
      <c r="AU67" s="123">
        <f>AVERAGE(D67:AT67)</f>
        <v>0.26405896867374129</v>
      </c>
      <c r="AV67" s="123">
        <v>0.19067796610169491</v>
      </c>
      <c r="AW67" s="123">
        <v>0.26530612244897961</v>
      </c>
      <c r="AX67" s="123">
        <v>4.2253521126760563E-2</v>
      </c>
      <c r="AY67" s="123">
        <v>0.37142857142857144</v>
      </c>
    </row>
    <row r="68" spans="1:56">
      <c r="A68" t="s">
        <v>191</v>
      </c>
    </row>
    <row r="69" spans="1:56">
      <c r="A69" s="45" t="s">
        <v>190</v>
      </c>
      <c r="AK69" s="44" t="s">
        <v>252</v>
      </c>
    </row>
    <row r="70" spans="1:56">
      <c r="AK70" s="44" t="s">
        <v>254</v>
      </c>
    </row>
    <row r="71" spans="1:56">
      <c r="A71" s="7"/>
      <c r="B71" t="s">
        <v>165</v>
      </c>
    </row>
    <row r="72" spans="1:56">
      <c r="A72" s="4"/>
      <c r="B72" t="s">
        <v>166</v>
      </c>
    </row>
    <row r="73" spans="1:56">
      <c r="A73" s="34"/>
      <c r="B73" t="s">
        <v>167</v>
      </c>
      <c r="AK73" t="s">
        <v>311</v>
      </c>
    </row>
    <row r="74" spans="1:56">
      <c r="A74" s="39"/>
      <c r="B74" t="s">
        <v>171</v>
      </c>
    </row>
    <row r="75" spans="1:56">
      <c r="A75" s="33"/>
      <c r="B75" t="s">
        <v>188</v>
      </c>
    </row>
    <row r="76" spans="1:56">
      <c r="B76" t="s">
        <v>195</v>
      </c>
      <c r="AK76" s="124"/>
      <c r="AL76" t="s">
        <v>312</v>
      </c>
    </row>
    <row r="79" spans="1:56">
      <c r="A79" s="125" t="s">
        <v>314</v>
      </c>
    </row>
  </sheetData>
  <phoneticPr fontId="3" type="noConversion"/>
  <pageMargins left="0.75" right="0.75" top="1" bottom="1" header="0.5" footer="0.5"/>
  <pageSetup orientation="portrait" horizontalDpi="4294967293"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83"/>
  <sheetViews>
    <sheetView zoomScale="75" workbookViewId="0">
      <selection activeCell="A34" sqref="A34"/>
    </sheetView>
  </sheetViews>
  <sheetFormatPr defaultColWidth="8" defaultRowHeight="15"/>
  <cols>
    <col min="1" max="16384" width="8" style="66"/>
  </cols>
  <sheetData>
    <row r="1" spans="1:41" ht="15.6">
      <c r="A1" s="65" t="s">
        <v>230</v>
      </c>
    </row>
    <row r="2" spans="1:41">
      <c r="A2" s="66" t="s">
        <v>231</v>
      </c>
      <c r="AG2" s="66" t="s">
        <v>268</v>
      </c>
    </row>
    <row r="4" spans="1:41">
      <c r="B4" s="67" t="s">
        <v>232</v>
      </c>
      <c r="C4" s="68">
        <v>1977</v>
      </c>
      <c r="D4" s="66">
        <f t="shared" ref="D4:AF4" si="0">C4+1</f>
        <v>1978</v>
      </c>
      <c r="E4" s="66">
        <f t="shared" si="0"/>
        <v>1979</v>
      </c>
      <c r="F4" s="66">
        <f t="shared" si="0"/>
        <v>1980</v>
      </c>
      <c r="G4" s="66">
        <f t="shared" si="0"/>
        <v>1981</v>
      </c>
      <c r="H4" s="66">
        <f t="shared" si="0"/>
        <v>1982</v>
      </c>
      <c r="I4" s="66">
        <f t="shared" si="0"/>
        <v>1983</v>
      </c>
      <c r="J4" s="66">
        <f t="shared" si="0"/>
        <v>1984</v>
      </c>
      <c r="K4" s="66">
        <f t="shared" si="0"/>
        <v>1985</v>
      </c>
      <c r="L4" s="66">
        <f t="shared" si="0"/>
        <v>1986</v>
      </c>
      <c r="M4" s="66">
        <f t="shared" si="0"/>
        <v>1987</v>
      </c>
      <c r="N4" s="66">
        <f t="shared" si="0"/>
        <v>1988</v>
      </c>
      <c r="O4" s="66">
        <f t="shared" si="0"/>
        <v>1989</v>
      </c>
      <c r="P4" s="66">
        <f t="shared" si="0"/>
        <v>1990</v>
      </c>
      <c r="Q4" s="66">
        <f t="shared" si="0"/>
        <v>1991</v>
      </c>
      <c r="R4" s="66">
        <f t="shared" si="0"/>
        <v>1992</v>
      </c>
      <c r="S4" s="66">
        <f t="shared" si="0"/>
        <v>1993</v>
      </c>
      <c r="T4" s="66">
        <f t="shared" si="0"/>
        <v>1994</v>
      </c>
      <c r="U4" s="66">
        <f t="shared" si="0"/>
        <v>1995</v>
      </c>
      <c r="V4" s="66">
        <f t="shared" si="0"/>
        <v>1996</v>
      </c>
      <c r="W4" s="66">
        <f t="shared" si="0"/>
        <v>1997</v>
      </c>
      <c r="X4" s="66">
        <f t="shared" si="0"/>
        <v>1998</v>
      </c>
      <c r="Y4" s="66">
        <f t="shared" si="0"/>
        <v>1999</v>
      </c>
      <c r="Z4" s="66">
        <f t="shared" si="0"/>
        <v>2000</v>
      </c>
      <c r="AA4" s="66">
        <f t="shared" si="0"/>
        <v>2001</v>
      </c>
      <c r="AB4" s="66">
        <f t="shared" si="0"/>
        <v>2002</v>
      </c>
      <c r="AC4" s="66">
        <f t="shared" si="0"/>
        <v>2003</v>
      </c>
      <c r="AD4" s="66">
        <f t="shared" si="0"/>
        <v>2004</v>
      </c>
      <c r="AE4" s="66">
        <f t="shared" si="0"/>
        <v>2005</v>
      </c>
      <c r="AF4" s="66">
        <f t="shared" si="0"/>
        <v>2006</v>
      </c>
      <c r="AG4" s="66">
        <v>2007</v>
      </c>
      <c r="AH4" s="66">
        <v>2008</v>
      </c>
      <c r="AI4" s="66">
        <v>2009</v>
      </c>
      <c r="AJ4" s="66">
        <v>2010</v>
      </c>
      <c r="AK4" s="66">
        <v>2011</v>
      </c>
      <c r="AL4" s="66">
        <v>2012</v>
      </c>
      <c r="AM4" s="66">
        <v>2013</v>
      </c>
      <c r="AN4" s="66">
        <v>2014</v>
      </c>
      <c r="AO4" s="66">
        <v>2015</v>
      </c>
    </row>
    <row r="5" spans="1:41">
      <c r="B5" s="68">
        <v>1</v>
      </c>
      <c r="C5" s="68"/>
      <c r="D5" s="68"/>
      <c r="E5" s="68"/>
      <c r="F5" s="68"/>
      <c r="G5" s="68"/>
      <c r="H5" s="68"/>
      <c r="I5" s="68"/>
      <c r="J5" s="68"/>
      <c r="K5" s="68"/>
      <c r="L5" s="68"/>
      <c r="M5" s="68"/>
      <c r="N5" s="68"/>
      <c r="O5" s="68"/>
      <c r="P5" s="68"/>
      <c r="R5" s="68"/>
      <c r="S5" s="68"/>
    </row>
    <row r="6" spans="1:41">
      <c r="B6" s="68">
        <v>2</v>
      </c>
      <c r="C6" s="68"/>
      <c r="D6" s="68"/>
      <c r="E6" s="68"/>
      <c r="F6" s="68"/>
      <c r="G6" s="68"/>
      <c r="H6" s="68"/>
      <c r="I6" s="68"/>
      <c r="J6" s="68"/>
      <c r="K6" s="68"/>
      <c r="L6" s="68"/>
      <c r="M6" s="68"/>
      <c r="N6" s="68"/>
      <c r="O6" s="68"/>
      <c r="P6" s="68"/>
      <c r="R6" s="68"/>
      <c r="S6" s="68"/>
    </row>
    <row r="7" spans="1:41">
      <c r="B7" s="68">
        <v>3</v>
      </c>
      <c r="C7" s="68"/>
      <c r="D7" s="68"/>
      <c r="E7" s="68"/>
      <c r="F7" s="68"/>
      <c r="G7" s="68"/>
      <c r="H7" s="68"/>
      <c r="I7" s="68"/>
      <c r="J7" s="68"/>
      <c r="K7" s="68"/>
      <c r="L7" s="68"/>
      <c r="M7" s="68"/>
      <c r="N7" s="68"/>
      <c r="O7" s="68"/>
      <c r="P7" s="68"/>
      <c r="R7" s="68"/>
      <c r="S7" s="68"/>
    </row>
    <row r="8" spans="1:41">
      <c r="B8" s="68">
        <v>4</v>
      </c>
      <c r="C8" s="68"/>
      <c r="D8" s="68"/>
      <c r="E8" s="68"/>
      <c r="F8" s="68"/>
      <c r="G8" s="68"/>
      <c r="H8" s="68"/>
      <c r="I8" s="68"/>
      <c r="J8" s="68"/>
      <c r="K8" s="68"/>
      <c r="L8" s="68"/>
      <c r="M8" s="68"/>
      <c r="N8" s="68"/>
      <c r="O8" s="68"/>
      <c r="P8" s="68"/>
      <c r="R8" s="68"/>
      <c r="S8" s="68"/>
    </row>
    <row r="9" spans="1:41">
      <c r="B9" s="68">
        <v>5</v>
      </c>
      <c r="C9" s="68"/>
      <c r="D9" s="68"/>
      <c r="E9" s="68"/>
      <c r="F9" s="68"/>
      <c r="G9" s="68"/>
      <c r="H9" s="68"/>
      <c r="I9" s="68"/>
      <c r="J9" s="68"/>
      <c r="K9" s="68"/>
      <c r="L9" s="68"/>
      <c r="M9" s="68"/>
      <c r="N9" s="68"/>
      <c r="O9" s="68"/>
      <c r="P9" s="68"/>
      <c r="R9" s="68"/>
      <c r="S9" s="68"/>
    </row>
    <row r="10" spans="1:41">
      <c r="B10" s="68">
        <v>6</v>
      </c>
      <c r="C10" s="68"/>
      <c r="D10" s="68"/>
      <c r="E10" s="68"/>
      <c r="F10" s="68"/>
      <c r="G10" s="68"/>
      <c r="H10" s="68"/>
      <c r="I10" s="68"/>
      <c r="J10" s="68"/>
      <c r="K10" s="68"/>
      <c r="L10" s="68"/>
      <c r="M10" s="68"/>
      <c r="N10" s="68"/>
      <c r="O10" s="68"/>
      <c r="P10" s="68"/>
      <c r="R10" s="68"/>
      <c r="S10" s="68"/>
    </row>
    <row r="11" spans="1:41">
      <c r="B11" s="68">
        <v>7</v>
      </c>
      <c r="C11" s="68"/>
      <c r="D11" s="68"/>
      <c r="E11" s="68"/>
      <c r="F11" s="68"/>
      <c r="G11" s="68"/>
      <c r="H11" s="68"/>
      <c r="I11" s="68"/>
      <c r="J11" s="68"/>
      <c r="K11" s="68"/>
      <c r="L11" s="68"/>
      <c r="M11" s="68"/>
      <c r="N11" s="68"/>
      <c r="O11" s="68"/>
      <c r="P11" s="68"/>
      <c r="R11" s="68"/>
      <c r="S11" s="68"/>
    </row>
    <row r="12" spans="1:41">
      <c r="B12" s="68">
        <v>8</v>
      </c>
      <c r="C12" s="68"/>
      <c r="D12" s="68"/>
      <c r="E12" s="68"/>
      <c r="F12" s="68"/>
      <c r="G12" s="68"/>
      <c r="H12" s="68"/>
      <c r="I12" s="68"/>
      <c r="J12" s="68"/>
      <c r="K12" s="68"/>
      <c r="L12" s="68"/>
      <c r="M12" s="68"/>
      <c r="N12" s="68"/>
      <c r="O12" s="68"/>
      <c r="P12" s="68"/>
      <c r="R12" s="68"/>
      <c r="S12" s="68"/>
    </row>
    <row r="13" spans="1:41">
      <c r="B13" s="68">
        <v>9</v>
      </c>
      <c r="C13" s="68"/>
      <c r="D13" s="68"/>
      <c r="E13" s="68"/>
      <c r="F13" s="68"/>
      <c r="G13" s="68"/>
      <c r="H13" s="68"/>
      <c r="I13" s="68"/>
      <c r="J13" s="68"/>
      <c r="K13" s="68"/>
      <c r="L13" s="68"/>
      <c r="M13" s="68"/>
      <c r="N13" s="68"/>
      <c r="O13" s="68"/>
      <c r="P13" s="68"/>
      <c r="R13" s="68"/>
      <c r="S13" s="68"/>
    </row>
    <row r="14" spans="1:41">
      <c r="B14" s="68">
        <v>10</v>
      </c>
      <c r="C14" s="68"/>
      <c r="D14" s="68"/>
      <c r="E14" s="68"/>
      <c r="F14" s="68"/>
      <c r="G14" s="68"/>
      <c r="H14" s="68"/>
      <c r="I14" s="68"/>
      <c r="J14" s="68"/>
      <c r="K14" s="68"/>
      <c r="L14" s="68"/>
      <c r="M14" s="68"/>
      <c r="N14" s="68"/>
      <c r="O14" s="68"/>
      <c r="P14" s="68"/>
      <c r="R14" s="68"/>
      <c r="S14" s="68"/>
    </row>
    <row r="15" spans="1:41">
      <c r="B15" s="68">
        <v>11</v>
      </c>
      <c r="C15" s="68"/>
      <c r="D15" s="68"/>
      <c r="E15" s="68"/>
      <c r="F15" s="68"/>
      <c r="G15" s="68"/>
      <c r="H15" s="68"/>
      <c r="I15" s="68"/>
      <c r="J15" s="68"/>
      <c r="K15" s="68"/>
      <c r="L15" s="68"/>
      <c r="M15" s="68"/>
      <c r="N15" s="68"/>
      <c r="O15" s="68"/>
      <c r="P15" s="68"/>
      <c r="R15" s="68"/>
      <c r="S15" s="68"/>
    </row>
    <row r="16" spans="1:41">
      <c r="B16" s="68">
        <v>12</v>
      </c>
      <c r="C16" s="68"/>
      <c r="D16" s="68"/>
      <c r="E16" s="68"/>
      <c r="F16" s="68"/>
      <c r="G16" s="68"/>
      <c r="H16" s="68"/>
      <c r="I16" s="68"/>
      <c r="J16" s="68"/>
      <c r="K16" s="68"/>
      <c r="L16" s="68"/>
      <c r="M16" s="68"/>
      <c r="N16" s="68"/>
      <c r="O16" s="68"/>
      <c r="P16" s="68"/>
      <c r="R16" s="68"/>
      <c r="S16" s="68"/>
    </row>
    <row r="17" spans="1:41">
      <c r="B17" s="68">
        <v>13</v>
      </c>
      <c r="C17" s="83">
        <v>1</v>
      </c>
      <c r="D17" s="68"/>
      <c r="E17" s="68"/>
      <c r="F17" s="68"/>
      <c r="G17" s="68"/>
      <c r="H17" s="68"/>
      <c r="I17" s="68"/>
      <c r="J17" s="68"/>
      <c r="K17" s="68"/>
      <c r="L17" s="68"/>
      <c r="M17" s="68"/>
      <c r="N17" s="68"/>
      <c r="O17" s="68"/>
      <c r="P17" s="68"/>
      <c r="R17" s="68"/>
      <c r="S17" s="68"/>
    </row>
    <row r="18" spans="1:41">
      <c r="B18" s="68">
        <v>14</v>
      </c>
      <c r="C18" s="68"/>
      <c r="D18" s="68"/>
      <c r="E18" s="68"/>
      <c r="F18" s="68"/>
      <c r="G18" s="68"/>
      <c r="H18" s="68"/>
      <c r="I18" s="68"/>
      <c r="J18" s="68"/>
      <c r="K18" s="68"/>
      <c r="L18" s="68"/>
      <c r="M18" s="68"/>
      <c r="N18" s="68"/>
      <c r="O18" s="68"/>
      <c r="P18" s="68"/>
      <c r="R18" s="68"/>
      <c r="S18" s="68"/>
    </row>
    <row r="19" spans="1:41">
      <c r="B19" s="68">
        <v>15</v>
      </c>
      <c r="C19" s="68"/>
      <c r="D19" s="68"/>
      <c r="E19" s="68"/>
      <c r="F19" s="68"/>
      <c r="G19" s="68"/>
      <c r="H19" s="68"/>
      <c r="I19" s="68"/>
      <c r="J19" s="68"/>
      <c r="K19" s="68"/>
      <c r="L19" s="68"/>
      <c r="M19" s="68"/>
      <c r="N19" s="68"/>
      <c r="O19" s="68"/>
      <c r="P19" s="68"/>
      <c r="R19" s="67" t="s">
        <v>0</v>
      </c>
      <c r="S19" s="67" t="s">
        <v>0</v>
      </c>
    </row>
    <row r="20" spans="1:41">
      <c r="B20" s="68">
        <v>16</v>
      </c>
      <c r="C20" s="68"/>
      <c r="D20" s="68"/>
      <c r="E20" s="68"/>
      <c r="F20" s="68"/>
      <c r="G20" s="68"/>
      <c r="H20" s="68"/>
      <c r="I20" s="68"/>
      <c r="J20" s="68"/>
      <c r="K20" s="68"/>
      <c r="L20" s="68"/>
      <c r="M20" s="68"/>
      <c r="N20" s="68"/>
      <c r="O20" s="68"/>
      <c r="P20" s="68"/>
      <c r="R20" s="68"/>
      <c r="S20" s="68"/>
    </row>
    <row r="21" spans="1:41">
      <c r="B21" s="68">
        <v>17</v>
      </c>
      <c r="C21" s="68"/>
      <c r="D21" s="68"/>
      <c r="E21" s="68"/>
      <c r="F21" s="68"/>
      <c r="G21" s="68"/>
      <c r="H21" s="68"/>
      <c r="I21" s="68"/>
      <c r="J21" s="68"/>
      <c r="K21" s="68"/>
      <c r="L21" s="68"/>
      <c r="M21" s="68"/>
      <c r="N21" s="68"/>
      <c r="O21" s="68"/>
      <c r="P21" s="68"/>
      <c r="Q21" s="68"/>
      <c r="R21" s="68"/>
      <c r="S21" s="68"/>
      <c r="T21" s="69"/>
    </row>
    <row r="22" spans="1:41">
      <c r="B22" s="68">
        <v>18</v>
      </c>
      <c r="C22" s="68"/>
      <c r="D22" s="68"/>
      <c r="E22" s="68"/>
      <c r="F22" s="68"/>
      <c r="G22" s="68"/>
      <c r="H22" s="68"/>
      <c r="I22" s="68"/>
      <c r="J22" s="68"/>
      <c r="K22" s="68"/>
      <c r="L22" s="68"/>
      <c r="M22" s="68"/>
      <c r="N22" s="68"/>
      <c r="O22" s="68"/>
      <c r="P22" s="68"/>
      <c r="Q22" s="68"/>
      <c r="R22" s="68"/>
      <c r="S22" s="68"/>
      <c r="T22" s="69"/>
    </row>
    <row r="23" spans="1:41">
      <c r="B23" s="68">
        <v>19</v>
      </c>
      <c r="C23" s="68"/>
      <c r="D23" s="68"/>
      <c r="E23" s="68"/>
      <c r="F23" s="68"/>
      <c r="G23" s="68"/>
      <c r="H23" s="68"/>
      <c r="I23" s="68"/>
      <c r="J23" s="68"/>
      <c r="K23" s="68"/>
      <c r="L23" s="68"/>
      <c r="M23" s="68"/>
      <c r="N23" s="68"/>
      <c r="O23" s="68"/>
      <c r="P23" s="68"/>
      <c r="Q23" s="68"/>
      <c r="R23" s="68"/>
      <c r="S23" s="68"/>
      <c r="T23" s="69"/>
    </row>
    <row r="24" spans="1:41">
      <c r="B24" s="68">
        <v>20</v>
      </c>
      <c r="C24" s="68"/>
      <c r="D24" s="68"/>
      <c r="E24" s="68"/>
      <c r="F24" s="68"/>
      <c r="G24" s="68"/>
      <c r="H24" s="68"/>
      <c r="I24" s="68"/>
      <c r="J24" s="68"/>
      <c r="K24" s="68"/>
      <c r="L24" s="68"/>
      <c r="M24" s="68">
        <v>2</v>
      </c>
      <c r="N24" s="68"/>
      <c r="O24" s="68"/>
      <c r="P24" s="68"/>
      <c r="Q24" s="68"/>
      <c r="R24" s="68"/>
      <c r="S24" s="68"/>
      <c r="T24" s="69"/>
    </row>
    <row r="25" spans="1:41">
      <c r="B25" s="68">
        <v>21</v>
      </c>
      <c r="C25" s="68"/>
      <c r="D25" s="68"/>
      <c r="E25" s="68"/>
      <c r="F25" s="68"/>
      <c r="G25" s="68"/>
      <c r="H25" s="68"/>
      <c r="I25" s="68"/>
      <c r="J25" s="68"/>
      <c r="K25" s="68"/>
      <c r="L25" s="68"/>
      <c r="M25" s="68">
        <v>0</v>
      </c>
      <c r="N25" s="68"/>
      <c r="O25" s="68"/>
      <c r="P25" s="68"/>
      <c r="Q25" s="68"/>
      <c r="R25" s="68"/>
      <c r="S25" s="68"/>
      <c r="T25" s="69"/>
    </row>
    <row r="26" spans="1:41">
      <c r="B26" s="68">
        <v>22</v>
      </c>
      <c r="C26" s="68"/>
      <c r="D26" s="68">
        <v>10</v>
      </c>
      <c r="E26" s="68"/>
      <c r="F26" s="68"/>
      <c r="G26" s="68"/>
      <c r="H26" s="68"/>
      <c r="I26" s="68"/>
      <c r="J26" s="68"/>
      <c r="K26" s="68"/>
      <c r="L26" s="68">
        <v>1</v>
      </c>
      <c r="M26" s="68">
        <v>0</v>
      </c>
      <c r="N26" s="68"/>
      <c r="O26" s="68">
        <v>2</v>
      </c>
      <c r="P26" s="68"/>
      <c r="Q26" s="68"/>
      <c r="R26" s="68"/>
      <c r="S26" s="68"/>
      <c r="T26" s="69"/>
      <c r="U26" s="70">
        <v>1</v>
      </c>
      <c r="AH26" s="103" t="s">
        <v>264</v>
      </c>
      <c r="AI26" s="103"/>
      <c r="AJ26" s="103"/>
      <c r="AK26" s="103"/>
      <c r="AL26" s="103"/>
      <c r="AM26" s="103"/>
    </row>
    <row r="27" spans="1:41">
      <c r="B27" s="68">
        <v>23</v>
      </c>
      <c r="C27" s="68"/>
      <c r="D27" s="68">
        <v>75</v>
      </c>
      <c r="E27" s="68">
        <v>1</v>
      </c>
      <c r="F27" s="68">
        <v>3</v>
      </c>
      <c r="G27" s="68"/>
      <c r="H27" s="68"/>
      <c r="I27" s="68">
        <v>2</v>
      </c>
      <c r="J27" s="68">
        <v>19</v>
      </c>
      <c r="K27" s="68"/>
      <c r="L27" s="68">
        <v>1</v>
      </c>
      <c r="M27" s="68">
        <v>0</v>
      </c>
      <c r="N27" s="68">
        <v>6</v>
      </c>
      <c r="O27" s="68">
        <v>15</v>
      </c>
      <c r="P27" s="68">
        <v>1</v>
      </c>
      <c r="Q27" s="68"/>
      <c r="R27" s="68"/>
      <c r="S27" s="68"/>
      <c r="T27" s="69"/>
      <c r="U27" s="70">
        <v>1</v>
      </c>
      <c r="W27" s="70">
        <v>2</v>
      </c>
    </row>
    <row r="28" spans="1:41">
      <c r="B28" s="68">
        <v>24</v>
      </c>
      <c r="C28" s="68"/>
      <c r="D28" s="68">
        <v>427</v>
      </c>
      <c r="E28" s="68">
        <v>114</v>
      </c>
      <c r="F28" s="68">
        <v>90</v>
      </c>
      <c r="G28" s="68">
        <v>170</v>
      </c>
      <c r="H28" s="68"/>
      <c r="I28" s="68">
        <v>15</v>
      </c>
      <c r="J28" s="68">
        <v>17</v>
      </c>
      <c r="K28" s="68">
        <v>11</v>
      </c>
      <c r="L28" s="68">
        <v>8</v>
      </c>
      <c r="M28" s="68">
        <v>2</v>
      </c>
      <c r="N28" s="68">
        <v>18</v>
      </c>
      <c r="O28" s="68">
        <v>143</v>
      </c>
      <c r="P28" s="68">
        <v>11</v>
      </c>
      <c r="Q28" s="68">
        <v>3</v>
      </c>
      <c r="R28" s="68">
        <v>4</v>
      </c>
      <c r="S28" s="68"/>
      <c r="T28" s="69"/>
      <c r="U28" s="70">
        <v>9</v>
      </c>
      <c r="V28" s="70">
        <v>20</v>
      </c>
      <c r="W28" s="70">
        <f>3+2+4+1+1</f>
        <v>11</v>
      </c>
      <c r="X28" s="66">
        <v>5</v>
      </c>
      <c r="AA28" s="66">
        <v>12</v>
      </c>
      <c r="AH28" s="104"/>
      <c r="AI28" s="103">
        <v>2</v>
      </c>
    </row>
    <row r="29" spans="1:41">
      <c r="B29" s="68">
        <v>25</v>
      </c>
      <c r="C29" s="68">
        <v>250</v>
      </c>
      <c r="D29" s="68">
        <v>665</v>
      </c>
      <c r="E29" s="68">
        <v>175</v>
      </c>
      <c r="F29" s="68">
        <v>250</v>
      </c>
      <c r="G29" s="68">
        <v>520</v>
      </c>
      <c r="H29" s="68">
        <v>36</v>
      </c>
      <c r="I29" s="68">
        <v>79</v>
      </c>
      <c r="J29" s="68">
        <v>1126</v>
      </c>
      <c r="K29" s="68">
        <v>144</v>
      </c>
      <c r="L29" s="68">
        <v>210</v>
      </c>
      <c r="M29" s="68">
        <v>96</v>
      </c>
      <c r="N29" s="68">
        <v>38</v>
      </c>
      <c r="O29" s="68">
        <v>546</v>
      </c>
      <c r="P29" s="68">
        <v>106</v>
      </c>
      <c r="Q29" s="68">
        <v>15</v>
      </c>
      <c r="R29" s="68">
        <v>20</v>
      </c>
      <c r="S29" s="68">
        <v>170</v>
      </c>
      <c r="T29" s="69"/>
      <c r="U29" s="71">
        <v>19</v>
      </c>
      <c r="V29" s="70">
        <v>69</v>
      </c>
      <c r="W29" s="70">
        <v>20</v>
      </c>
      <c r="X29" s="66">
        <v>34</v>
      </c>
      <c r="Y29" s="66">
        <v>2</v>
      </c>
      <c r="Z29" s="66">
        <v>6</v>
      </c>
      <c r="AA29" s="66">
        <v>24</v>
      </c>
      <c r="AC29" s="66">
        <v>11</v>
      </c>
      <c r="AD29" s="66">
        <v>2</v>
      </c>
      <c r="AE29" s="66">
        <v>1</v>
      </c>
      <c r="AF29" s="66">
        <v>1</v>
      </c>
      <c r="AG29" s="105"/>
      <c r="AH29" s="105">
        <v>1</v>
      </c>
      <c r="AI29" s="105">
        <v>6</v>
      </c>
      <c r="AJ29" s="105"/>
      <c r="AK29" s="105">
        <v>1</v>
      </c>
      <c r="AL29" s="105">
        <v>0</v>
      </c>
      <c r="AM29" s="105">
        <v>3</v>
      </c>
      <c r="AN29" s="105" t="s">
        <v>0</v>
      </c>
      <c r="AO29" s="66">
        <v>20</v>
      </c>
    </row>
    <row r="30" spans="1:41">
      <c r="B30" s="68">
        <v>26</v>
      </c>
      <c r="C30" s="68">
        <v>380</v>
      </c>
      <c r="D30" s="68">
        <v>1053</v>
      </c>
      <c r="E30" s="68">
        <v>658</v>
      </c>
      <c r="F30" s="68">
        <v>972</v>
      </c>
      <c r="G30" s="68">
        <v>990</v>
      </c>
      <c r="H30" s="68">
        <v>430</v>
      </c>
      <c r="I30" s="68">
        <v>568</v>
      </c>
      <c r="J30" s="68">
        <v>752</v>
      </c>
      <c r="K30" s="68">
        <v>957</v>
      </c>
      <c r="L30" s="68">
        <v>215</v>
      </c>
      <c r="M30" s="68">
        <v>563</v>
      </c>
      <c r="N30" s="68">
        <v>313</v>
      </c>
      <c r="O30" s="68">
        <v>777</v>
      </c>
      <c r="P30" s="68">
        <v>625</v>
      </c>
      <c r="Q30" s="68">
        <v>251</v>
      </c>
      <c r="R30" s="68">
        <v>299</v>
      </c>
      <c r="S30" s="68">
        <v>141</v>
      </c>
      <c r="T30" s="69"/>
      <c r="U30" s="70">
        <v>132</v>
      </c>
      <c r="V30" s="72">
        <v>69</v>
      </c>
      <c r="W30" s="73">
        <v>137</v>
      </c>
      <c r="X30" s="66">
        <v>48</v>
      </c>
      <c r="Y30" s="66">
        <v>10</v>
      </c>
      <c r="Z30" s="66">
        <v>5</v>
      </c>
      <c r="AA30" s="66">
        <v>47</v>
      </c>
      <c r="AB30" s="66">
        <v>5</v>
      </c>
      <c r="AC30" s="66">
        <v>30</v>
      </c>
      <c r="AD30" s="66">
        <v>10</v>
      </c>
      <c r="AE30" s="66">
        <v>7</v>
      </c>
      <c r="AF30" s="66">
        <v>10</v>
      </c>
      <c r="AG30" s="103">
        <v>2</v>
      </c>
      <c r="AH30" s="103"/>
      <c r="AI30" s="103">
        <v>12</v>
      </c>
      <c r="AJ30" s="103">
        <v>6</v>
      </c>
      <c r="AK30" s="103">
        <v>3</v>
      </c>
      <c r="AL30" s="103">
        <v>3</v>
      </c>
      <c r="AM30" s="103">
        <v>4</v>
      </c>
      <c r="AN30" s="103">
        <v>8</v>
      </c>
      <c r="AO30" s="66">
        <v>13</v>
      </c>
    </row>
    <row r="31" spans="1:41">
      <c r="A31" s="108">
        <v>42184</v>
      </c>
      <c r="B31" s="68">
        <v>27</v>
      </c>
      <c r="C31" s="68">
        <v>630</v>
      </c>
      <c r="D31" s="68">
        <v>331</v>
      </c>
      <c r="E31" s="68">
        <v>351</v>
      </c>
      <c r="F31" s="68">
        <v>1700</v>
      </c>
      <c r="G31" s="68">
        <v>1150</v>
      </c>
      <c r="H31" s="68">
        <v>781</v>
      </c>
      <c r="I31" s="68">
        <v>740</v>
      </c>
      <c r="J31" s="68">
        <v>862</v>
      </c>
      <c r="K31" s="68">
        <v>1989</v>
      </c>
      <c r="L31" s="68">
        <v>651</v>
      </c>
      <c r="M31" s="68">
        <v>428</v>
      </c>
      <c r="N31" s="68">
        <v>2053</v>
      </c>
      <c r="O31" s="68">
        <v>1444</v>
      </c>
      <c r="P31" s="68">
        <v>1296</v>
      </c>
      <c r="Q31" s="68">
        <v>476</v>
      </c>
      <c r="R31" s="68">
        <v>824</v>
      </c>
      <c r="S31" s="68">
        <v>367</v>
      </c>
      <c r="T31" s="69"/>
      <c r="U31" s="70">
        <v>1332</v>
      </c>
      <c r="V31" s="70">
        <v>978</v>
      </c>
      <c r="W31" s="70">
        <v>443</v>
      </c>
      <c r="X31" s="66">
        <v>331</v>
      </c>
      <c r="Y31" s="66">
        <v>185</v>
      </c>
      <c r="Z31" s="66">
        <v>36</v>
      </c>
      <c r="AA31" s="66">
        <v>407</v>
      </c>
      <c r="AB31" s="66">
        <v>79</v>
      </c>
      <c r="AC31" s="66">
        <v>66</v>
      </c>
      <c r="AD31" s="66">
        <v>27</v>
      </c>
      <c r="AE31" s="66">
        <v>13</v>
      </c>
      <c r="AF31" s="66">
        <v>23</v>
      </c>
      <c r="AG31" s="103"/>
      <c r="AH31" s="103"/>
      <c r="AI31" s="103">
        <v>22</v>
      </c>
      <c r="AJ31" s="103">
        <v>23</v>
      </c>
      <c r="AK31" s="103">
        <v>1</v>
      </c>
      <c r="AL31" s="103">
        <v>6</v>
      </c>
      <c r="AM31" s="103">
        <v>4</v>
      </c>
      <c r="AN31" s="103">
        <v>35</v>
      </c>
      <c r="AO31" s="66">
        <v>20</v>
      </c>
    </row>
    <row r="32" spans="1:41">
      <c r="A32" s="108">
        <v>42191</v>
      </c>
      <c r="B32" s="68">
        <v>28</v>
      </c>
      <c r="C32" s="68">
        <v>683</v>
      </c>
      <c r="D32" s="68">
        <v>211</v>
      </c>
      <c r="E32" s="68">
        <v>418</v>
      </c>
      <c r="F32" s="68">
        <v>852</v>
      </c>
      <c r="G32" s="68">
        <v>1318</v>
      </c>
      <c r="H32" s="68">
        <v>485</v>
      </c>
      <c r="I32" s="68">
        <v>397</v>
      </c>
      <c r="J32" s="68">
        <v>1240</v>
      </c>
      <c r="K32" s="68">
        <v>1814</v>
      </c>
      <c r="L32" s="68">
        <v>1879</v>
      </c>
      <c r="M32" s="68">
        <v>1546</v>
      </c>
      <c r="N32" s="68">
        <v>2110</v>
      </c>
      <c r="O32" s="68">
        <v>931</v>
      </c>
      <c r="P32" s="68">
        <v>959</v>
      </c>
      <c r="Q32" s="68">
        <v>2712</v>
      </c>
      <c r="R32" s="68">
        <v>2784</v>
      </c>
      <c r="S32" s="68">
        <v>1508</v>
      </c>
      <c r="T32" s="69">
        <v>600</v>
      </c>
      <c r="U32" s="70">
        <v>1471</v>
      </c>
      <c r="V32" s="70">
        <v>624</v>
      </c>
      <c r="W32" s="70">
        <v>1261</v>
      </c>
      <c r="X32" s="66">
        <v>820</v>
      </c>
      <c r="Y32" s="66">
        <v>248</v>
      </c>
      <c r="Z32" s="66">
        <v>522</v>
      </c>
      <c r="AA32" s="66">
        <v>310</v>
      </c>
      <c r="AB32" s="66">
        <v>362</v>
      </c>
      <c r="AC32" s="66">
        <v>434</v>
      </c>
      <c r="AD32" s="66">
        <v>110</v>
      </c>
      <c r="AE32" s="66">
        <v>14</v>
      </c>
      <c r="AF32" s="66">
        <v>30</v>
      </c>
      <c r="AG32" s="103">
        <v>4</v>
      </c>
      <c r="AH32" s="103">
        <v>3</v>
      </c>
      <c r="AI32" s="103">
        <v>16</v>
      </c>
      <c r="AJ32" s="103">
        <v>44</v>
      </c>
      <c r="AK32" s="103">
        <v>9</v>
      </c>
      <c r="AL32" s="103">
        <v>21</v>
      </c>
      <c r="AM32" s="103">
        <v>6</v>
      </c>
      <c r="AN32" s="103">
        <v>19</v>
      </c>
      <c r="AO32" s="66">
        <v>18</v>
      </c>
    </row>
    <row r="33" spans="1:41">
      <c r="A33" s="108">
        <v>42198</v>
      </c>
      <c r="B33" s="68">
        <v>29</v>
      </c>
      <c r="C33" s="68">
        <v>427</v>
      </c>
      <c r="D33" s="68">
        <v>302</v>
      </c>
      <c r="E33" s="68">
        <v>375</v>
      </c>
      <c r="F33" s="68">
        <v>204</v>
      </c>
      <c r="G33" s="68">
        <v>658</v>
      </c>
      <c r="H33" s="68">
        <v>373</v>
      </c>
      <c r="I33" s="68">
        <v>1095</v>
      </c>
      <c r="J33" s="68">
        <v>1676</v>
      </c>
      <c r="K33" s="68">
        <v>1715</v>
      </c>
      <c r="L33" s="68">
        <v>1196</v>
      </c>
      <c r="M33" s="68">
        <v>1278</v>
      </c>
      <c r="N33" s="68">
        <v>1392</v>
      </c>
      <c r="O33" s="68">
        <v>1049</v>
      </c>
      <c r="P33" s="68">
        <v>581</v>
      </c>
      <c r="Q33" s="68">
        <v>4079</v>
      </c>
      <c r="R33" s="68">
        <v>3195</v>
      </c>
      <c r="S33" s="68">
        <v>1160</v>
      </c>
      <c r="T33" s="69"/>
      <c r="U33" s="70">
        <v>1406</v>
      </c>
      <c r="V33" s="70">
        <v>720</v>
      </c>
      <c r="W33" s="70">
        <f>111+112+99+255+143</f>
        <v>720</v>
      </c>
      <c r="X33" s="66">
        <v>415</v>
      </c>
      <c r="Y33" s="66">
        <v>208</v>
      </c>
      <c r="Z33" s="66">
        <v>219</v>
      </c>
      <c r="AA33" s="66">
        <v>94</v>
      </c>
      <c r="AB33" s="66">
        <v>372</v>
      </c>
      <c r="AC33" s="66">
        <v>181</v>
      </c>
      <c r="AD33" s="66">
        <v>226</v>
      </c>
      <c r="AE33" s="66">
        <v>98</v>
      </c>
      <c r="AF33" s="66">
        <v>36</v>
      </c>
      <c r="AG33" s="103">
        <v>12</v>
      </c>
      <c r="AH33" s="103">
        <v>12</v>
      </c>
      <c r="AI33" s="103">
        <v>26</v>
      </c>
      <c r="AJ33" s="103">
        <v>27</v>
      </c>
      <c r="AK33" s="103">
        <v>6</v>
      </c>
      <c r="AL33" s="103">
        <v>26</v>
      </c>
      <c r="AM33" s="103">
        <v>2</v>
      </c>
      <c r="AN33" s="103">
        <v>38</v>
      </c>
      <c r="AO33" s="66">
        <v>26</v>
      </c>
    </row>
    <row r="34" spans="1:41">
      <c r="B34" s="68">
        <v>30</v>
      </c>
      <c r="C34" s="68">
        <v>31</v>
      </c>
      <c r="D34" s="68">
        <v>4</v>
      </c>
      <c r="E34" s="68">
        <v>72</v>
      </c>
      <c r="F34" s="68">
        <v>41</v>
      </c>
      <c r="G34" s="68">
        <v>192</v>
      </c>
      <c r="H34" s="68">
        <v>462</v>
      </c>
      <c r="I34" s="68">
        <v>660</v>
      </c>
      <c r="J34" s="68">
        <v>170</v>
      </c>
      <c r="K34" s="68">
        <v>136</v>
      </c>
      <c r="L34" s="68">
        <v>55</v>
      </c>
      <c r="M34" s="68">
        <v>644</v>
      </c>
      <c r="N34" s="68">
        <v>413</v>
      </c>
      <c r="O34" s="68">
        <v>315</v>
      </c>
      <c r="P34" s="68"/>
      <c r="Q34" s="68">
        <v>1028</v>
      </c>
      <c r="R34" s="68">
        <v>90</v>
      </c>
      <c r="S34" s="68">
        <v>941</v>
      </c>
      <c r="T34" s="69"/>
      <c r="U34" s="70">
        <v>552</v>
      </c>
      <c r="V34" s="70">
        <v>386</v>
      </c>
      <c r="W34" s="70">
        <v>193</v>
      </c>
      <c r="X34" s="66">
        <v>40</v>
      </c>
      <c r="Y34" s="66">
        <v>143</v>
      </c>
      <c r="Z34" s="66">
        <v>67</v>
      </c>
      <c r="AA34" s="66">
        <v>18</v>
      </c>
      <c r="AB34" s="66">
        <v>29</v>
      </c>
      <c r="AD34" s="66">
        <v>19</v>
      </c>
      <c r="AE34" s="66">
        <v>45</v>
      </c>
      <c r="AF34" s="66">
        <v>1</v>
      </c>
      <c r="AG34" s="103">
        <v>38</v>
      </c>
      <c r="AH34" s="103">
        <v>29</v>
      </c>
      <c r="AI34" s="103">
        <v>16</v>
      </c>
      <c r="AJ34" s="103">
        <v>24</v>
      </c>
      <c r="AK34" s="103">
        <v>13</v>
      </c>
      <c r="AL34" s="103">
        <v>4</v>
      </c>
      <c r="AM34" s="103">
        <v>2</v>
      </c>
      <c r="AN34" s="103">
        <v>28</v>
      </c>
      <c r="AO34" s="66">
        <v>15</v>
      </c>
    </row>
    <row r="35" spans="1:41">
      <c r="B35" s="68">
        <v>31</v>
      </c>
      <c r="C35" s="68">
        <v>37</v>
      </c>
      <c r="D35" s="68"/>
      <c r="E35" s="68">
        <v>61</v>
      </c>
      <c r="F35" s="68">
        <v>40</v>
      </c>
      <c r="G35" s="68">
        <v>70</v>
      </c>
      <c r="H35" s="68">
        <v>89</v>
      </c>
      <c r="I35" s="68">
        <v>183</v>
      </c>
      <c r="J35" s="68">
        <v>24</v>
      </c>
      <c r="K35" s="68">
        <v>62</v>
      </c>
      <c r="L35" s="68"/>
      <c r="M35" s="68">
        <v>63</v>
      </c>
      <c r="N35" s="68"/>
      <c r="O35" s="68">
        <v>44</v>
      </c>
      <c r="P35" s="68"/>
      <c r="Q35" s="68">
        <v>217</v>
      </c>
      <c r="R35" s="68">
        <v>0</v>
      </c>
      <c r="S35" s="68"/>
      <c r="T35" s="69"/>
      <c r="W35" s="70">
        <v>13</v>
      </c>
      <c r="X35" s="66">
        <v>26</v>
      </c>
      <c r="Y35" s="66">
        <v>28</v>
      </c>
      <c r="AD35" s="66">
        <v>0</v>
      </c>
      <c r="AE35" s="66">
        <v>0</v>
      </c>
      <c r="AG35" s="103">
        <v>42</v>
      </c>
      <c r="AH35" s="103"/>
      <c r="AI35" s="103">
        <v>6</v>
      </c>
      <c r="AJ35" s="103">
        <v>6</v>
      </c>
      <c r="AK35" s="103">
        <v>7</v>
      </c>
      <c r="AL35" s="103"/>
      <c r="AM35" s="103"/>
      <c r="AN35" s="103">
        <v>15</v>
      </c>
      <c r="AO35" s="66">
        <v>18</v>
      </c>
    </row>
    <row r="36" spans="1:41">
      <c r="B36" s="68">
        <v>32</v>
      </c>
      <c r="C36" s="68">
        <v>15</v>
      </c>
      <c r="D36" s="68"/>
      <c r="E36" s="68">
        <v>11</v>
      </c>
      <c r="F36" s="68">
        <v>10</v>
      </c>
      <c r="G36" s="68">
        <v>0</v>
      </c>
      <c r="H36" s="68">
        <v>4</v>
      </c>
      <c r="I36" s="68">
        <v>9</v>
      </c>
      <c r="J36" s="68"/>
      <c r="K36" s="68"/>
      <c r="L36" s="68"/>
      <c r="M36" s="68">
        <v>39</v>
      </c>
      <c r="N36" s="68"/>
      <c r="O36" s="68"/>
      <c r="P36" s="68"/>
      <c r="Q36" s="68">
        <v>60</v>
      </c>
      <c r="R36" s="68">
        <v>0</v>
      </c>
      <c r="S36" s="68"/>
      <c r="T36" s="69"/>
      <c r="W36" s="70"/>
      <c r="Y36" s="66">
        <v>0</v>
      </c>
      <c r="Z36" s="66">
        <v>4</v>
      </c>
      <c r="AD36" s="66">
        <v>0</v>
      </c>
      <c r="AE36" s="66">
        <v>0</v>
      </c>
      <c r="AG36" s="103">
        <v>15</v>
      </c>
      <c r="AH36" s="103"/>
      <c r="AI36" s="103"/>
      <c r="AJ36" s="103">
        <v>1</v>
      </c>
      <c r="AK36" s="103">
        <v>1</v>
      </c>
      <c r="AL36" s="103"/>
      <c r="AM36" s="103"/>
      <c r="AN36" s="103">
        <v>2</v>
      </c>
      <c r="AO36" s="66">
        <v>1</v>
      </c>
    </row>
    <row r="37" spans="1:41">
      <c r="B37" s="68">
        <v>33</v>
      </c>
      <c r="C37" s="68"/>
      <c r="D37" s="68"/>
      <c r="E37" s="68">
        <v>0</v>
      </c>
      <c r="F37" s="68"/>
      <c r="G37" s="68"/>
      <c r="H37" s="68"/>
      <c r="I37" s="68"/>
      <c r="J37" s="68"/>
      <c r="K37" s="68">
        <v>15</v>
      </c>
      <c r="L37" s="68"/>
      <c r="M37" s="68">
        <v>15</v>
      </c>
      <c r="N37" s="68"/>
      <c r="O37" s="68"/>
      <c r="P37" s="68"/>
      <c r="Q37" s="68">
        <v>0</v>
      </c>
      <c r="R37" s="68"/>
      <c r="S37" s="68"/>
      <c r="T37" s="69"/>
      <c r="W37" s="70"/>
      <c r="Y37" s="66">
        <v>0</v>
      </c>
      <c r="AD37" s="66">
        <v>0</v>
      </c>
      <c r="AE37" s="66">
        <v>0</v>
      </c>
      <c r="AG37" s="103">
        <v>9</v>
      </c>
      <c r="AH37" s="103"/>
      <c r="AI37" s="103"/>
      <c r="AJ37" s="103"/>
      <c r="AK37" s="103"/>
      <c r="AL37" s="103"/>
      <c r="AM37" s="103"/>
      <c r="AN37" s="103"/>
    </row>
    <row r="38" spans="1:41">
      <c r="B38" s="68">
        <v>34</v>
      </c>
      <c r="C38" s="68"/>
      <c r="D38" s="68"/>
      <c r="E38" s="68">
        <v>0</v>
      </c>
      <c r="F38" s="68"/>
      <c r="G38" s="68"/>
      <c r="H38" s="68">
        <v>2</v>
      </c>
      <c r="I38" s="68"/>
      <c r="J38" s="68"/>
      <c r="L38" s="68"/>
      <c r="M38" s="68"/>
      <c r="N38" s="68"/>
      <c r="O38" s="68"/>
      <c r="P38" s="68"/>
      <c r="Q38" s="68">
        <v>10</v>
      </c>
      <c r="R38" s="68"/>
      <c r="S38" s="68"/>
      <c r="T38" s="69"/>
      <c r="W38" s="70"/>
      <c r="Y38" s="66">
        <v>1</v>
      </c>
      <c r="AD38" s="66">
        <v>0</v>
      </c>
      <c r="AE38" s="66">
        <v>0</v>
      </c>
      <c r="AG38" s="103">
        <v>2</v>
      </c>
      <c r="AH38" s="103"/>
      <c r="AI38" s="103"/>
      <c r="AJ38" s="103"/>
      <c r="AL38" s="103"/>
      <c r="AM38" s="103"/>
      <c r="AN38" s="103"/>
    </row>
    <row r="39" spans="1:41">
      <c r="B39" s="68">
        <v>35</v>
      </c>
      <c r="C39" s="68">
        <v>5</v>
      </c>
      <c r="D39" s="68"/>
      <c r="E39" s="68">
        <v>6</v>
      </c>
      <c r="F39" s="68"/>
      <c r="G39" s="68"/>
      <c r="H39" s="68"/>
      <c r="I39" s="68"/>
      <c r="J39" s="68"/>
      <c r="K39" s="68">
        <v>5</v>
      </c>
      <c r="L39" s="68"/>
      <c r="M39" s="68"/>
      <c r="N39" s="68"/>
      <c r="O39" s="68"/>
      <c r="P39" s="68"/>
      <c r="Q39" s="68"/>
      <c r="R39" s="68"/>
      <c r="S39" s="68"/>
      <c r="T39" s="69"/>
      <c r="W39" s="70"/>
      <c r="AD39" s="66">
        <v>0</v>
      </c>
      <c r="AE39" s="66">
        <v>0</v>
      </c>
      <c r="AG39" s="103">
        <v>1</v>
      </c>
      <c r="AH39" s="103"/>
      <c r="AI39" s="103">
        <v>1</v>
      </c>
      <c r="AJ39" s="103"/>
      <c r="AL39" s="103"/>
      <c r="AM39" s="103"/>
      <c r="AN39" s="103"/>
    </row>
    <row r="40" spans="1:41">
      <c r="B40" s="68">
        <v>36</v>
      </c>
      <c r="C40" s="68"/>
      <c r="D40" s="68"/>
      <c r="E40" s="68">
        <v>0</v>
      </c>
      <c r="F40" s="68"/>
      <c r="G40" s="68"/>
      <c r="H40" s="68"/>
      <c r="I40" s="68"/>
      <c r="J40" s="68"/>
      <c r="K40" s="68"/>
      <c r="L40" s="68"/>
      <c r="M40" s="68"/>
      <c r="N40" s="68"/>
      <c r="O40" s="68"/>
      <c r="P40" s="68"/>
      <c r="Q40" s="68"/>
      <c r="R40" s="68"/>
      <c r="S40" s="68"/>
      <c r="T40" s="69"/>
      <c r="W40" s="70"/>
      <c r="Z40" s="66">
        <v>7</v>
      </c>
      <c r="AD40" s="66">
        <v>1</v>
      </c>
      <c r="AE40" s="66">
        <v>2</v>
      </c>
      <c r="AG40" s="103"/>
      <c r="AH40" s="103"/>
      <c r="AI40" s="103"/>
      <c r="AJ40" s="103"/>
      <c r="AL40" s="103"/>
      <c r="AM40" s="103"/>
      <c r="AN40" s="103"/>
      <c r="AO40" s="66">
        <v>1</v>
      </c>
    </row>
    <row r="41" spans="1:41">
      <c r="B41" s="68">
        <v>37</v>
      </c>
      <c r="C41" s="68"/>
      <c r="D41" s="68"/>
      <c r="E41" s="68">
        <v>1</v>
      </c>
      <c r="F41" s="68"/>
      <c r="G41" s="68"/>
      <c r="H41" s="68"/>
      <c r="I41" s="68"/>
      <c r="J41" s="68"/>
      <c r="K41" s="68"/>
      <c r="L41" s="68"/>
      <c r="M41" s="68"/>
      <c r="N41" s="68"/>
      <c r="O41" s="68"/>
      <c r="P41" s="68"/>
      <c r="Q41" s="68"/>
      <c r="R41" s="68"/>
      <c r="S41" s="68"/>
      <c r="T41" s="69"/>
      <c r="W41" s="70"/>
      <c r="AG41" s="103"/>
      <c r="AH41" s="103"/>
      <c r="AI41" s="103"/>
      <c r="AM41" s="103"/>
      <c r="AN41" s="103"/>
    </row>
    <row r="42" spans="1:41">
      <c r="B42" s="68">
        <v>38</v>
      </c>
      <c r="C42" s="68"/>
      <c r="D42" s="68"/>
      <c r="E42" s="68"/>
      <c r="F42" s="68"/>
      <c r="G42" s="68"/>
      <c r="H42" s="68"/>
      <c r="I42" s="68"/>
      <c r="J42" s="68"/>
      <c r="K42" s="68"/>
      <c r="L42" s="68"/>
      <c r="M42" s="68"/>
      <c r="N42" s="68"/>
      <c r="O42" s="68"/>
      <c r="P42" s="68"/>
      <c r="Q42" s="68"/>
      <c r="R42" s="68"/>
      <c r="S42" s="68"/>
      <c r="T42" s="69"/>
      <c r="W42" s="70">
        <v>3</v>
      </c>
      <c r="AF42" s="66">
        <v>1</v>
      </c>
      <c r="AG42" s="103"/>
      <c r="AH42" s="103"/>
      <c r="AI42" s="104"/>
      <c r="AM42" s="103"/>
      <c r="AN42" s="103"/>
    </row>
    <row r="43" spans="1:41">
      <c r="B43" s="68">
        <v>39</v>
      </c>
      <c r="C43" s="68"/>
      <c r="D43" s="68"/>
      <c r="E43" s="68"/>
      <c r="F43" s="68"/>
      <c r="G43" s="68"/>
      <c r="H43" s="68"/>
      <c r="I43" s="68"/>
      <c r="J43" s="68"/>
      <c r="K43" s="68"/>
      <c r="L43" s="68"/>
      <c r="M43" s="68"/>
      <c r="N43" s="68"/>
      <c r="O43" s="68"/>
      <c r="P43" s="68"/>
      <c r="Q43" s="68"/>
      <c r="R43" s="68"/>
      <c r="S43" s="68"/>
      <c r="T43" s="69"/>
      <c r="W43" s="70"/>
      <c r="AG43" s="103"/>
      <c r="AH43" s="103"/>
      <c r="AI43" s="104"/>
      <c r="AM43" s="103"/>
      <c r="AN43" s="103"/>
    </row>
    <row r="44" spans="1:41">
      <c r="B44" s="68">
        <v>40</v>
      </c>
      <c r="C44" s="68"/>
      <c r="D44" s="68"/>
      <c r="E44" s="68"/>
      <c r="F44" s="68"/>
      <c r="G44" s="68"/>
      <c r="H44" s="68"/>
      <c r="I44" s="68"/>
      <c r="J44" s="68"/>
      <c r="K44" s="68"/>
      <c r="L44" s="68"/>
      <c r="M44" s="68"/>
      <c r="N44" s="68"/>
      <c r="O44" s="68"/>
      <c r="P44" s="68"/>
      <c r="Q44" s="68"/>
      <c r="R44" s="68"/>
      <c r="S44" s="68"/>
      <c r="T44" s="69"/>
      <c r="W44" s="70"/>
      <c r="AG44" s="103"/>
      <c r="AH44" s="103"/>
      <c r="AI44" s="104"/>
      <c r="AM44" s="103"/>
      <c r="AN44" s="103"/>
    </row>
    <row r="45" spans="1:41">
      <c r="B45" s="68">
        <v>41</v>
      </c>
      <c r="C45" s="68"/>
      <c r="D45" s="68"/>
      <c r="E45" s="68"/>
      <c r="F45" s="68"/>
      <c r="G45" s="68"/>
      <c r="H45" s="68"/>
      <c r="I45" s="68"/>
      <c r="J45" s="68"/>
      <c r="K45" s="68">
        <v>1</v>
      </c>
      <c r="L45" s="68"/>
      <c r="M45" s="68"/>
      <c r="N45" s="68"/>
      <c r="O45" s="68"/>
      <c r="P45" s="68"/>
      <c r="Q45" s="68"/>
      <c r="R45" s="68"/>
      <c r="S45" s="68"/>
      <c r="T45" s="69"/>
      <c r="W45" s="70"/>
      <c r="AG45" s="103"/>
      <c r="AH45" s="103"/>
      <c r="AI45" s="104"/>
      <c r="AM45" s="103"/>
      <c r="AN45" s="103"/>
    </row>
    <row r="46" spans="1:41">
      <c r="B46" s="68">
        <v>42</v>
      </c>
      <c r="C46" s="68"/>
      <c r="D46" s="68"/>
      <c r="E46" s="68"/>
      <c r="F46" s="68"/>
      <c r="G46" s="68"/>
      <c r="H46" s="68"/>
      <c r="I46" s="68"/>
      <c r="J46" s="68"/>
      <c r="K46" s="68"/>
      <c r="L46" s="68"/>
      <c r="M46" s="68"/>
      <c r="N46" s="68"/>
      <c r="O46" s="68"/>
      <c r="P46" s="68"/>
      <c r="Q46" s="68"/>
      <c r="R46" s="68"/>
      <c r="S46" s="68"/>
      <c r="T46" s="69"/>
      <c r="W46" s="70"/>
      <c r="AG46" s="103"/>
      <c r="AH46" s="103"/>
      <c r="AI46" s="104"/>
      <c r="AM46" s="103"/>
      <c r="AN46" s="103"/>
    </row>
    <row r="47" spans="1:41">
      <c r="B47" s="68">
        <v>43</v>
      </c>
      <c r="C47" s="68"/>
      <c r="D47" s="68"/>
      <c r="E47" s="68"/>
      <c r="F47" s="68"/>
      <c r="G47" s="68"/>
      <c r="H47" s="68"/>
      <c r="I47" s="68"/>
      <c r="J47" s="68"/>
      <c r="K47" s="68"/>
      <c r="L47" s="68"/>
      <c r="M47" s="68"/>
      <c r="N47" s="68"/>
      <c r="O47" s="68"/>
      <c r="P47" s="68"/>
      <c r="R47" s="68"/>
      <c r="S47" s="68"/>
      <c r="T47" s="69"/>
      <c r="AG47" s="103"/>
      <c r="AH47" s="103"/>
      <c r="AI47" s="104"/>
      <c r="AM47" s="103"/>
      <c r="AN47" s="103"/>
    </row>
    <row r="48" spans="1:41">
      <c r="B48" s="68">
        <v>44</v>
      </c>
      <c r="C48" s="68"/>
      <c r="D48" s="68"/>
      <c r="E48" s="68"/>
      <c r="F48" s="68"/>
      <c r="G48" s="68"/>
      <c r="H48" s="68"/>
      <c r="I48" s="68"/>
      <c r="J48" s="68"/>
      <c r="K48" s="68"/>
      <c r="L48" s="68"/>
      <c r="M48" s="68"/>
      <c r="N48" s="68"/>
      <c r="O48" s="68"/>
      <c r="P48" s="68"/>
      <c r="R48" s="68"/>
      <c r="S48" s="68"/>
      <c r="T48" s="69"/>
      <c r="AG48" s="103"/>
      <c r="AH48" s="103"/>
      <c r="AI48" s="104"/>
      <c r="AM48" s="103"/>
      <c r="AN48" s="103"/>
    </row>
    <row r="49" spans="2:41">
      <c r="B49" s="68">
        <v>45</v>
      </c>
      <c r="C49" s="68"/>
      <c r="D49" s="68"/>
      <c r="E49" s="68"/>
      <c r="F49" s="68"/>
      <c r="G49" s="68"/>
      <c r="H49" s="68"/>
      <c r="I49" s="68"/>
      <c r="J49" s="68"/>
      <c r="K49" s="68"/>
      <c r="L49" s="68"/>
      <c r="M49" s="68"/>
      <c r="N49" s="68"/>
      <c r="O49" s="68"/>
      <c r="P49" s="68"/>
      <c r="R49" s="68"/>
      <c r="S49" s="68"/>
      <c r="AG49" s="103"/>
      <c r="AH49" s="103"/>
      <c r="AI49" s="104"/>
      <c r="AM49" s="103"/>
      <c r="AN49" s="103"/>
    </row>
    <row r="50" spans="2:41">
      <c r="B50" s="68">
        <v>46</v>
      </c>
      <c r="C50" s="68"/>
      <c r="D50" s="68"/>
      <c r="E50" s="68"/>
      <c r="F50" s="68"/>
      <c r="G50" s="68"/>
      <c r="H50" s="68"/>
      <c r="I50" s="68"/>
      <c r="J50" s="68"/>
      <c r="K50" s="68"/>
      <c r="L50" s="68"/>
      <c r="M50" s="68"/>
      <c r="N50" s="68"/>
      <c r="O50" s="68"/>
      <c r="P50" s="68"/>
      <c r="R50" s="68"/>
      <c r="S50" s="68"/>
      <c r="AG50" s="103"/>
      <c r="AH50" s="103"/>
      <c r="AI50" s="104"/>
      <c r="AM50" s="103"/>
      <c r="AN50" s="103"/>
    </row>
    <row r="51" spans="2:41">
      <c r="B51" s="68">
        <v>47</v>
      </c>
      <c r="C51" s="68"/>
      <c r="D51" s="68"/>
      <c r="E51" s="68"/>
      <c r="F51" s="68"/>
      <c r="G51" s="68"/>
      <c r="H51" s="68"/>
      <c r="I51" s="68"/>
      <c r="J51" s="68"/>
      <c r="K51" s="68"/>
      <c r="L51" s="68"/>
      <c r="M51" s="68"/>
      <c r="N51" s="68"/>
      <c r="O51" s="68"/>
      <c r="P51" s="68"/>
      <c r="R51" s="68"/>
      <c r="S51" s="68"/>
      <c r="AG51" s="103"/>
      <c r="AH51" s="103"/>
      <c r="AI51" s="104"/>
      <c r="AM51" s="103"/>
      <c r="AN51" s="103"/>
    </row>
    <row r="52" spans="2:41">
      <c r="B52" s="68">
        <v>48</v>
      </c>
      <c r="C52" s="68"/>
      <c r="D52" s="68"/>
      <c r="E52" s="68"/>
      <c r="F52" s="68"/>
      <c r="G52" s="68"/>
      <c r="H52" s="68"/>
      <c r="I52" s="68"/>
      <c r="J52" s="68"/>
      <c r="K52" s="68"/>
      <c r="L52" s="68"/>
      <c r="M52" s="68"/>
      <c r="N52" s="68"/>
      <c r="O52" s="68"/>
      <c r="P52" s="68"/>
      <c r="R52" s="68"/>
      <c r="S52" s="68"/>
      <c r="AG52" s="103"/>
      <c r="AH52" s="103"/>
      <c r="AI52" s="104"/>
      <c r="AM52" s="103"/>
      <c r="AN52" s="103"/>
    </row>
    <row r="53" spans="2:41">
      <c r="B53" s="68">
        <v>49</v>
      </c>
      <c r="C53" s="68"/>
      <c r="D53" s="68"/>
      <c r="E53" s="68"/>
      <c r="F53" s="68"/>
      <c r="G53" s="68"/>
      <c r="H53" s="68"/>
      <c r="I53" s="68"/>
      <c r="J53" s="68"/>
      <c r="K53" s="68"/>
      <c r="L53" s="68"/>
      <c r="M53" s="68"/>
      <c r="N53" s="68"/>
      <c r="O53" s="68"/>
      <c r="P53" s="68"/>
      <c r="R53" s="68"/>
      <c r="S53" s="68"/>
      <c r="AG53" s="103"/>
      <c r="AH53" s="103"/>
      <c r="AI53" s="104"/>
      <c r="AM53" s="103"/>
      <c r="AN53" s="103"/>
    </row>
    <row r="54" spans="2:41">
      <c r="B54" s="68">
        <v>50</v>
      </c>
      <c r="C54" s="68"/>
      <c r="D54" s="68"/>
      <c r="E54" s="68"/>
      <c r="F54" s="68"/>
      <c r="G54" s="68"/>
      <c r="H54" s="68"/>
      <c r="I54" s="68"/>
      <c r="J54" s="68"/>
      <c r="K54" s="68"/>
      <c r="L54" s="68"/>
      <c r="M54" s="68"/>
      <c r="N54" s="68"/>
      <c r="O54" s="68"/>
      <c r="P54" s="68"/>
      <c r="R54" s="68"/>
      <c r="S54" s="68"/>
      <c r="AG54" s="103"/>
      <c r="AH54" s="103"/>
      <c r="AI54" s="104"/>
      <c r="AM54" s="103"/>
      <c r="AN54" s="103"/>
    </row>
    <row r="55" spans="2:41">
      <c r="B55" s="68">
        <v>51</v>
      </c>
      <c r="C55" s="68"/>
      <c r="D55" s="68"/>
      <c r="E55" s="68"/>
      <c r="F55" s="68"/>
      <c r="G55" s="68"/>
      <c r="H55" s="68"/>
      <c r="I55" s="68"/>
      <c r="J55" s="68"/>
      <c r="K55" s="68"/>
      <c r="L55" s="68"/>
      <c r="M55" s="68"/>
      <c r="N55" s="68"/>
      <c r="O55" s="68"/>
      <c r="P55" s="68"/>
      <c r="R55" s="68"/>
      <c r="S55" s="68"/>
      <c r="AG55" s="103"/>
      <c r="AH55" s="103"/>
      <c r="AI55" s="104"/>
      <c r="AM55" s="103"/>
      <c r="AN55" s="103"/>
    </row>
    <row r="56" spans="2:41">
      <c r="B56" s="68">
        <v>52</v>
      </c>
      <c r="C56" s="68"/>
      <c r="D56" s="68"/>
      <c r="E56" s="68"/>
      <c r="F56" s="68"/>
      <c r="G56" s="68"/>
      <c r="H56" s="68"/>
      <c r="I56" s="68"/>
      <c r="J56" s="68"/>
      <c r="K56" s="68"/>
      <c r="L56" s="68"/>
      <c r="M56" s="68"/>
      <c r="N56" s="68"/>
      <c r="O56" s="68"/>
      <c r="P56" s="68"/>
      <c r="R56" s="68"/>
      <c r="S56" s="68"/>
      <c r="AG56" s="103"/>
      <c r="AH56" s="103"/>
      <c r="AI56" s="104"/>
      <c r="AM56" s="103"/>
      <c r="AN56" s="103"/>
    </row>
    <row r="57" spans="2:41">
      <c r="AG57" s="103"/>
      <c r="AH57" s="103"/>
      <c r="AI57" s="104"/>
      <c r="AM57" s="103"/>
      <c r="AN57" s="103"/>
    </row>
    <row r="58" spans="2:41">
      <c r="B58" s="66" t="s">
        <v>4</v>
      </c>
      <c r="C58" s="74">
        <f t="shared" ref="C58:AO58" si="1">SUM(C5:C57)</f>
        <v>2459</v>
      </c>
      <c r="D58" s="66">
        <f t="shared" si="1"/>
        <v>3078</v>
      </c>
      <c r="E58" s="66">
        <f t="shared" si="1"/>
        <v>2243</v>
      </c>
      <c r="F58" s="66">
        <f t="shared" si="1"/>
        <v>4162</v>
      </c>
      <c r="G58" s="66">
        <f t="shared" si="1"/>
        <v>5068</v>
      </c>
      <c r="H58" s="66">
        <f t="shared" si="1"/>
        <v>2662</v>
      </c>
      <c r="I58" s="66">
        <f t="shared" si="1"/>
        <v>3748</v>
      </c>
      <c r="J58" s="66">
        <f t="shared" si="1"/>
        <v>5886</v>
      </c>
      <c r="K58" s="66">
        <f t="shared" si="1"/>
        <v>6849</v>
      </c>
      <c r="L58" s="66">
        <f t="shared" si="1"/>
        <v>4216</v>
      </c>
      <c r="M58" s="66">
        <f t="shared" si="1"/>
        <v>4676</v>
      </c>
      <c r="N58" s="66">
        <f t="shared" si="1"/>
        <v>6343</v>
      </c>
      <c r="O58" s="66">
        <f t="shared" si="1"/>
        <v>5266</v>
      </c>
      <c r="P58" s="66">
        <f t="shared" si="1"/>
        <v>3579</v>
      </c>
      <c r="Q58" s="66">
        <f t="shared" si="1"/>
        <v>8851</v>
      </c>
      <c r="R58" s="66">
        <f t="shared" si="1"/>
        <v>7216</v>
      </c>
      <c r="S58" s="66">
        <f t="shared" si="1"/>
        <v>4287</v>
      </c>
      <c r="T58" s="66">
        <f t="shared" si="1"/>
        <v>600</v>
      </c>
      <c r="U58" s="66">
        <f t="shared" si="1"/>
        <v>4923</v>
      </c>
      <c r="V58" s="66">
        <f t="shared" si="1"/>
        <v>2866</v>
      </c>
      <c r="W58" s="66">
        <f t="shared" si="1"/>
        <v>2803</v>
      </c>
      <c r="X58" s="66">
        <f t="shared" si="1"/>
        <v>1719</v>
      </c>
      <c r="Y58" s="66">
        <f t="shared" si="1"/>
        <v>825</v>
      </c>
      <c r="Z58" s="66">
        <f t="shared" si="1"/>
        <v>866</v>
      </c>
      <c r="AA58" s="66">
        <f t="shared" si="1"/>
        <v>912</v>
      </c>
      <c r="AB58" s="66">
        <f t="shared" si="1"/>
        <v>847</v>
      </c>
      <c r="AC58" s="66">
        <f t="shared" si="1"/>
        <v>722</v>
      </c>
      <c r="AD58" s="66">
        <f t="shared" si="1"/>
        <v>395</v>
      </c>
      <c r="AE58" s="66">
        <f t="shared" si="1"/>
        <v>180</v>
      </c>
      <c r="AF58" s="66">
        <f t="shared" si="1"/>
        <v>102</v>
      </c>
      <c r="AG58" s="103">
        <f t="shared" si="1"/>
        <v>125</v>
      </c>
      <c r="AH58" s="103">
        <f t="shared" si="1"/>
        <v>45</v>
      </c>
      <c r="AI58" s="103">
        <f t="shared" si="1"/>
        <v>107</v>
      </c>
      <c r="AJ58" s="103">
        <f t="shared" si="1"/>
        <v>131</v>
      </c>
      <c r="AK58" s="103">
        <f t="shared" si="1"/>
        <v>41</v>
      </c>
      <c r="AL58" s="103">
        <f t="shared" si="1"/>
        <v>60</v>
      </c>
      <c r="AM58" s="103">
        <f t="shared" si="1"/>
        <v>21</v>
      </c>
      <c r="AN58" s="103">
        <f t="shared" si="1"/>
        <v>145</v>
      </c>
      <c r="AO58" s="103">
        <f t="shared" si="1"/>
        <v>132</v>
      </c>
    </row>
    <row r="61" spans="2:41">
      <c r="C61" s="75"/>
      <c r="D61" s="66" t="s">
        <v>165</v>
      </c>
    </row>
    <row r="62" spans="2:41">
      <c r="C62" s="74"/>
      <c r="D62" s="66" t="s">
        <v>210</v>
      </c>
    </row>
    <row r="63" spans="2:41">
      <c r="C63" s="76"/>
      <c r="D63" s="66" t="s">
        <v>167</v>
      </c>
    </row>
    <row r="66" spans="1:41" ht="15.6">
      <c r="A66" s="65" t="s">
        <v>233</v>
      </c>
    </row>
    <row r="68" spans="1:41">
      <c r="B68" s="67" t="s">
        <v>232</v>
      </c>
      <c r="C68" s="68">
        <v>1977</v>
      </c>
      <c r="D68" s="66">
        <f t="shared" ref="D68:AF68" si="2">C68+1</f>
        <v>1978</v>
      </c>
      <c r="E68" s="66">
        <f t="shared" si="2"/>
        <v>1979</v>
      </c>
      <c r="F68" s="66">
        <f t="shared" si="2"/>
        <v>1980</v>
      </c>
      <c r="G68" s="66">
        <f t="shared" si="2"/>
        <v>1981</v>
      </c>
      <c r="H68" s="66">
        <f t="shared" si="2"/>
        <v>1982</v>
      </c>
      <c r="I68" s="66">
        <f t="shared" si="2"/>
        <v>1983</v>
      </c>
      <c r="J68" s="66">
        <f t="shared" si="2"/>
        <v>1984</v>
      </c>
      <c r="K68" s="66">
        <f t="shared" si="2"/>
        <v>1985</v>
      </c>
      <c r="L68" s="66">
        <f t="shared" si="2"/>
        <v>1986</v>
      </c>
      <c r="M68" s="66">
        <f t="shared" si="2"/>
        <v>1987</v>
      </c>
      <c r="N68" s="66">
        <f t="shared" si="2"/>
        <v>1988</v>
      </c>
      <c r="O68" s="66">
        <f t="shared" si="2"/>
        <v>1989</v>
      </c>
      <c r="P68" s="66">
        <f t="shared" si="2"/>
        <v>1990</v>
      </c>
      <c r="Q68" s="66">
        <f t="shared" si="2"/>
        <v>1991</v>
      </c>
      <c r="R68" s="66">
        <f t="shared" si="2"/>
        <v>1992</v>
      </c>
      <c r="S68" s="66">
        <f t="shared" si="2"/>
        <v>1993</v>
      </c>
      <c r="T68" s="66">
        <f t="shared" si="2"/>
        <v>1994</v>
      </c>
      <c r="U68" s="66">
        <f t="shared" si="2"/>
        <v>1995</v>
      </c>
      <c r="V68" s="66">
        <f t="shared" si="2"/>
        <v>1996</v>
      </c>
      <c r="W68" s="66">
        <f t="shared" si="2"/>
        <v>1997</v>
      </c>
      <c r="X68" s="66">
        <f t="shared" si="2"/>
        <v>1998</v>
      </c>
      <c r="Y68" s="66">
        <f t="shared" si="2"/>
        <v>1999</v>
      </c>
      <c r="Z68" s="66">
        <f t="shared" si="2"/>
        <v>2000</v>
      </c>
      <c r="AA68" s="66">
        <f t="shared" si="2"/>
        <v>2001</v>
      </c>
      <c r="AB68" s="66">
        <f t="shared" si="2"/>
        <v>2002</v>
      </c>
      <c r="AC68" s="66">
        <f t="shared" si="2"/>
        <v>2003</v>
      </c>
      <c r="AD68" s="66">
        <f t="shared" si="2"/>
        <v>2004</v>
      </c>
      <c r="AE68" s="66">
        <f t="shared" si="2"/>
        <v>2005</v>
      </c>
      <c r="AF68" s="66">
        <f t="shared" si="2"/>
        <v>2006</v>
      </c>
      <c r="AG68" s="66">
        <v>2007</v>
      </c>
      <c r="AH68" s="66">
        <v>2008</v>
      </c>
      <c r="AI68" s="66">
        <v>2009</v>
      </c>
      <c r="AJ68" s="66">
        <v>2010</v>
      </c>
      <c r="AK68" s="66">
        <v>2011</v>
      </c>
      <c r="AL68" s="66">
        <v>2012</v>
      </c>
      <c r="AM68" s="66">
        <v>2013</v>
      </c>
      <c r="AN68" s="66">
        <v>2014</v>
      </c>
      <c r="AO68" s="66">
        <v>2015</v>
      </c>
    </row>
    <row r="69" spans="1:41">
      <c r="B69" s="68">
        <v>1</v>
      </c>
      <c r="C69" s="77"/>
      <c r="D69" s="77"/>
      <c r="E69" s="77"/>
      <c r="F69" s="77"/>
      <c r="G69" s="77"/>
      <c r="H69" s="77"/>
      <c r="I69" s="77"/>
      <c r="J69" s="77"/>
      <c r="K69" s="77"/>
      <c r="L69" s="77"/>
      <c r="M69" s="77"/>
      <c r="N69" s="77"/>
      <c r="O69" s="77"/>
      <c r="P69" s="77"/>
      <c r="Q69" s="77"/>
      <c r="R69" s="77"/>
      <c r="S69" s="77"/>
      <c r="T69" s="77"/>
      <c r="U69" s="77"/>
      <c r="V69" s="77"/>
    </row>
    <row r="70" spans="1:41">
      <c r="B70" s="68">
        <v>2</v>
      </c>
      <c r="C70" s="77"/>
      <c r="D70" s="77"/>
      <c r="E70" s="77"/>
      <c r="F70" s="77"/>
      <c r="G70" s="77">
        <v>1</v>
      </c>
      <c r="H70" s="77"/>
      <c r="I70" s="77"/>
      <c r="J70" s="77"/>
      <c r="K70" s="77"/>
      <c r="L70" s="77"/>
      <c r="M70" s="77"/>
      <c r="N70" s="77"/>
      <c r="O70" s="77"/>
      <c r="P70" s="77">
        <v>1</v>
      </c>
      <c r="Q70" s="77"/>
      <c r="R70" s="77"/>
      <c r="S70" s="77"/>
      <c r="T70" s="77"/>
      <c r="U70" s="77"/>
      <c r="V70" s="77"/>
    </row>
    <row r="71" spans="1:41">
      <c r="B71" s="68">
        <v>3</v>
      </c>
      <c r="C71" s="77"/>
      <c r="D71" s="77"/>
      <c r="E71" s="77"/>
      <c r="F71" s="77"/>
      <c r="G71" s="77"/>
      <c r="H71" s="78">
        <v>1</v>
      </c>
      <c r="I71" s="77"/>
      <c r="J71" s="77"/>
      <c r="K71" s="77"/>
      <c r="L71" s="77">
        <v>2</v>
      </c>
      <c r="M71" s="77"/>
      <c r="N71" s="77"/>
      <c r="O71" s="77"/>
      <c r="P71" s="77"/>
      <c r="Q71" s="77"/>
      <c r="R71" s="77"/>
      <c r="S71" s="77"/>
      <c r="T71" s="77"/>
      <c r="U71" s="77"/>
      <c r="V71" s="77"/>
    </row>
    <row r="72" spans="1:41">
      <c r="B72" s="68">
        <v>4</v>
      </c>
      <c r="C72" s="77"/>
      <c r="D72" s="77"/>
      <c r="E72" s="77"/>
      <c r="F72" s="77"/>
      <c r="G72" s="77"/>
      <c r="H72" s="78"/>
      <c r="I72" s="77"/>
      <c r="J72" s="77"/>
      <c r="K72" s="77"/>
      <c r="L72" s="77">
        <v>6</v>
      </c>
      <c r="M72" s="77">
        <v>1</v>
      </c>
      <c r="N72" s="77">
        <v>1</v>
      </c>
      <c r="O72" s="77"/>
      <c r="P72" s="77"/>
      <c r="Q72" s="77"/>
      <c r="R72" s="77"/>
      <c r="S72" s="77"/>
      <c r="T72" s="77"/>
      <c r="U72" s="77"/>
      <c r="V72" s="77"/>
    </row>
    <row r="73" spans="1:41">
      <c r="B73" s="68">
        <v>5</v>
      </c>
      <c r="C73" s="77"/>
      <c r="D73" s="77"/>
      <c r="E73" s="77"/>
      <c r="F73" s="77"/>
      <c r="G73" s="77"/>
      <c r="H73" s="78">
        <v>1</v>
      </c>
      <c r="I73" s="77"/>
      <c r="J73" s="77"/>
      <c r="K73" s="77"/>
      <c r="L73" s="77">
        <v>4</v>
      </c>
      <c r="M73" s="77"/>
      <c r="N73" s="77">
        <v>3</v>
      </c>
      <c r="O73" s="77"/>
      <c r="P73" s="77"/>
      <c r="Q73" s="77"/>
      <c r="R73" s="77"/>
      <c r="S73" s="77"/>
      <c r="T73" s="77"/>
      <c r="U73" s="77"/>
      <c r="V73" s="77"/>
    </row>
    <row r="74" spans="1:41">
      <c r="B74" s="68">
        <v>6</v>
      </c>
      <c r="C74" s="77"/>
      <c r="D74" s="77"/>
      <c r="E74" s="77"/>
      <c r="F74" s="77"/>
      <c r="G74" s="77"/>
      <c r="H74" s="78"/>
      <c r="I74" s="77"/>
      <c r="J74" s="77"/>
      <c r="K74" s="77"/>
      <c r="L74" s="77">
        <v>4</v>
      </c>
      <c r="M74" s="77"/>
      <c r="N74" s="77">
        <v>0</v>
      </c>
      <c r="O74" s="77"/>
      <c r="P74" s="77"/>
      <c r="Q74" s="77"/>
      <c r="R74" s="77"/>
      <c r="S74" s="77"/>
      <c r="T74" s="77"/>
      <c r="U74" s="77"/>
      <c r="V74" s="77"/>
    </row>
    <row r="75" spans="1:41">
      <c r="B75" s="68">
        <v>7</v>
      </c>
      <c r="C75" s="77"/>
      <c r="D75" s="77"/>
      <c r="E75" s="77"/>
      <c r="F75" s="77"/>
      <c r="G75" s="77"/>
      <c r="H75" s="78"/>
      <c r="I75" s="77"/>
      <c r="J75" s="77"/>
      <c r="K75" s="77"/>
      <c r="L75" s="77"/>
      <c r="M75" s="77"/>
      <c r="N75" s="77">
        <v>3</v>
      </c>
      <c r="O75" s="77"/>
      <c r="P75" s="77"/>
      <c r="Q75" s="77"/>
      <c r="R75" s="77"/>
      <c r="S75" s="77"/>
      <c r="T75" s="77"/>
      <c r="U75" s="77"/>
      <c r="V75" s="77"/>
    </row>
    <row r="76" spans="1:41">
      <c r="B76" s="68">
        <v>8</v>
      </c>
      <c r="C76" s="77"/>
      <c r="D76" s="77"/>
      <c r="E76" s="77"/>
      <c r="F76" s="77"/>
      <c r="G76" s="77"/>
      <c r="H76" s="78"/>
      <c r="I76" s="77"/>
      <c r="J76" s="77"/>
      <c r="K76" s="77">
        <v>2</v>
      </c>
      <c r="L76" s="77"/>
      <c r="M76" s="77"/>
      <c r="N76" s="77">
        <v>3</v>
      </c>
      <c r="O76" s="77"/>
      <c r="P76" s="77"/>
      <c r="Q76" s="77"/>
      <c r="R76" s="77"/>
      <c r="S76" s="77"/>
      <c r="T76" s="77"/>
      <c r="U76" s="77"/>
      <c r="V76" s="77"/>
    </row>
    <row r="77" spans="1:41">
      <c r="B77" s="68">
        <v>9</v>
      </c>
      <c r="C77" s="77"/>
      <c r="D77" s="77"/>
      <c r="E77" s="77"/>
      <c r="F77" s="77"/>
      <c r="G77" s="77"/>
      <c r="H77" s="78">
        <v>4</v>
      </c>
      <c r="I77" s="77"/>
      <c r="J77" s="77"/>
      <c r="K77" s="77">
        <v>4</v>
      </c>
      <c r="L77" s="77"/>
      <c r="M77" s="77"/>
      <c r="N77" s="77">
        <v>3</v>
      </c>
      <c r="O77" s="77"/>
      <c r="P77" s="77"/>
      <c r="Q77" s="77"/>
      <c r="R77" s="77"/>
      <c r="S77" s="77"/>
      <c r="T77" s="77"/>
      <c r="U77" s="77"/>
      <c r="V77" s="77"/>
    </row>
    <row r="78" spans="1:41">
      <c r="B78" s="68">
        <v>10</v>
      </c>
      <c r="C78" s="77"/>
      <c r="D78" s="77"/>
      <c r="E78" s="77"/>
      <c r="F78" s="77"/>
      <c r="G78" s="77"/>
      <c r="H78" s="78"/>
      <c r="I78" s="77"/>
      <c r="J78" s="77"/>
      <c r="K78" s="77"/>
      <c r="L78" s="77"/>
      <c r="M78" s="77"/>
      <c r="N78" s="77">
        <v>7</v>
      </c>
      <c r="O78" s="77"/>
      <c r="P78" s="77"/>
      <c r="Q78" s="77"/>
      <c r="R78" s="77"/>
      <c r="S78" s="77"/>
      <c r="T78" s="77"/>
      <c r="U78" s="77"/>
      <c r="V78" s="77"/>
    </row>
    <row r="79" spans="1:41">
      <c r="B79" s="68">
        <v>11</v>
      </c>
      <c r="C79" s="77"/>
      <c r="D79" s="77"/>
      <c r="E79" s="77">
        <v>2</v>
      </c>
      <c r="F79" s="77"/>
      <c r="G79" s="77"/>
      <c r="H79" s="78"/>
      <c r="I79" s="77"/>
      <c r="J79" s="77"/>
      <c r="K79" s="77"/>
      <c r="L79" s="77"/>
      <c r="M79" s="77"/>
      <c r="N79" s="77">
        <v>9</v>
      </c>
      <c r="O79" s="77"/>
      <c r="P79" s="77"/>
      <c r="Q79" s="77"/>
      <c r="R79" s="77"/>
      <c r="S79" s="77"/>
      <c r="T79" s="77"/>
      <c r="U79" s="77"/>
      <c r="V79" s="77"/>
    </row>
    <row r="80" spans="1:41">
      <c r="B80" s="68">
        <v>12</v>
      </c>
      <c r="C80" s="77"/>
      <c r="D80" s="77"/>
      <c r="E80" s="77"/>
      <c r="F80" s="77"/>
      <c r="G80" s="77"/>
      <c r="H80" s="78"/>
      <c r="I80" s="77"/>
      <c r="J80" s="77"/>
      <c r="K80" s="77"/>
      <c r="L80" s="77"/>
      <c r="M80" s="77"/>
      <c r="N80" s="77">
        <v>11</v>
      </c>
      <c r="O80" s="77"/>
      <c r="P80" s="77"/>
      <c r="Q80" s="77"/>
      <c r="R80" s="77"/>
      <c r="S80" s="77"/>
      <c r="T80" s="77"/>
      <c r="U80" s="77"/>
      <c r="V80" s="77"/>
    </row>
    <row r="81" spans="2:41">
      <c r="B81" s="68">
        <v>13</v>
      </c>
      <c r="C81" s="77"/>
      <c r="D81" s="77"/>
      <c r="E81" s="77"/>
      <c r="F81" s="77"/>
      <c r="G81" s="77"/>
      <c r="H81" s="78"/>
      <c r="I81" s="77"/>
      <c r="J81" s="77"/>
      <c r="K81" s="77"/>
      <c r="L81" s="77"/>
      <c r="M81" s="77"/>
      <c r="N81" s="77">
        <v>11</v>
      </c>
      <c r="O81" s="77"/>
      <c r="P81" s="77"/>
      <c r="Q81" s="77"/>
      <c r="R81" s="77"/>
      <c r="S81" s="77"/>
      <c r="T81" s="77"/>
      <c r="U81" s="77"/>
      <c r="V81" s="77"/>
    </row>
    <row r="82" spans="2:41">
      <c r="B82" s="68">
        <v>14</v>
      </c>
      <c r="C82" s="77">
        <v>12</v>
      </c>
      <c r="D82" s="77"/>
      <c r="E82" s="77"/>
      <c r="F82" s="77"/>
      <c r="G82" s="77"/>
      <c r="H82" s="78"/>
      <c r="I82" s="77"/>
      <c r="J82" s="77"/>
      <c r="K82" s="77"/>
      <c r="L82" s="77"/>
      <c r="M82" s="77"/>
      <c r="N82" s="77">
        <v>2</v>
      </c>
      <c r="O82" s="77">
        <v>1</v>
      </c>
      <c r="P82" s="77"/>
      <c r="Q82" s="77"/>
      <c r="R82" s="77"/>
      <c r="S82" s="77"/>
      <c r="T82" s="77"/>
      <c r="U82" s="77"/>
      <c r="V82" s="77"/>
    </row>
    <row r="83" spans="2:41">
      <c r="B83" s="68">
        <v>15</v>
      </c>
      <c r="C83" s="77">
        <v>1</v>
      </c>
      <c r="D83" s="77"/>
      <c r="E83" s="77"/>
      <c r="F83" s="77"/>
      <c r="G83" s="77"/>
      <c r="H83" s="78"/>
      <c r="I83" s="77"/>
      <c r="J83" s="77"/>
      <c r="K83" s="77">
        <v>40</v>
      </c>
      <c r="L83" s="77"/>
      <c r="M83" s="77"/>
      <c r="N83" s="77">
        <v>8</v>
      </c>
      <c r="O83" s="77">
        <v>4</v>
      </c>
      <c r="P83" s="77"/>
      <c r="Q83" s="77"/>
      <c r="R83" s="77"/>
      <c r="S83" s="77"/>
      <c r="T83" s="77"/>
      <c r="U83" s="77"/>
      <c r="V83" s="77"/>
    </row>
    <row r="84" spans="2:41">
      <c r="B84" s="68">
        <v>16</v>
      </c>
      <c r="C84" s="77"/>
      <c r="D84" s="77"/>
      <c r="E84" s="77"/>
      <c r="F84" s="77"/>
      <c r="G84" s="77"/>
      <c r="H84" s="78"/>
      <c r="I84" s="77"/>
      <c r="J84" s="77"/>
      <c r="K84" s="77">
        <v>40</v>
      </c>
      <c r="L84" s="77">
        <v>10</v>
      </c>
      <c r="M84" s="77"/>
      <c r="N84" s="77">
        <v>17</v>
      </c>
      <c r="O84" s="77">
        <v>10</v>
      </c>
      <c r="P84" s="77"/>
      <c r="Q84" s="77"/>
      <c r="R84" s="77">
        <v>10</v>
      </c>
      <c r="S84" s="77"/>
      <c r="T84" s="77"/>
      <c r="U84" s="77">
        <v>5</v>
      </c>
      <c r="V84" s="77"/>
    </row>
    <row r="85" spans="2:41">
      <c r="B85" s="68">
        <v>17</v>
      </c>
      <c r="C85" s="77"/>
      <c r="D85" s="77"/>
      <c r="E85" s="77">
        <v>6</v>
      </c>
      <c r="F85" s="77"/>
      <c r="G85" s="77"/>
      <c r="H85" s="78"/>
      <c r="I85" s="77">
        <v>6</v>
      </c>
      <c r="J85" s="77">
        <v>8</v>
      </c>
      <c r="K85" s="77">
        <v>42</v>
      </c>
      <c r="L85" s="77">
        <v>25</v>
      </c>
      <c r="M85" s="77">
        <v>8</v>
      </c>
      <c r="N85" s="77">
        <v>15</v>
      </c>
      <c r="O85" s="77">
        <v>15</v>
      </c>
      <c r="P85" s="77">
        <v>6</v>
      </c>
      <c r="Q85" s="77">
        <v>7</v>
      </c>
      <c r="R85" s="77">
        <v>12</v>
      </c>
      <c r="S85" s="77"/>
      <c r="T85" s="77"/>
      <c r="U85" s="77">
        <v>15</v>
      </c>
      <c r="V85" s="77"/>
      <c r="W85" s="66">
        <v>16</v>
      </c>
      <c r="AD85" s="66">
        <v>3</v>
      </c>
      <c r="AE85" s="66">
        <v>1</v>
      </c>
    </row>
    <row r="86" spans="2:41">
      <c r="B86" s="68">
        <v>18</v>
      </c>
      <c r="C86" s="77"/>
      <c r="D86" s="77">
        <v>5</v>
      </c>
      <c r="E86" s="77">
        <v>15</v>
      </c>
      <c r="F86" s="77">
        <v>20</v>
      </c>
      <c r="G86" s="77">
        <v>12</v>
      </c>
      <c r="H86" s="78">
        <v>15</v>
      </c>
      <c r="I86" s="77">
        <v>40</v>
      </c>
      <c r="J86" s="77">
        <v>10</v>
      </c>
      <c r="K86" s="77">
        <v>48</v>
      </c>
      <c r="L86" s="77">
        <v>40</v>
      </c>
      <c r="M86" s="77">
        <v>3</v>
      </c>
      <c r="N86" s="77">
        <v>23</v>
      </c>
      <c r="O86" s="77">
        <v>20</v>
      </c>
      <c r="P86" s="77">
        <v>12</v>
      </c>
      <c r="Q86" s="77">
        <v>2</v>
      </c>
      <c r="R86" s="77">
        <v>16</v>
      </c>
      <c r="S86" s="77"/>
      <c r="T86" s="77"/>
      <c r="U86" s="77">
        <v>25</v>
      </c>
      <c r="V86" s="77"/>
      <c r="Y86" s="66">
        <v>20</v>
      </c>
      <c r="Z86" s="66">
        <v>14</v>
      </c>
      <c r="AA86" s="66">
        <v>6</v>
      </c>
      <c r="AB86" s="66">
        <v>29</v>
      </c>
      <c r="AC86" s="66">
        <v>27</v>
      </c>
      <c r="AD86" s="66">
        <v>16</v>
      </c>
      <c r="AE86" s="66">
        <v>3</v>
      </c>
      <c r="AF86" s="66">
        <v>7</v>
      </c>
      <c r="AI86" s="103"/>
    </row>
    <row r="87" spans="2:41">
      <c r="B87" s="68">
        <v>19</v>
      </c>
      <c r="C87" s="77"/>
      <c r="D87" s="77">
        <v>5</v>
      </c>
      <c r="E87" s="77">
        <v>15</v>
      </c>
      <c r="F87" s="77">
        <v>20</v>
      </c>
      <c r="G87" s="77">
        <v>20</v>
      </c>
      <c r="H87" s="78">
        <v>30</v>
      </c>
      <c r="I87" s="77">
        <v>40</v>
      </c>
      <c r="J87" s="77">
        <v>40</v>
      </c>
      <c r="K87" s="77">
        <v>45</v>
      </c>
      <c r="L87" s="77">
        <v>75</v>
      </c>
      <c r="M87" s="77">
        <v>40</v>
      </c>
      <c r="N87" s="77">
        <v>25</v>
      </c>
      <c r="O87" s="77">
        <v>18</v>
      </c>
      <c r="P87" s="77">
        <v>20</v>
      </c>
      <c r="Q87" s="77">
        <v>18</v>
      </c>
      <c r="R87" s="77">
        <v>20</v>
      </c>
      <c r="S87" s="77"/>
      <c r="T87" s="77"/>
      <c r="U87" s="77">
        <v>25</v>
      </c>
      <c r="V87" s="77">
        <v>22</v>
      </c>
      <c r="X87" s="66">
        <v>45</v>
      </c>
      <c r="Y87" s="66">
        <v>15</v>
      </c>
      <c r="Z87" s="66">
        <v>23</v>
      </c>
      <c r="AA87" s="66">
        <v>21</v>
      </c>
      <c r="AB87" s="66">
        <v>32</v>
      </c>
      <c r="AC87" s="66">
        <v>32</v>
      </c>
      <c r="AD87" s="66">
        <v>37</v>
      </c>
      <c r="AE87" s="66">
        <v>28</v>
      </c>
      <c r="AF87" s="66">
        <v>34</v>
      </c>
      <c r="AG87" s="103">
        <v>1</v>
      </c>
      <c r="AH87" s="103">
        <v>6</v>
      </c>
      <c r="AI87" s="103"/>
      <c r="AJ87" s="103"/>
    </row>
    <row r="88" spans="2:41">
      <c r="B88" s="68">
        <v>20</v>
      </c>
      <c r="C88" s="77"/>
      <c r="D88" s="77">
        <v>10</v>
      </c>
      <c r="E88" s="77">
        <v>24</v>
      </c>
      <c r="F88" s="77">
        <v>20</v>
      </c>
      <c r="G88" s="77">
        <v>15</v>
      </c>
      <c r="H88" s="78">
        <v>30</v>
      </c>
      <c r="I88" s="77">
        <v>40</v>
      </c>
      <c r="J88" s="77">
        <v>35</v>
      </c>
      <c r="K88" s="77">
        <v>60</v>
      </c>
      <c r="L88" s="77">
        <v>45</v>
      </c>
      <c r="M88" s="77">
        <v>0</v>
      </c>
      <c r="N88" s="77">
        <v>50</v>
      </c>
      <c r="O88" s="77">
        <v>47</v>
      </c>
      <c r="P88" s="77">
        <v>58</v>
      </c>
      <c r="Q88" s="77">
        <v>64</v>
      </c>
      <c r="R88" s="77">
        <v>30</v>
      </c>
      <c r="S88" s="77">
        <v>19</v>
      </c>
      <c r="T88" s="77"/>
      <c r="U88" s="77">
        <v>100</v>
      </c>
      <c r="V88" s="77">
        <v>53</v>
      </c>
      <c r="W88" s="66">
        <v>70</v>
      </c>
      <c r="X88" s="66">
        <v>109</v>
      </c>
      <c r="Y88" s="66">
        <v>50</v>
      </c>
      <c r="Z88" s="66">
        <v>51</v>
      </c>
      <c r="AA88" s="66">
        <v>64</v>
      </c>
      <c r="AB88" s="66">
        <v>93</v>
      </c>
      <c r="AC88" s="66">
        <v>72</v>
      </c>
      <c r="AD88" s="66">
        <v>56</v>
      </c>
      <c r="AE88" s="66">
        <v>58</v>
      </c>
      <c r="AF88" s="66">
        <v>42</v>
      </c>
      <c r="AG88" s="103">
        <v>40</v>
      </c>
      <c r="AH88" s="103">
        <v>8</v>
      </c>
      <c r="AI88" s="103">
        <v>16</v>
      </c>
      <c r="AJ88" s="103">
        <v>3</v>
      </c>
      <c r="AK88" s="103"/>
      <c r="AO88" s="66">
        <v>20</v>
      </c>
    </row>
    <row r="89" spans="2:41">
      <c r="B89" s="68">
        <v>21</v>
      </c>
      <c r="C89" s="77"/>
      <c r="D89" s="77">
        <v>15</v>
      </c>
      <c r="E89" s="77">
        <v>24</v>
      </c>
      <c r="F89" s="77">
        <v>30</v>
      </c>
      <c r="G89" s="77">
        <v>15</v>
      </c>
      <c r="H89" s="78">
        <v>30</v>
      </c>
      <c r="I89" s="77">
        <v>50</v>
      </c>
      <c r="J89" s="77">
        <v>56</v>
      </c>
      <c r="K89" s="77">
        <v>52</v>
      </c>
      <c r="L89" s="77">
        <v>65</v>
      </c>
      <c r="M89" s="77">
        <v>43</v>
      </c>
      <c r="N89" s="77">
        <v>55</v>
      </c>
      <c r="O89" s="77">
        <v>71</v>
      </c>
      <c r="P89" s="77">
        <v>65</v>
      </c>
      <c r="Q89" s="77">
        <v>63</v>
      </c>
      <c r="R89" s="77">
        <v>57</v>
      </c>
      <c r="S89" s="77">
        <v>53</v>
      </c>
      <c r="T89" s="77"/>
      <c r="U89" s="77">
        <v>102</v>
      </c>
      <c r="V89" s="77">
        <v>102</v>
      </c>
      <c r="W89" s="66">
        <v>115</v>
      </c>
      <c r="X89" s="66">
        <v>109</v>
      </c>
      <c r="Y89" s="66">
        <v>60</v>
      </c>
      <c r="Z89" s="66">
        <v>110</v>
      </c>
      <c r="AA89" s="66">
        <v>116</v>
      </c>
      <c r="AB89" s="66">
        <v>81</v>
      </c>
      <c r="AC89" s="66">
        <v>95</v>
      </c>
      <c r="AD89" s="66">
        <v>109</v>
      </c>
      <c r="AE89" s="66">
        <v>58</v>
      </c>
      <c r="AF89" s="66">
        <v>97</v>
      </c>
      <c r="AG89" s="103">
        <v>84</v>
      </c>
      <c r="AH89" s="103">
        <v>55</v>
      </c>
      <c r="AI89" s="103">
        <v>62</v>
      </c>
      <c r="AJ89" s="103">
        <v>39</v>
      </c>
      <c r="AK89" s="103">
        <v>13</v>
      </c>
      <c r="AL89" s="103">
        <v>66</v>
      </c>
      <c r="AM89" s="103">
        <v>52</v>
      </c>
      <c r="AN89" s="103">
        <v>42</v>
      </c>
      <c r="AO89" s="66">
        <v>23</v>
      </c>
    </row>
    <row r="90" spans="2:41">
      <c r="B90" s="68">
        <v>22</v>
      </c>
      <c r="C90" s="77"/>
      <c r="D90" s="77">
        <v>12</v>
      </c>
      <c r="E90" s="77">
        <v>35</v>
      </c>
      <c r="F90" s="77">
        <v>30</v>
      </c>
      <c r="G90" s="77">
        <v>22</v>
      </c>
      <c r="H90" s="78">
        <v>40</v>
      </c>
      <c r="I90" s="77">
        <v>51</v>
      </c>
      <c r="J90" s="77">
        <v>81</v>
      </c>
      <c r="K90" s="77">
        <v>46</v>
      </c>
      <c r="L90" s="77">
        <v>66</v>
      </c>
      <c r="M90" s="77">
        <v>78</v>
      </c>
      <c r="N90" s="77">
        <v>28</v>
      </c>
      <c r="O90" s="77">
        <v>126</v>
      </c>
      <c r="P90" s="77">
        <v>73</v>
      </c>
      <c r="Q90" s="77">
        <v>91</v>
      </c>
      <c r="R90" s="77">
        <v>131</v>
      </c>
      <c r="S90" s="77">
        <v>66</v>
      </c>
      <c r="T90" s="77"/>
      <c r="U90" s="77">
        <v>97</v>
      </c>
      <c r="V90" s="77">
        <v>109</v>
      </c>
      <c r="W90" s="66">
        <v>115</v>
      </c>
      <c r="X90" s="66">
        <v>93</v>
      </c>
      <c r="Y90" s="66">
        <v>78</v>
      </c>
      <c r="Z90" s="66">
        <v>185</v>
      </c>
      <c r="AA90" s="66">
        <v>103</v>
      </c>
      <c r="AB90" s="66">
        <v>99</v>
      </c>
      <c r="AC90" s="66">
        <v>116</v>
      </c>
      <c r="AD90" s="66">
        <v>88</v>
      </c>
      <c r="AE90" s="66">
        <v>127</v>
      </c>
      <c r="AF90" s="66">
        <v>82</v>
      </c>
      <c r="AG90" s="103">
        <v>100</v>
      </c>
      <c r="AH90" s="103">
        <v>67</v>
      </c>
      <c r="AI90" s="103">
        <v>77</v>
      </c>
      <c r="AJ90" s="103">
        <v>69</v>
      </c>
      <c r="AK90" s="103">
        <v>43</v>
      </c>
      <c r="AL90" s="103">
        <v>52</v>
      </c>
      <c r="AM90" s="103">
        <v>49</v>
      </c>
      <c r="AN90" s="103">
        <v>54</v>
      </c>
      <c r="AO90" s="66">
        <v>30</v>
      </c>
    </row>
    <row r="91" spans="2:41">
      <c r="B91" s="68">
        <v>23</v>
      </c>
      <c r="C91" s="77"/>
      <c r="D91" s="77">
        <v>27</v>
      </c>
      <c r="E91" s="77">
        <v>14</v>
      </c>
      <c r="F91" s="77">
        <v>20</v>
      </c>
      <c r="G91" s="77">
        <v>40</v>
      </c>
      <c r="H91" s="78">
        <v>31</v>
      </c>
      <c r="I91" s="77">
        <v>64</v>
      </c>
      <c r="J91" s="77">
        <v>87</v>
      </c>
      <c r="K91" s="77">
        <v>60</v>
      </c>
      <c r="L91" s="77">
        <v>85</v>
      </c>
      <c r="M91" s="77">
        <v>70</v>
      </c>
      <c r="N91" s="77">
        <v>43</v>
      </c>
      <c r="O91" s="77">
        <v>101</v>
      </c>
      <c r="P91" s="77">
        <v>79</v>
      </c>
      <c r="Q91" s="77">
        <v>82</v>
      </c>
      <c r="R91" s="77">
        <v>120</v>
      </c>
      <c r="S91" s="77">
        <v>45</v>
      </c>
      <c r="T91" s="77"/>
      <c r="U91" s="77">
        <v>129</v>
      </c>
      <c r="V91" s="77">
        <v>123</v>
      </c>
      <c r="W91" s="70">
        <v>154</v>
      </c>
      <c r="X91" s="66">
        <v>175</v>
      </c>
      <c r="Y91" s="66">
        <v>109</v>
      </c>
      <c r="Z91" s="66">
        <v>123</v>
      </c>
      <c r="AA91" s="66">
        <v>149</v>
      </c>
      <c r="AB91" s="66">
        <v>98</v>
      </c>
      <c r="AC91" s="66">
        <v>132</v>
      </c>
      <c r="AD91" s="66">
        <v>122</v>
      </c>
      <c r="AE91" s="66">
        <v>133</v>
      </c>
      <c r="AF91" s="66">
        <v>118</v>
      </c>
      <c r="AG91" s="103">
        <v>15</v>
      </c>
      <c r="AH91" s="103">
        <v>84</v>
      </c>
      <c r="AI91" s="103">
        <v>90</v>
      </c>
      <c r="AJ91" s="103">
        <v>68</v>
      </c>
      <c r="AK91" s="103">
        <v>8</v>
      </c>
      <c r="AL91" s="103">
        <v>67</v>
      </c>
      <c r="AM91" s="103">
        <v>98</v>
      </c>
      <c r="AN91" s="103">
        <v>51</v>
      </c>
      <c r="AO91" s="66">
        <v>33</v>
      </c>
    </row>
    <row r="92" spans="2:41">
      <c r="B92" s="68">
        <v>24</v>
      </c>
      <c r="C92" s="77"/>
      <c r="D92" s="77">
        <v>42</v>
      </c>
      <c r="E92" s="77">
        <v>31</v>
      </c>
      <c r="F92" s="77">
        <v>30</v>
      </c>
      <c r="G92" s="77">
        <v>40</v>
      </c>
      <c r="H92" s="78">
        <v>33</v>
      </c>
      <c r="I92" s="77">
        <v>70</v>
      </c>
      <c r="J92" s="77">
        <v>68</v>
      </c>
      <c r="K92" s="77">
        <v>33</v>
      </c>
      <c r="L92" s="77">
        <v>75</v>
      </c>
      <c r="M92" s="77">
        <v>47</v>
      </c>
      <c r="N92" s="77">
        <v>75</v>
      </c>
      <c r="O92" s="77">
        <v>87</v>
      </c>
      <c r="P92" s="77">
        <v>77</v>
      </c>
      <c r="Q92" s="77">
        <v>49</v>
      </c>
      <c r="R92" s="77">
        <v>100</v>
      </c>
      <c r="S92" s="77">
        <v>43</v>
      </c>
      <c r="T92" s="77"/>
      <c r="U92" s="77">
        <v>91</v>
      </c>
      <c r="V92" s="77">
        <v>126</v>
      </c>
      <c r="W92" s="70">
        <v>146</v>
      </c>
      <c r="X92" s="66">
        <v>200</v>
      </c>
      <c r="Y92" s="66">
        <v>111</v>
      </c>
      <c r="Z92" s="66">
        <v>115</v>
      </c>
      <c r="AA92" s="66">
        <v>142</v>
      </c>
      <c r="AB92" s="66">
        <v>127</v>
      </c>
      <c r="AC92" s="66">
        <v>167</v>
      </c>
      <c r="AD92" s="66">
        <v>118</v>
      </c>
      <c r="AE92" s="66">
        <v>136</v>
      </c>
      <c r="AF92" s="66">
        <v>104</v>
      </c>
      <c r="AG92" s="103">
        <v>48</v>
      </c>
      <c r="AH92" s="103">
        <v>129</v>
      </c>
      <c r="AI92" s="103">
        <v>125</v>
      </c>
      <c r="AJ92" s="103">
        <v>80</v>
      </c>
      <c r="AK92" s="103">
        <v>19</v>
      </c>
      <c r="AL92" s="103">
        <v>35</v>
      </c>
      <c r="AM92" s="103">
        <v>99</v>
      </c>
      <c r="AN92" s="103">
        <v>75</v>
      </c>
      <c r="AO92" s="66">
        <v>49</v>
      </c>
    </row>
    <row r="93" spans="2:41">
      <c r="B93" s="68">
        <v>25</v>
      </c>
      <c r="C93" s="77">
        <v>25</v>
      </c>
      <c r="D93" s="77">
        <v>62</v>
      </c>
      <c r="E93" s="77">
        <v>40</v>
      </c>
      <c r="F93" s="77">
        <v>45</v>
      </c>
      <c r="G93" s="77">
        <v>50</v>
      </c>
      <c r="H93" s="78">
        <v>60</v>
      </c>
      <c r="I93" s="77">
        <v>67</v>
      </c>
      <c r="J93" s="77">
        <v>124</v>
      </c>
      <c r="K93" s="77">
        <v>48</v>
      </c>
      <c r="L93" s="77">
        <v>65</v>
      </c>
      <c r="M93" s="77">
        <v>50</v>
      </c>
      <c r="N93" s="77">
        <v>58</v>
      </c>
      <c r="O93" s="77">
        <v>92</v>
      </c>
      <c r="P93" s="77">
        <v>106</v>
      </c>
      <c r="Q93" s="77">
        <v>64</v>
      </c>
      <c r="R93" s="77">
        <v>109</v>
      </c>
      <c r="S93" s="77">
        <v>80</v>
      </c>
      <c r="T93" s="77"/>
      <c r="U93" s="77">
        <v>86</v>
      </c>
      <c r="V93" s="77">
        <v>122</v>
      </c>
      <c r="W93" s="70">
        <v>139</v>
      </c>
      <c r="X93" s="66">
        <v>130</v>
      </c>
      <c r="Y93" s="66">
        <v>94</v>
      </c>
      <c r="Z93" s="66">
        <v>339</v>
      </c>
      <c r="AA93" s="66">
        <v>192</v>
      </c>
      <c r="AB93" s="66">
        <v>110</v>
      </c>
      <c r="AC93" s="66">
        <v>173</v>
      </c>
      <c r="AD93" s="66">
        <v>175</v>
      </c>
      <c r="AE93" s="66">
        <v>156</v>
      </c>
      <c r="AF93" s="66">
        <v>101</v>
      </c>
      <c r="AG93" s="105">
        <v>113</v>
      </c>
      <c r="AH93" s="105">
        <v>172</v>
      </c>
      <c r="AI93" s="105">
        <v>186</v>
      </c>
      <c r="AJ93" s="105">
        <v>124</v>
      </c>
      <c r="AK93" s="105">
        <v>47</v>
      </c>
      <c r="AL93" s="105">
        <v>46</v>
      </c>
      <c r="AM93" s="105">
        <v>154</v>
      </c>
      <c r="AN93" s="105">
        <v>105</v>
      </c>
      <c r="AO93" s="66">
        <v>71</v>
      </c>
    </row>
    <row r="94" spans="2:41">
      <c r="B94" s="68">
        <v>26</v>
      </c>
      <c r="C94" s="77">
        <v>29</v>
      </c>
      <c r="D94" s="77">
        <v>77</v>
      </c>
      <c r="E94" s="77">
        <v>38</v>
      </c>
      <c r="F94" s="77">
        <v>78</v>
      </c>
      <c r="G94" s="77">
        <v>50</v>
      </c>
      <c r="H94" s="78">
        <v>54</v>
      </c>
      <c r="I94" s="77">
        <v>72</v>
      </c>
      <c r="J94" s="77">
        <v>63</v>
      </c>
      <c r="K94" s="77">
        <v>74</v>
      </c>
      <c r="L94" s="77">
        <v>59</v>
      </c>
      <c r="M94" s="77">
        <v>54</v>
      </c>
      <c r="N94" s="77">
        <v>55</v>
      </c>
      <c r="O94" s="77">
        <v>87</v>
      </c>
      <c r="P94" s="77">
        <v>114</v>
      </c>
      <c r="Q94" s="77">
        <v>94</v>
      </c>
      <c r="R94" s="77">
        <v>100</v>
      </c>
      <c r="S94" s="77">
        <v>47</v>
      </c>
      <c r="T94" s="77"/>
      <c r="U94" s="77">
        <v>71</v>
      </c>
      <c r="V94" s="77">
        <v>115</v>
      </c>
      <c r="W94" s="73">
        <v>125</v>
      </c>
      <c r="X94" s="66">
        <v>117</v>
      </c>
      <c r="Y94" s="66">
        <v>128</v>
      </c>
      <c r="Z94" s="66">
        <v>171</v>
      </c>
      <c r="AA94" s="66">
        <v>133</v>
      </c>
      <c r="AB94" s="66">
        <v>109</v>
      </c>
      <c r="AC94" s="66">
        <v>169</v>
      </c>
      <c r="AD94" s="66">
        <v>163</v>
      </c>
      <c r="AE94" s="66">
        <v>143</v>
      </c>
      <c r="AF94" s="66">
        <v>166</v>
      </c>
      <c r="AG94" s="103">
        <v>140</v>
      </c>
      <c r="AH94" s="103">
        <v>177</v>
      </c>
      <c r="AI94" s="103">
        <v>152</v>
      </c>
      <c r="AJ94" s="103">
        <v>168</v>
      </c>
      <c r="AK94" s="103">
        <v>77</v>
      </c>
      <c r="AL94" s="103">
        <v>49</v>
      </c>
      <c r="AM94" s="103">
        <v>135</v>
      </c>
      <c r="AN94" s="103">
        <v>127</v>
      </c>
      <c r="AO94" s="66">
        <v>98</v>
      </c>
    </row>
    <row r="95" spans="2:41">
      <c r="B95" s="68">
        <v>27</v>
      </c>
      <c r="C95" s="77">
        <v>27</v>
      </c>
      <c r="D95" s="77">
        <v>59</v>
      </c>
      <c r="E95" s="77">
        <v>56</v>
      </c>
      <c r="F95" s="77">
        <v>81</v>
      </c>
      <c r="G95" s="77">
        <v>61</v>
      </c>
      <c r="H95" s="78">
        <v>50</v>
      </c>
      <c r="I95" s="77">
        <v>86</v>
      </c>
      <c r="J95" s="77">
        <v>33</v>
      </c>
      <c r="K95" s="77">
        <v>88</v>
      </c>
      <c r="L95" s="77">
        <v>98</v>
      </c>
      <c r="M95" s="77">
        <v>48</v>
      </c>
      <c r="N95" s="77">
        <v>91</v>
      </c>
      <c r="O95" s="77">
        <v>66</v>
      </c>
      <c r="P95" s="77">
        <v>108</v>
      </c>
      <c r="Q95" s="77">
        <v>108</v>
      </c>
      <c r="R95" s="77">
        <v>61</v>
      </c>
      <c r="S95" s="77">
        <v>56</v>
      </c>
      <c r="T95" s="77"/>
      <c r="U95" s="77">
        <v>127</v>
      </c>
      <c r="V95" s="77">
        <v>190</v>
      </c>
      <c r="W95" s="70">
        <v>170</v>
      </c>
      <c r="X95" s="66">
        <v>161</v>
      </c>
      <c r="Y95" s="66">
        <v>155</v>
      </c>
      <c r="Z95" s="66">
        <v>157</v>
      </c>
      <c r="AA95" s="66">
        <v>132</v>
      </c>
      <c r="AB95" s="66">
        <v>150</v>
      </c>
      <c r="AC95" s="66">
        <v>183</v>
      </c>
      <c r="AD95" s="66">
        <v>184</v>
      </c>
      <c r="AE95" s="66">
        <v>153</v>
      </c>
      <c r="AF95" s="66">
        <v>84</v>
      </c>
      <c r="AG95" s="103">
        <v>144</v>
      </c>
      <c r="AH95" s="103">
        <v>168</v>
      </c>
      <c r="AI95" s="103">
        <v>156</v>
      </c>
      <c r="AJ95" s="103">
        <v>184</v>
      </c>
      <c r="AK95" s="103">
        <v>108</v>
      </c>
      <c r="AL95" s="103">
        <v>77</v>
      </c>
      <c r="AM95" s="103">
        <v>96</v>
      </c>
      <c r="AN95" s="103">
        <v>143</v>
      </c>
      <c r="AO95" s="66">
        <v>102</v>
      </c>
    </row>
    <row r="96" spans="2:41">
      <c r="B96" s="68">
        <v>28</v>
      </c>
      <c r="C96" s="77">
        <v>31</v>
      </c>
      <c r="D96" s="77">
        <v>46</v>
      </c>
      <c r="E96" s="77">
        <v>55</v>
      </c>
      <c r="F96" s="77">
        <v>65</v>
      </c>
      <c r="G96" s="77">
        <v>45</v>
      </c>
      <c r="H96" s="78">
        <v>43</v>
      </c>
      <c r="I96" s="77">
        <v>45</v>
      </c>
      <c r="J96" s="77">
        <v>68</v>
      </c>
      <c r="K96" s="77">
        <v>83</v>
      </c>
      <c r="L96" s="77">
        <v>147</v>
      </c>
      <c r="M96" s="77">
        <v>65</v>
      </c>
      <c r="N96" s="77">
        <v>70</v>
      </c>
      <c r="O96" s="77">
        <v>96</v>
      </c>
      <c r="P96" s="77">
        <v>119</v>
      </c>
      <c r="Q96" s="77">
        <v>136</v>
      </c>
      <c r="R96" s="77">
        <v>138</v>
      </c>
      <c r="S96" s="77">
        <v>106</v>
      </c>
      <c r="T96" s="77"/>
      <c r="U96" s="77">
        <v>126</v>
      </c>
      <c r="V96" s="77">
        <v>191</v>
      </c>
      <c r="W96" s="70">
        <v>240</v>
      </c>
      <c r="X96" s="66">
        <v>206</v>
      </c>
      <c r="Y96" s="66">
        <v>153</v>
      </c>
      <c r="Z96" s="66">
        <v>185</v>
      </c>
      <c r="AA96" s="66">
        <v>156</v>
      </c>
      <c r="AB96" s="66">
        <v>161</v>
      </c>
      <c r="AC96" s="66">
        <v>196</v>
      </c>
      <c r="AD96" s="66">
        <v>164</v>
      </c>
      <c r="AE96" s="66">
        <v>145</v>
      </c>
      <c r="AF96" s="66">
        <v>79</v>
      </c>
      <c r="AG96" s="103">
        <v>145</v>
      </c>
      <c r="AH96" s="103">
        <v>141</v>
      </c>
      <c r="AI96" s="103">
        <v>155</v>
      </c>
      <c r="AJ96" s="103">
        <v>131</v>
      </c>
      <c r="AK96" s="103">
        <v>112</v>
      </c>
      <c r="AL96" s="103">
        <v>88</v>
      </c>
      <c r="AM96" s="103">
        <v>51</v>
      </c>
      <c r="AN96" s="103">
        <v>69</v>
      </c>
      <c r="AO96" s="66">
        <v>38</v>
      </c>
    </row>
    <row r="97" spans="2:41">
      <c r="B97" s="68">
        <v>29</v>
      </c>
      <c r="C97" s="77">
        <v>23</v>
      </c>
      <c r="D97" s="77">
        <v>42</v>
      </c>
      <c r="E97" s="77">
        <v>37</v>
      </c>
      <c r="F97" s="77">
        <v>20</v>
      </c>
      <c r="G97" s="77">
        <v>35</v>
      </c>
      <c r="H97" s="78">
        <v>48</v>
      </c>
      <c r="I97" s="77">
        <v>61</v>
      </c>
      <c r="J97" s="77">
        <v>52</v>
      </c>
      <c r="K97" s="77">
        <v>66</v>
      </c>
      <c r="L97" s="77">
        <v>115</v>
      </c>
      <c r="M97" s="77">
        <v>64</v>
      </c>
      <c r="N97" s="77">
        <v>74</v>
      </c>
      <c r="O97" s="77">
        <v>75</v>
      </c>
      <c r="P97" s="77">
        <v>63</v>
      </c>
      <c r="Q97" s="77">
        <v>87</v>
      </c>
      <c r="R97" s="77">
        <v>122</v>
      </c>
      <c r="S97" s="77">
        <v>95</v>
      </c>
      <c r="T97" s="77"/>
      <c r="U97" s="77">
        <v>66</v>
      </c>
      <c r="V97" s="77">
        <v>158</v>
      </c>
      <c r="W97" s="70">
        <v>134</v>
      </c>
      <c r="X97" s="66">
        <v>126</v>
      </c>
      <c r="Y97" s="66">
        <v>146</v>
      </c>
      <c r="Z97" s="66">
        <v>199</v>
      </c>
      <c r="AA97" s="66">
        <v>39</v>
      </c>
      <c r="AB97" s="66">
        <v>138</v>
      </c>
      <c r="AC97" s="66">
        <v>91</v>
      </c>
      <c r="AD97" s="66">
        <v>129</v>
      </c>
      <c r="AE97" s="66">
        <v>145</v>
      </c>
      <c r="AF97" s="66">
        <v>47</v>
      </c>
      <c r="AG97" s="103">
        <v>51</v>
      </c>
      <c r="AH97" s="103">
        <v>125</v>
      </c>
      <c r="AI97" s="103">
        <v>105</v>
      </c>
      <c r="AJ97" s="103">
        <v>122</v>
      </c>
      <c r="AK97" s="103">
        <v>92</v>
      </c>
      <c r="AL97" s="103">
        <v>57</v>
      </c>
      <c r="AM97" s="103">
        <v>9</v>
      </c>
      <c r="AN97" s="103">
        <v>49</v>
      </c>
      <c r="AO97" s="66">
        <v>31</v>
      </c>
    </row>
    <row r="98" spans="2:41">
      <c r="B98" s="68">
        <v>30</v>
      </c>
      <c r="C98" s="77">
        <v>8</v>
      </c>
      <c r="D98" s="77">
        <v>12</v>
      </c>
      <c r="E98" s="77">
        <v>21</v>
      </c>
      <c r="F98" s="77">
        <v>15</v>
      </c>
      <c r="G98" s="77">
        <v>15</v>
      </c>
      <c r="H98" s="78">
        <v>49</v>
      </c>
      <c r="I98" s="77">
        <v>38</v>
      </c>
      <c r="J98" s="77">
        <v>10</v>
      </c>
      <c r="K98" s="77">
        <v>20</v>
      </c>
      <c r="L98" s="77">
        <v>19</v>
      </c>
      <c r="M98" s="77">
        <v>56</v>
      </c>
      <c r="N98" s="77">
        <v>19</v>
      </c>
      <c r="O98" s="77">
        <v>38</v>
      </c>
      <c r="P98" s="77"/>
      <c r="Q98" s="77">
        <v>49</v>
      </c>
      <c r="R98" s="77">
        <v>90</v>
      </c>
      <c r="S98" s="77">
        <v>74</v>
      </c>
      <c r="T98" s="77"/>
      <c r="U98" s="77">
        <v>44</v>
      </c>
      <c r="V98" s="77">
        <v>66</v>
      </c>
      <c r="W98" s="70">
        <v>42</v>
      </c>
      <c r="X98" s="66">
        <v>26</v>
      </c>
      <c r="Y98" s="66">
        <v>73</v>
      </c>
      <c r="Z98" s="66">
        <v>49</v>
      </c>
      <c r="AA98" s="66">
        <v>8</v>
      </c>
      <c r="AB98" s="66">
        <v>22</v>
      </c>
      <c r="AC98" s="66">
        <v>2</v>
      </c>
      <c r="AD98" s="66">
        <v>15</v>
      </c>
      <c r="AE98" s="66">
        <v>60</v>
      </c>
      <c r="AF98" s="66">
        <v>5</v>
      </c>
      <c r="AG98" s="103">
        <v>20</v>
      </c>
      <c r="AH98" s="103">
        <v>46</v>
      </c>
      <c r="AI98" s="103">
        <v>85</v>
      </c>
      <c r="AJ98" s="103">
        <v>86</v>
      </c>
      <c r="AK98" s="103">
        <v>78</v>
      </c>
      <c r="AL98" s="103">
        <v>6</v>
      </c>
      <c r="AM98" s="103">
        <v>4</v>
      </c>
      <c r="AN98" s="103">
        <v>32</v>
      </c>
      <c r="AO98" s="66">
        <v>22</v>
      </c>
    </row>
    <row r="99" spans="2:41">
      <c r="B99" s="68">
        <v>31</v>
      </c>
      <c r="C99" s="77">
        <v>9</v>
      </c>
      <c r="D99" s="77">
        <v>17</v>
      </c>
      <c r="E99" s="77">
        <v>18</v>
      </c>
      <c r="F99" s="77">
        <v>13</v>
      </c>
      <c r="G99" s="77">
        <v>10</v>
      </c>
      <c r="H99" s="78">
        <v>19</v>
      </c>
      <c r="I99" s="77">
        <v>30</v>
      </c>
      <c r="J99" s="77">
        <v>6</v>
      </c>
      <c r="K99" s="77">
        <v>2</v>
      </c>
      <c r="L99" s="77"/>
      <c r="M99" s="77">
        <v>23</v>
      </c>
      <c r="N99" s="77">
        <v>4</v>
      </c>
      <c r="O99" s="77">
        <v>4</v>
      </c>
      <c r="P99" s="77"/>
      <c r="Q99" s="77">
        <v>16</v>
      </c>
      <c r="R99" s="77">
        <v>0</v>
      </c>
      <c r="S99" s="77">
        <v>10</v>
      </c>
      <c r="T99" s="77"/>
      <c r="U99" s="77"/>
      <c r="V99" s="77"/>
      <c r="W99" s="70">
        <v>4</v>
      </c>
      <c r="X99" s="66">
        <v>6</v>
      </c>
      <c r="Y99" s="66">
        <v>6</v>
      </c>
      <c r="Z99" s="66">
        <v>4</v>
      </c>
      <c r="AA99" s="66">
        <v>0</v>
      </c>
      <c r="AB99" s="66">
        <v>0</v>
      </c>
      <c r="AC99" s="66">
        <v>0</v>
      </c>
      <c r="AD99" s="66">
        <v>0</v>
      </c>
      <c r="AE99" s="66">
        <v>0</v>
      </c>
      <c r="AF99" s="66">
        <v>0</v>
      </c>
      <c r="AG99" s="103">
        <v>6</v>
      </c>
      <c r="AH99" s="103">
        <v>0</v>
      </c>
      <c r="AI99" s="103">
        <v>25</v>
      </c>
      <c r="AJ99" s="103">
        <v>32</v>
      </c>
      <c r="AK99" s="103">
        <v>41</v>
      </c>
      <c r="AL99" s="103">
        <v>0</v>
      </c>
      <c r="AM99" s="103">
        <v>0</v>
      </c>
      <c r="AN99" s="103">
        <v>22</v>
      </c>
      <c r="AO99" s="66">
        <v>4</v>
      </c>
    </row>
    <row r="100" spans="2:41">
      <c r="B100" s="68">
        <v>32</v>
      </c>
      <c r="C100" s="77">
        <v>10</v>
      </c>
      <c r="D100" s="77">
        <v>6</v>
      </c>
      <c r="E100" s="77">
        <v>12</v>
      </c>
      <c r="F100" s="77">
        <v>7</v>
      </c>
      <c r="G100" s="77">
        <v>4</v>
      </c>
      <c r="H100" s="78">
        <v>13</v>
      </c>
      <c r="I100" s="77">
        <v>8</v>
      </c>
      <c r="J100" s="77">
        <v>0</v>
      </c>
      <c r="K100" s="77"/>
      <c r="L100" s="77">
        <v>10</v>
      </c>
      <c r="M100" s="77">
        <v>9</v>
      </c>
      <c r="N100" s="77">
        <v>0</v>
      </c>
      <c r="O100" s="77"/>
      <c r="P100" s="77"/>
      <c r="Q100" s="77">
        <v>3</v>
      </c>
      <c r="R100" s="77">
        <v>0</v>
      </c>
      <c r="S100" s="77">
        <v>10</v>
      </c>
      <c r="T100" s="77"/>
      <c r="U100" s="77"/>
      <c r="V100" s="77"/>
      <c r="W100" s="70"/>
      <c r="X100" s="66">
        <v>7</v>
      </c>
      <c r="Y100" s="66">
        <v>0</v>
      </c>
      <c r="Z100" s="66">
        <v>3</v>
      </c>
      <c r="AA100" s="66">
        <v>0</v>
      </c>
      <c r="AB100" s="66">
        <v>0</v>
      </c>
      <c r="AC100" s="66">
        <v>0</v>
      </c>
      <c r="AD100" s="66">
        <v>0</v>
      </c>
      <c r="AE100" s="66">
        <v>0</v>
      </c>
      <c r="AF100" s="66">
        <v>0</v>
      </c>
      <c r="AG100" s="103">
        <v>5</v>
      </c>
      <c r="AH100" s="103">
        <v>0</v>
      </c>
      <c r="AI100" s="103">
        <v>1</v>
      </c>
      <c r="AJ100" s="103">
        <v>11</v>
      </c>
      <c r="AK100" s="103">
        <v>5</v>
      </c>
      <c r="AL100" s="103">
        <v>0</v>
      </c>
      <c r="AM100" s="103">
        <v>0</v>
      </c>
      <c r="AN100" s="103">
        <v>4</v>
      </c>
      <c r="AO100" s="66">
        <v>0</v>
      </c>
    </row>
    <row r="101" spans="2:41">
      <c r="B101" s="68">
        <v>33</v>
      </c>
      <c r="C101" s="77">
        <v>5</v>
      </c>
      <c r="D101" s="77">
        <v>7</v>
      </c>
      <c r="E101" s="77">
        <v>8</v>
      </c>
      <c r="F101" s="77">
        <v>7</v>
      </c>
      <c r="G101" s="77"/>
      <c r="H101" s="78">
        <v>5</v>
      </c>
      <c r="I101" s="77">
        <v>8</v>
      </c>
      <c r="J101" s="77">
        <v>6</v>
      </c>
      <c r="K101" s="77">
        <v>1</v>
      </c>
      <c r="L101" s="77">
        <v>9</v>
      </c>
      <c r="M101" s="77">
        <v>6</v>
      </c>
      <c r="N101" s="77">
        <v>0</v>
      </c>
      <c r="O101" s="77"/>
      <c r="P101" s="77"/>
      <c r="Q101" s="77">
        <v>0</v>
      </c>
      <c r="R101" s="77"/>
      <c r="S101" s="77">
        <v>10</v>
      </c>
      <c r="T101" s="77"/>
      <c r="U101" s="77"/>
      <c r="V101" s="77"/>
      <c r="W101" s="70"/>
      <c r="Y101" s="66">
        <v>2</v>
      </c>
      <c r="Z101" s="66">
        <v>3</v>
      </c>
      <c r="AA101" s="66">
        <v>0</v>
      </c>
      <c r="AB101" s="66">
        <v>7</v>
      </c>
      <c r="AC101" s="66">
        <v>0</v>
      </c>
      <c r="AD101" s="66">
        <v>0</v>
      </c>
      <c r="AE101" s="66">
        <v>0</v>
      </c>
      <c r="AF101" s="66">
        <v>0</v>
      </c>
      <c r="AG101" s="103">
        <v>3</v>
      </c>
      <c r="AH101" s="103">
        <v>0</v>
      </c>
      <c r="AI101" s="103">
        <v>1</v>
      </c>
      <c r="AJ101" s="103">
        <v>18</v>
      </c>
      <c r="AK101" s="103">
        <v>0</v>
      </c>
      <c r="AL101" s="103">
        <v>0</v>
      </c>
      <c r="AM101" s="103" t="s">
        <v>0</v>
      </c>
      <c r="AN101" s="103">
        <v>0</v>
      </c>
      <c r="AO101" s="66">
        <v>1</v>
      </c>
    </row>
    <row r="102" spans="2:41">
      <c r="B102" s="68">
        <v>34</v>
      </c>
      <c r="C102" s="77">
        <v>5</v>
      </c>
      <c r="D102" s="77">
        <v>7</v>
      </c>
      <c r="E102" s="77">
        <v>6</v>
      </c>
      <c r="F102" s="77">
        <v>12</v>
      </c>
      <c r="G102" s="77"/>
      <c r="H102" s="78">
        <v>8</v>
      </c>
      <c r="I102" s="77">
        <v>6</v>
      </c>
      <c r="J102" s="77">
        <v>7</v>
      </c>
      <c r="K102" s="77"/>
      <c r="L102" s="77">
        <v>4</v>
      </c>
      <c r="M102" s="77">
        <v>8</v>
      </c>
      <c r="N102" s="77">
        <v>0</v>
      </c>
      <c r="O102" s="77">
        <v>3</v>
      </c>
      <c r="P102" s="77"/>
      <c r="Q102" s="77">
        <v>3</v>
      </c>
      <c r="R102" s="77"/>
      <c r="S102" s="77">
        <v>1</v>
      </c>
      <c r="T102" s="77"/>
      <c r="U102" s="77"/>
      <c r="V102" s="77"/>
      <c r="W102" s="70"/>
      <c r="X102" s="66">
        <v>8</v>
      </c>
      <c r="Y102" s="66">
        <v>11</v>
      </c>
      <c r="Z102" s="66">
        <v>3</v>
      </c>
      <c r="AA102" s="66">
        <v>3</v>
      </c>
      <c r="AB102" s="66">
        <v>8</v>
      </c>
      <c r="AC102" s="66">
        <v>4</v>
      </c>
      <c r="AD102" s="66">
        <v>13</v>
      </c>
      <c r="AE102" s="66">
        <v>5</v>
      </c>
      <c r="AF102" s="66">
        <v>3</v>
      </c>
      <c r="AG102" s="103">
        <v>9</v>
      </c>
      <c r="AH102" s="103">
        <v>0</v>
      </c>
      <c r="AI102" s="103"/>
      <c r="AJ102" s="103">
        <v>12</v>
      </c>
      <c r="AK102" s="103">
        <v>5</v>
      </c>
      <c r="AL102" s="103">
        <v>0</v>
      </c>
      <c r="AM102" s="103"/>
      <c r="AN102" s="103">
        <v>2</v>
      </c>
      <c r="AO102" s="66">
        <v>1</v>
      </c>
    </row>
    <row r="103" spans="2:41">
      <c r="B103" s="68">
        <v>35</v>
      </c>
      <c r="C103" s="77">
        <v>5</v>
      </c>
      <c r="D103" s="77">
        <v>6</v>
      </c>
      <c r="E103" s="77">
        <v>31</v>
      </c>
      <c r="F103" s="77">
        <v>8</v>
      </c>
      <c r="G103" s="77">
        <v>4</v>
      </c>
      <c r="H103" s="78">
        <v>5</v>
      </c>
      <c r="I103" s="77">
        <v>6</v>
      </c>
      <c r="J103" s="77">
        <v>6</v>
      </c>
      <c r="K103" s="77">
        <v>3</v>
      </c>
      <c r="L103" s="77">
        <v>10</v>
      </c>
      <c r="M103" s="77">
        <v>0</v>
      </c>
      <c r="N103" s="77">
        <v>0</v>
      </c>
      <c r="O103" s="77">
        <v>19</v>
      </c>
      <c r="P103" s="77"/>
      <c r="Q103" s="77">
        <v>4</v>
      </c>
      <c r="R103" s="77"/>
      <c r="S103" s="77">
        <v>6</v>
      </c>
      <c r="T103" s="77"/>
      <c r="U103" s="77"/>
      <c r="V103" s="77">
        <v>47</v>
      </c>
      <c r="W103" s="70"/>
      <c r="X103" s="66">
        <v>10</v>
      </c>
      <c r="Y103" s="66">
        <v>5</v>
      </c>
      <c r="Z103" s="66">
        <v>11</v>
      </c>
      <c r="AA103" s="66">
        <v>13</v>
      </c>
      <c r="AB103" s="66">
        <v>25</v>
      </c>
      <c r="AC103" s="66">
        <v>12</v>
      </c>
      <c r="AD103" s="66">
        <v>12</v>
      </c>
      <c r="AE103" s="66">
        <v>15</v>
      </c>
      <c r="AF103" s="66">
        <v>6</v>
      </c>
      <c r="AG103" s="103">
        <v>33</v>
      </c>
      <c r="AH103" s="103">
        <v>19</v>
      </c>
      <c r="AI103" s="103"/>
      <c r="AJ103" s="103"/>
      <c r="AK103" s="103">
        <v>0</v>
      </c>
      <c r="AL103" s="103">
        <v>0</v>
      </c>
      <c r="AM103" s="103" t="s">
        <v>0</v>
      </c>
      <c r="AN103" s="103">
        <v>12</v>
      </c>
      <c r="AO103" s="66">
        <v>14</v>
      </c>
    </row>
    <row r="104" spans="2:41">
      <c r="B104" s="68">
        <v>36</v>
      </c>
      <c r="C104" s="77">
        <v>10</v>
      </c>
      <c r="D104" s="77">
        <v>5</v>
      </c>
      <c r="E104" s="77">
        <v>22</v>
      </c>
      <c r="F104" s="77">
        <v>6</v>
      </c>
      <c r="G104" s="77">
        <v>8</v>
      </c>
      <c r="H104" s="78">
        <v>22</v>
      </c>
      <c r="I104" s="77">
        <v>26</v>
      </c>
      <c r="J104" s="77">
        <v>12</v>
      </c>
      <c r="K104" s="77">
        <v>5</v>
      </c>
      <c r="L104" s="77">
        <v>12</v>
      </c>
      <c r="M104" s="77">
        <v>14</v>
      </c>
      <c r="N104" s="77">
        <v>3</v>
      </c>
      <c r="O104" s="77">
        <v>22</v>
      </c>
      <c r="P104" s="77"/>
      <c r="Q104" s="77">
        <v>7</v>
      </c>
      <c r="R104" s="77">
        <v>20</v>
      </c>
      <c r="S104" s="77">
        <v>5</v>
      </c>
      <c r="T104" s="77"/>
      <c r="U104" s="77"/>
      <c r="V104" s="77">
        <v>32</v>
      </c>
      <c r="W104" s="70"/>
      <c r="X104" s="66">
        <v>6</v>
      </c>
      <c r="Y104" s="66">
        <v>35</v>
      </c>
      <c r="Z104" s="66">
        <v>26</v>
      </c>
      <c r="AA104" s="66">
        <v>23</v>
      </c>
      <c r="AB104" s="66">
        <v>21</v>
      </c>
      <c r="AC104" s="66">
        <v>3</v>
      </c>
      <c r="AD104" s="66">
        <v>11</v>
      </c>
      <c r="AE104" s="66">
        <v>17</v>
      </c>
      <c r="AF104" s="66">
        <v>18</v>
      </c>
      <c r="AG104" s="103">
        <v>20</v>
      </c>
      <c r="AH104" s="103">
        <v>1</v>
      </c>
      <c r="AI104" s="103">
        <v>13</v>
      </c>
      <c r="AJ104" s="103"/>
      <c r="AK104" s="104"/>
      <c r="AL104" s="103">
        <v>0</v>
      </c>
      <c r="AM104" s="103" t="s">
        <v>0</v>
      </c>
      <c r="AN104" s="103">
        <v>19</v>
      </c>
      <c r="AO104" s="66">
        <v>14</v>
      </c>
    </row>
    <row r="105" spans="2:41">
      <c r="B105" s="68">
        <v>37</v>
      </c>
      <c r="C105" s="77">
        <v>10</v>
      </c>
      <c r="D105" s="77">
        <v>8</v>
      </c>
      <c r="E105" s="77">
        <v>29</v>
      </c>
      <c r="F105" s="77">
        <v>8</v>
      </c>
      <c r="G105" s="77">
        <v>12</v>
      </c>
      <c r="H105" s="78">
        <v>8</v>
      </c>
      <c r="I105" s="77">
        <v>21</v>
      </c>
      <c r="J105" s="77">
        <v>15</v>
      </c>
      <c r="K105" s="77">
        <v>15</v>
      </c>
      <c r="L105" s="77">
        <v>23</v>
      </c>
      <c r="M105" s="77">
        <v>10</v>
      </c>
      <c r="N105" s="77">
        <v>4</v>
      </c>
      <c r="O105" s="77">
        <v>32</v>
      </c>
      <c r="P105" s="77">
        <v>26</v>
      </c>
      <c r="Q105" s="77">
        <v>10</v>
      </c>
      <c r="R105" s="77">
        <v>15</v>
      </c>
      <c r="S105" s="77">
        <v>33</v>
      </c>
      <c r="T105" s="77"/>
      <c r="U105" s="77">
        <v>30</v>
      </c>
      <c r="V105" s="77">
        <v>42</v>
      </c>
      <c r="W105" s="70">
        <v>52</v>
      </c>
      <c r="X105" s="66">
        <v>11</v>
      </c>
      <c r="Y105" s="66">
        <v>23</v>
      </c>
      <c r="Z105" s="66">
        <v>25</v>
      </c>
      <c r="AA105" s="66">
        <v>20</v>
      </c>
      <c r="AB105" s="66">
        <v>32</v>
      </c>
      <c r="AC105" s="66">
        <v>8</v>
      </c>
      <c r="AD105" s="66">
        <v>31</v>
      </c>
      <c r="AE105" s="66">
        <v>22</v>
      </c>
      <c r="AF105" s="66">
        <v>16</v>
      </c>
      <c r="AG105" s="103">
        <v>20</v>
      </c>
      <c r="AH105" s="103">
        <v>40</v>
      </c>
      <c r="AI105" s="103">
        <v>12</v>
      </c>
      <c r="AJ105" s="103"/>
      <c r="AK105" s="104"/>
      <c r="AL105" s="103">
        <v>11</v>
      </c>
      <c r="AM105" s="103" t="s">
        <v>0</v>
      </c>
      <c r="AN105" s="103">
        <v>22</v>
      </c>
      <c r="AO105" s="66">
        <v>20</v>
      </c>
    </row>
    <row r="106" spans="2:41">
      <c r="B106" s="68">
        <v>38</v>
      </c>
      <c r="C106" s="77">
        <v>15</v>
      </c>
      <c r="D106" s="77">
        <v>12</v>
      </c>
      <c r="E106" s="77">
        <v>35</v>
      </c>
      <c r="F106" s="77">
        <v>21</v>
      </c>
      <c r="G106" s="77">
        <v>15</v>
      </c>
      <c r="H106" s="78">
        <v>20</v>
      </c>
      <c r="I106" s="77">
        <v>30</v>
      </c>
      <c r="J106" s="77">
        <v>10</v>
      </c>
      <c r="K106" s="77">
        <v>26</v>
      </c>
      <c r="L106" s="77">
        <v>25</v>
      </c>
      <c r="M106" s="77">
        <v>13</v>
      </c>
      <c r="N106" s="77">
        <v>2</v>
      </c>
      <c r="O106" s="77">
        <v>25</v>
      </c>
      <c r="P106" s="77">
        <v>25</v>
      </c>
      <c r="Q106" s="77">
        <v>15</v>
      </c>
      <c r="R106" s="77"/>
      <c r="S106" s="77">
        <v>31</v>
      </c>
      <c r="T106" s="77"/>
      <c r="U106" s="77">
        <v>30</v>
      </c>
      <c r="V106" s="77">
        <v>46</v>
      </c>
      <c r="W106" s="70">
        <v>47</v>
      </c>
      <c r="Z106" s="66">
        <v>30</v>
      </c>
      <c r="AA106" s="66">
        <v>5</v>
      </c>
      <c r="AB106" s="66">
        <v>9</v>
      </c>
      <c r="AC106" s="66">
        <v>12</v>
      </c>
      <c r="AD106" s="66">
        <v>26</v>
      </c>
      <c r="AE106" s="66">
        <v>25</v>
      </c>
      <c r="AF106" s="66">
        <v>16</v>
      </c>
      <c r="AG106" s="103">
        <v>17</v>
      </c>
      <c r="AH106" s="103">
        <v>15</v>
      </c>
      <c r="AI106" s="103">
        <v>10</v>
      </c>
      <c r="AJ106" s="104"/>
      <c r="AK106" s="104"/>
      <c r="AL106" s="103">
        <v>17</v>
      </c>
      <c r="AM106" s="103" t="s">
        <v>0</v>
      </c>
      <c r="AN106" s="103">
        <v>27</v>
      </c>
      <c r="AO106" s="66">
        <v>6</v>
      </c>
    </row>
    <row r="107" spans="2:41">
      <c r="B107" s="68">
        <v>39</v>
      </c>
      <c r="C107" s="77">
        <v>15</v>
      </c>
      <c r="D107" s="77">
        <v>18</v>
      </c>
      <c r="E107" s="77">
        <v>30</v>
      </c>
      <c r="F107" s="77">
        <v>11</v>
      </c>
      <c r="G107" s="77">
        <v>19</v>
      </c>
      <c r="H107" s="78">
        <v>32</v>
      </c>
      <c r="I107" s="77">
        <v>31</v>
      </c>
      <c r="J107" s="77">
        <v>3</v>
      </c>
      <c r="K107" s="77">
        <v>18</v>
      </c>
      <c r="L107" s="77">
        <v>20</v>
      </c>
      <c r="M107" s="77">
        <v>16</v>
      </c>
      <c r="N107" s="77">
        <v>3</v>
      </c>
      <c r="O107" s="77">
        <v>21</v>
      </c>
      <c r="P107" s="77">
        <v>25</v>
      </c>
      <c r="Q107" s="77">
        <v>20</v>
      </c>
      <c r="R107" s="77"/>
      <c r="S107" s="77">
        <v>22</v>
      </c>
      <c r="T107" s="77"/>
      <c r="U107" s="77"/>
      <c r="V107" s="77"/>
      <c r="W107" s="70">
        <v>45</v>
      </c>
      <c r="Z107" s="66">
        <v>15</v>
      </c>
      <c r="AA107" s="66">
        <v>4</v>
      </c>
      <c r="AB107" s="66">
        <v>2</v>
      </c>
      <c r="AC107" s="66">
        <v>16</v>
      </c>
      <c r="AD107" s="66">
        <v>12</v>
      </c>
      <c r="AE107" s="66">
        <v>18</v>
      </c>
      <c r="AF107" s="66">
        <v>31</v>
      </c>
      <c r="AG107" s="103">
        <v>6</v>
      </c>
      <c r="AH107" s="103">
        <v>4</v>
      </c>
      <c r="AI107" s="103" t="s">
        <v>0</v>
      </c>
      <c r="AJ107" s="104"/>
      <c r="AL107" s="103">
        <v>11</v>
      </c>
      <c r="AM107" s="103" t="s">
        <v>0</v>
      </c>
      <c r="AN107" s="103">
        <v>15</v>
      </c>
      <c r="AO107" s="66">
        <v>3</v>
      </c>
    </row>
    <row r="108" spans="2:41">
      <c r="B108" s="68">
        <v>40</v>
      </c>
      <c r="C108" s="77">
        <v>20</v>
      </c>
      <c r="D108" s="77">
        <v>11</v>
      </c>
      <c r="E108" s="77">
        <v>27</v>
      </c>
      <c r="F108" s="77">
        <v>14</v>
      </c>
      <c r="G108" s="77">
        <v>9</v>
      </c>
      <c r="H108" s="78">
        <v>37</v>
      </c>
      <c r="I108" s="77">
        <v>37</v>
      </c>
      <c r="J108" s="77">
        <v>9</v>
      </c>
      <c r="K108" s="77">
        <v>35</v>
      </c>
      <c r="L108" s="77">
        <v>15</v>
      </c>
      <c r="M108" s="77">
        <v>9</v>
      </c>
      <c r="N108" s="77">
        <v>2</v>
      </c>
      <c r="O108" s="77">
        <v>20</v>
      </c>
      <c r="P108" s="77">
        <v>18</v>
      </c>
      <c r="Q108" s="77">
        <v>32</v>
      </c>
      <c r="R108" s="77"/>
      <c r="S108" s="77">
        <v>25</v>
      </c>
      <c r="T108" s="77"/>
      <c r="U108" s="77"/>
      <c r="V108" s="77"/>
      <c r="W108" s="70">
        <v>69</v>
      </c>
      <c r="Z108" s="66">
        <v>14</v>
      </c>
      <c r="AA108" s="66">
        <v>8</v>
      </c>
      <c r="AB108" s="66">
        <v>3</v>
      </c>
      <c r="AC108" s="66">
        <v>2</v>
      </c>
      <c r="AD108" s="66">
        <v>12</v>
      </c>
      <c r="AE108" s="66">
        <v>4</v>
      </c>
      <c r="AF108" s="66">
        <v>13</v>
      </c>
      <c r="AG108" s="103" t="s">
        <v>0</v>
      </c>
      <c r="AH108" s="103">
        <v>0</v>
      </c>
      <c r="AI108" s="103">
        <v>9</v>
      </c>
      <c r="AJ108" s="104"/>
      <c r="AL108" s="103">
        <v>0</v>
      </c>
      <c r="AM108" s="103" t="s">
        <v>0</v>
      </c>
      <c r="AN108" s="103">
        <v>6</v>
      </c>
    </row>
    <row r="109" spans="2:41">
      <c r="B109" s="68">
        <v>41</v>
      </c>
      <c r="C109" s="77">
        <v>15</v>
      </c>
      <c r="D109" s="77">
        <v>10</v>
      </c>
      <c r="E109" s="77">
        <v>24</v>
      </c>
      <c r="F109" s="77">
        <v>19</v>
      </c>
      <c r="G109" s="77">
        <v>14</v>
      </c>
      <c r="H109" s="78">
        <v>18</v>
      </c>
      <c r="I109" s="77">
        <v>13</v>
      </c>
      <c r="J109" s="77">
        <v>7</v>
      </c>
      <c r="K109" s="77">
        <v>25</v>
      </c>
      <c r="L109" s="77">
        <v>6</v>
      </c>
      <c r="M109" s="77">
        <v>3</v>
      </c>
      <c r="N109" s="77">
        <v>4</v>
      </c>
      <c r="O109" s="77">
        <v>20</v>
      </c>
      <c r="P109" s="77">
        <v>15</v>
      </c>
      <c r="Q109" s="77">
        <v>8</v>
      </c>
      <c r="R109" s="77"/>
      <c r="S109" s="77">
        <v>66</v>
      </c>
      <c r="T109" s="77"/>
      <c r="U109" s="77"/>
      <c r="V109" s="77"/>
      <c r="W109" s="70">
        <v>30</v>
      </c>
      <c r="AA109" s="66">
        <v>1</v>
      </c>
      <c r="AB109" s="66">
        <v>2</v>
      </c>
      <c r="AC109" s="66">
        <v>0</v>
      </c>
      <c r="AD109" s="66">
        <v>0</v>
      </c>
      <c r="AE109" s="66">
        <v>5</v>
      </c>
      <c r="AF109" s="66">
        <v>1</v>
      </c>
      <c r="AG109" s="103" t="s">
        <v>0</v>
      </c>
      <c r="AH109" s="103">
        <v>1</v>
      </c>
      <c r="AI109" s="103">
        <v>4</v>
      </c>
      <c r="AL109" s="103"/>
      <c r="AM109" s="103"/>
      <c r="AN109" s="103">
        <v>2</v>
      </c>
    </row>
    <row r="110" spans="2:41">
      <c r="B110" s="68">
        <v>42</v>
      </c>
      <c r="C110" s="77">
        <v>15</v>
      </c>
      <c r="D110" s="77">
        <v>8</v>
      </c>
      <c r="E110" s="77">
        <v>15</v>
      </c>
      <c r="F110" s="77">
        <v>12</v>
      </c>
      <c r="G110" s="77">
        <v>14</v>
      </c>
      <c r="H110" s="78">
        <v>5</v>
      </c>
      <c r="I110" s="77">
        <v>20</v>
      </c>
      <c r="J110" s="77">
        <v>6</v>
      </c>
      <c r="K110" s="77">
        <v>18</v>
      </c>
      <c r="L110" s="77">
        <v>10</v>
      </c>
      <c r="M110" s="77">
        <v>3</v>
      </c>
      <c r="N110" s="77">
        <v>0</v>
      </c>
      <c r="O110" s="77">
        <v>10</v>
      </c>
      <c r="P110" s="77">
        <v>10</v>
      </c>
      <c r="Q110" s="77">
        <v>11</v>
      </c>
      <c r="R110" s="77"/>
      <c r="S110" s="77">
        <v>40</v>
      </c>
      <c r="T110" s="77"/>
      <c r="U110" s="77"/>
      <c r="V110" s="77"/>
      <c r="W110" s="70">
        <v>3</v>
      </c>
      <c r="AG110" s="103"/>
      <c r="AH110" s="103"/>
      <c r="AI110" s="103"/>
      <c r="AL110" s="103"/>
      <c r="AM110" s="103"/>
      <c r="AN110" s="103"/>
    </row>
    <row r="111" spans="2:41">
      <c r="B111" s="68">
        <v>43</v>
      </c>
      <c r="C111" s="77">
        <v>15</v>
      </c>
      <c r="D111" s="77">
        <v>2</v>
      </c>
      <c r="E111" s="77">
        <v>10</v>
      </c>
      <c r="F111" s="77">
        <v>10</v>
      </c>
      <c r="G111" s="77">
        <v>7</v>
      </c>
      <c r="H111" s="78">
        <v>16</v>
      </c>
      <c r="I111" s="77">
        <v>10</v>
      </c>
      <c r="J111" s="77">
        <v>10</v>
      </c>
      <c r="K111" s="77">
        <v>8</v>
      </c>
      <c r="L111" s="77">
        <v>3</v>
      </c>
      <c r="M111" s="77">
        <v>0</v>
      </c>
      <c r="N111" s="77">
        <v>0</v>
      </c>
      <c r="O111" s="77">
        <v>4</v>
      </c>
      <c r="P111" s="77">
        <v>7</v>
      </c>
      <c r="Q111" s="77"/>
      <c r="R111" s="77"/>
      <c r="S111" s="77"/>
      <c r="T111" s="77"/>
      <c r="U111" s="77"/>
      <c r="V111" s="77"/>
      <c r="AG111" s="103"/>
      <c r="AH111" s="103"/>
      <c r="AI111" s="103"/>
      <c r="AL111" s="103"/>
      <c r="AM111" s="103"/>
      <c r="AN111" s="103"/>
    </row>
    <row r="112" spans="2:41">
      <c r="B112" s="68">
        <v>44</v>
      </c>
      <c r="C112" s="77">
        <v>15</v>
      </c>
      <c r="D112" s="77">
        <v>5</v>
      </c>
      <c r="E112" s="77">
        <v>3</v>
      </c>
      <c r="F112" s="77">
        <v>12</v>
      </c>
      <c r="G112" s="77"/>
      <c r="H112" s="77"/>
      <c r="I112" s="77">
        <v>10</v>
      </c>
      <c r="J112" s="77"/>
      <c r="K112" s="77">
        <v>3</v>
      </c>
      <c r="L112" s="77">
        <v>2</v>
      </c>
      <c r="M112" s="77">
        <v>3</v>
      </c>
      <c r="N112" s="77">
        <v>20</v>
      </c>
      <c r="O112" s="77">
        <v>0</v>
      </c>
      <c r="P112" s="77">
        <v>1</v>
      </c>
      <c r="Q112" s="77"/>
      <c r="R112" s="77"/>
      <c r="S112" s="77"/>
      <c r="T112" s="77"/>
      <c r="U112" s="77"/>
      <c r="V112" s="77"/>
      <c r="AG112" s="103"/>
      <c r="AH112" s="103"/>
      <c r="AI112" s="103"/>
      <c r="AL112" s="103"/>
      <c r="AM112" s="103"/>
      <c r="AN112" s="103"/>
    </row>
    <row r="113" spans="1:41">
      <c r="B113" s="68">
        <v>45</v>
      </c>
      <c r="C113" s="77">
        <v>10</v>
      </c>
      <c r="D113" s="77">
        <v>1</v>
      </c>
      <c r="E113" s="77"/>
      <c r="F113" s="77">
        <v>5</v>
      </c>
      <c r="G113" s="77">
        <v>2</v>
      </c>
      <c r="H113" s="77"/>
      <c r="I113" s="77">
        <v>5</v>
      </c>
      <c r="J113" s="77">
        <v>8</v>
      </c>
      <c r="K113" s="77"/>
      <c r="L113" s="77"/>
      <c r="M113" s="77">
        <v>4</v>
      </c>
      <c r="N113" s="77"/>
      <c r="O113" s="77">
        <v>0</v>
      </c>
      <c r="P113" s="77">
        <v>1</v>
      </c>
      <c r="Q113" s="77"/>
      <c r="R113" s="77"/>
      <c r="S113" s="77"/>
      <c r="T113" s="77"/>
      <c r="U113" s="77"/>
      <c r="V113" s="77"/>
      <c r="AG113" s="103"/>
      <c r="AH113" s="103"/>
      <c r="AI113" s="103"/>
      <c r="AL113" s="103"/>
      <c r="AM113" s="103"/>
      <c r="AN113" s="103"/>
    </row>
    <row r="114" spans="1:41">
      <c r="B114" s="68">
        <v>46</v>
      </c>
      <c r="C114" s="77"/>
      <c r="D114" s="77"/>
      <c r="E114" s="77"/>
      <c r="F114" s="77"/>
      <c r="G114" s="77"/>
      <c r="H114" s="77"/>
      <c r="I114" s="77">
        <v>5</v>
      </c>
      <c r="J114" s="77">
        <v>8</v>
      </c>
      <c r="K114" s="77"/>
      <c r="L114" s="77"/>
      <c r="M114" s="77">
        <v>2</v>
      </c>
      <c r="N114" s="77"/>
      <c r="O114" s="77">
        <v>4</v>
      </c>
      <c r="P114" s="77">
        <v>1</v>
      </c>
      <c r="Q114" s="77"/>
      <c r="R114" s="77"/>
      <c r="S114" s="77"/>
      <c r="T114" s="77"/>
      <c r="U114" s="77"/>
      <c r="V114" s="77"/>
      <c r="AG114" s="103"/>
      <c r="AH114" s="103"/>
      <c r="AI114" s="103"/>
      <c r="AL114" s="103"/>
      <c r="AM114" s="103"/>
      <c r="AN114" s="103"/>
    </row>
    <row r="115" spans="1:41">
      <c r="B115" s="68">
        <v>47</v>
      </c>
      <c r="C115" s="77">
        <v>3</v>
      </c>
      <c r="D115" s="77"/>
      <c r="E115" s="77"/>
      <c r="F115" s="77"/>
      <c r="G115" s="77">
        <v>2</v>
      </c>
      <c r="H115" s="77"/>
      <c r="I115" s="77">
        <v>5</v>
      </c>
      <c r="J115" s="77"/>
      <c r="K115" s="77"/>
      <c r="L115" s="77"/>
      <c r="M115" s="77">
        <v>3</v>
      </c>
      <c r="N115" s="77"/>
      <c r="O115" s="77"/>
      <c r="P115" s="77">
        <v>2</v>
      </c>
      <c r="Q115" s="77"/>
      <c r="R115" s="77"/>
      <c r="S115" s="77"/>
      <c r="T115" s="77"/>
      <c r="U115" s="77"/>
      <c r="V115" s="77"/>
      <c r="AG115" s="103"/>
      <c r="AH115" s="103"/>
      <c r="AI115" s="103"/>
      <c r="AL115" s="103"/>
      <c r="AM115" s="103"/>
      <c r="AN115" s="103"/>
    </row>
    <row r="116" spans="1:41">
      <c r="B116" s="68">
        <v>48</v>
      </c>
      <c r="C116" s="77"/>
      <c r="D116" s="77"/>
      <c r="E116" s="77"/>
      <c r="F116" s="77"/>
      <c r="G116" s="77">
        <v>4</v>
      </c>
      <c r="H116" s="77"/>
      <c r="I116" s="77"/>
      <c r="J116" s="77"/>
      <c r="K116" s="77"/>
      <c r="L116" s="77"/>
      <c r="M116" s="77">
        <v>4</v>
      </c>
      <c r="N116" s="77"/>
      <c r="O116" s="77"/>
      <c r="P116" s="77"/>
      <c r="Q116" s="77"/>
      <c r="R116" s="77"/>
      <c r="S116" s="77"/>
      <c r="T116" s="77"/>
      <c r="U116" s="77"/>
      <c r="V116" s="77"/>
      <c r="AG116" s="103"/>
      <c r="AH116" s="103"/>
      <c r="AI116" s="103"/>
      <c r="AL116" s="103"/>
      <c r="AM116" s="103"/>
      <c r="AN116" s="103"/>
    </row>
    <row r="117" spans="1:41">
      <c r="B117" s="68">
        <v>49</v>
      </c>
      <c r="C117" s="77"/>
      <c r="D117" s="77"/>
      <c r="E117" s="77"/>
      <c r="F117" s="77"/>
      <c r="G117" s="77"/>
      <c r="H117" s="77"/>
      <c r="I117" s="77"/>
      <c r="J117" s="77">
        <v>2</v>
      </c>
      <c r="K117" s="77"/>
      <c r="L117" s="77"/>
      <c r="M117" s="77">
        <v>3</v>
      </c>
      <c r="N117" s="77"/>
      <c r="O117" s="77"/>
      <c r="P117" s="77"/>
      <c r="Q117" s="77"/>
      <c r="R117" s="77"/>
      <c r="S117" s="77"/>
      <c r="T117" s="77"/>
      <c r="U117" s="77"/>
      <c r="V117" s="77"/>
      <c r="AG117" s="103"/>
      <c r="AH117" s="103"/>
      <c r="AI117" s="103"/>
      <c r="AL117" s="103"/>
      <c r="AM117" s="103"/>
      <c r="AN117" s="103"/>
    </row>
    <row r="118" spans="1:41">
      <c r="B118" s="68">
        <v>50</v>
      </c>
      <c r="C118" s="77"/>
      <c r="D118" s="77">
        <v>1</v>
      </c>
      <c r="E118" s="77"/>
      <c r="F118" s="77"/>
      <c r="G118" s="77"/>
      <c r="H118" s="77"/>
      <c r="I118" s="77"/>
      <c r="J118" s="77">
        <v>2</v>
      </c>
      <c r="K118" s="77"/>
      <c r="L118" s="77"/>
      <c r="M118" s="77"/>
      <c r="N118" s="77"/>
      <c r="O118" s="77"/>
      <c r="P118" s="77"/>
      <c r="Q118" s="77"/>
      <c r="R118" s="77"/>
      <c r="S118" s="77"/>
      <c r="T118" s="77"/>
      <c r="U118" s="77"/>
      <c r="V118" s="77"/>
      <c r="AG118" s="103"/>
      <c r="AH118" s="103"/>
      <c r="AI118" s="103"/>
      <c r="AL118" s="103"/>
      <c r="AM118" s="103"/>
      <c r="AN118" s="103"/>
    </row>
    <row r="119" spans="1:41">
      <c r="B119" s="68">
        <v>51</v>
      </c>
      <c r="C119" s="77"/>
      <c r="D119" s="77"/>
      <c r="E119" s="77"/>
      <c r="F119" s="77"/>
      <c r="G119" s="77"/>
      <c r="H119" s="77"/>
      <c r="I119" s="77"/>
      <c r="J119" s="77"/>
      <c r="K119" s="77"/>
      <c r="L119" s="77"/>
      <c r="M119" s="77"/>
      <c r="N119" s="77"/>
      <c r="O119" s="77"/>
      <c r="P119" s="77"/>
      <c r="Q119" s="77"/>
      <c r="R119" s="77"/>
      <c r="S119" s="77"/>
      <c r="T119" s="77"/>
      <c r="U119" s="77"/>
      <c r="V119" s="77"/>
      <c r="AG119" s="103"/>
      <c r="AH119" s="103"/>
      <c r="AI119" s="103"/>
      <c r="AL119" s="103"/>
      <c r="AM119" s="103"/>
      <c r="AN119" s="103"/>
    </row>
    <row r="120" spans="1:41">
      <c r="B120" s="68">
        <v>52</v>
      </c>
      <c r="C120" s="77"/>
      <c r="D120" s="77"/>
      <c r="E120" s="77"/>
      <c r="F120" s="77">
        <v>1</v>
      </c>
      <c r="G120" s="77"/>
      <c r="H120" s="77"/>
      <c r="I120" s="77"/>
      <c r="J120" s="77"/>
      <c r="K120" s="77"/>
      <c r="L120" s="77"/>
      <c r="M120" s="77"/>
      <c r="N120" s="77"/>
      <c r="O120" s="77"/>
      <c r="P120" s="77"/>
      <c r="Q120" s="77"/>
      <c r="R120" s="77"/>
      <c r="S120" s="77"/>
      <c r="T120" s="77"/>
      <c r="U120" s="77"/>
      <c r="V120" s="77"/>
      <c r="AG120" s="103"/>
      <c r="AH120" s="103"/>
      <c r="AI120" s="103"/>
      <c r="AL120" s="103"/>
      <c r="AM120" s="103"/>
      <c r="AN120" s="103"/>
    </row>
    <row r="121" spans="1:41">
      <c r="AG121" s="103"/>
      <c r="AH121" s="103"/>
      <c r="AI121" s="103"/>
      <c r="AL121" s="103"/>
      <c r="AM121" s="103"/>
      <c r="AN121" s="103"/>
    </row>
    <row r="122" spans="1:41">
      <c r="B122" s="66" t="s">
        <v>4</v>
      </c>
      <c r="C122" s="79">
        <f>SUM(C69:C120)</f>
        <v>333</v>
      </c>
      <c r="D122" s="66">
        <f t="shared" ref="D122:AO122" si="3">SUM(D69:D121)</f>
        <v>538</v>
      </c>
      <c r="E122" s="66">
        <f t="shared" si="3"/>
        <v>683</v>
      </c>
      <c r="F122" s="66">
        <f t="shared" si="3"/>
        <v>640</v>
      </c>
      <c r="G122" s="66">
        <f t="shared" si="3"/>
        <v>545</v>
      </c>
      <c r="H122" s="66">
        <f t="shared" si="3"/>
        <v>727</v>
      </c>
      <c r="I122" s="66">
        <f t="shared" si="3"/>
        <v>1001</v>
      </c>
      <c r="J122" s="66">
        <f t="shared" si="3"/>
        <v>852</v>
      </c>
      <c r="K122" s="66">
        <f t="shared" si="3"/>
        <v>1010</v>
      </c>
      <c r="L122" s="66">
        <f t="shared" si="3"/>
        <v>1154</v>
      </c>
      <c r="M122" s="66">
        <f t="shared" si="3"/>
        <v>760</v>
      </c>
      <c r="N122" s="66">
        <f t="shared" si="3"/>
        <v>801</v>
      </c>
      <c r="O122" s="66">
        <f t="shared" si="3"/>
        <v>1138</v>
      </c>
      <c r="P122" s="66">
        <f t="shared" si="3"/>
        <v>1032</v>
      </c>
      <c r="Q122" s="66">
        <f t="shared" si="3"/>
        <v>1043</v>
      </c>
      <c r="R122" s="66">
        <f t="shared" si="3"/>
        <v>1151</v>
      </c>
      <c r="S122" s="66">
        <f t="shared" si="3"/>
        <v>943</v>
      </c>
      <c r="T122" s="66">
        <f t="shared" si="3"/>
        <v>0</v>
      </c>
      <c r="U122" s="66">
        <f t="shared" si="3"/>
        <v>1169</v>
      </c>
      <c r="V122" s="66">
        <f t="shared" si="3"/>
        <v>1544</v>
      </c>
      <c r="W122" s="66">
        <f t="shared" si="3"/>
        <v>1716</v>
      </c>
      <c r="X122" s="66">
        <f t="shared" si="3"/>
        <v>1545</v>
      </c>
      <c r="Y122" s="66">
        <f t="shared" si="3"/>
        <v>1274</v>
      </c>
      <c r="Z122" s="66">
        <f t="shared" si="3"/>
        <v>1855</v>
      </c>
      <c r="AA122" s="66">
        <f t="shared" si="3"/>
        <v>1338</v>
      </c>
      <c r="AB122" s="66">
        <f t="shared" si="3"/>
        <v>1358</v>
      </c>
      <c r="AC122" s="66">
        <f t="shared" si="3"/>
        <v>1512</v>
      </c>
      <c r="AD122" s="66">
        <f t="shared" si="3"/>
        <v>1496</v>
      </c>
      <c r="AE122" s="66">
        <f t="shared" si="3"/>
        <v>1457</v>
      </c>
      <c r="AF122" s="66">
        <f t="shared" si="3"/>
        <v>1070</v>
      </c>
      <c r="AG122" s="103">
        <f t="shared" si="3"/>
        <v>1020</v>
      </c>
      <c r="AH122" s="103">
        <f t="shared" si="3"/>
        <v>1258</v>
      </c>
      <c r="AI122" s="103">
        <f t="shared" si="3"/>
        <v>1284</v>
      </c>
      <c r="AJ122" s="103">
        <f t="shared" si="3"/>
        <v>1147</v>
      </c>
      <c r="AK122" s="103">
        <f t="shared" si="3"/>
        <v>648</v>
      </c>
      <c r="AL122" s="103">
        <f t="shared" si="3"/>
        <v>582</v>
      </c>
      <c r="AM122" s="103">
        <f t="shared" si="3"/>
        <v>747</v>
      </c>
      <c r="AN122" s="103">
        <f t="shared" si="3"/>
        <v>878</v>
      </c>
      <c r="AO122" s="103">
        <f t="shared" si="3"/>
        <v>580</v>
      </c>
    </row>
    <row r="127" spans="1:41" ht="15.6">
      <c r="A127" s="65" t="s">
        <v>234</v>
      </c>
    </row>
    <row r="129" spans="2:41">
      <c r="B129" s="67" t="s">
        <v>232</v>
      </c>
      <c r="C129" s="68">
        <v>1977</v>
      </c>
      <c r="D129" s="66">
        <f t="shared" ref="D129:AF129" si="4">C129+1</f>
        <v>1978</v>
      </c>
      <c r="E129" s="66">
        <f t="shared" si="4"/>
        <v>1979</v>
      </c>
      <c r="F129" s="66">
        <f t="shared" si="4"/>
        <v>1980</v>
      </c>
      <c r="G129" s="66">
        <f t="shared" si="4"/>
        <v>1981</v>
      </c>
      <c r="H129" s="66">
        <f t="shared" si="4"/>
        <v>1982</v>
      </c>
      <c r="I129" s="66">
        <f t="shared" si="4"/>
        <v>1983</v>
      </c>
      <c r="J129" s="66">
        <f t="shared" si="4"/>
        <v>1984</v>
      </c>
      <c r="K129" s="66">
        <f t="shared" si="4"/>
        <v>1985</v>
      </c>
      <c r="L129" s="66">
        <f t="shared" si="4"/>
        <v>1986</v>
      </c>
      <c r="M129" s="66">
        <f t="shared" si="4"/>
        <v>1987</v>
      </c>
      <c r="N129" s="66">
        <f t="shared" si="4"/>
        <v>1988</v>
      </c>
      <c r="O129" s="66">
        <f t="shared" si="4"/>
        <v>1989</v>
      </c>
      <c r="P129" s="66">
        <f t="shared" si="4"/>
        <v>1990</v>
      </c>
      <c r="Q129" s="66">
        <f t="shared" si="4"/>
        <v>1991</v>
      </c>
      <c r="R129" s="66">
        <f t="shared" si="4"/>
        <v>1992</v>
      </c>
      <c r="S129" s="66">
        <f t="shared" si="4"/>
        <v>1993</v>
      </c>
      <c r="T129" s="66">
        <f t="shared" si="4"/>
        <v>1994</v>
      </c>
      <c r="U129" s="66">
        <f t="shared" si="4"/>
        <v>1995</v>
      </c>
      <c r="V129" s="66">
        <f t="shared" si="4"/>
        <v>1996</v>
      </c>
      <c r="W129" s="66">
        <f t="shared" si="4"/>
        <v>1997</v>
      </c>
      <c r="X129" s="76">
        <f t="shared" si="4"/>
        <v>1998</v>
      </c>
      <c r="Y129" s="76">
        <f t="shared" si="4"/>
        <v>1999</v>
      </c>
      <c r="Z129" s="66">
        <f t="shared" si="4"/>
        <v>2000</v>
      </c>
      <c r="AA129" s="66">
        <f t="shared" si="4"/>
        <v>2001</v>
      </c>
      <c r="AB129" s="66">
        <f t="shared" si="4"/>
        <v>2002</v>
      </c>
      <c r="AC129" s="66">
        <f t="shared" si="4"/>
        <v>2003</v>
      </c>
      <c r="AD129" s="66">
        <f t="shared" si="4"/>
        <v>2004</v>
      </c>
      <c r="AE129" s="66">
        <f t="shared" si="4"/>
        <v>2005</v>
      </c>
      <c r="AF129" s="76">
        <f t="shared" si="4"/>
        <v>2006</v>
      </c>
      <c r="AG129" s="66">
        <v>2007</v>
      </c>
      <c r="AH129" s="66">
        <v>2008</v>
      </c>
      <c r="AI129" s="66">
        <v>2009</v>
      </c>
      <c r="AJ129" s="66">
        <v>2010</v>
      </c>
      <c r="AK129" s="66">
        <v>2011</v>
      </c>
      <c r="AL129" s="66">
        <v>2012</v>
      </c>
      <c r="AM129" s="66">
        <v>2013</v>
      </c>
      <c r="AN129" s="66">
        <v>2014</v>
      </c>
      <c r="AO129" s="66">
        <v>2015</v>
      </c>
    </row>
    <row r="130" spans="2:41">
      <c r="B130" s="68">
        <v>1</v>
      </c>
      <c r="C130" s="77"/>
      <c r="D130" s="77"/>
      <c r="E130" s="77"/>
      <c r="F130" s="78">
        <v>2</v>
      </c>
      <c r="G130" s="77"/>
      <c r="H130" s="77"/>
      <c r="I130" s="77"/>
      <c r="J130" s="77"/>
      <c r="K130" s="77"/>
      <c r="L130" s="77"/>
      <c r="M130" s="77">
        <v>3</v>
      </c>
      <c r="N130" s="77"/>
      <c r="O130" s="77"/>
      <c r="P130" s="77"/>
      <c r="Q130" s="77"/>
      <c r="R130" s="77"/>
      <c r="S130" s="77"/>
      <c r="T130" s="77"/>
      <c r="U130" s="77"/>
      <c r="X130" s="76"/>
      <c r="Y130" s="76"/>
      <c r="AF130" s="76"/>
    </row>
    <row r="131" spans="2:41">
      <c r="B131" s="68">
        <v>2</v>
      </c>
      <c r="C131" s="77"/>
      <c r="D131" s="77"/>
      <c r="E131" s="77"/>
      <c r="F131" s="78"/>
      <c r="G131" s="77">
        <v>1</v>
      </c>
      <c r="H131" s="77"/>
      <c r="I131" s="77"/>
      <c r="J131" s="77"/>
      <c r="K131" s="77"/>
      <c r="L131" s="77">
        <v>4</v>
      </c>
      <c r="M131" s="77">
        <v>0</v>
      </c>
      <c r="N131" s="77">
        <v>2</v>
      </c>
      <c r="O131" s="77"/>
      <c r="P131" s="77">
        <v>2</v>
      </c>
      <c r="Q131" s="77"/>
      <c r="R131" s="77"/>
      <c r="S131" s="77"/>
      <c r="T131" s="77"/>
      <c r="U131" s="77"/>
      <c r="X131" s="76"/>
      <c r="Y131" s="76"/>
      <c r="AF131" s="76"/>
    </row>
    <row r="132" spans="2:41">
      <c r="B132" s="68">
        <v>3</v>
      </c>
      <c r="C132" s="77"/>
      <c r="D132" s="77"/>
      <c r="E132" s="77"/>
      <c r="F132" s="78"/>
      <c r="G132" s="77">
        <v>3</v>
      </c>
      <c r="H132" s="77"/>
      <c r="I132" s="77"/>
      <c r="J132" s="77"/>
      <c r="K132" s="77">
        <v>3</v>
      </c>
      <c r="L132" s="77">
        <v>4</v>
      </c>
      <c r="M132" s="77">
        <v>10</v>
      </c>
      <c r="N132" s="77">
        <v>2</v>
      </c>
      <c r="O132" s="77"/>
      <c r="P132" s="77">
        <v>2</v>
      </c>
      <c r="Q132" s="77"/>
      <c r="R132" s="77"/>
      <c r="S132" s="77"/>
      <c r="T132" s="77"/>
      <c r="U132" s="77"/>
      <c r="X132" s="76"/>
      <c r="Y132" s="76"/>
      <c r="AF132" s="76"/>
    </row>
    <row r="133" spans="2:41">
      <c r="B133" s="68">
        <v>4</v>
      </c>
      <c r="C133" s="77"/>
      <c r="D133" s="77"/>
      <c r="E133" s="77"/>
      <c r="F133" s="78"/>
      <c r="G133" s="77">
        <v>0</v>
      </c>
      <c r="H133" s="77"/>
      <c r="I133" s="77"/>
      <c r="J133" s="77"/>
      <c r="K133" s="77">
        <v>3</v>
      </c>
      <c r="L133" s="77">
        <v>5</v>
      </c>
      <c r="M133" s="77">
        <v>0</v>
      </c>
      <c r="N133" s="77">
        <v>5</v>
      </c>
      <c r="O133" s="77"/>
      <c r="P133" s="77">
        <v>2</v>
      </c>
      <c r="Q133" s="77"/>
      <c r="R133" s="77"/>
      <c r="S133" s="77"/>
      <c r="T133" s="77"/>
      <c r="U133" s="77"/>
      <c r="X133" s="76"/>
      <c r="Y133" s="76"/>
      <c r="AF133" s="76"/>
    </row>
    <row r="134" spans="2:41">
      <c r="B134" s="68">
        <v>5</v>
      </c>
      <c r="C134" s="77"/>
      <c r="D134" s="78">
        <v>1</v>
      </c>
      <c r="E134" s="77"/>
      <c r="F134" s="78"/>
      <c r="G134" s="77">
        <v>1</v>
      </c>
      <c r="H134" s="77"/>
      <c r="I134" s="77"/>
      <c r="J134" s="77"/>
      <c r="K134" s="77">
        <v>3</v>
      </c>
      <c r="L134" s="77">
        <v>5</v>
      </c>
      <c r="M134" s="77">
        <v>0</v>
      </c>
      <c r="N134" s="77">
        <v>10</v>
      </c>
      <c r="O134" s="77"/>
      <c r="P134" s="77"/>
      <c r="Q134" s="77"/>
      <c r="R134" s="77"/>
      <c r="S134" s="77"/>
      <c r="T134" s="77"/>
      <c r="U134" s="77"/>
      <c r="X134" s="76"/>
      <c r="Y134" s="76"/>
      <c r="AF134" s="76"/>
    </row>
    <row r="135" spans="2:41">
      <c r="B135" s="68">
        <v>6</v>
      </c>
      <c r="C135" s="77"/>
      <c r="D135" s="78"/>
      <c r="E135" s="77"/>
      <c r="F135" s="78"/>
      <c r="G135" s="77">
        <v>2</v>
      </c>
      <c r="H135" s="77"/>
      <c r="I135" s="77"/>
      <c r="J135" s="77">
        <v>5</v>
      </c>
      <c r="K135" s="77">
        <v>2</v>
      </c>
      <c r="L135" s="77">
        <v>12</v>
      </c>
      <c r="M135" s="77">
        <v>7</v>
      </c>
      <c r="N135" s="77">
        <v>0</v>
      </c>
      <c r="O135" s="77"/>
      <c r="P135" s="77"/>
      <c r="Q135" s="77"/>
      <c r="R135" s="77"/>
      <c r="S135" s="77"/>
      <c r="T135" s="77"/>
      <c r="U135" s="77"/>
      <c r="X135" s="76"/>
      <c r="Y135" s="76"/>
      <c r="AF135" s="76"/>
    </row>
    <row r="136" spans="2:41">
      <c r="B136" s="68">
        <v>7</v>
      </c>
      <c r="C136" s="77"/>
      <c r="D136" s="78">
        <v>6</v>
      </c>
      <c r="E136" s="77"/>
      <c r="F136" s="78">
        <v>4</v>
      </c>
      <c r="G136" s="77">
        <v>3</v>
      </c>
      <c r="H136" s="77"/>
      <c r="I136" s="77"/>
      <c r="J136" s="77">
        <v>7</v>
      </c>
      <c r="K136" s="77">
        <v>0</v>
      </c>
      <c r="L136" s="77">
        <v>3</v>
      </c>
      <c r="M136" s="77">
        <v>5</v>
      </c>
      <c r="N136" s="77">
        <v>0</v>
      </c>
      <c r="O136" s="77"/>
      <c r="P136" s="77"/>
      <c r="Q136" s="77"/>
      <c r="R136" s="77"/>
      <c r="S136" s="77"/>
      <c r="T136" s="77"/>
      <c r="U136" s="77"/>
      <c r="X136" s="76"/>
      <c r="Y136" s="76"/>
      <c r="AF136" s="76"/>
    </row>
    <row r="137" spans="2:41">
      <c r="B137" s="68">
        <v>8</v>
      </c>
      <c r="C137" s="77"/>
      <c r="D137" s="78">
        <v>5</v>
      </c>
      <c r="E137" s="77"/>
      <c r="F137" s="78">
        <v>5</v>
      </c>
      <c r="G137" s="77">
        <v>1</v>
      </c>
      <c r="H137" s="77"/>
      <c r="I137" s="77"/>
      <c r="J137" s="77">
        <v>10</v>
      </c>
      <c r="K137" s="77">
        <v>4</v>
      </c>
      <c r="L137" s="77">
        <v>0</v>
      </c>
      <c r="M137" s="77">
        <v>0</v>
      </c>
      <c r="N137" s="77">
        <v>1</v>
      </c>
      <c r="O137" s="77">
        <v>6</v>
      </c>
      <c r="P137" s="77"/>
      <c r="Q137" s="77"/>
      <c r="R137" s="77"/>
      <c r="S137" s="77"/>
      <c r="T137" s="77"/>
      <c r="U137" s="77"/>
      <c r="X137" s="76"/>
      <c r="Y137" s="76"/>
      <c r="AF137" s="76"/>
    </row>
    <row r="138" spans="2:41">
      <c r="B138" s="68">
        <v>9</v>
      </c>
      <c r="C138" s="77"/>
      <c r="D138" s="78">
        <v>3</v>
      </c>
      <c r="E138" s="77"/>
      <c r="F138" s="78">
        <v>7</v>
      </c>
      <c r="G138" s="77">
        <v>2</v>
      </c>
      <c r="H138" s="77"/>
      <c r="I138" s="77"/>
      <c r="J138" s="77">
        <v>12</v>
      </c>
      <c r="K138" s="77">
        <v>6</v>
      </c>
      <c r="L138" s="77">
        <v>2</v>
      </c>
      <c r="M138" s="77">
        <v>7</v>
      </c>
      <c r="N138" s="77">
        <v>1</v>
      </c>
      <c r="O138" s="77"/>
      <c r="P138" s="77"/>
      <c r="Q138" s="77"/>
      <c r="R138" s="77"/>
      <c r="S138" s="77"/>
      <c r="T138" s="77"/>
      <c r="U138" s="77"/>
      <c r="X138" s="76"/>
      <c r="Y138" s="76"/>
      <c r="AF138" s="76"/>
    </row>
    <row r="139" spans="2:41">
      <c r="B139" s="68">
        <v>10</v>
      </c>
      <c r="C139" s="77"/>
      <c r="D139" s="78">
        <v>5</v>
      </c>
      <c r="E139" s="77"/>
      <c r="F139" s="78">
        <v>7</v>
      </c>
      <c r="G139" s="77">
        <v>9</v>
      </c>
      <c r="H139" s="77"/>
      <c r="I139" s="77">
        <v>35</v>
      </c>
      <c r="J139" s="77">
        <v>9</v>
      </c>
      <c r="K139" s="77"/>
      <c r="L139" s="77">
        <v>3</v>
      </c>
      <c r="M139" s="77">
        <v>4</v>
      </c>
      <c r="N139" s="77">
        <v>3</v>
      </c>
      <c r="O139" s="77"/>
      <c r="P139" s="77"/>
      <c r="Q139" s="77"/>
      <c r="R139" s="77"/>
      <c r="S139" s="77"/>
      <c r="T139" s="77"/>
      <c r="U139" s="77"/>
      <c r="X139" s="76"/>
      <c r="Y139" s="76"/>
      <c r="AF139" s="76"/>
    </row>
    <row r="140" spans="2:41">
      <c r="B140" s="68">
        <v>11</v>
      </c>
      <c r="C140" s="77"/>
      <c r="D140" s="78">
        <v>9</v>
      </c>
      <c r="E140" s="78">
        <v>6</v>
      </c>
      <c r="F140" s="78">
        <v>7</v>
      </c>
      <c r="G140" s="77">
        <v>10</v>
      </c>
      <c r="H140" s="77"/>
      <c r="I140" s="77"/>
      <c r="J140" s="77"/>
      <c r="K140" s="77"/>
      <c r="L140" s="77"/>
      <c r="M140" s="77">
        <v>0</v>
      </c>
      <c r="N140" s="77">
        <v>3</v>
      </c>
      <c r="O140" s="77"/>
      <c r="P140" s="77"/>
      <c r="Q140" s="77"/>
      <c r="R140" s="77"/>
      <c r="S140" s="77"/>
      <c r="T140" s="77"/>
      <c r="U140" s="77"/>
      <c r="X140" s="76"/>
      <c r="Y140" s="76"/>
      <c r="AF140" s="76"/>
    </row>
    <row r="141" spans="2:41">
      <c r="B141" s="68">
        <v>12</v>
      </c>
      <c r="C141" s="77"/>
      <c r="D141" s="78">
        <v>5</v>
      </c>
      <c r="E141" s="78">
        <v>7</v>
      </c>
      <c r="F141" s="78">
        <v>10</v>
      </c>
      <c r="G141" s="77">
        <v>20</v>
      </c>
      <c r="H141" s="77"/>
      <c r="I141" s="77"/>
      <c r="J141" s="77"/>
      <c r="K141" s="77"/>
      <c r="L141" s="77"/>
      <c r="M141" s="77">
        <v>20</v>
      </c>
      <c r="N141" s="77">
        <v>7</v>
      </c>
      <c r="O141" s="77"/>
      <c r="P141" s="77"/>
      <c r="Q141" s="77"/>
      <c r="R141" s="77"/>
      <c r="S141" s="77"/>
      <c r="T141" s="77"/>
      <c r="U141" s="77"/>
      <c r="X141" s="76"/>
      <c r="Y141" s="76"/>
      <c r="AF141" s="76"/>
    </row>
    <row r="142" spans="2:41">
      <c r="B142" s="68">
        <v>13</v>
      </c>
      <c r="C142" s="77"/>
      <c r="D142" s="78">
        <v>5</v>
      </c>
      <c r="E142" s="78">
        <v>7</v>
      </c>
      <c r="F142" s="78">
        <v>14</v>
      </c>
      <c r="G142" s="77">
        <v>16</v>
      </c>
      <c r="H142" s="77"/>
      <c r="I142" s="77"/>
      <c r="J142" s="77"/>
      <c r="K142" s="77"/>
      <c r="L142" s="77"/>
      <c r="M142" s="77">
        <v>20</v>
      </c>
      <c r="N142" s="77">
        <v>3</v>
      </c>
      <c r="O142" s="77">
        <v>3</v>
      </c>
      <c r="P142" s="77"/>
      <c r="Q142" s="77"/>
      <c r="R142" s="77"/>
      <c r="S142" s="77"/>
      <c r="T142" s="77"/>
      <c r="U142" s="77"/>
      <c r="X142" s="76"/>
      <c r="Y142" s="76"/>
      <c r="AF142" s="76"/>
    </row>
    <row r="143" spans="2:41">
      <c r="B143" s="68">
        <v>14</v>
      </c>
      <c r="C143" s="77"/>
      <c r="D143" s="78">
        <v>10</v>
      </c>
      <c r="E143" s="78">
        <v>9</v>
      </c>
      <c r="F143" s="78">
        <v>14</v>
      </c>
      <c r="G143" s="77">
        <v>0</v>
      </c>
      <c r="H143" s="78">
        <v>12</v>
      </c>
      <c r="I143" s="77"/>
      <c r="J143" s="77">
        <v>16</v>
      </c>
      <c r="K143" s="77"/>
      <c r="L143" s="77"/>
      <c r="M143" s="77">
        <v>6</v>
      </c>
      <c r="N143" s="77">
        <v>1</v>
      </c>
      <c r="O143" s="77">
        <v>6</v>
      </c>
      <c r="P143" s="77">
        <v>8</v>
      </c>
      <c r="Q143" s="77"/>
      <c r="R143" s="77"/>
      <c r="S143" s="77"/>
      <c r="T143" s="77"/>
      <c r="U143" s="77"/>
      <c r="X143" s="76"/>
      <c r="Y143" s="76"/>
      <c r="AF143" s="76"/>
    </row>
    <row r="144" spans="2:41">
      <c r="B144" s="68">
        <v>15</v>
      </c>
      <c r="C144" s="78">
        <v>11</v>
      </c>
      <c r="D144" s="78">
        <v>5</v>
      </c>
      <c r="E144" s="78">
        <v>9</v>
      </c>
      <c r="F144" s="78">
        <v>17</v>
      </c>
      <c r="G144" s="77">
        <v>5</v>
      </c>
      <c r="H144" s="78">
        <v>10</v>
      </c>
      <c r="I144" s="77"/>
      <c r="J144" s="77">
        <v>7</v>
      </c>
      <c r="K144" s="77">
        <v>12</v>
      </c>
      <c r="L144" s="77"/>
      <c r="M144" s="77">
        <v>6</v>
      </c>
      <c r="N144" s="77">
        <v>3</v>
      </c>
      <c r="O144" s="77">
        <v>5</v>
      </c>
      <c r="P144" s="77">
        <v>8</v>
      </c>
      <c r="Q144" s="77"/>
      <c r="R144" s="77"/>
      <c r="S144" s="77"/>
      <c r="T144" s="77"/>
      <c r="U144" s="77"/>
      <c r="X144" s="76"/>
      <c r="Y144" s="76"/>
      <c r="AF144" s="76"/>
    </row>
    <row r="145" spans="2:41">
      <c r="B145" s="68">
        <v>16</v>
      </c>
      <c r="C145" s="78">
        <v>3</v>
      </c>
      <c r="D145" s="78">
        <v>4</v>
      </c>
      <c r="E145" s="78">
        <v>16</v>
      </c>
      <c r="F145" s="78">
        <v>7</v>
      </c>
      <c r="G145" s="77">
        <v>7</v>
      </c>
      <c r="H145" s="78">
        <v>13</v>
      </c>
      <c r="I145" s="77">
        <v>15</v>
      </c>
      <c r="J145" s="77">
        <v>1</v>
      </c>
      <c r="K145" s="77">
        <v>5</v>
      </c>
      <c r="L145" s="77">
        <v>3</v>
      </c>
      <c r="M145" s="77">
        <v>7</v>
      </c>
      <c r="N145" s="77">
        <v>3</v>
      </c>
      <c r="O145" s="77">
        <v>7</v>
      </c>
      <c r="P145" s="77"/>
      <c r="Q145" s="77"/>
      <c r="R145" s="77">
        <v>1</v>
      </c>
      <c r="S145" s="77"/>
      <c r="T145" s="77"/>
      <c r="U145" s="77"/>
      <c r="X145" s="76"/>
      <c r="Y145" s="76"/>
      <c r="AF145" s="76"/>
    </row>
    <row r="146" spans="2:41">
      <c r="B146" s="68">
        <v>17</v>
      </c>
      <c r="C146" s="78">
        <v>5</v>
      </c>
      <c r="D146" s="78">
        <v>6</v>
      </c>
      <c r="E146" s="78">
        <v>14</v>
      </c>
      <c r="F146" s="78">
        <v>3</v>
      </c>
      <c r="G146" s="77">
        <v>10</v>
      </c>
      <c r="H146" s="78">
        <v>11</v>
      </c>
      <c r="I146" s="77">
        <v>15</v>
      </c>
      <c r="J146" s="77">
        <v>16</v>
      </c>
      <c r="K146" s="77">
        <v>4</v>
      </c>
      <c r="L146" s="77">
        <v>0</v>
      </c>
      <c r="M146" s="77">
        <v>3</v>
      </c>
      <c r="N146" s="77">
        <v>2</v>
      </c>
      <c r="O146" s="77">
        <v>8</v>
      </c>
      <c r="P146" s="77"/>
      <c r="Q146" s="77"/>
      <c r="R146" s="77"/>
      <c r="S146" s="77"/>
      <c r="T146" s="77"/>
      <c r="U146" s="77"/>
      <c r="X146" s="76"/>
      <c r="Y146" s="76"/>
      <c r="AF146" s="76"/>
    </row>
    <row r="147" spans="2:41">
      <c r="B147" s="68">
        <v>18</v>
      </c>
      <c r="C147" s="78">
        <v>3</v>
      </c>
      <c r="D147" s="78"/>
      <c r="E147" s="77"/>
      <c r="F147" s="78">
        <v>2</v>
      </c>
      <c r="G147" s="77"/>
      <c r="H147" s="78">
        <v>6</v>
      </c>
      <c r="I147" s="77"/>
      <c r="J147" s="77">
        <v>21</v>
      </c>
      <c r="K147" s="77">
        <v>6</v>
      </c>
      <c r="L147" s="77">
        <v>3</v>
      </c>
      <c r="M147" s="77">
        <v>0</v>
      </c>
      <c r="N147" s="77"/>
      <c r="O147" s="77">
        <v>2</v>
      </c>
      <c r="P147" s="77"/>
      <c r="Q147" s="77"/>
      <c r="R147" s="77"/>
      <c r="S147" s="77"/>
      <c r="T147" s="77"/>
      <c r="U147" s="77"/>
      <c r="X147" s="76"/>
      <c r="Y147" s="76"/>
      <c r="AF147" s="76"/>
    </row>
    <row r="148" spans="2:41">
      <c r="B148" s="68">
        <v>19</v>
      </c>
      <c r="C148" s="78"/>
      <c r="D148" s="78"/>
      <c r="E148" s="77"/>
      <c r="F148" s="78"/>
      <c r="G148" s="77"/>
      <c r="H148" s="78">
        <v>1</v>
      </c>
      <c r="I148" s="77"/>
      <c r="J148" s="77">
        <v>16</v>
      </c>
      <c r="K148" s="77">
        <v>5</v>
      </c>
      <c r="L148" s="77">
        <v>3</v>
      </c>
      <c r="M148" s="77">
        <v>35</v>
      </c>
      <c r="N148" s="77"/>
      <c r="O148" s="77"/>
      <c r="P148" s="77"/>
      <c r="Q148" s="77"/>
      <c r="R148" s="77"/>
      <c r="S148" s="77"/>
      <c r="T148" s="77"/>
      <c r="U148" s="77"/>
      <c r="X148" s="76"/>
      <c r="Y148" s="76"/>
      <c r="AF148" s="76"/>
    </row>
    <row r="149" spans="2:41">
      <c r="B149" s="68">
        <v>20</v>
      </c>
      <c r="C149" s="78"/>
      <c r="D149" s="78"/>
      <c r="E149" s="77"/>
      <c r="F149" s="78"/>
      <c r="G149" s="77"/>
      <c r="H149" s="78"/>
      <c r="I149" s="77"/>
      <c r="J149" s="77"/>
      <c r="K149" s="77">
        <v>4</v>
      </c>
      <c r="L149" s="77">
        <v>2</v>
      </c>
      <c r="M149" s="77">
        <v>0</v>
      </c>
      <c r="N149" s="77"/>
      <c r="O149" s="77"/>
      <c r="P149" s="77"/>
      <c r="Q149" s="77"/>
      <c r="R149" s="77"/>
      <c r="S149" s="77"/>
      <c r="T149" s="77"/>
      <c r="U149" s="77"/>
      <c r="X149" s="76"/>
      <c r="Y149" s="76"/>
      <c r="AF149" s="76"/>
    </row>
    <row r="150" spans="2:41">
      <c r="B150" s="68">
        <v>21</v>
      </c>
      <c r="C150" s="78"/>
      <c r="D150" s="78"/>
      <c r="E150" s="77"/>
      <c r="F150" s="78"/>
      <c r="G150" s="77">
        <v>0</v>
      </c>
      <c r="H150" s="78"/>
      <c r="I150" s="77"/>
      <c r="J150" s="77"/>
      <c r="K150" s="77">
        <v>0</v>
      </c>
      <c r="L150" s="77">
        <v>2</v>
      </c>
      <c r="M150" s="77">
        <v>0</v>
      </c>
      <c r="N150" s="77"/>
      <c r="O150" s="77"/>
      <c r="P150" s="77"/>
      <c r="Q150" s="77"/>
      <c r="R150" s="77"/>
      <c r="S150" s="77"/>
      <c r="T150" s="77"/>
      <c r="U150" s="77"/>
      <c r="X150" s="76"/>
      <c r="Y150" s="76"/>
      <c r="AF150" s="76"/>
    </row>
    <row r="151" spans="2:41">
      <c r="B151" s="68">
        <v>22</v>
      </c>
      <c r="C151" s="78"/>
      <c r="D151" s="78"/>
      <c r="E151" s="77"/>
      <c r="F151" s="78"/>
      <c r="G151" s="77">
        <v>2</v>
      </c>
      <c r="H151" s="78"/>
      <c r="I151" s="77"/>
      <c r="J151" s="77"/>
      <c r="K151" s="77">
        <v>4</v>
      </c>
      <c r="L151" s="77">
        <v>1</v>
      </c>
      <c r="M151" s="77">
        <v>0</v>
      </c>
      <c r="N151" s="77"/>
      <c r="O151" s="77"/>
      <c r="P151" s="77"/>
      <c r="Q151" s="77"/>
      <c r="R151" s="77"/>
      <c r="S151" s="77"/>
      <c r="T151" s="77"/>
      <c r="U151" s="77"/>
      <c r="X151" s="76"/>
      <c r="Y151" s="76"/>
      <c r="AF151" s="76"/>
      <c r="AO151" s="66">
        <v>6</v>
      </c>
    </row>
    <row r="152" spans="2:41">
      <c r="B152" s="68">
        <v>23</v>
      </c>
      <c r="C152" s="78"/>
      <c r="D152" s="78"/>
      <c r="E152" s="77"/>
      <c r="F152" s="78">
        <v>1</v>
      </c>
      <c r="G152" s="77"/>
      <c r="H152" s="78"/>
      <c r="I152" s="77"/>
      <c r="J152" s="77"/>
      <c r="K152" s="77">
        <v>7</v>
      </c>
      <c r="L152" s="77">
        <v>0</v>
      </c>
      <c r="M152" s="77">
        <v>0</v>
      </c>
      <c r="N152" s="77"/>
      <c r="O152" s="77"/>
      <c r="P152" s="77"/>
      <c r="Q152" s="77"/>
      <c r="R152" s="77"/>
      <c r="S152" s="77"/>
      <c r="T152" s="77"/>
      <c r="U152" s="77"/>
      <c r="W152" s="70"/>
      <c r="X152" s="76"/>
      <c r="Y152" s="76"/>
      <c r="AD152" s="66">
        <v>1</v>
      </c>
      <c r="AI152" s="103" t="s">
        <v>265</v>
      </c>
      <c r="AM152" s="104"/>
      <c r="AN152" s="104"/>
      <c r="AO152" s="66">
        <v>1</v>
      </c>
    </row>
    <row r="153" spans="2:41">
      <c r="B153" s="68">
        <v>24</v>
      </c>
      <c r="C153" s="78"/>
      <c r="D153" s="78"/>
      <c r="E153" s="77"/>
      <c r="F153" s="78"/>
      <c r="G153" s="77">
        <v>2</v>
      </c>
      <c r="H153" s="78"/>
      <c r="I153" s="77">
        <v>1</v>
      </c>
      <c r="J153" s="77"/>
      <c r="K153" s="77">
        <v>4</v>
      </c>
      <c r="L153" s="77">
        <v>2</v>
      </c>
      <c r="M153" s="77">
        <v>0</v>
      </c>
      <c r="N153" s="77"/>
      <c r="O153" s="77"/>
      <c r="P153" s="77"/>
      <c r="Q153" s="77"/>
      <c r="R153" s="77"/>
      <c r="S153" s="77">
        <v>7</v>
      </c>
      <c r="T153" s="77"/>
      <c r="U153" s="77"/>
      <c r="V153" s="70"/>
      <c r="W153" s="70"/>
      <c r="X153" s="76"/>
      <c r="Y153" s="76"/>
      <c r="AI153" s="103"/>
      <c r="AM153" s="104"/>
      <c r="AN153" s="103">
        <v>1</v>
      </c>
    </row>
    <row r="154" spans="2:41">
      <c r="B154" s="68">
        <v>25</v>
      </c>
      <c r="C154" s="78"/>
      <c r="D154" s="78"/>
      <c r="E154" s="77"/>
      <c r="F154" s="78"/>
      <c r="G154" s="77">
        <v>4</v>
      </c>
      <c r="H154" s="78"/>
      <c r="I154" s="77">
        <v>0</v>
      </c>
      <c r="J154" s="77"/>
      <c r="K154" s="77">
        <v>4</v>
      </c>
      <c r="L154" s="77">
        <v>1</v>
      </c>
      <c r="M154" s="77">
        <v>8</v>
      </c>
      <c r="N154" s="77"/>
      <c r="O154" s="77"/>
      <c r="P154" s="77"/>
      <c r="Q154" s="77"/>
      <c r="R154" s="77"/>
      <c r="S154" s="77"/>
      <c r="T154" s="77"/>
      <c r="U154" s="77"/>
      <c r="V154" s="70"/>
      <c r="W154" s="70"/>
      <c r="X154" s="76"/>
      <c r="Y154" s="76"/>
      <c r="AA154" s="66">
        <v>7</v>
      </c>
      <c r="AC154" s="66">
        <v>6</v>
      </c>
      <c r="AG154" s="105"/>
      <c r="AH154" s="106"/>
      <c r="AI154" s="105" t="s">
        <v>0</v>
      </c>
      <c r="AJ154" s="106"/>
      <c r="AK154" s="107"/>
      <c r="AL154" s="107"/>
      <c r="AM154" s="105">
        <v>1</v>
      </c>
      <c r="AN154" s="105"/>
    </row>
    <row r="155" spans="2:41">
      <c r="B155" s="68">
        <v>26</v>
      </c>
      <c r="C155" s="78"/>
      <c r="D155" s="78"/>
      <c r="E155" s="77"/>
      <c r="F155" s="78">
        <v>3</v>
      </c>
      <c r="G155" s="77">
        <v>4</v>
      </c>
      <c r="H155" s="78">
        <v>1</v>
      </c>
      <c r="I155" s="77">
        <v>9</v>
      </c>
      <c r="J155" s="77">
        <v>4</v>
      </c>
      <c r="K155" s="77">
        <v>9</v>
      </c>
      <c r="L155" s="77">
        <v>3</v>
      </c>
      <c r="M155" s="77">
        <v>9</v>
      </c>
      <c r="N155" s="77"/>
      <c r="O155" s="77">
        <v>4</v>
      </c>
      <c r="P155" s="77"/>
      <c r="Q155" s="77"/>
      <c r="R155" s="77"/>
      <c r="S155" s="77"/>
      <c r="T155" s="77"/>
      <c r="U155" s="77"/>
      <c r="V155" s="72"/>
      <c r="W155" s="73"/>
      <c r="X155" s="76"/>
      <c r="Y155" s="76"/>
      <c r="Z155" s="66">
        <v>4</v>
      </c>
      <c r="AC155" s="66">
        <v>9</v>
      </c>
      <c r="AD155" s="66">
        <v>7</v>
      </c>
      <c r="AE155" s="66">
        <v>10</v>
      </c>
      <c r="AG155" s="103"/>
      <c r="AI155" s="103" t="s">
        <v>265</v>
      </c>
      <c r="AK155" s="103"/>
      <c r="AL155" s="104"/>
      <c r="AM155" s="103">
        <v>5</v>
      </c>
      <c r="AN155" s="103">
        <v>1</v>
      </c>
    </row>
    <row r="156" spans="2:41">
      <c r="B156" s="68">
        <v>27</v>
      </c>
      <c r="C156" s="78"/>
      <c r="D156" s="78"/>
      <c r="E156" s="77"/>
      <c r="F156" s="78">
        <v>2</v>
      </c>
      <c r="G156" s="77">
        <v>3</v>
      </c>
      <c r="H156" s="78"/>
      <c r="I156" s="77">
        <v>8</v>
      </c>
      <c r="J156" s="77">
        <v>5</v>
      </c>
      <c r="K156" s="77">
        <v>16</v>
      </c>
      <c r="L156" s="77">
        <v>6</v>
      </c>
      <c r="M156" s="77">
        <v>11</v>
      </c>
      <c r="N156" s="77">
        <v>4</v>
      </c>
      <c r="O156" s="77"/>
      <c r="P156" s="77"/>
      <c r="Q156" s="77"/>
      <c r="R156" s="77"/>
      <c r="S156" s="77"/>
      <c r="T156" s="77"/>
      <c r="U156" s="77"/>
      <c r="V156" s="70"/>
      <c r="W156" s="70"/>
      <c r="X156" s="76"/>
      <c r="Y156" s="76"/>
      <c r="Z156" s="66">
        <v>17</v>
      </c>
      <c r="AC156" s="66">
        <v>16</v>
      </c>
      <c r="AD156" s="66">
        <v>9</v>
      </c>
      <c r="AE156" s="66">
        <v>0</v>
      </c>
      <c r="AG156" s="103"/>
      <c r="AI156" s="103" t="s">
        <v>265</v>
      </c>
      <c r="AJ156" s="103"/>
      <c r="AK156" s="103">
        <v>4</v>
      </c>
      <c r="AL156" s="103" t="s">
        <v>0</v>
      </c>
      <c r="AM156" s="103">
        <v>3</v>
      </c>
      <c r="AN156" s="103">
        <v>3</v>
      </c>
    </row>
    <row r="157" spans="2:41">
      <c r="B157" s="68">
        <v>28</v>
      </c>
      <c r="C157" s="78"/>
      <c r="D157" s="78"/>
      <c r="E157" s="77"/>
      <c r="F157" s="77"/>
      <c r="G157" s="77">
        <v>3</v>
      </c>
      <c r="H157" s="78">
        <v>6</v>
      </c>
      <c r="I157" s="77">
        <v>3</v>
      </c>
      <c r="J157" s="77">
        <v>3</v>
      </c>
      <c r="K157" s="77">
        <v>10</v>
      </c>
      <c r="L157" s="77">
        <v>6</v>
      </c>
      <c r="M157" s="77">
        <v>7</v>
      </c>
      <c r="N157" s="77"/>
      <c r="O157" s="77"/>
      <c r="P157" s="77"/>
      <c r="Q157" s="77"/>
      <c r="R157" s="77"/>
      <c r="S157" s="77"/>
      <c r="T157" s="77"/>
      <c r="U157" s="77"/>
      <c r="V157" s="70"/>
      <c r="W157" s="70"/>
      <c r="X157" s="76"/>
      <c r="Y157" s="76"/>
      <c r="Z157" s="66">
        <v>64</v>
      </c>
      <c r="AB157" s="66">
        <v>18</v>
      </c>
      <c r="AC157" s="66">
        <v>73</v>
      </c>
      <c r="AD157" s="66">
        <v>21</v>
      </c>
      <c r="AE157" s="66">
        <v>13</v>
      </c>
      <c r="AG157" s="103"/>
      <c r="AH157" s="103" t="s">
        <v>265</v>
      </c>
      <c r="AI157" s="103"/>
      <c r="AJ157" s="103">
        <v>1</v>
      </c>
      <c r="AK157" s="103">
        <v>12</v>
      </c>
      <c r="AL157" s="103">
        <v>4</v>
      </c>
      <c r="AM157" s="103">
        <v>1</v>
      </c>
      <c r="AN157" s="103">
        <v>2</v>
      </c>
      <c r="AO157" s="66">
        <v>2</v>
      </c>
    </row>
    <row r="158" spans="2:41">
      <c r="B158" s="68">
        <v>29</v>
      </c>
      <c r="C158" s="78"/>
      <c r="D158" s="78"/>
      <c r="E158" s="77"/>
      <c r="F158" s="77"/>
      <c r="G158" s="77"/>
      <c r="H158" s="78">
        <v>2</v>
      </c>
      <c r="I158" s="77">
        <v>1</v>
      </c>
      <c r="J158" s="77"/>
      <c r="K158" s="77">
        <v>20</v>
      </c>
      <c r="L158" s="77">
        <v>6</v>
      </c>
      <c r="M158" s="77">
        <v>1</v>
      </c>
      <c r="N158" s="77"/>
      <c r="O158" s="77"/>
      <c r="P158" s="77"/>
      <c r="Q158" s="77"/>
      <c r="R158" s="77"/>
      <c r="S158" s="77"/>
      <c r="T158" s="77"/>
      <c r="U158" s="77"/>
      <c r="V158" s="70"/>
      <c r="W158" s="70"/>
      <c r="X158" s="76"/>
      <c r="Y158" s="76"/>
      <c r="Z158" s="66">
        <v>75</v>
      </c>
      <c r="AC158" s="66">
        <v>74</v>
      </c>
      <c r="AD158" s="66">
        <v>46</v>
      </c>
      <c r="AE158" s="66">
        <v>19</v>
      </c>
      <c r="AF158" s="103">
        <v>4</v>
      </c>
      <c r="AG158" s="103">
        <v>5</v>
      </c>
      <c r="AH158" s="103" t="s">
        <v>265</v>
      </c>
      <c r="AI158" s="103" t="s">
        <v>265</v>
      </c>
      <c r="AJ158" s="103"/>
      <c r="AK158" s="103">
        <v>17</v>
      </c>
      <c r="AL158" s="103">
        <v>9</v>
      </c>
      <c r="AM158" s="103">
        <v>4</v>
      </c>
      <c r="AN158" s="103">
        <v>1</v>
      </c>
      <c r="AO158" s="66">
        <v>4</v>
      </c>
    </row>
    <row r="159" spans="2:41">
      <c r="B159" s="68">
        <v>30</v>
      </c>
      <c r="C159" s="78"/>
      <c r="D159" s="78"/>
      <c r="E159" s="77"/>
      <c r="F159" s="77"/>
      <c r="G159" s="77">
        <v>0</v>
      </c>
      <c r="H159" s="78">
        <v>5</v>
      </c>
      <c r="I159" s="77">
        <v>0</v>
      </c>
      <c r="J159" s="77"/>
      <c r="K159" s="77"/>
      <c r="L159" s="77"/>
      <c r="M159" s="77">
        <v>0</v>
      </c>
      <c r="N159" s="77"/>
      <c r="O159" s="77"/>
      <c r="P159" s="77"/>
      <c r="Q159" s="77"/>
      <c r="R159" s="77"/>
      <c r="S159" s="77"/>
      <c r="T159" s="77"/>
      <c r="U159" s="77"/>
      <c r="V159" s="70"/>
      <c r="W159" s="70"/>
      <c r="X159" s="76"/>
      <c r="Y159" s="76"/>
      <c r="Z159" s="66">
        <v>5</v>
      </c>
      <c r="AD159" s="66">
        <v>1</v>
      </c>
      <c r="AE159" s="66">
        <v>6</v>
      </c>
      <c r="AF159" s="103">
        <v>25</v>
      </c>
      <c r="AG159" s="103">
        <v>15</v>
      </c>
      <c r="AH159" s="103" t="s">
        <v>265</v>
      </c>
      <c r="AI159" s="103" t="s">
        <v>265</v>
      </c>
      <c r="AJ159" s="103">
        <v>2</v>
      </c>
      <c r="AK159" s="103">
        <v>4</v>
      </c>
      <c r="AL159" s="103">
        <v>0</v>
      </c>
      <c r="AM159" s="103">
        <v>3</v>
      </c>
      <c r="AN159" s="103">
        <v>2</v>
      </c>
      <c r="AO159" s="66">
        <v>5</v>
      </c>
    </row>
    <row r="160" spans="2:41">
      <c r="B160" s="68">
        <v>31</v>
      </c>
      <c r="C160" s="78"/>
      <c r="D160" s="78"/>
      <c r="E160" s="77"/>
      <c r="F160" s="77"/>
      <c r="G160" s="77"/>
      <c r="H160" s="78">
        <v>2</v>
      </c>
      <c r="I160" s="77">
        <v>0</v>
      </c>
      <c r="J160" s="77"/>
      <c r="K160" s="77"/>
      <c r="L160" s="77"/>
      <c r="M160" s="77"/>
      <c r="N160" s="77"/>
      <c r="O160" s="77"/>
      <c r="P160" s="77"/>
      <c r="Q160" s="77"/>
      <c r="R160" s="77"/>
      <c r="S160" s="77"/>
      <c r="T160" s="77"/>
      <c r="U160" s="77"/>
      <c r="W160" s="70"/>
      <c r="X160" s="76"/>
      <c r="Y160" s="76"/>
      <c r="AF160" s="103"/>
      <c r="AG160" s="103">
        <v>10</v>
      </c>
      <c r="AI160" s="103" t="s">
        <v>265</v>
      </c>
      <c r="AJ160" s="103">
        <v>1</v>
      </c>
      <c r="AK160" s="103" t="s">
        <v>0</v>
      </c>
      <c r="AL160" s="103">
        <v>2</v>
      </c>
      <c r="AM160" s="103"/>
      <c r="AN160" s="103">
        <v>1</v>
      </c>
      <c r="AO160" s="66">
        <v>4</v>
      </c>
    </row>
    <row r="161" spans="2:40">
      <c r="B161" s="68">
        <v>32</v>
      </c>
      <c r="C161" s="78"/>
      <c r="D161" s="78"/>
      <c r="E161" s="77"/>
      <c r="F161" s="77"/>
      <c r="G161" s="77"/>
      <c r="H161" s="77"/>
      <c r="I161" s="77">
        <v>0</v>
      </c>
      <c r="J161" s="77"/>
      <c r="K161" s="77"/>
      <c r="L161" s="77"/>
      <c r="M161" s="77"/>
      <c r="N161" s="77"/>
      <c r="O161" s="77"/>
      <c r="P161" s="77"/>
      <c r="Q161" s="77"/>
      <c r="R161" s="77"/>
      <c r="S161" s="77"/>
      <c r="T161" s="77"/>
      <c r="U161" s="77"/>
      <c r="W161" s="70"/>
      <c r="X161" s="76"/>
      <c r="Y161" s="76"/>
      <c r="AF161" s="103"/>
      <c r="AG161" s="103"/>
      <c r="AI161" s="103"/>
      <c r="AJ161" s="103"/>
      <c r="AK161" s="103"/>
      <c r="AL161" s="103"/>
      <c r="AM161" s="103"/>
      <c r="AN161" s="103"/>
    </row>
    <row r="162" spans="2:40">
      <c r="B162" s="68">
        <v>33</v>
      </c>
      <c r="C162" s="78"/>
      <c r="D162" s="78"/>
      <c r="E162" s="77"/>
      <c r="F162" s="77"/>
      <c r="G162" s="77"/>
      <c r="H162" s="77"/>
      <c r="I162" s="77">
        <v>0</v>
      </c>
      <c r="J162" s="77"/>
      <c r="K162" s="77">
        <v>1</v>
      </c>
      <c r="L162" s="77"/>
      <c r="M162" s="77"/>
      <c r="N162" s="77"/>
      <c r="O162" s="77"/>
      <c r="P162" s="77"/>
      <c r="Q162" s="77"/>
      <c r="R162" s="77"/>
      <c r="S162" s="77"/>
      <c r="T162" s="77"/>
      <c r="U162" s="77"/>
      <c r="W162" s="70"/>
      <c r="X162" s="76"/>
      <c r="Y162" s="76"/>
      <c r="AF162" s="103"/>
      <c r="AG162" s="103"/>
      <c r="AI162" s="103"/>
      <c r="AJ162" s="103"/>
      <c r="AK162" s="103"/>
      <c r="AL162" s="103"/>
      <c r="AM162" s="103"/>
      <c r="AN162" s="103"/>
    </row>
    <row r="163" spans="2:40">
      <c r="B163" s="68">
        <v>34</v>
      </c>
      <c r="C163" s="78"/>
      <c r="D163" s="78"/>
      <c r="E163" s="77"/>
      <c r="F163" s="77"/>
      <c r="G163" s="77"/>
      <c r="H163" s="77"/>
      <c r="I163" s="77">
        <v>1</v>
      </c>
      <c r="J163" s="77"/>
      <c r="K163" s="77"/>
      <c r="L163" s="77"/>
      <c r="M163" s="77"/>
      <c r="N163" s="77"/>
      <c r="O163" s="77"/>
      <c r="P163" s="77"/>
      <c r="Q163" s="77"/>
      <c r="R163" s="77"/>
      <c r="S163" s="77"/>
      <c r="T163" s="77"/>
      <c r="U163" s="77"/>
      <c r="W163" s="70"/>
      <c r="X163" s="76"/>
      <c r="Y163" s="76"/>
      <c r="AF163" s="103"/>
      <c r="AG163" s="103"/>
      <c r="AI163" s="103"/>
      <c r="AJ163" s="103"/>
      <c r="AK163" s="103"/>
      <c r="AL163" s="103"/>
      <c r="AM163" s="103"/>
      <c r="AN163" s="103"/>
    </row>
    <row r="164" spans="2:40">
      <c r="B164" s="68">
        <v>35</v>
      </c>
      <c r="C164" s="78"/>
      <c r="D164" s="78"/>
      <c r="E164" s="77"/>
      <c r="F164" s="77"/>
      <c r="G164" s="77"/>
      <c r="H164" s="77"/>
      <c r="I164" s="77">
        <v>1</v>
      </c>
      <c r="J164" s="77"/>
      <c r="K164" s="77"/>
      <c r="L164" s="77"/>
      <c r="M164" s="77"/>
      <c r="N164" s="77"/>
      <c r="O164" s="77"/>
      <c r="P164" s="77"/>
      <c r="Q164" s="77"/>
      <c r="R164" s="77"/>
      <c r="S164" s="77"/>
      <c r="T164" s="77"/>
      <c r="U164" s="77"/>
      <c r="W164" s="70"/>
      <c r="X164" s="76"/>
      <c r="Y164" s="76"/>
      <c r="AF164" s="103"/>
      <c r="AG164" s="103">
        <v>5</v>
      </c>
      <c r="AI164" s="103"/>
      <c r="AJ164" s="103"/>
      <c r="AK164" s="103"/>
      <c r="AL164" s="103"/>
      <c r="AM164" s="103"/>
      <c r="AN164" s="103"/>
    </row>
    <row r="165" spans="2:40">
      <c r="B165" s="68">
        <v>36</v>
      </c>
      <c r="C165" s="78"/>
      <c r="D165" s="78"/>
      <c r="E165" s="77"/>
      <c r="F165" s="77"/>
      <c r="G165" s="77"/>
      <c r="H165" s="77"/>
      <c r="I165" s="77">
        <v>0</v>
      </c>
      <c r="J165" s="77"/>
      <c r="K165" s="77"/>
      <c r="L165" s="77"/>
      <c r="M165" s="77"/>
      <c r="N165" s="77"/>
      <c r="O165" s="77"/>
      <c r="P165" s="77"/>
      <c r="Q165" s="77"/>
      <c r="R165" s="77"/>
      <c r="S165" s="77"/>
      <c r="T165" s="77"/>
      <c r="U165" s="77"/>
      <c r="W165" s="70"/>
      <c r="X165" s="76"/>
      <c r="Y165" s="76"/>
      <c r="AF165" s="103"/>
      <c r="AG165" s="103">
        <v>5</v>
      </c>
      <c r="AI165" s="103"/>
      <c r="AJ165" s="103">
        <v>4</v>
      </c>
      <c r="AK165" s="103"/>
      <c r="AL165" s="103"/>
      <c r="AM165" s="103"/>
      <c r="AN165" s="103"/>
    </row>
    <row r="166" spans="2:40">
      <c r="B166" s="68">
        <v>37</v>
      </c>
      <c r="C166" s="78"/>
      <c r="D166" s="78"/>
      <c r="E166" s="77"/>
      <c r="F166" s="77"/>
      <c r="G166" s="77"/>
      <c r="H166" s="77"/>
      <c r="I166" s="77">
        <v>0</v>
      </c>
      <c r="J166" s="77"/>
      <c r="K166" s="77">
        <v>1</v>
      </c>
      <c r="L166" s="77"/>
      <c r="M166" s="77"/>
      <c r="N166" s="77"/>
      <c r="O166" s="77"/>
      <c r="P166" s="77"/>
      <c r="Q166" s="77"/>
      <c r="R166" s="77"/>
      <c r="S166" s="77"/>
      <c r="T166" s="77"/>
      <c r="U166" s="77"/>
      <c r="W166" s="70"/>
      <c r="X166" s="76"/>
      <c r="Y166" s="76"/>
      <c r="AF166" s="103">
        <v>3</v>
      </c>
      <c r="AG166" s="103"/>
      <c r="AI166" s="103"/>
      <c r="AJ166" s="103"/>
      <c r="AK166" s="103"/>
      <c r="AL166" s="103"/>
      <c r="AM166" s="103"/>
      <c r="AN166" s="103"/>
    </row>
    <row r="167" spans="2:40">
      <c r="B167" s="68">
        <v>38</v>
      </c>
      <c r="C167" s="78"/>
      <c r="D167" s="78"/>
      <c r="E167" s="77"/>
      <c r="F167" s="77"/>
      <c r="G167" s="77"/>
      <c r="H167" s="77"/>
      <c r="I167" s="77">
        <v>0</v>
      </c>
      <c r="J167" s="77"/>
      <c r="K167" s="77">
        <v>2</v>
      </c>
      <c r="L167" s="77"/>
      <c r="M167" s="77"/>
      <c r="N167" s="77"/>
      <c r="O167" s="77"/>
      <c r="P167" s="77"/>
      <c r="Q167" s="77"/>
      <c r="R167" s="77"/>
      <c r="S167" s="77"/>
      <c r="T167" s="77"/>
      <c r="U167" s="77"/>
      <c r="W167" s="70"/>
      <c r="X167" s="76"/>
      <c r="Y167" s="76"/>
      <c r="AF167" s="103">
        <v>10</v>
      </c>
      <c r="AG167" s="103"/>
      <c r="AI167" s="103"/>
      <c r="AJ167" s="103"/>
      <c r="AK167" s="103"/>
      <c r="AL167" s="103"/>
      <c r="AM167" s="103"/>
      <c r="AN167" s="103">
        <v>1</v>
      </c>
    </row>
    <row r="168" spans="2:40">
      <c r="B168" s="68">
        <v>39</v>
      </c>
      <c r="C168" s="78"/>
      <c r="D168" s="78"/>
      <c r="E168" s="77"/>
      <c r="F168" s="77"/>
      <c r="G168" s="77"/>
      <c r="H168" s="77"/>
      <c r="I168" s="77">
        <v>1</v>
      </c>
      <c r="J168" s="77"/>
      <c r="K168" s="77">
        <v>1</v>
      </c>
      <c r="L168" s="77"/>
      <c r="M168" s="77"/>
      <c r="N168" s="77"/>
      <c r="O168" s="77"/>
      <c r="P168" s="77"/>
      <c r="Q168" s="77"/>
      <c r="R168" s="77"/>
      <c r="S168" s="77"/>
      <c r="T168" s="77"/>
      <c r="U168" s="77"/>
      <c r="W168" s="70"/>
      <c r="X168" s="76"/>
      <c r="Y168" s="76"/>
      <c r="AF168" s="103"/>
      <c r="AG168" s="103"/>
      <c r="AI168" s="103"/>
      <c r="AJ168" s="103"/>
      <c r="AK168" s="103"/>
      <c r="AL168" s="103"/>
      <c r="AM168" s="103"/>
      <c r="AN168" s="103"/>
    </row>
    <row r="169" spans="2:40">
      <c r="B169" s="68">
        <v>40</v>
      </c>
      <c r="C169" s="78"/>
      <c r="D169" s="78"/>
      <c r="E169" s="77"/>
      <c r="F169" s="77"/>
      <c r="G169" s="77"/>
      <c r="H169" s="77"/>
      <c r="I169" s="77">
        <v>0</v>
      </c>
      <c r="J169" s="77"/>
      <c r="K169" s="77"/>
      <c r="L169" s="77"/>
      <c r="M169" s="77"/>
      <c r="N169" s="77"/>
      <c r="O169" s="77"/>
      <c r="P169" s="77"/>
      <c r="Q169" s="77"/>
      <c r="R169" s="77"/>
      <c r="S169" s="77"/>
      <c r="T169" s="77"/>
      <c r="U169" s="77"/>
      <c r="W169" s="70"/>
      <c r="X169" s="76"/>
      <c r="Y169" s="76"/>
      <c r="AF169" s="103"/>
      <c r="AG169" s="103"/>
      <c r="AI169" s="103"/>
      <c r="AJ169" s="103"/>
      <c r="AK169" s="103">
        <v>1</v>
      </c>
      <c r="AL169" s="103" t="s">
        <v>0</v>
      </c>
      <c r="AM169" s="103"/>
      <c r="AN169" s="103">
        <v>1</v>
      </c>
    </row>
    <row r="170" spans="2:40">
      <c r="B170" s="68">
        <v>41</v>
      </c>
      <c r="C170" s="78"/>
      <c r="D170" s="78"/>
      <c r="E170" s="77"/>
      <c r="F170" s="77"/>
      <c r="G170" s="77"/>
      <c r="H170" s="77"/>
      <c r="I170" s="77">
        <v>0</v>
      </c>
      <c r="J170" s="77"/>
      <c r="K170" s="77"/>
      <c r="L170" s="77"/>
      <c r="M170" s="77"/>
      <c r="N170" s="77"/>
      <c r="O170" s="77"/>
      <c r="P170" s="77"/>
      <c r="Q170" s="77"/>
      <c r="R170" s="77"/>
      <c r="S170" s="77"/>
      <c r="T170" s="77"/>
      <c r="U170" s="77"/>
      <c r="W170" s="70"/>
      <c r="X170" s="76"/>
      <c r="Y170" s="76"/>
      <c r="AF170" s="103"/>
      <c r="AG170" s="103"/>
      <c r="AI170" s="103"/>
      <c r="AJ170" s="103"/>
      <c r="AL170" s="103"/>
      <c r="AM170" s="103"/>
      <c r="AN170" s="103"/>
    </row>
    <row r="171" spans="2:40">
      <c r="B171" s="68">
        <v>42</v>
      </c>
      <c r="C171" s="78"/>
      <c r="D171" s="78"/>
      <c r="E171" s="77"/>
      <c r="F171" s="77"/>
      <c r="G171" s="77"/>
      <c r="H171" s="77"/>
      <c r="I171" s="77">
        <v>0</v>
      </c>
      <c r="J171" s="77"/>
      <c r="K171" s="77"/>
      <c r="L171" s="77"/>
      <c r="M171" s="77"/>
      <c r="N171" s="77"/>
      <c r="O171" s="77"/>
      <c r="P171" s="77"/>
      <c r="Q171" s="77"/>
      <c r="R171" s="77"/>
      <c r="S171" s="77"/>
      <c r="T171" s="77"/>
      <c r="U171" s="77"/>
      <c r="W171" s="70"/>
      <c r="X171" s="76"/>
      <c r="Y171" s="76"/>
      <c r="AF171" s="103"/>
      <c r="AG171" s="103"/>
      <c r="AI171" s="103"/>
      <c r="AJ171" s="103"/>
      <c r="AL171" s="103"/>
      <c r="AM171" s="103"/>
      <c r="AN171" s="103"/>
    </row>
    <row r="172" spans="2:40">
      <c r="B172" s="68">
        <v>43</v>
      </c>
      <c r="C172" s="78"/>
      <c r="D172" s="78"/>
      <c r="E172" s="77"/>
      <c r="F172" s="77"/>
      <c r="G172" s="77"/>
      <c r="H172" s="77"/>
      <c r="I172" s="77">
        <v>0</v>
      </c>
      <c r="J172" s="77"/>
      <c r="K172" s="77"/>
      <c r="L172" s="77"/>
      <c r="M172" s="77"/>
      <c r="N172" s="77"/>
      <c r="O172" s="77"/>
      <c r="P172" s="77"/>
      <c r="Q172" s="77"/>
      <c r="R172" s="77"/>
      <c r="S172" s="77"/>
      <c r="T172" s="77"/>
      <c r="U172" s="77"/>
      <c r="X172" s="76"/>
      <c r="Y172" s="76"/>
      <c r="AF172" s="103"/>
      <c r="AG172" s="103"/>
      <c r="AI172" s="103"/>
      <c r="AJ172" s="103"/>
      <c r="AL172" s="103"/>
      <c r="AM172" s="103"/>
      <c r="AN172" s="103"/>
    </row>
    <row r="173" spans="2:40">
      <c r="B173" s="68">
        <v>44</v>
      </c>
      <c r="C173" s="78"/>
      <c r="D173" s="78">
        <v>2</v>
      </c>
      <c r="E173" s="77"/>
      <c r="F173" s="77"/>
      <c r="G173" s="77"/>
      <c r="H173" s="77"/>
      <c r="I173" s="77">
        <v>0</v>
      </c>
      <c r="J173" s="77">
        <v>1</v>
      </c>
      <c r="K173" s="77"/>
      <c r="L173" s="77"/>
      <c r="M173" s="77"/>
      <c r="N173" s="77"/>
      <c r="O173" s="77"/>
      <c r="P173" s="77"/>
      <c r="Q173" s="77"/>
      <c r="R173" s="77"/>
      <c r="S173" s="77"/>
      <c r="T173" s="77"/>
      <c r="U173" s="77"/>
      <c r="X173" s="76"/>
      <c r="Y173" s="76"/>
      <c r="AF173" s="103"/>
      <c r="AG173" s="103"/>
      <c r="AI173" s="103"/>
      <c r="AJ173" s="103"/>
      <c r="AL173" s="103"/>
      <c r="AM173" s="103"/>
      <c r="AN173" s="103"/>
    </row>
    <row r="174" spans="2:40">
      <c r="B174" s="68">
        <v>45</v>
      </c>
      <c r="C174" s="78"/>
      <c r="D174" s="78"/>
      <c r="E174" s="77"/>
      <c r="F174" s="77"/>
      <c r="G174" s="77"/>
      <c r="H174" s="77"/>
      <c r="I174" s="77">
        <v>0</v>
      </c>
      <c r="J174" s="77">
        <v>1</v>
      </c>
      <c r="K174" s="77"/>
      <c r="L174" s="77"/>
      <c r="M174" s="77"/>
      <c r="N174" s="77"/>
      <c r="O174" s="77"/>
      <c r="P174" s="77"/>
      <c r="Q174" s="77"/>
      <c r="R174" s="77"/>
      <c r="S174" s="77"/>
      <c r="T174" s="77"/>
      <c r="U174" s="77"/>
      <c r="X174" s="76"/>
      <c r="Y174" s="76"/>
      <c r="AF174" s="103"/>
      <c r="AG174" s="103"/>
      <c r="AI174" s="103"/>
      <c r="AJ174" s="103"/>
      <c r="AL174" s="103"/>
      <c r="AM174" s="103"/>
      <c r="AN174" s="103"/>
    </row>
    <row r="175" spans="2:40">
      <c r="B175" s="68">
        <v>46</v>
      </c>
      <c r="C175" s="78">
        <v>1</v>
      </c>
      <c r="D175" s="78"/>
      <c r="E175" s="77"/>
      <c r="F175" s="77"/>
      <c r="G175" s="77"/>
      <c r="H175" s="77"/>
      <c r="I175" s="77">
        <v>1</v>
      </c>
      <c r="J175" s="77">
        <v>1</v>
      </c>
      <c r="K175" s="77"/>
      <c r="L175" s="77"/>
      <c r="M175" s="77"/>
      <c r="N175" s="77"/>
      <c r="O175" s="77"/>
      <c r="P175" s="77"/>
      <c r="Q175" s="77"/>
      <c r="R175" s="77"/>
      <c r="S175" s="77"/>
      <c r="T175" s="77"/>
      <c r="U175" s="77"/>
      <c r="X175" s="76"/>
      <c r="Y175" s="76"/>
      <c r="AF175" s="103"/>
      <c r="AG175" s="103"/>
      <c r="AI175" s="103"/>
      <c r="AJ175" s="103"/>
      <c r="AL175" s="103"/>
      <c r="AM175" s="103"/>
      <c r="AN175" s="103"/>
    </row>
    <row r="176" spans="2:40">
      <c r="B176" s="68">
        <v>47</v>
      </c>
      <c r="C176" s="78">
        <v>1</v>
      </c>
      <c r="D176" s="78"/>
      <c r="E176" s="77"/>
      <c r="F176" s="77"/>
      <c r="G176" s="77">
        <v>1</v>
      </c>
      <c r="H176" s="77"/>
      <c r="I176" s="77">
        <v>1</v>
      </c>
      <c r="J176" s="77">
        <v>2</v>
      </c>
      <c r="K176" s="77"/>
      <c r="L176" s="77"/>
      <c r="M176" s="77"/>
      <c r="N176" s="77"/>
      <c r="O176" s="77"/>
      <c r="P176" s="77"/>
      <c r="Q176" s="77"/>
      <c r="R176" s="77"/>
      <c r="S176" s="77"/>
      <c r="T176" s="77"/>
      <c r="U176" s="77"/>
      <c r="X176" s="76"/>
      <c r="Y176" s="76"/>
      <c r="AF176" s="103"/>
      <c r="AG176" s="103"/>
      <c r="AI176" s="103"/>
      <c r="AJ176" s="103"/>
      <c r="AL176" s="103"/>
      <c r="AM176" s="103"/>
      <c r="AN176" s="103"/>
    </row>
    <row r="177" spans="2:41">
      <c r="B177" s="68">
        <v>48</v>
      </c>
      <c r="C177" s="78"/>
      <c r="D177" s="78"/>
      <c r="E177" s="77"/>
      <c r="F177" s="77"/>
      <c r="G177" s="77">
        <v>2</v>
      </c>
      <c r="H177" s="77"/>
      <c r="I177" s="77">
        <v>1</v>
      </c>
      <c r="J177" s="77"/>
      <c r="K177" s="77"/>
      <c r="L177" s="77"/>
      <c r="M177" s="77"/>
      <c r="N177" s="77"/>
      <c r="O177" s="77"/>
      <c r="P177" s="77"/>
      <c r="Q177" s="77"/>
      <c r="R177" s="77"/>
      <c r="S177" s="77"/>
      <c r="T177" s="77"/>
      <c r="U177" s="77"/>
      <c r="X177" s="76"/>
      <c r="Y177" s="76"/>
      <c r="AF177" s="103"/>
      <c r="AG177" s="103"/>
      <c r="AI177" s="103"/>
      <c r="AJ177" s="103"/>
      <c r="AL177" s="103"/>
      <c r="AM177" s="103"/>
      <c r="AN177" s="103"/>
    </row>
    <row r="178" spans="2:41">
      <c r="B178" s="68">
        <v>49</v>
      </c>
      <c r="C178" s="78">
        <v>1</v>
      </c>
      <c r="D178" s="78"/>
      <c r="E178" s="77"/>
      <c r="F178" s="77"/>
      <c r="G178" s="77">
        <v>1</v>
      </c>
      <c r="H178" s="77"/>
      <c r="I178" s="77">
        <v>1</v>
      </c>
      <c r="J178" s="77">
        <v>1</v>
      </c>
      <c r="K178" s="77"/>
      <c r="L178" s="77"/>
      <c r="M178" s="77"/>
      <c r="N178" s="77"/>
      <c r="O178" s="77"/>
      <c r="P178" s="77"/>
      <c r="Q178" s="77"/>
      <c r="R178" s="77"/>
      <c r="S178" s="77"/>
      <c r="T178" s="77"/>
      <c r="U178" s="77"/>
      <c r="X178" s="76"/>
      <c r="Y178" s="76"/>
      <c r="AF178" s="103"/>
      <c r="AG178" s="103"/>
      <c r="AI178" s="103"/>
      <c r="AJ178" s="103"/>
      <c r="AL178" s="103"/>
      <c r="AM178" s="103"/>
      <c r="AN178" s="103"/>
    </row>
    <row r="179" spans="2:41">
      <c r="B179" s="68">
        <v>50</v>
      </c>
      <c r="C179" s="77"/>
      <c r="D179" s="78">
        <v>1</v>
      </c>
      <c r="E179" s="77"/>
      <c r="F179" s="77"/>
      <c r="G179" s="77">
        <v>1</v>
      </c>
      <c r="H179" s="77"/>
      <c r="I179" s="77">
        <v>1</v>
      </c>
      <c r="J179" s="77">
        <v>2</v>
      </c>
      <c r="K179" s="77"/>
      <c r="L179" s="77">
        <v>10</v>
      </c>
      <c r="M179" s="77"/>
      <c r="N179" s="77"/>
      <c r="O179" s="77"/>
      <c r="P179" s="77"/>
      <c r="Q179" s="77"/>
      <c r="R179" s="77"/>
      <c r="S179" s="77"/>
      <c r="T179" s="77"/>
      <c r="U179" s="77"/>
      <c r="X179" s="76"/>
      <c r="Y179" s="76"/>
      <c r="AF179" s="103"/>
      <c r="AG179" s="103"/>
      <c r="AI179" s="103"/>
      <c r="AJ179" s="103"/>
      <c r="AL179" s="103"/>
      <c r="AM179" s="103"/>
      <c r="AN179" s="103"/>
    </row>
    <row r="180" spans="2:41">
      <c r="B180" s="68">
        <v>51</v>
      </c>
      <c r="C180" s="77"/>
      <c r="D180" s="77"/>
      <c r="E180" s="77"/>
      <c r="F180" s="77"/>
      <c r="G180" s="77"/>
      <c r="H180" s="77"/>
      <c r="I180" s="77"/>
      <c r="J180" s="77"/>
      <c r="K180" s="77"/>
      <c r="L180" s="77"/>
      <c r="M180" s="77"/>
      <c r="N180" s="77"/>
      <c r="O180" s="77"/>
      <c r="P180" s="77"/>
      <c r="Q180" s="77"/>
      <c r="R180" s="77"/>
      <c r="S180" s="77"/>
      <c r="T180" s="77"/>
      <c r="U180" s="77"/>
      <c r="X180" s="76"/>
      <c r="Y180" s="76"/>
      <c r="AF180" s="103"/>
      <c r="AG180" s="103"/>
      <c r="AI180" s="103"/>
      <c r="AJ180" s="103"/>
      <c r="AL180" s="103"/>
      <c r="AM180" s="103"/>
      <c r="AN180" s="103"/>
    </row>
    <row r="181" spans="2:41">
      <c r="B181" s="68">
        <v>52</v>
      </c>
      <c r="C181" s="77"/>
      <c r="D181" s="77"/>
      <c r="E181" s="77"/>
      <c r="F181" s="77"/>
      <c r="G181" s="77"/>
      <c r="H181" s="77"/>
      <c r="I181" s="77"/>
      <c r="J181" s="77"/>
      <c r="K181" s="77"/>
      <c r="L181" s="77"/>
      <c r="M181" s="77"/>
      <c r="N181" s="77"/>
      <c r="O181" s="77"/>
      <c r="P181" s="77"/>
      <c r="Q181" s="77"/>
      <c r="R181" s="77"/>
      <c r="S181" s="77"/>
      <c r="T181" s="77"/>
      <c r="U181" s="77"/>
      <c r="X181" s="76"/>
      <c r="Y181" s="76"/>
      <c r="AF181" s="103"/>
      <c r="AG181" s="103"/>
      <c r="AI181" s="103"/>
      <c r="AJ181" s="103"/>
      <c r="AL181" s="103"/>
      <c r="AM181" s="103"/>
      <c r="AN181" s="103"/>
    </row>
    <row r="182" spans="2:41">
      <c r="X182" s="76"/>
      <c r="Y182" s="76"/>
      <c r="AF182" s="103"/>
      <c r="AG182" s="103"/>
      <c r="AI182" s="103"/>
      <c r="AJ182" s="103"/>
      <c r="AL182" s="103"/>
      <c r="AM182" s="103"/>
      <c r="AN182" s="103"/>
    </row>
    <row r="183" spans="2:41">
      <c r="B183" s="66" t="s">
        <v>4</v>
      </c>
      <c r="C183" s="79">
        <f t="shared" ref="C183:U183" si="5">SUM(C130:C181)</f>
        <v>25</v>
      </c>
      <c r="D183" s="79">
        <f t="shared" si="5"/>
        <v>67</v>
      </c>
      <c r="E183" s="79">
        <f t="shared" si="5"/>
        <v>68</v>
      </c>
      <c r="F183" s="79">
        <f t="shared" si="5"/>
        <v>105</v>
      </c>
      <c r="G183" s="79">
        <f t="shared" si="5"/>
        <v>113</v>
      </c>
      <c r="H183" s="79">
        <f t="shared" si="5"/>
        <v>69</v>
      </c>
      <c r="I183" s="79">
        <f t="shared" si="5"/>
        <v>95</v>
      </c>
      <c r="J183" s="79">
        <f t="shared" si="5"/>
        <v>140</v>
      </c>
      <c r="K183" s="79">
        <f t="shared" si="5"/>
        <v>136</v>
      </c>
      <c r="L183" s="79">
        <f t="shared" si="5"/>
        <v>86</v>
      </c>
      <c r="M183" s="79">
        <f t="shared" si="5"/>
        <v>169</v>
      </c>
      <c r="N183" s="79">
        <f t="shared" si="5"/>
        <v>50</v>
      </c>
      <c r="O183" s="79">
        <f t="shared" si="5"/>
        <v>41</v>
      </c>
      <c r="P183" s="79">
        <f t="shared" si="5"/>
        <v>22</v>
      </c>
      <c r="Q183" s="79">
        <f t="shared" si="5"/>
        <v>0</v>
      </c>
      <c r="R183" s="79">
        <f t="shared" si="5"/>
        <v>1</v>
      </c>
      <c r="S183" s="79">
        <f t="shared" si="5"/>
        <v>7</v>
      </c>
      <c r="T183" s="79">
        <f t="shared" si="5"/>
        <v>0</v>
      </c>
      <c r="U183" s="79">
        <f t="shared" si="5"/>
        <v>0</v>
      </c>
      <c r="V183" s="66">
        <f t="shared" ref="V183:AO183" si="6">SUM(V130:V182)</f>
        <v>0</v>
      </c>
      <c r="W183" s="66">
        <f t="shared" si="6"/>
        <v>0</v>
      </c>
      <c r="X183" s="76">
        <f t="shared" si="6"/>
        <v>0</v>
      </c>
      <c r="Y183" s="76">
        <f t="shared" si="6"/>
        <v>0</v>
      </c>
      <c r="Z183" s="66">
        <f t="shared" si="6"/>
        <v>165</v>
      </c>
      <c r="AA183" s="66">
        <f t="shared" si="6"/>
        <v>7</v>
      </c>
      <c r="AB183" s="66">
        <f t="shared" si="6"/>
        <v>18</v>
      </c>
      <c r="AC183" s="66">
        <f t="shared" si="6"/>
        <v>178</v>
      </c>
      <c r="AD183" s="66">
        <f t="shared" si="6"/>
        <v>85</v>
      </c>
      <c r="AE183" s="66">
        <f t="shared" si="6"/>
        <v>48</v>
      </c>
      <c r="AF183" s="103">
        <f t="shared" si="6"/>
        <v>42</v>
      </c>
      <c r="AG183" s="103">
        <f t="shared" si="6"/>
        <v>40</v>
      </c>
      <c r="AH183" s="103">
        <f t="shared" si="6"/>
        <v>0</v>
      </c>
      <c r="AI183" s="103">
        <f t="shared" si="6"/>
        <v>0</v>
      </c>
      <c r="AJ183" s="103">
        <f t="shared" si="6"/>
        <v>8</v>
      </c>
      <c r="AK183" s="103">
        <f t="shared" si="6"/>
        <v>38</v>
      </c>
      <c r="AL183" s="103">
        <f t="shared" si="6"/>
        <v>15</v>
      </c>
      <c r="AM183" s="103">
        <f t="shared" si="6"/>
        <v>17</v>
      </c>
      <c r="AN183" s="103">
        <f t="shared" si="6"/>
        <v>13</v>
      </c>
      <c r="AO183" s="103">
        <f t="shared" si="6"/>
        <v>22</v>
      </c>
    </row>
  </sheetData>
  <phoneticPr fontId="7"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H53"/>
  <sheetViews>
    <sheetView zoomScale="50" workbookViewId="0">
      <pane ySplit="5" topLeftCell="A7" activePane="bottomLeft" state="frozen"/>
      <selection pane="bottomLeft" activeCell="X50" sqref="X50"/>
    </sheetView>
  </sheetViews>
  <sheetFormatPr defaultColWidth="8.88671875" defaultRowHeight="12"/>
  <cols>
    <col min="34" max="34" width="31.33203125" customWidth="1"/>
  </cols>
  <sheetData>
    <row r="1" spans="1:86" s="56" customFormat="1" ht="15">
      <c r="A1" s="63" t="s">
        <v>185</v>
      </c>
      <c r="AM1" s="62" t="s">
        <v>186</v>
      </c>
    </row>
    <row r="2" spans="1:86">
      <c r="AM2" s="42"/>
    </row>
    <row r="3" spans="1:86" ht="12.6" thickBot="1">
      <c r="B3" t="s">
        <v>54</v>
      </c>
      <c r="G3" t="s">
        <v>54</v>
      </c>
      <c r="L3" t="s">
        <v>54</v>
      </c>
      <c r="Q3" t="s">
        <v>187</v>
      </c>
      <c r="AC3" t="s">
        <v>189</v>
      </c>
      <c r="AM3" s="42" t="s">
        <v>54</v>
      </c>
      <c r="AQ3" t="s">
        <v>54</v>
      </c>
      <c r="AU3" t="s">
        <v>54</v>
      </c>
      <c r="AY3" t="s">
        <v>187</v>
      </c>
      <c r="BK3" t="s">
        <v>193</v>
      </c>
    </row>
    <row r="4" spans="1:86" ht="15.6" thickTop="1">
      <c r="A4" t="s">
        <v>7</v>
      </c>
      <c r="B4" t="s">
        <v>9</v>
      </c>
      <c r="G4" t="s">
        <v>9</v>
      </c>
      <c r="L4" t="s">
        <v>9</v>
      </c>
      <c r="Q4" t="s">
        <v>9</v>
      </c>
      <c r="W4" t="s">
        <v>8</v>
      </c>
      <c r="AC4" t="s">
        <v>192</v>
      </c>
      <c r="AM4" s="42" t="s">
        <v>9</v>
      </c>
      <c r="AQ4" t="s">
        <v>9</v>
      </c>
      <c r="AU4" t="s">
        <v>9</v>
      </c>
      <c r="AY4" t="s">
        <v>9</v>
      </c>
      <c r="BE4" t="s">
        <v>8</v>
      </c>
      <c r="BK4" t="s">
        <v>194</v>
      </c>
      <c r="BR4" s="84"/>
      <c r="BS4" s="85"/>
      <c r="BT4" s="85"/>
      <c r="BU4" s="85"/>
      <c r="BV4" s="85"/>
      <c r="BW4" s="85"/>
      <c r="BX4" s="85"/>
      <c r="BY4" s="85"/>
      <c r="BZ4" s="85"/>
      <c r="CA4" s="85"/>
      <c r="CB4" s="85"/>
      <c r="CC4" s="85"/>
      <c r="CD4" s="85"/>
      <c r="CE4" s="85"/>
      <c r="CF4" s="85"/>
      <c r="CG4" s="85"/>
      <c r="CH4" s="86"/>
    </row>
    <row r="5" spans="1:86" ht="15">
      <c r="B5">
        <v>3</v>
      </c>
      <c r="C5">
        <v>4</v>
      </c>
      <c r="D5">
        <v>5</v>
      </c>
      <c r="E5">
        <v>6</v>
      </c>
      <c r="F5" t="s">
        <v>184</v>
      </c>
      <c r="G5">
        <v>3</v>
      </c>
      <c r="H5">
        <v>4</v>
      </c>
      <c r="I5">
        <v>5</v>
      </c>
      <c r="J5">
        <v>6</v>
      </c>
      <c r="K5" t="s">
        <v>184</v>
      </c>
      <c r="L5">
        <v>3</v>
      </c>
      <c r="M5">
        <v>4</v>
      </c>
      <c r="N5">
        <v>5</v>
      </c>
      <c r="O5">
        <v>6</v>
      </c>
      <c r="P5" t="s">
        <v>184</v>
      </c>
      <c r="Q5">
        <v>2</v>
      </c>
      <c r="R5">
        <v>3</v>
      </c>
      <c r="S5">
        <v>4</v>
      </c>
      <c r="T5">
        <v>5</v>
      </c>
      <c r="U5">
        <v>6</v>
      </c>
      <c r="V5" t="s">
        <v>184</v>
      </c>
      <c r="W5">
        <v>2</v>
      </c>
      <c r="X5">
        <v>3</v>
      </c>
      <c r="Y5">
        <v>4</v>
      </c>
      <c r="Z5">
        <v>5</v>
      </c>
      <c r="AA5">
        <v>6</v>
      </c>
      <c r="AB5" t="s">
        <v>184</v>
      </c>
      <c r="AC5">
        <v>2</v>
      </c>
      <c r="AD5">
        <v>3</v>
      </c>
      <c r="AE5">
        <v>4</v>
      </c>
      <c r="AF5">
        <v>5</v>
      </c>
      <c r="AG5">
        <v>6</v>
      </c>
      <c r="AH5" t="s">
        <v>18</v>
      </c>
      <c r="AM5" s="42">
        <v>3</v>
      </c>
      <c r="AN5">
        <v>4</v>
      </c>
      <c r="AO5">
        <v>5</v>
      </c>
      <c r="AP5">
        <v>6</v>
      </c>
      <c r="AQ5">
        <v>3</v>
      </c>
      <c r="AR5">
        <v>4</v>
      </c>
      <c r="AS5">
        <v>5</v>
      </c>
      <c r="AT5">
        <v>6</v>
      </c>
      <c r="AU5">
        <v>3</v>
      </c>
      <c r="AV5">
        <v>4</v>
      </c>
      <c r="AW5">
        <v>5</v>
      </c>
      <c r="AX5">
        <v>6</v>
      </c>
      <c r="AY5">
        <v>2</v>
      </c>
      <c r="AZ5">
        <v>3</v>
      </c>
      <c r="BA5">
        <v>4</v>
      </c>
      <c r="BB5">
        <v>5</v>
      </c>
      <c r="BC5">
        <v>6</v>
      </c>
      <c r="BD5" t="s">
        <v>184</v>
      </c>
      <c r="BE5">
        <v>2</v>
      </c>
      <c r="BF5">
        <v>3</v>
      </c>
      <c r="BG5">
        <v>4</v>
      </c>
      <c r="BH5">
        <v>5</v>
      </c>
      <c r="BI5">
        <v>6</v>
      </c>
      <c r="BJ5" t="s">
        <v>184</v>
      </c>
      <c r="BK5">
        <v>2</v>
      </c>
      <c r="BL5">
        <v>3</v>
      </c>
      <c r="BM5">
        <v>4</v>
      </c>
      <c r="BN5">
        <v>5</v>
      </c>
      <c r="BO5">
        <v>6</v>
      </c>
      <c r="BP5" t="s">
        <v>184</v>
      </c>
      <c r="BR5" s="87">
        <v>21</v>
      </c>
      <c r="BS5" s="56">
        <v>22</v>
      </c>
      <c r="BT5" s="56">
        <v>31</v>
      </c>
      <c r="BU5" s="56">
        <v>32</v>
      </c>
      <c r="BV5" s="56">
        <v>41</v>
      </c>
      <c r="BW5" s="56">
        <v>42</v>
      </c>
      <c r="BX5" s="56">
        <v>43</v>
      </c>
      <c r="BY5" s="56">
        <v>51</v>
      </c>
      <c r="BZ5" s="56">
        <v>52</v>
      </c>
      <c r="CA5" s="56">
        <v>53</v>
      </c>
      <c r="CB5" s="56">
        <v>62</v>
      </c>
      <c r="CC5" s="56">
        <v>63</v>
      </c>
      <c r="CD5" s="56">
        <v>64</v>
      </c>
      <c r="CE5" s="56" t="s">
        <v>184</v>
      </c>
      <c r="CF5" s="64" t="s">
        <v>246</v>
      </c>
      <c r="CG5" s="64" t="s">
        <v>247</v>
      </c>
      <c r="CH5" s="88" t="s">
        <v>18</v>
      </c>
    </row>
    <row r="6" spans="1:86" ht="15">
      <c r="A6">
        <v>1974</v>
      </c>
      <c r="B6" s="29">
        <f t="shared" ref="B6:B11" si="0">AM6/(AM6+AN6+AO6+AP6)</f>
        <v>8.0118694362017809E-2</v>
      </c>
      <c r="C6" s="29">
        <f t="shared" ref="C6:C11" si="1">AN6/(AM6+AN6+AO6+AP6)</f>
        <v>0.62314540059347179</v>
      </c>
      <c r="D6" s="29">
        <f t="shared" ref="D6:D11" si="2">AO6/(AM6+AN6+AO6+AP6)</f>
        <v>0.28486646884272998</v>
      </c>
      <c r="E6" s="29">
        <f t="shared" ref="E6:E11" si="3">AP6/(AM6+AN6+AO6+AP6)</f>
        <v>1.1869436201780416E-2</v>
      </c>
      <c r="F6">
        <f t="shared" ref="F6:F11" si="4">SUM(AM6:AP6)</f>
        <v>337</v>
      </c>
      <c r="G6" s="29">
        <f>AQ6/(AQ6+AR6+AS6+AT6)</f>
        <v>3.125E-2</v>
      </c>
      <c r="H6" s="29">
        <f>AR6/(AQ6+AR6+AS6+AT6)</f>
        <v>0.71875</v>
      </c>
      <c r="I6" s="29">
        <f>AS6/(AQ6+AR6+AS6+AT6)</f>
        <v>0.25</v>
      </c>
      <c r="J6" s="29">
        <f>AT6/(AQ6+AR6+AS6+AT6)</f>
        <v>0</v>
      </c>
      <c r="K6">
        <f>SUM(AQ6:AT6)</f>
        <v>32</v>
      </c>
      <c r="L6" s="29"/>
      <c r="M6" s="29"/>
      <c r="N6" s="29"/>
      <c r="O6" s="29"/>
      <c r="P6" s="29"/>
      <c r="Q6" s="29"/>
      <c r="R6" s="29"/>
      <c r="S6" s="29"/>
      <c r="T6" s="29"/>
      <c r="U6" s="29"/>
      <c r="V6" s="29"/>
      <c r="W6" s="29">
        <f>BE6/(BE6+BF6+BG6+BH6+BI6)</f>
        <v>0</v>
      </c>
      <c r="X6" s="29">
        <f>BF6/(BE6+BF6+BG6+BH6+BI6)</f>
        <v>0.13541666666666666</v>
      </c>
      <c r="Y6" s="29">
        <f>BG6/(BE6+BF6+BG6+BH6+BI6)</f>
        <v>0.609375</v>
      </c>
      <c r="Z6" s="29">
        <f>BH6/(BE6+BF6+BG6+BH6+BI6)</f>
        <v>0.25</v>
      </c>
      <c r="AA6" s="29">
        <f>BI6/(BE6+BF6+BG6+BH6+BI6)</f>
        <v>5.208333333333333E-3</v>
      </c>
      <c r="AB6">
        <f>SUM(BE6:BI6)</f>
        <v>192</v>
      </c>
      <c r="AC6" s="29"/>
      <c r="AD6" s="29"/>
      <c r="AE6" s="29"/>
      <c r="AF6" s="29"/>
      <c r="AG6" s="29"/>
      <c r="AH6" t="s">
        <v>63</v>
      </c>
      <c r="AM6" s="42">
        <v>27</v>
      </c>
      <c r="AN6">
        <v>210</v>
      </c>
      <c r="AO6">
        <v>96</v>
      </c>
      <c r="AP6">
        <v>4</v>
      </c>
      <c r="AQ6">
        <v>1</v>
      </c>
      <c r="AR6">
        <v>23</v>
      </c>
      <c r="AS6">
        <v>8</v>
      </c>
      <c r="BF6">
        <v>26</v>
      </c>
      <c r="BG6">
        <v>117</v>
      </c>
      <c r="BH6">
        <v>48</v>
      </c>
      <c r="BI6">
        <v>1</v>
      </c>
      <c r="BJ6">
        <f>SUM(BE6:BI6)</f>
        <v>192</v>
      </c>
      <c r="BL6">
        <v>26</v>
      </c>
      <c r="BM6">
        <v>117</v>
      </c>
      <c r="BN6">
        <v>48</v>
      </c>
      <c r="BO6">
        <v>1</v>
      </c>
      <c r="BP6">
        <f>SUM(BK6:BO6)</f>
        <v>192</v>
      </c>
      <c r="BR6" s="87"/>
      <c r="BS6" s="56"/>
      <c r="BT6" s="56"/>
      <c r="BU6" s="56">
        <v>26</v>
      </c>
      <c r="BV6" s="56"/>
      <c r="BW6" s="56">
        <v>117</v>
      </c>
      <c r="BX6" s="56"/>
      <c r="BY6" s="56"/>
      <c r="BZ6" s="56">
        <v>48</v>
      </c>
      <c r="CA6" s="56"/>
      <c r="CB6" s="56"/>
      <c r="CC6" s="56"/>
      <c r="CD6" s="56">
        <v>1</v>
      </c>
      <c r="CE6" s="56">
        <f>SUM(BT6:CD6)</f>
        <v>192</v>
      </c>
      <c r="CF6" s="89">
        <f>IF(BR6+BT6+BV6+BY6=0,0,(((BR6+BT6+BV6+BY6))/(SUM(BR6:CD6)))*100)</f>
        <v>0</v>
      </c>
      <c r="CG6" s="89">
        <f>IF(BS6+BU6+BW6+BX6+BZ6++CB6+CC6+CD6=0,0,(BS6+BU6+BW6+BX6+BZ6+CA6+CB6+CC6+CD6)/(SUM(BR6:CD6))*100)</f>
        <v>100</v>
      </c>
      <c r="CH6" s="88" t="s">
        <v>8</v>
      </c>
    </row>
    <row r="7" spans="1:86" ht="15">
      <c r="A7">
        <f t="shared" ref="A7:A38" si="5">A6+1</f>
        <v>1975</v>
      </c>
      <c r="B7" s="29">
        <f t="shared" si="0"/>
        <v>0</v>
      </c>
      <c r="C7" s="29">
        <f t="shared" si="1"/>
        <v>0.91577540106951871</v>
      </c>
      <c r="D7" s="29">
        <f t="shared" si="2"/>
        <v>8.4224598930481287E-2</v>
      </c>
      <c r="E7" s="29">
        <f t="shared" si="3"/>
        <v>0</v>
      </c>
      <c r="F7">
        <f t="shared" si="4"/>
        <v>748</v>
      </c>
      <c r="G7" s="29"/>
      <c r="H7" s="29"/>
      <c r="I7" s="29"/>
      <c r="J7" s="29"/>
      <c r="L7" s="29"/>
      <c r="M7" s="29"/>
      <c r="N7" s="29"/>
      <c r="O7" s="29"/>
      <c r="P7" s="29"/>
      <c r="Q7" s="29"/>
      <c r="R7" s="29"/>
      <c r="S7" s="29"/>
      <c r="T7" s="29"/>
      <c r="U7" s="29"/>
      <c r="V7" s="29"/>
      <c r="W7" s="29"/>
      <c r="X7" s="29"/>
      <c r="Y7" s="29"/>
      <c r="Z7" s="29"/>
      <c r="AA7" s="29"/>
      <c r="AC7" s="46"/>
      <c r="AD7" s="46">
        <f>BL42</f>
        <v>6.2618182311531545E-2</v>
      </c>
      <c r="AE7" s="46">
        <f>BM42</f>
        <v>0.66352616164202827</v>
      </c>
      <c r="AF7" s="46">
        <f>BN42</f>
        <v>0.26756814508675325</v>
      </c>
      <c r="AG7" s="46"/>
      <c r="AH7" t="s">
        <v>63</v>
      </c>
      <c r="AM7" s="42"/>
      <c r="AN7">
        <v>685</v>
      </c>
      <c r="AO7">
        <v>63</v>
      </c>
      <c r="BK7" s="33"/>
      <c r="BL7" s="33"/>
      <c r="BM7" s="33"/>
      <c r="BN7" s="33"/>
      <c r="BO7" s="33"/>
      <c r="BR7" s="87"/>
      <c r="BS7" s="56"/>
      <c r="BT7" s="56"/>
      <c r="BU7" s="56"/>
      <c r="BV7" s="56"/>
      <c r="BW7" s="56"/>
      <c r="BX7" s="56"/>
      <c r="BY7" s="56"/>
      <c r="BZ7" s="56"/>
      <c r="CA7" s="56"/>
      <c r="CB7" s="56"/>
      <c r="CC7" s="56"/>
      <c r="CD7" s="56"/>
      <c r="CE7" s="56">
        <f t="shared" ref="CE7:CE24" si="6">SUM(BT7:CD7)</f>
        <v>0</v>
      </c>
      <c r="CF7" s="89">
        <f t="shared" ref="CF7:CF39" si="7">IF(BR7+BT7+BV7+BY7=0,0,(((BR7+BT7+BV7+BY7))/(SUM(BR7:CD7)))*100)</f>
        <v>0</v>
      </c>
      <c r="CG7" s="89">
        <f t="shared" ref="CG7:CG39" si="8">IF(BS7+BU7+BW7+BX7+BZ7++CB7+CC7+CD7=0,0,(BS7+BU7+BW7+BX7+BZ7+CA7+CB7+CC7+CD7)/(SUM(BR7:CD7))*100)</f>
        <v>0</v>
      </c>
      <c r="CH7" s="88"/>
    </row>
    <row r="8" spans="1:86" ht="15">
      <c r="A8">
        <f t="shared" si="5"/>
        <v>1976</v>
      </c>
      <c r="B8" s="29">
        <f t="shared" si="0"/>
        <v>1.3303769401330377E-2</v>
      </c>
      <c r="C8" s="29">
        <f t="shared" si="1"/>
        <v>0.6784922394678492</v>
      </c>
      <c r="D8" s="29">
        <f t="shared" si="2"/>
        <v>0.30598669623059865</v>
      </c>
      <c r="E8" s="29">
        <f t="shared" si="3"/>
        <v>2.2172949002217295E-3</v>
      </c>
      <c r="F8">
        <f t="shared" si="4"/>
        <v>451</v>
      </c>
      <c r="G8" s="29"/>
      <c r="H8" s="29"/>
      <c r="I8" s="29"/>
      <c r="J8" s="29"/>
      <c r="L8" s="29"/>
      <c r="M8" s="29"/>
      <c r="N8" s="29"/>
      <c r="O8" s="29"/>
      <c r="P8" s="29"/>
      <c r="Q8" s="29">
        <f t="shared" ref="Q8:Q25" si="9">AY8/(AY8+AZ8+BA8+BB8+BC8)</f>
        <v>0</v>
      </c>
      <c r="R8" s="29">
        <f t="shared" ref="R8:R25" si="10">AZ8/(AY8+AZ8+BA8+BB8+BC8)</f>
        <v>0</v>
      </c>
      <c r="S8" s="29">
        <f t="shared" ref="S8:S25" si="11">BA8/(AY8+AZ8+BA8+BB8+BC8)</f>
        <v>0.46153846153846156</v>
      </c>
      <c r="T8" s="29">
        <f t="shared" ref="T8:T25" si="12">BB8/(AY8+AZ8+BA8+BB8+BC8)</f>
        <v>0.53846153846153844</v>
      </c>
      <c r="U8" s="29">
        <f t="shared" ref="U8:U25" si="13">BC8/(AY8+AZ8+BA8+BB8+BC8)</f>
        <v>0</v>
      </c>
      <c r="V8">
        <f t="shared" ref="V8:V25" si="14">SUM(AY8:BC8)</f>
        <v>91</v>
      </c>
      <c r="W8" s="29"/>
      <c r="X8" s="29"/>
      <c r="Y8" s="29"/>
      <c r="Z8" s="29"/>
      <c r="AA8" s="29"/>
      <c r="AC8" s="29"/>
      <c r="AD8" s="29"/>
      <c r="AE8" s="29"/>
      <c r="AF8" s="29"/>
      <c r="AG8" s="29"/>
      <c r="AH8" t="s">
        <v>63</v>
      </c>
      <c r="AM8" s="42">
        <v>6</v>
      </c>
      <c r="AN8">
        <v>306</v>
      </c>
      <c r="AO8">
        <v>138</v>
      </c>
      <c r="AP8">
        <v>1</v>
      </c>
      <c r="BA8">
        <v>42</v>
      </c>
      <c r="BB8">
        <v>49</v>
      </c>
      <c r="BD8">
        <f t="shared" ref="BD8:BD25" si="15">SUM(AY8:BC8)</f>
        <v>91</v>
      </c>
      <c r="BM8">
        <v>42</v>
      </c>
      <c r="BN8">
        <v>49</v>
      </c>
      <c r="BP8">
        <f t="shared" ref="BP8:BP24" si="16">SUM(BK8:BO8)</f>
        <v>91</v>
      </c>
      <c r="BR8" s="87"/>
      <c r="BS8" s="56"/>
      <c r="BT8" s="56"/>
      <c r="BU8" s="56"/>
      <c r="BV8" s="56"/>
      <c r="BW8" s="56">
        <v>42</v>
      </c>
      <c r="BX8" s="56"/>
      <c r="BY8" s="56"/>
      <c r="BZ8" s="56">
        <v>45</v>
      </c>
      <c r="CA8" s="56">
        <v>4</v>
      </c>
      <c r="CB8" s="56"/>
      <c r="CC8" s="56"/>
      <c r="CD8" s="56"/>
      <c r="CE8" s="56">
        <f t="shared" si="6"/>
        <v>91</v>
      </c>
      <c r="CF8" s="89">
        <f t="shared" si="7"/>
        <v>0</v>
      </c>
      <c r="CG8" s="89">
        <f t="shared" si="8"/>
        <v>100</v>
      </c>
      <c r="CH8" s="88" t="s">
        <v>235</v>
      </c>
    </row>
    <row r="9" spans="1:86" ht="15">
      <c r="A9">
        <f t="shared" si="5"/>
        <v>1977</v>
      </c>
      <c r="B9" s="29">
        <f t="shared" si="0"/>
        <v>0</v>
      </c>
      <c r="C9" s="29">
        <f t="shared" si="1"/>
        <v>0.625</v>
      </c>
      <c r="D9" s="29">
        <f t="shared" si="2"/>
        <v>0.375</v>
      </c>
      <c r="E9" s="29">
        <f t="shared" si="3"/>
        <v>0</v>
      </c>
      <c r="F9">
        <f t="shared" si="4"/>
        <v>176</v>
      </c>
      <c r="G9" s="29">
        <f>AQ9/(AQ9+AR9+AS9+AT9)</f>
        <v>0</v>
      </c>
      <c r="H9" s="29">
        <f>AR9/(AQ9+AR9+AS9+AT9)</f>
        <v>0.88709677419354838</v>
      </c>
      <c r="I9" s="29">
        <f>AS9/(AQ9+AR9+AS9+AT9)</f>
        <v>0.11290322580645161</v>
      </c>
      <c r="J9" s="29">
        <f>AT9/(AQ9+AR9+AS9+AT9)</f>
        <v>0</v>
      </c>
      <c r="K9">
        <f>SUM(AQ9:AT9)</f>
        <v>62</v>
      </c>
      <c r="L9" s="29">
        <f>AU9/(AU9+AV9+AW9+AX9)</f>
        <v>1.8867924528301886E-2</v>
      </c>
      <c r="M9" s="29">
        <f>AV9/(AU9+AV9+AW9+AX9)</f>
        <v>0.77358490566037741</v>
      </c>
      <c r="N9" s="29">
        <f>AW9/(AU9+AV9+AW9+AX9)</f>
        <v>0.18867924528301888</v>
      </c>
      <c r="O9" s="29">
        <f>AX9/(AU9+AV9+AW9+AX9)</f>
        <v>1.8867924528301886E-2</v>
      </c>
      <c r="P9">
        <f>SUM(AU9:AX9)</f>
        <v>53</v>
      </c>
      <c r="Q9" s="29">
        <f t="shared" si="9"/>
        <v>0</v>
      </c>
      <c r="R9" s="41">
        <f t="shared" si="10"/>
        <v>3.0769230769230771E-2</v>
      </c>
      <c r="S9" s="41">
        <f t="shared" si="11"/>
        <v>0.90256410256410258</v>
      </c>
      <c r="T9" s="41">
        <f t="shared" si="12"/>
        <v>6.6666666666666666E-2</v>
      </c>
      <c r="U9" s="29">
        <f t="shared" si="13"/>
        <v>0</v>
      </c>
      <c r="V9">
        <f t="shared" si="14"/>
        <v>195</v>
      </c>
      <c r="W9" s="29"/>
      <c r="X9" s="29"/>
      <c r="Y9" s="29"/>
      <c r="Z9" s="29"/>
      <c r="AA9" s="29"/>
      <c r="AC9" s="29"/>
      <c r="AD9" s="29"/>
      <c r="AE9" s="29"/>
      <c r="AF9" s="29"/>
      <c r="AG9" s="29"/>
      <c r="AH9" t="s">
        <v>63</v>
      </c>
      <c r="AM9" s="42"/>
      <c r="AN9">
        <v>110</v>
      </c>
      <c r="AO9">
        <v>66</v>
      </c>
      <c r="AR9">
        <v>55</v>
      </c>
      <c r="AS9">
        <v>7</v>
      </c>
      <c r="AU9">
        <v>1</v>
      </c>
      <c r="AV9">
        <v>41</v>
      </c>
      <c r="AW9">
        <v>10</v>
      </c>
      <c r="AX9">
        <v>1</v>
      </c>
      <c r="AZ9" s="7">
        <v>6</v>
      </c>
      <c r="BA9" s="7">
        <v>176</v>
      </c>
      <c r="BB9" s="7">
        <v>13</v>
      </c>
      <c r="BD9">
        <f t="shared" si="15"/>
        <v>195</v>
      </c>
      <c r="BL9">
        <v>6</v>
      </c>
      <c r="BM9">
        <v>176</v>
      </c>
      <c r="BN9">
        <v>13</v>
      </c>
      <c r="BP9">
        <f t="shared" si="16"/>
        <v>195</v>
      </c>
      <c r="BR9" s="87"/>
      <c r="BS9" s="56"/>
      <c r="BT9" s="56">
        <v>1</v>
      </c>
      <c r="BU9" s="56">
        <v>5</v>
      </c>
      <c r="BV9" s="56">
        <v>1</v>
      </c>
      <c r="BW9" s="56">
        <v>175</v>
      </c>
      <c r="BX9" s="56"/>
      <c r="BY9" s="56"/>
      <c r="BZ9" s="56">
        <v>12</v>
      </c>
      <c r="CA9" s="56">
        <v>1</v>
      </c>
      <c r="CB9" s="56"/>
      <c r="CC9" s="56"/>
      <c r="CD9" s="56"/>
      <c r="CE9" s="56">
        <f t="shared" si="6"/>
        <v>195</v>
      </c>
      <c r="CF9" s="89">
        <f t="shared" si="7"/>
        <v>1.0256410256410255</v>
      </c>
      <c r="CG9" s="89">
        <f t="shared" si="8"/>
        <v>98.974358974358978</v>
      </c>
      <c r="CH9" s="88" t="s">
        <v>235</v>
      </c>
    </row>
    <row r="10" spans="1:86" ht="15">
      <c r="A10">
        <f t="shared" si="5"/>
        <v>1978</v>
      </c>
      <c r="B10" s="29">
        <f t="shared" si="0"/>
        <v>5.1612903225806452E-2</v>
      </c>
      <c r="C10" s="29">
        <f t="shared" si="1"/>
        <v>0.68387096774193545</v>
      </c>
      <c r="D10" s="29">
        <f t="shared" si="2"/>
        <v>0.26451612903225807</v>
      </c>
      <c r="E10" s="29">
        <f t="shared" si="3"/>
        <v>0</v>
      </c>
      <c r="F10">
        <f t="shared" si="4"/>
        <v>155</v>
      </c>
      <c r="G10" s="29">
        <f>AQ10/(AQ10+AR10+AS10+AT10)</f>
        <v>0</v>
      </c>
      <c r="H10" s="29">
        <f>AR10/(AQ10+AR10+AS10+AT10)</f>
        <v>1</v>
      </c>
      <c r="I10" s="29">
        <f>AS10/(AQ10+AR10+AS10+AT10)</f>
        <v>0</v>
      </c>
      <c r="J10" s="29">
        <f>AT10/(AQ10+AR10+AS10+AT10)</f>
        <v>0</v>
      </c>
      <c r="K10">
        <f>SUM(AQ10:AT10)</f>
        <v>1</v>
      </c>
      <c r="L10" s="29"/>
      <c r="M10" s="29"/>
      <c r="N10" s="29"/>
      <c r="O10" s="29"/>
      <c r="P10" s="29"/>
      <c r="Q10" s="29">
        <f t="shared" si="9"/>
        <v>0</v>
      </c>
      <c r="R10" s="41">
        <f t="shared" si="10"/>
        <v>1.936619718309859E-2</v>
      </c>
      <c r="S10" s="41">
        <f t="shared" si="11"/>
        <v>0.57042253521126762</v>
      </c>
      <c r="T10" s="41">
        <f t="shared" si="12"/>
        <v>0.40316901408450706</v>
      </c>
      <c r="U10" s="29">
        <f t="shared" si="13"/>
        <v>7.0422535211267607E-3</v>
      </c>
      <c r="V10">
        <f t="shared" si="14"/>
        <v>568</v>
      </c>
      <c r="W10" s="29"/>
      <c r="X10" s="29"/>
      <c r="Y10" s="29"/>
      <c r="Z10" s="29"/>
      <c r="AA10" s="29"/>
      <c r="AC10" s="29"/>
      <c r="AD10" s="29"/>
      <c r="AE10" s="29"/>
      <c r="AF10" s="29"/>
      <c r="AG10" s="29"/>
      <c r="AH10" t="s">
        <v>63</v>
      </c>
      <c r="AM10" s="42">
        <v>8</v>
      </c>
      <c r="AN10">
        <v>106</v>
      </c>
      <c r="AO10">
        <v>41</v>
      </c>
      <c r="AR10">
        <v>1</v>
      </c>
      <c r="AZ10" s="7">
        <v>11</v>
      </c>
      <c r="BA10" s="7">
        <v>324</v>
      </c>
      <c r="BB10" s="7">
        <v>229</v>
      </c>
      <c r="BC10">
        <v>4</v>
      </c>
      <c r="BD10">
        <f t="shared" si="15"/>
        <v>568</v>
      </c>
      <c r="BL10">
        <v>11</v>
      </c>
      <c r="BM10">
        <v>324</v>
      </c>
      <c r="BN10">
        <v>229</v>
      </c>
      <c r="BO10">
        <v>4</v>
      </c>
      <c r="BP10">
        <f t="shared" si="16"/>
        <v>568</v>
      </c>
      <c r="BR10" s="87"/>
      <c r="BS10" s="56"/>
      <c r="BT10" s="56">
        <v>11</v>
      </c>
      <c r="BU10" s="56"/>
      <c r="BV10" s="56">
        <v>95</v>
      </c>
      <c r="BW10" s="56">
        <v>229</v>
      </c>
      <c r="BX10" s="56"/>
      <c r="BY10" s="56"/>
      <c r="BZ10" s="56">
        <v>226</v>
      </c>
      <c r="CA10" s="56">
        <v>3</v>
      </c>
      <c r="CB10" s="56"/>
      <c r="CC10" s="56">
        <v>4</v>
      </c>
      <c r="CD10" s="56"/>
      <c r="CE10" s="56">
        <f t="shared" si="6"/>
        <v>568</v>
      </c>
      <c r="CF10" s="89">
        <f t="shared" si="7"/>
        <v>18.661971830985916</v>
      </c>
      <c r="CG10" s="89">
        <f t="shared" si="8"/>
        <v>81.338028169014081</v>
      </c>
      <c r="CH10" s="88" t="s">
        <v>235</v>
      </c>
    </row>
    <row r="11" spans="1:86" ht="15">
      <c r="A11">
        <f t="shared" si="5"/>
        <v>1979</v>
      </c>
      <c r="B11" s="29">
        <f t="shared" si="0"/>
        <v>0</v>
      </c>
      <c r="C11" s="29">
        <f t="shared" si="1"/>
        <v>0.59090909090909094</v>
      </c>
      <c r="D11" s="29">
        <f t="shared" si="2"/>
        <v>0.40909090909090912</v>
      </c>
      <c r="E11" s="29">
        <f t="shared" si="3"/>
        <v>0</v>
      </c>
      <c r="F11">
        <f t="shared" si="4"/>
        <v>22</v>
      </c>
      <c r="G11" s="41">
        <f>AQ11/(AQ11+AR11+AS11+AT11)</f>
        <v>3.2967032967032968E-2</v>
      </c>
      <c r="H11" s="41">
        <f>AR11/(AQ11+AR11+AS11+AT11)</f>
        <v>0.78021978021978022</v>
      </c>
      <c r="I11" s="41">
        <f>AS11/(AQ11+AR11+AS11+AT11)</f>
        <v>0.18681318681318682</v>
      </c>
      <c r="J11" s="29">
        <f>AT11/(AQ11+AR11+AS11+AT11)</f>
        <v>0</v>
      </c>
      <c r="K11">
        <f>SUM(AQ11:AT11)</f>
        <v>91</v>
      </c>
      <c r="L11" s="29"/>
      <c r="M11" s="29"/>
      <c r="N11" s="29"/>
      <c r="O11" s="29"/>
      <c r="P11" s="29"/>
      <c r="Q11" s="29">
        <f t="shared" si="9"/>
        <v>0</v>
      </c>
      <c r="R11" s="29">
        <f t="shared" si="10"/>
        <v>5.2023121387283239E-2</v>
      </c>
      <c r="S11" s="29">
        <f t="shared" si="11"/>
        <v>0.61849710982658956</v>
      </c>
      <c r="T11" s="29">
        <f t="shared" si="12"/>
        <v>0.32947976878612717</v>
      </c>
      <c r="U11" s="29">
        <f t="shared" si="13"/>
        <v>0</v>
      </c>
      <c r="V11">
        <f t="shared" si="14"/>
        <v>173</v>
      </c>
      <c r="W11" s="29"/>
      <c r="X11" s="29"/>
      <c r="Y11" s="29"/>
      <c r="Z11" s="29"/>
      <c r="AA11" s="29"/>
      <c r="AC11" s="29"/>
      <c r="AD11" s="29"/>
      <c r="AE11" s="29"/>
      <c r="AF11" s="29"/>
      <c r="AG11" s="29"/>
      <c r="AH11" t="s">
        <v>63</v>
      </c>
      <c r="AM11" s="42"/>
      <c r="AN11">
        <v>13</v>
      </c>
      <c r="AO11">
        <v>9</v>
      </c>
      <c r="AQ11" s="7">
        <v>3</v>
      </c>
      <c r="AR11" s="7">
        <v>71</v>
      </c>
      <c r="AS11" s="7">
        <v>17</v>
      </c>
      <c r="AZ11">
        <v>9</v>
      </c>
      <c r="BA11">
        <v>107</v>
      </c>
      <c r="BB11">
        <v>57</v>
      </c>
      <c r="BD11">
        <f t="shared" si="15"/>
        <v>173</v>
      </c>
      <c r="BL11">
        <v>9</v>
      </c>
      <c r="BM11">
        <v>107</v>
      </c>
      <c r="BN11">
        <v>57</v>
      </c>
      <c r="BP11">
        <f t="shared" si="16"/>
        <v>173</v>
      </c>
      <c r="BR11" s="87"/>
      <c r="BS11" s="56"/>
      <c r="BT11" s="56">
        <v>6</v>
      </c>
      <c r="BU11" s="56">
        <v>3</v>
      </c>
      <c r="BV11" s="56">
        <v>5</v>
      </c>
      <c r="BW11" s="56">
        <v>102</v>
      </c>
      <c r="BX11" s="56"/>
      <c r="BY11" s="56"/>
      <c r="BZ11" s="56">
        <v>56</v>
      </c>
      <c r="CA11" s="56">
        <v>1</v>
      </c>
      <c r="CB11" s="56"/>
      <c r="CC11" s="56"/>
      <c r="CD11" s="56"/>
      <c r="CE11" s="56">
        <f t="shared" si="6"/>
        <v>173</v>
      </c>
      <c r="CF11" s="89">
        <f t="shared" si="7"/>
        <v>6.3583815028901727</v>
      </c>
      <c r="CG11" s="89">
        <f t="shared" si="8"/>
        <v>93.641618497109818</v>
      </c>
      <c r="CH11" s="88" t="s">
        <v>235</v>
      </c>
    </row>
    <row r="12" spans="1:86" ht="15">
      <c r="A12">
        <f t="shared" si="5"/>
        <v>1980</v>
      </c>
      <c r="B12" s="29"/>
      <c r="C12" s="29"/>
      <c r="D12" s="29"/>
      <c r="E12" s="29"/>
      <c r="G12" s="29"/>
      <c r="H12" s="29"/>
      <c r="I12" s="29"/>
      <c r="J12" s="29"/>
      <c r="L12" s="29"/>
      <c r="M12" s="29"/>
      <c r="N12" s="29"/>
      <c r="O12" s="29"/>
      <c r="P12" s="29"/>
      <c r="Q12" s="29">
        <f t="shared" si="9"/>
        <v>0</v>
      </c>
      <c r="R12" s="29">
        <f t="shared" si="10"/>
        <v>5.8375634517766499E-2</v>
      </c>
      <c r="S12" s="29">
        <f t="shared" si="11"/>
        <v>0.78680203045685282</v>
      </c>
      <c r="T12" s="29">
        <f t="shared" si="12"/>
        <v>0.15228426395939088</v>
      </c>
      <c r="U12" s="29">
        <f t="shared" si="13"/>
        <v>2.5380710659898475E-3</v>
      </c>
      <c r="V12">
        <f t="shared" si="14"/>
        <v>394</v>
      </c>
      <c r="W12" s="29"/>
      <c r="X12" s="29"/>
      <c r="Y12" s="29"/>
      <c r="Z12" s="29"/>
      <c r="AA12" s="29"/>
      <c r="AC12" s="29"/>
      <c r="AD12" s="29"/>
      <c r="AE12" s="29"/>
      <c r="AF12" s="29"/>
      <c r="AG12" s="29"/>
      <c r="AH12" t="s">
        <v>63</v>
      </c>
      <c r="AM12" s="42"/>
      <c r="AZ12">
        <v>23</v>
      </c>
      <c r="BA12">
        <v>310</v>
      </c>
      <c r="BB12">
        <v>60</v>
      </c>
      <c r="BC12">
        <v>1</v>
      </c>
      <c r="BD12">
        <f t="shared" si="15"/>
        <v>394</v>
      </c>
      <c r="BL12">
        <v>23</v>
      </c>
      <c r="BM12">
        <v>310</v>
      </c>
      <c r="BN12">
        <v>60</v>
      </c>
      <c r="BO12">
        <v>1</v>
      </c>
      <c r="BP12">
        <f t="shared" si="16"/>
        <v>394</v>
      </c>
      <c r="BR12" s="87"/>
      <c r="BS12" s="56"/>
      <c r="BT12" s="56">
        <v>22</v>
      </c>
      <c r="BU12" s="56">
        <v>1</v>
      </c>
      <c r="BV12" s="56">
        <v>19</v>
      </c>
      <c r="BW12" s="56">
        <v>291</v>
      </c>
      <c r="BX12" s="56"/>
      <c r="BY12" s="56"/>
      <c r="BZ12" s="56">
        <v>54</v>
      </c>
      <c r="CA12" s="56">
        <v>6</v>
      </c>
      <c r="CB12" s="56"/>
      <c r="CC12" s="56">
        <v>1</v>
      </c>
      <c r="CD12" s="56"/>
      <c r="CE12" s="56">
        <f t="shared" si="6"/>
        <v>394</v>
      </c>
      <c r="CF12" s="89">
        <f t="shared" si="7"/>
        <v>10.406091370558377</v>
      </c>
      <c r="CG12" s="89">
        <f t="shared" si="8"/>
        <v>89.593908629441614</v>
      </c>
      <c r="CH12" s="88" t="s">
        <v>235</v>
      </c>
    </row>
    <row r="13" spans="1:86" ht="15">
      <c r="A13">
        <f t="shared" si="5"/>
        <v>1981</v>
      </c>
      <c r="B13" s="29">
        <f t="shared" ref="B13:B23" si="17">AM13/(AM13+AN13+AO13+AP13)</f>
        <v>2.4390243902439025E-2</v>
      </c>
      <c r="C13" s="29">
        <f t="shared" ref="C13:C23" si="18">AN13/(AM13+AN13+AO13+AP13)</f>
        <v>0.51219512195121952</v>
      </c>
      <c r="D13" s="29">
        <f t="shared" ref="D13:D23" si="19">AO13/(AM13+AN13+AO13+AP13)</f>
        <v>0.46341463414634149</v>
      </c>
      <c r="E13" s="29">
        <f t="shared" ref="E13:E23" si="20">AP13/(AM13+AN13+AO13+AP13)</f>
        <v>0</v>
      </c>
      <c r="F13">
        <f t="shared" ref="F13:F23" si="21">SUM(AM13:AP13)</f>
        <v>41</v>
      </c>
      <c r="G13" s="29"/>
      <c r="H13" s="29"/>
      <c r="I13" s="29"/>
      <c r="J13" s="29"/>
      <c r="L13" s="29"/>
      <c r="M13" s="29"/>
      <c r="N13" s="29"/>
      <c r="O13" s="29"/>
      <c r="P13" s="29"/>
      <c r="Q13" s="29">
        <f t="shared" si="9"/>
        <v>0</v>
      </c>
      <c r="R13" s="29">
        <f t="shared" si="10"/>
        <v>3.9735099337748346E-2</v>
      </c>
      <c r="S13" s="29">
        <f t="shared" si="11"/>
        <v>0.66887417218543044</v>
      </c>
      <c r="T13" s="29">
        <f t="shared" si="12"/>
        <v>0.29139072847682118</v>
      </c>
      <c r="U13" s="29">
        <f t="shared" si="13"/>
        <v>0</v>
      </c>
      <c r="V13">
        <f t="shared" si="14"/>
        <v>151</v>
      </c>
      <c r="W13" s="29"/>
      <c r="X13" s="29"/>
      <c r="Y13" s="29"/>
      <c r="Z13" s="29"/>
      <c r="AA13" s="29"/>
      <c r="AC13" s="29"/>
      <c r="AD13" s="29"/>
      <c r="AE13" s="29"/>
      <c r="AF13" s="29"/>
      <c r="AG13" s="29"/>
      <c r="AH13" t="s">
        <v>173</v>
      </c>
      <c r="AM13" s="42">
        <v>1</v>
      </c>
      <c r="AN13">
        <v>21</v>
      </c>
      <c r="AO13">
        <v>19</v>
      </c>
      <c r="AZ13">
        <v>6</v>
      </c>
      <c r="BA13">
        <v>101</v>
      </c>
      <c r="BB13">
        <v>44</v>
      </c>
      <c r="BD13">
        <f t="shared" si="15"/>
        <v>151</v>
      </c>
      <c r="BL13">
        <v>6</v>
      </c>
      <c r="BM13">
        <v>101</v>
      </c>
      <c r="BN13">
        <v>44</v>
      </c>
      <c r="BP13">
        <f t="shared" si="16"/>
        <v>151</v>
      </c>
      <c r="BR13" s="87"/>
      <c r="BS13" s="56"/>
      <c r="BT13" s="56">
        <v>1</v>
      </c>
      <c r="BU13" s="56">
        <v>5</v>
      </c>
      <c r="BV13" s="56">
        <v>2</v>
      </c>
      <c r="BW13" s="56">
        <v>99</v>
      </c>
      <c r="BX13" s="56"/>
      <c r="BY13" s="56"/>
      <c r="BZ13" s="56">
        <v>43</v>
      </c>
      <c r="CA13" s="56">
        <v>1</v>
      </c>
      <c r="CB13" s="56"/>
      <c r="CC13" s="56"/>
      <c r="CD13" s="56"/>
      <c r="CE13" s="56">
        <f t="shared" si="6"/>
        <v>151</v>
      </c>
      <c r="CF13" s="89">
        <f t="shared" si="7"/>
        <v>1.9867549668874174</v>
      </c>
      <c r="CG13" s="89">
        <f t="shared" si="8"/>
        <v>98.013245033112582</v>
      </c>
      <c r="CH13" s="88" t="s">
        <v>235</v>
      </c>
    </row>
    <row r="14" spans="1:86" ht="15">
      <c r="A14">
        <f t="shared" si="5"/>
        <v>1982</v>
      </c>
      <c r="B14" s="29">
        <f t="shared" si="17"/>
        <v>0</v>
      </c>
      <c r="C14" s="29">
        <f t="shared" si="18"/>
        <v>0.76086956521739135</v>
      </c>
      <c r="D14" s="29">
        <f t="shared" si="19"/>
        <v>0.2391304347826087</v>
      </c>
      <c r="E14" s="29">
        <f t="shared" si="20"/>
        <v>0</v>
      </c>
      <c r="F14">
        <f t="shared" si="21"/>
        <v>92</v>
      </c>
      <c r="G14" s="29"/>
      <c r="H14" s="29"/>
      <c r="I14" s="29"/>
      <c r="J14" s="29"/>
      <c r="L14" s="29"/>
      <c r="M14" s="29"/>
      <c r="N14" s="29"/>
      <c r="O14" s="29"/>
      <c r="P14" s="29"/>
      <c r="Q14" s="29">
        <f t="shared" si="9"/>
        <v>0</v>
      </c>
      <c r="R14" s="29">
        <f t="shared" si="10"/>
        <v>1.8181818181818181E-2</v>
      </c>
      <c r="S14" s="29">
        <f t="shared" si="11"/>
        <v>0.65454545454545454</v>
      </c>
      <c r="T14" s="29">
        <f t="shared" si="12"/>
        <v>0.32727272727272727</v>
      </c>
      <c r="U14" s="29">
        <f t="shared" si="13"/>
        <v>0</v>
      </c>
      <c r="V14">
        <f t="shared" si="14"/>
        <v>110</v>
      </c>
      <c r="W14" s="29"/>
      <c r="X14" s="29"/>
      <c r="Y14" s="29"/>
      <c r="Z14" s="29"/>
      <c r="AA14" s="29"/>
      <c r="AC14" s="29"/>
      <c r="AD14" s="29"/>
      <c r="AE14" s="29"/>
      <c r="AF14" s="29"/>
      <c r="AG14" s="29"/>
      <c r="AH14" t="s">
        <v>63</v>
      </c>
      <c r="AM14" s="42"/>
      <c r="AN14">
        <v>70</v>
      </c>
      <c r="AO14">
        <v>22</v>
      </c>
      <c r="AZ14">
        <v>2</v>
      </c>
      <c r="BA14">
        <v>72</v>
      </c>
      <c r="BB14">
        <v>36</v>
      </c>
      <c r="BD14">
        <f t="shared" si="15"/>
        <v>110</v>
      </c>
      <c r="BL14">
        <v>2</v>
      </c>
      <c r="BM14">
        <v>72</v>
      </c>
      <c r="BN14">
        <v>36</v>
      </c>
      <c r="BP14">
        <f t="shared" si="16"/>
        <v>110</v>
      </c>
      <c r="BR14" s="87"/>
      <c r="BS14" s="56"/>
      <c r="BT14" s="56"/>
      <c r="BU14" s="56">
        <v>2</v>
      </c>
      <c r="BV14" s="56">
        <v>6</v>
      </c>
      <c r="BW14" s="56">
        <v>66</v>
      </c>
      <c r="BX14" s="56"/>
      <c r="BY14" s="56"/>
      <c r="BZ14" s="56">
        <v>32</v>
      </c>
      <c r="CA14" s="56">
        <v>4</v>
      </c>
      <c r="CB14" s="56"/>
      <c r="CC14" s="56"/>
      <c r="CD14" s="56"/>
      <c r="CE14" s="56">
        <f t="shared" si="6"/>
        <v>110</v>
      </c>
      <c r="CF14" s="89">
        <f t="shared" si="7"/>
        <v>5.4545454545454541</v>
      </c>
      <c r="CG14" s="89">
        <f t="shared" si="8"/>
        <v>94.545454545454547</v>
      </c>
      <c r="CH14" s="88" t="s">
        <v>235</v>
      </c>
    </row>
    <row r="15" spans="1:86" ht="15">
      <c r="A15">
        <f t="shared" si="5"/>
        <v>1983</v>
      </c>
      <c r="B15" s="29">
        <f t="shared" si="17"/>
        <v>0</v>
      </c>
      <c r="C15" s="29">
        <f t="shared" si="18"/>
        <v>0.57894736842105265</v>
      </c>
      <c r="D15" s="29">
        <f t="shared" si="19"/>
        <v>0.42105263157894735</v>
      </c>
      <c r="E15" s="29">
        <f t="shared" si="20"/>
        <v>0</v>
      </c>
      <c r="F15">
        <f t="shared" si="21"/>
        <v>19</v>
      </c>
      <c r="G15" s="29"/>
      <c r="H15" s="29"/>
      <c r="I15" s="29"/>
      <c r="J15" s="29"/>
      <c r="L15" s="29"/>
      <c r="M15" s="29"/>
      <c r="N15" s="29"/>
      <c r="O15" s="29"/>
      <c r="P15" s="29"/>
      <c r="Q15" s="29">
        <f t="shared" si="9"/>
        <v>0</v>
      </c>
      <c r="R15" s="29">
        <f t="shared" si="10"/>
        <v>2.0270270270270271E-2</v>
      </c>
      <c r="S15" s="29">
        <f t="shared" si="11"/>
        <v>0.56756756756756754</v>
      </c>
      <c r="T15" s="29">
        <f t="shared" si="12"/>
        <v>0.40540540540540543</v>
      </c>
      <c r="U15" s="29">
        <f t="shared" si="13"/>
        <v>6.7567567567567571E-3</v>
      </c>
      <c r="V15">
        <f t="shared" si="14"/>
        <v>148</v>
      </c>
      <c r="W15" s="29"/>
      <c r="X15" s="29"/>
      <c r="Y15" s="29"/>
      <c r="Z15" s="29"/>
      <c r="AA15" s="29"/>
      <c r="AC15" s="29"/>
      <c r="AD15" s="29"/>
      <c r="AE15" s="29"/>
      <c r="AF15" s="29"/>
      <c r="AG15" s="29"/>
      <c r="AH15" t="s">
        <v>63</v>
      </c>
      <c r="AM15" s="42"/>
      <c r="AN15">
        <v>11</v>
      </c>
      <c r="AO15">
        <v>8</v>
      </c>
      <c r="AZ15">
        <v>3</v>
      </c>
      <c r="BA15">
        <v>84</v>
      </c>
      <c r="BB15">
        <v>60</v>
      </c>
      <c r="BC15">
        <v>1</v>
      </c>
      <c r="BD15">
        <f t="shared" si="15"/>
        <v>148</v>
      </c>
      <c r="BL15">
        <v>3</v>
      </c>
      <c r="BM15">
        <v>84</v>
      </c>
      <c r="BN15">
        <v>60</v>
      </c>
      <c r="BO15">
        <v>1</v>
      </c>
      <c r="BP15">
        <f t="shared" si="16"/>
        <v>148</v>
      </c>
      <c r="BR15" s="87"/>
      <c r="BS15" s="56"/>
      <c r="BT15" s="56"/>
      <c r="BU15" s="56">
        <v>3</v>
      </c>
      <c r="BV15" s="56">
        <v>1</v>
      </c>
      <c r="BW15" s="56">
        <v>82</v>
      </c>
      <c r="BX15" s="56">
        <v>1</v>
      </c>
      <c r="BY15" s="56"/>
      <c r="BZ15" s="56">
        <v>60</v>
      </c>
      <c r="CA15" s="56"/>
      <c r="CB15" s="56"/>
      <c r="CC15" s="56">
        <v>1</v>
      </c>
      <c r="CD15" s="56"/>
      <c r="CE15" s="56">
        <f t="shared" si="6"/>
        <v>148</v>
      </c>
      <c r="CF15" s="89">
        <f t="shared" si="7"/>
        <v>0.67567567567567566</v>
      </c>
      <c r="CG15" s="89">
        <f t="shared" si="8"/>
        <v>99.324324324324323</v>
      </c>
      <c r="CH15" s="88" t="s">
        <v>235</v>
      </c>
    </row>
    <row r="16" spans="1:86" ht="15">
      <c r="A16">
        <f t="shared" si="5"/>
        <v>1984</v>
      </c>
      <c r="B16" s="29">
        <f t="shared" si="17"/>
        <v>0</v>
      </c>
      <c r="C16" s="29">
        <f t="shared" si="18"/>
        <v>0.67045454545454541</v>
      </c>
      <c r="D16" s="29">
        <f t="shared" si="19"/>
        <v>0.32954545454545453</v>
      </c>
      <c r="E16" s="29">
        <f t="shared" si="20"/>
        <v>0</v>
      </c>
      <c r="F16">
        <f t="shared" si="21"/>
        <v>88</v>
      </c>
      <c r="G16" s="29"/>
      <c r="H16" s="29"/>
      <c r="I16" s="29"/>
      <c r="J16" s="29"/>
      <c r="L16" s="29"/>
      <c r="M16" s="29"/>
      <c r="N16" s="29"/>
      <c r="O16" s="29"/>
      <c r="P16" s="29"/>
      <c r="Q16" s="29">
        <f t="shared" si="9"/>
        <v>0</v>
      </c>
      <c r="R16" s="29">
        <f t="shared" si="10"/>
        <v>4.0322580645161289E-2</v>
      </c>
      <c r="S16" s="29">
        <f t="shared" si="11"/>
        <v>0.62096774193548387</v>
      </c>
      <c r="T16" s="29">
        <f t="shared" si="12"/>
        <v>0.33870967741935482</v>
      </c>
      <c r="U16" s="29">
        <f t="shared" si="13"/>
        <v>0</v>
      </c>
      <c r="V16">
        <f t="shared" si="14"/>
        <v>124</v>
      </c>
      <c r="W16" s="29"/>
      <c r="X16" s="29"/>
      <c r="Y16" s="29"/>
      <c r="Z16" s="29"/>
      <c r="AA16" s="29"/>
      <c r="AC16" s="29"/>
      <c r="AD16" s="29"/>
      <c r="AE16" s="29"/>
      <c r="AF16" s="29"/>
      <c r="AG16" s="29"/>
      <c r="AH16" t="s">
        <v>64</v>
      </c>
      <c r="AM16" s="42"/>
      <c r="AN16">
        <v>59</v>
      </c>
      <c r="AO16">
        <v>29</v>
      </c>
      <c r="AZ16">
        <v>5</v>
      </c>
      <c r="BA16">
        <v>77</v>
      </c>
      <c r="BB16">
        <v>42</v>
      </c>
      <c r="BD16">
        <f t="shared" si="15"/>
        <v>124</v>
      </c>
      <c r="BL16">
        <v>5</v>
      </c>
      <c r="BM16">
        <v>77</v>
      </c>
      <c r="BN16">
        <v>42</v>
      </c>
      <c r="BP16">
        <f t="shared" si="16"/>
        <v>124</v>
      </c>
      <c r="BR16" s="87"/>
      <c r="BS16" s="56"/>
      <c r="BT16" s="56">
        <v>5</v>
      </c>
      <c r="BU16" s="56"/>
      <c r="BV16" s="56">
        <v>9</v>
      </c>
      <c r="BW16" s="56">
        <v>68</v>
      </c>
      <c r="BX16" s="56"/>
      <c r="BY16" s="56"/>
      <c r="BZ16" s="56">
        <v>39</v>
      </c>
      <c r="CA16" s="56">
        <v>3</v>
      </c>
      <c r="CB16" s="56"/>
      <c r="CC16" s="56"/>
      <c r="CD16" s="56"/>
      <c r="CE16" s="56">
        <f t="shared" si="6"/>
        <v>124</v>
      </c>
      <c r="CF16" s="89">
        <f t="shared" si="7"/>
        <v>11.29032258064516</v>
      </c>
      <c r="CG16" s="89">
        <f t="shared" si="8"/>
        <v>88.709677419354833</v>
      </c>
      <c r="CH16" s="88" t="s">
        <v>235</v>
      </c>
    </row>
    <row r="17" spans="1:86" ht="15">
      <c r="A17">
        <f t="shared" si="5"/>
        <v>1985</v>
      </c>
      <c r="B17" s="29">
        <f t="shared" si="17"/>
        <v>0</v>
      </c>
      <c r="C17" s="29">
        <f t="shared" si="18"/>
        <v>0.43037974683544306</v>
      </c>
      <c r="D17" s="29">
        <f t="shared" si="19"/>
        <v>0.569620253164557</v>
      </c>
      <c r="E17" s="29">
        <f t="shared" si="20"/>
        <v>0</v>
      </c>
      <c r="F17">
        <f t="shared" si="21"/>
        <v>79</v>
      </c>
      <c r="G17" s="29">
        <f>AQ17/(AQ17+AR17+AS17+AT17)</f>
        <v>0</v>
      </c>
      <c r="H17" s="29">
        <f>AR17/(AQ17+AR17+AS17+AT17)</f>
        <v>0.4</v>
      </c>
      <c r="I17" s="29">
        <f>AS17/(AQ17+AR17+AS17+AT17)</f>
        <v>0.6</v>
      </c>
      <c r="J17" s="29">
        <f>AT17/(AQ17+AR17+AS17+AT17)</f>
        <v>0</v>
      </c>
      <c r="K17">
        <f>SUM(AQ17:AT17)</f>
        <v>35</v>
      </c>
      <c r="L17" s="29"/>
      <c r="M17" s="29"/>
      <c r="N17" s="29"/>
      <c r="O17" s="29"/>
      <c r="P17" s="29"/>
      <c r="Q17" s="29">
        <f t="shared" si="9"/>
        <v>0</v>
      </c>
      <c r="R17" s="29">
        <f t="shared" si="10"/>
        <v>4.6948356807511738E-3</v>
      </c>
      <c r="S17" s="29">
        <f t="shared" si="11"/>
        <v>0.52112676056338025</v>
      </c>
      <c r="T17" s="29">
        <f t="shared" si="12"/>
        <v>0.46948356807511737</v>
      </c>
      <c r="U17" s="29">
        <f t="shared" si="13"/>
        <v>4.6948356807511738E-3</v>
      </c>
      <c r="V17">
        <f t="shared" si="14"/>
        <v>213</v>
      </c>
      <c r="W17" s="29"/>
      <c r="X17" s="29"/>
      <c r="Y17" s="29"/>
      <c r="Z17" s="29"/>
      <c r="AA17" s="29"/>
      <c r="AC17" s="29"/>
      <c r="AD17" s="29"/>
      <c r="AE17" s="29"/>
      <c r="AF17" s="29"/>
      <c r="AG17" s="29"/>
      <c r="AH17" t="s">
        <v>63</v>
      </c>
      <c r="AM17" s="42"/>
      <c r="AN17">
        <v>34</v>
      </c>
      <c r="AO17">
        <v>45</v>
      </c>
      <c r="AR17">
        <v>14</v>
      </c>
      <c r="AS17">
        <v>21</v>
      </c>
      <c r="AZ17">
        <v>1</v>
      </c>
      <c r="BA17">
        <v>111</v>
      </c>
      <c r="BB17">
        <v>100</v>
      </c>
      <c r="BC17">
        <v>1</v>
      </c>
      <c r="BD17">
        <f t="shared" si="15"/>
        <v>213</v>
      </c>
      <c r="BL17">
        <v>1</v>
      </c>
      <c r="BM17">
        <v>111</v>
      </c>
      <c r="BN17">
        <v>100</v>
      </c>
      <c r="BO17">
        <v>1</v>
      </c>
      <c r="BP17">
        <f t="shared" si="16"/>
        <v>213</v>
      </c>
      <c r="BR17" s="87"/>
      <c r="BS17" s="56"/>
      <c r="BT17" s="56"/>
      <c r="BU17" s="56">
        <v>1</v>
      </c>
      <c r="BV17" s="56">
        <v>13</v>
      </c>
      <c r="BW17" s="56">
        <v>98</v>
      </c>
      <c r="BX17" s="56"/>
      <c r="BY17" s="56">
        <v>3</v>
      </c>
      <c r="BZ17" s="56">
        <v>97</v>
      </c>
      <c r="CA17" s="56"/>
      <c r="CB17" s="56"/>
      <c r="CC17" s="56">
        <v>1</v>
      </c>
      <c r="CD17" s="56"/>
      <c r="CE17" s="56">
        <f t="shared" si="6"/>
        <v>213</v>
      </c>
      <c r="CF17" s="89">
        <f t="shared" si="7"/>
        <v>7.511737089201878</v>
      </c>
      <c r="CG17" s="89">
        <f t="shared" si="8"/>
        <v>92.488262910798127</v>
      </c>
      <c r="CH17" s="88" t="s">
        <v>235</v>
      </c>
    </row>
    <row r="18" spans="1:86" ht="15">
      <c r="A18">
        <f t="shared" si="5"/>
        <v>1986</v>
      </c>
      <c r="B18" s="29">
        <f t="shared" si="17"/>
        <v>0</v>
      </c>
      <c r="C18" s="29">
        <f t="shared" si="18"/>
        <v>0.58333333333333337</v>
      </c>
      <c r="D18" s="29">
        <f t="shared" si="19"/>
        <v>0.41666666666666669</v>
      </c>
      <c r="E18" s="29">
        <f t="shared" si="20"/>
        <v>0</v>
      </c>
      <c r="F18">
        <f t="shared" si="21"/>
        <v>24</v>
      </c>
      <c r="G18" s="29"/>
      <c r="H18" s="29"/>
      <c r="I18" s="29"/>
      <c r="J18" s="29"/>
      <c r="L18" s="29"/>
      <c r="M18" s="29"/>
      <c r="N18" s="29"/>
      <c r="O18" s="29"/>
      <c r="P18" s="29"/>
      <c r="Q18" s="29">
        <f t="shared" si="9"/>
        <v>0</v>
      </c>
      <c r="R18" s="29">
        <f t="shared" si="10"/>
        <v>0</v>
      </c>
      <c r="S18" s="29">
        <f t="shared" si="11"/>
        <v>0.68715083798882681</v>
      </c>
      <c r="T18" s="29">
        <f t="shared" si="12"/>
        <v>0.30726256983240224</v>
      </c>
      <c r="U18" s="29">
        <f t="shared" si="13"/>
        <v>5.5865921787709499E-3</v>
      </c>
      <c r="V18">
        <f t="shared" si="14"/>
        <v>179</v>
      </c>
      <c r="W18" s="29"/>
      <c r="X18" s="29"/>
      <c r="Y18" s="29"/>
      <c r="Z18" s="29"/>
      <c r="AA18" s="29"/>
      <c r="AC18" s="29"/>
      <c r="AD18" s="29"/>
      <c r="AE18" s="29"/>
      <c r="AF18" s="29"/>
      <c r="AG18" s="29"/>
      <c r="AH18" t="s">
        <v>65</v>
      </c>
      <c r="AM18" s="42"/>
      <c r="AN18">
        <v>14</v>
      </c>
      <c r="AO18">
        <v>10</v>
      </c>
      <c r="BA18">
        <v>123</v>
      </c>
      <c r="BB18">
        <v>55</v>
      </c>
      <c r="BC18">
        <v>1</v>
      </c>
      <c r="BD18">
        <f t="shared" si="15"/>
        <v>179</v>
      </c>
      <c r="BM18">
        <v>123</v>
      </c>
      <c r="BN18">
        <v>55</v>
      </c>
      <c r="BO18">
        <v>1</v>
      </c>
      <c r="BP18">
        <f t="shared" si="16"/>
        <v>179</v>
      </c>
      <c r="BR18" s="87"/>
      <c r="BS18" s="56"/>
      <c r="BT18" s="56"/>
      <c r="BU18" s="56"/>
      <c r="BV18" s="56"/>
      <c r="BW18" s="56">
        <v>123</v>
      </c>
      <c r="BX18" s="56"/>
      <c r="BY18" s="56"/>
      <c r="BZ18" s="56">
        <v>38</v>
      </c>
      <c r="CA18" s="56">
        <v>17</v>
      </c>
      <c r="CB18" s="56"/>
      <c r="CC18" s="56">
        <v>1</v>
      </c>
      <c r="CD18" s="56"/>
      <c r="CE18" s="56">
        <f t="shared" si="6"/>
        <v>179</v>
      </c>
      <c r="CF18" s="89">
        <f t="shared" si="7"/>
        <v>0</v>
      </c>
      <c r="CG18" s="89">
        <f t="shared" si="8"/>
        <v>100</v>
      </c>
      <c r="CH18" s="88" t="s">
        <v>235</v>
      </c>
    </row>
    <row r="19" spans="1:86" ht="15">
      <c r="A19">
        <f t="shared" si="5"/>
        <v>1987</v>
      </c>
      <c r="B19" s="29">
        <f t="shared" si="17"/>
        <v>0</v>
      </c>
      <c r="C19" s="29">
        <f t="shared" si="18"/>
        <v>0.33333333333333331</v>
      </c>
      <c r="D19" s="29">
        <f t="shared" si="19"/>
        <v>0.58333333333333337</v>
      </c>
      <c r="E19" s="29">
        <f t="shared" si="20"/>
        <v>8.3333333333333329E-2</v>
      </c>
      <c r="F19">
        <f t="shared" si="21"/>
        <v>12</v>
      </c>
      <c r="G19" s="29"/>
      <c r="H19" s="29"/>
      <c r="I19" s="29"/>
      <c r="J19" s="29"/>
      <c r="L19" s="29"/>
      <c r="M19" s="29"/>
      <c r="N19" s="29"/>
      <c r="O19" s="29"/>
      <c r="P19" s="29"/>
      <c r="Q19" s="29">
        <f t="shared" si="9"/>
        <v>0</v>
      </c>
      <c r="R19" s="29">
        <f t="shared" si="10"/>
        <v>5.0761421319796954E-2</v>
      </c>
      <c r="S19" s="29">
        <f t="shared" si="11"/>
        <v>0.68527918781725883</v>
      </c>
      <c r="T19" s="29">
        <f t="shared" si="12"/>
        <v>0.24365482233502539</v>
      </c>
      <c r="U19" s="29">
        <f t="shared" si="13"/>
        <v>2.030456852791878E-2</v>
      </c>
      <c r="V19">
        <f t="shared" si="14"/>
        <v>197</v>
      </c>
      <c r="W19" s="29"/>
      <c r="X19" s="29"/>
      <c r="Y19" s="29"/>
      <c r="Z19" s="29"/>
      <c r="AA19" s="29"/>
      <c r="AC19" s="29"/>
      <c r="AD19" s="29"/>
      <c r="AE19" s="29"/>
      <c r="AF19" s="29"/>
      <c r="AG19" s="29"/>
      <c r="AH19" t="s">
        <v>75</v>
      </c>
      <c r="AM19" s="42"/>
      <c r="AN19">
        <v>4</v>
      </c>
      <c r="AO19">
        <v>7</v>
      </c>
      <c r="AP19">
        <v>1</v>
      </c>
      <c r="AZ19">
        <v>10</v>
      </c>
      <c r="BA19">
        <v>135</v>
      </c>
      <c r="BB19">
        <v>48</v>
      </c>
      <c r="BC19">
        <v>4</v>
      </c>
      <c r="BD19">
        <f t="shared" si="15"/>
        <v>197</v>
      </c>
      <c r="BL19">
        <v>10</v>
      </c>
      <c r="BM19">
        <v>135</v>
      </c>
      <c r="BN19">
        <v>48</v>
      </c>
      <c r="BO19">
        <v>4</v>
      </c>
      <c r="BP19">
        <f t="shared" si="16"/>
        <v>197</v>
      </c>
      <c r="BR19" s="87"/>
      <c r="BS19" s="56"/>
      <c r="BT19" s="56">
        <v>10</v>
      </c>
      <c r="BU19" s="56"/>
      <c r="BV19" s="56">
        <v>5</v>
      </c>
      <c r="BW19" s="56">
        <v>129</v>
      </c>
      <c r="BX19" s="56">
        <v>1</v>
      </c>
      <c r="BY19" s="56"/>
      <c r="BZ19" s="56">
        <v>43</v>
      </c>
      <c r="CA19" s="56">
        <v>5</v>
      </c>
      <c r="CB19" s="56"/>
      <c r="CC19" s="56">
        <v>4</v>
      </c>
      <c r="CD19" s="56"/>
      <c r="CE19" s="56">
        <f t="shared" si="6"/>
        <v>197</v>
      </c>
      <c r="CF19" s="89">
        <f t="shared" si="7"/>
        <v>7.6142131979695442</v>
      </c>
      <c r="CG19" s="89">
        <f t="shared" si="8"/>
        <v>92.385786802030452</v>
      </c>
      <c r="CH19" s="88" t="s">
        <v>235</v>
      </c>
    </row>
    <row r="20" spans="1:86" ht="15">
      <c r="A20">
        <f t="shared" si="5"/>
        <v>1988</v>
      </c>
      <c r="B20" s="29">
        <f t="shared" si="17"/>
        <v>0.18181818181818182</v>
      </c>
      <c r="C20" s="29">
        <f t="shared" si="18"/>
        <v>0.36363636363636365</v>
      </c>
      <c r="D20" s="29">
        <f t="shared" si="19"/>
        <v>0.45454545454545453</v>
      </c>
      <c r="E20" s="29">
        <f t="shared" si="20"/>
        <v>0</v>
      </c>
      <c r="F20">
        <f t="shared" si="21"/>
        <v>11</v>
      </c>
      <c r="G20" s="29"/>
      <c r="H20" s="29"/>
      <c r="I20" s="29"/>
      <c r="J20" s="29"/>
      <c r="L20" s="29"/>
      <c r="M20" s="29"/>
      <c r="N20" s="29"/>
      <c r="O20" s="29"/>
      <c r="P20" s="29"/>
      <c r="Q20" s="29">
        <f t="shared" si="9"/>
        <v>0</v>
      </c>
      <c r="R20" s="29">
        <f t="shared" si="10"/>
        <v>2.9520295202952029E-2</v>
      </c>
      <c r="S20" s="29">
        <f t="shared" si="11"/>
        <v>0.76014760147601479</v>
      </c>
      <c r="T20" s="29">
        <f t="shared" si="12"/>
        <v>0.20664206642066421</v>
      </c>
      <c r="U20" s="29">
        <f t="shared" si="13"/>
        <v>3.6900369003690036E-3</v>
      </c>
      <c r="V20">
        <f t="shared" si="14"/>
        <v>271</v>
      </c>
      <c r="W20" s="29"/>
      <c r="X20" s="29"/>
      <c r="Y20" s="29"/>
      <c r="Z20" s="29"/>
      <c r="AA20" s="29"/>
      <c r="AC20" s="29"/>
      <c r="AD20" s="29"/>
      <c r="AE20" s="29"/>
      <c r="AF20" s="29"/>
      <c r="AG20" s="29"/>
      <c r="AH20" t="s">
        <v>66</v>
      </c>
      <c r="AM20" s="42">
        <v>2</v>
      </c>
      <c r="AN20">
        <v>4</v>
      </c>
      <c r="AO20">
        <v>5</v>
      </c>
      <c r="AZ20">
        <v>8</v>
      </c>
      <c r="BA20">
        <v>206</v>
      </c>
      <c r="BB20">
        <v>56</v>
      </c>
      <c r="BC20">
        <v>1</v>
      </c>
      <c r="BD20">
        <f t="shared" si="15"/>
        <v>271</v>
      </c>
      <c r="BL20">
        <v>8</v>
      </c>
      <c r="BM20">
        <v>206</v>
      </c>
      <c r="BN20">
        <v>56</v>
      </c>
      <c r="BO20">
        <v>1</v>
      </c>
      <c r="BP20">
        <f t="shared" si="16"/>
        <v>271</v>
      </c>
      <c r="BR20" s="87"/>
      <c r="BS20" s="56"/>
      <c r="BT20" s="56">
        <v>5</v>
      </c>
      <c r="BU20" s="56">
        <v>3</v>
      </c>
      <c r="BV20" s="56">
        <v>17</v>
      </c>
      <c r="BW20" s="56">
        <v>189</v>
      </c>
      <c r="BX20" s="56"/>
      <c r="BY20" s="56"/>
      <c r="BZ20" s="56">
        <v>50</v>
      </c>
      <c r="CA20" s="56">
        <v>6</v>
      </c>
      <c r="CB20" s="56"/>
      <c r="CC20" s="56">
        <v>1</v>
      </c>
      <c r="CD20" s="56"/>
      <c r="CE20" s="56">
        <f t="shared" si="6"/>
        <v>271</v>
      </c>
      <c r="CF20" s="89">
        <f t="shared" si="7"/>
        <v>8.1180811808118083</v>
      </c>
      <c r="CG20" s="89">
        <f t="shared" si="8"/>
        <v>91.881918819188186</v>
      </c>
      <c r="CH20" s="88" t="s">
        <v>235</v>
      </c>
    </row>
    <row r="21" spans="1:86" ht="15">
      <c r="A21">
        <f t="shared" si="5"/>
        <v>1989</v>
      </c>
      <c r="B21" s="29">
        <f t="shared" si="17"/>
        <v>7.8947368421052627E-2</v>
      </c>
      <c r="C21" s="29">
        <f t="shared" si="18"/>
        <v>0.71052631578947367</v>
      </c>
      <c r="D21" s="29">
        <f t="shared" si="19"/>
        <v>0.21052631578947367</v>
      </c>
      <c r="E21" s="29">
        <f t="shared" si="20"/>
        <v>0</v>
      </c>
      <c r="F21">
        <f t="shared" si="21"/>
        <v>38</v>
      </c>
      <c r="G21" s="29">
        <f>AQ21/(AQ21+AR21+AS21+AT21)</f>
        <v>8.4337349397590355E-2</v>
      </c>
      <c r="H21" s="29">
        <f>AR21/(AQ21+AR21+AS21+AT21)</f>
        <v>0.71084337349397586</v>
      </c>
      <c r="I21" s="29">
        <f>AS21/(AQ21+AR21+AS21+AT21)</f>
        <v>0.20481927710843373</v>
      </c>
      <c r="J21" s="29">
        <f>AT21/(AQ21+AR21+AS21+AT21)</f>
        <v>0</v>
      </c>
      <c r="K21">
        <f>SUM(AQ21:AT21)</f>
        <v>83</v>
      </c>
      <c r="L21" s="29"/>
      <c r="M21" s="29"/>
      <c r="N21" s="29"/>
      <c r="O21" s="29"/>
      <c r="P21" s="29"/>
      <c r="Q21" s="29">
        <f t="shared" si="9"/>
        <v>0</v>
      </c>
      <c r="R21" s="29">
        <f t="shared" si="10"/>
        <v>0.31632653061224492</v>
      </c>
      <c r="S21" s="29">
        <f t="shared" si="11"/>
        <v>0.56122448979591832</v>
      </c>
      <c r="T21" s="29">
        <f t="shared" si="12"/>
        <v>0.12244897959183673</v>
      </c>
      <c r="U21" s="29">
        <f t="shared" si="13"/>
        <v>0</v>
      </c>
      <c r="V21">
        <f t="shared" si="14"/>
        <v>98</v>
      </c>
      <c r="W21" s="29"/>
      <c r="X21" s="29"/>
      <c r="Y21" s="29"/>
      <c r="Z21" s="29"/>
      <c r="AA21" s="29"/>
      <c r="AC21" s="29"/>
      <c r="AD21" s="29"/>
      <c r="AE21" s="29"/>
      <c r="AF21" s="29"/>
      <c r="AG21" s="29"/>
      <c r="AH21" t="s">
        <v>63</v>
      </c>
      <c r="AM21" s="42">
        <v>3</v>
      </c>
      <c r="AN21">
        <v>27</v>
      </c>
      <c r="AO21">
        <v>8</v>
      </c>
      <c r="AQ21">
        <v>7</v>
      </c>
      <c r="AR21">
        <v>59</v>
      </c>
      <c r="AS21">
        <v>17</v>
      </c>
      <c r="AZ21">
        <v>31</v>
      </c>
      <c r="BA21">
        <v>55</v>
      </c>
      <c r="BB21">
        <v>12</v>
      </c>
      <c r="BD21">
        <f t="shared" si="15"/>
        <v>98</v>
      </c>
      <c r="BL21">
        <v>31</v>
      </c>
      <c r="BM21">
        <v>55</v>
      </c>
      <c r="BN21">
        <v>12</v>
      </c>
      <c r="BP21">
        <f t="shared" si="16"/>
        <v>98</v>
      </c>
      <c r="BR21" s="87"/>
      <c r="BS21" s="56"/>
      <c r="BT21" s="56">
        <v>28</v>
      </c>
      <c r="BU21" s="56">
        <v>3</v>
      </c>
      <c r="BV21" s="56">
        <v>15</v>
      </c>
      <c r="BW21" s="56">
        <v>40</v>
      </c>
      <c r="BX21" s="56"/>
      <c r="BY21" s="56"/>
      <c r="BZ21" s="56">
        <v>12</v>
      </c>
      <c r="CA21" s="56"/>
      <c r="CB21" s="56"/>
      <c r="CC21" s="56"/>
      <c r="CD21" s="56"/>
      <c r="CE21" s="56">
        <f t="shared" si="6"/>
        <v>98</v>
      </c>
      <c r="CF21" s="89">
        <f t="shared" si="7"/>
        <v>43.877551020408163</v>
      </c>
      <c r="CG21" s="89">
        <f t="shared" si="8"/>
        <v>56.12244897959183</v>
      </c>
      <c r="CH21" s="88" t="s">
        <v>235</v>
      </c>
    </row>
    <row r="22" spans="1:86" ht="15">
      <c r="A22">
        <f t="shared" si="5"/>
        <v>1990</v>
      </c>
      <c r="B22" s="29">
        <f t="shared" si="17"/>
        <v>0.16129032258064516</v>
      </c>
      <c r="C22" s="29">
        <f t="shared" si="18"/>
        <v>0.72043010752688175</v>
      </c>
      <c r="D22" s="29">
        <f t="shared" si="19"/>
        <v>0.11827956989247312</v>
      </c>
      <c r="E22" s="29">
        <f t="shared" si="20"/>
        <v>0</v>
      </c>
      <c r="F22">
        <f t="shared" si="21"/>
        <v>186</v>
      </c>
      <c r="G22" s="29"/>
      <c r="H22" s="29"/>
      <c r="I22" s="29"/>
      <c r="J22" s="29"/>
      <c r="L22" s="29"/>
      <c r="M22" s="29"/>
      <c r="N22" s="29"/>
      <c r="O22" s="29"/>
      <c r="P22" s="29"/>
      <c r="Q22" s="29">
        <f t="shared" si="9"/>
        <v>0</v>
      </c>
      <c r="R22" s="29">
        <f t="shared" si="10"/>
        <v>0.17727272727272728</v>
      </c>
      <c r="S22" s="29">
        <f t="shared" si="11"/>
        <v>0.65</v>
      </c>
      <c r="T22" s="29">
        <f t="shared" si="12"/>
        <v>0.16363636363636364</v>
      </c>
      <c r="U22" s="29">
        <f t="shared" si="13"/>
        <v>9.0909090909090905E-3</v>
      </c>
      <c r="V22">
        <f t="shared" si="14"/>
        <v>220</v>
      </c>
      <c r="W22" s="29"/>
      <c r="X22" s="29"/>
      <c r="Y22" s="29"/>
      <c r="Z22" s="29"/>
      <c r="AA22" s="29"/>
      <c r="AC22" s="29"/>
      <c r="AD22" s="29"/>
      <c r="AE22" s="29"/>
      <c r="AF22" s="29"/>
      <c r="AG22" s="29"/>
      <c r="AH22" t="s">
        <v>62</v>
      </c>
      <c r="AM22" s="42">
        <v>30</v>
      </c>
      <c r="AN22">
        <v>134</v>
      </c>
      <c r="AO22">
        <v>22</v>
      </c>
      <c r="AZ22">
        <v>39</v>
      </c>
      <c r="BA22">
        <v>143</v>
      </c>
      <c r="BB22">
        <v>36</v>
      </c>
      <c r="BC22">
        <v>2</v>
      </c>
      <c r="BD22">
        <f t="shared" si="15"/>
        <v>220</v>
      </c>
      <c r="BL22">
        <v>39</v>
      </c>
      <c r="BM22">
        <v>143</v>
      </c>
      <c r="BN22">
        <v>36</v>
      </c>
      <c r="BO22">
        <v>2</v>
      </c>
      <c r="BP22">
        <f t="shared" si="16"/>
        <v>220</v>
      </c>
      <c r="BR22" s="87"/>
      <c r="BS22" s="56"/>
      <c r="BT22" s="56">
        <v>36</v>
      </c>
      <c r="BU22" s="56">
        <v>3</v>
      </c>
      <c r="BV22" s="56">
        <v>25</v>
      </c>
      <c r="BW22" s="56">
        <v>118</v>
      </c>
      <c r="BX22" s="56"/>
      <c r="BY22" s="56"/>
      <c r="BZ22" s="56">
        <v>34</v>
      </c>
      <c r="CA22" s="56">
        <v>2</v>
      </c>
      <c r="CB22" s="56"/>
      <c r="CC22" s="56">
        <v>2</v>
      </c>
      <c r="CD22" s="56"/>
      <c r="CE22" s="56">
        <f t="shared" si="6"/>
        <v>220</v>
      </c>
      <c r="CF22" s="89">
        <f t="shared" si="7"/>
        <v>27.727272727272727</v>
      </c>
      <c r="CG22" s="89">
        <f t="shared" si="8"/>
        <v>72.27272727272728</v>
      </c>
      <c r="CH22" s="88" t="s">
        <v>235</v>
      </c>
    </row>
    <row r="23" spans="1:86" ht="15">
      <c r="A23">
        <f t="shared" si="5"/>
        <v>1991</v>
      </c>
      <c r="B23" s="40">
        <f t="shared" si="17"/>
        <v>6.3291139240506328E-3</v>
      </c>
      <c r="C23" s="40">
        <f t="shared" si="18"/>
        <v>0.879746835443038</v>
      </c>
      <c r="D23" s="40">
        <f t="shared" si="19"/>
        <v>0.11392405063291139</v>
      </c>
      <c r="E23" s="29">
        <f t="shared" si="20"/>
        <v>0</v>
      </c>
      <c r="F23">
        <f t="shared" si="21"/>
        <v>158</v>
      </c>
      <c r="G23" s="29"/>
      <c r="H23" s="29"/>
      <c r="I23" s="29"/>
      <c r="J23" s="29"/>
      <c r="L23" s="29"/>
      <c r="M23" s="29"/>
      <c r="N23" s="29"/>
      <c r="O23" s="29"/>
      <c r="P23" s="29"/>
      <c r="Q23" s="29">
        <f t="shared" si="9"/>
        <v>0</v>
      </c>
      <c r="R23" s="29">
        <f t="shared" si="10"/>
        <v>0.11221945137157108</v>
      </c>
      <c r="S23" s="29">
        <f t="shared" si="11"/>
        <v>0.78802992518703241</v>
      </c>
      <c r="T23" s="29">
        <f t="shared" si="12"/>
        <v>9.9750623441396513E-2</v>
      </c>
      <c r="U23" s="29">
        <f t="shared" si="13"/>
        <v>0</v>
      </c>
      <c r="V23">
        <f t="shared" si="14"/>
        <v>401</v>
      </c>
      <c r="W23" s="29"/>
      <c r="X23" s="29"/>
      <c r="Y23" s="29"/>
      <c r="Z23" s="29"/>
      <c r="AA23" s="29"/>
      <c r="AC23" s="29"/>
      <c r="AD23" s="29"/>
      <c r="AE23" s="29"/>
      <c r="AF23" s="29"/>
      <c r="AG23" s="29"/>
      <c r="AH23" t="s">
        <v>170</v>
      </c>
      <c r="AM23" s="43">
        <v>1</v>
      </c>
      <c r="AN23" s="38">
        <v>139</v>
      </c>
      <c r="AO23" s="38">
        <v>18</v>
      </c>
      <c r="AZ23">
        <v>45</v>
      </c>
      <c r="BA23">
        <v>316</v>
      </c>
      <c r="BB23">
        <v>40</v>
      </c>
      <c r="BD23">
        <f t="shared" si="15"/>
        <v>401</v>
      </c>
      <c r="BL23">
        <v>45</v>
      </c>
      <c r="BM23">
        <v>316</v>
      </c>
      <c r="BN23">
        <v>40</v>
      </c>
      <c r="BP23">
        <f t="shared" si="16"/>
        <v>401</v>
      </c>
      <c r="BR23" s="87"/>
      <c r="BS23" s="56"/>
      <c r="BT23" s="56">
        <v>45</v>
      </c>
      <c r="BU23" s="56"/>
      <c r="BV23" s="56">
        <v>42</v>
      </c>
      <c r="BW23" s="56">
        <v>274</v>
      </c>
      <c r="BX23" s="56"/>
      <c r="BY23" s="56"/>
      <c r="BZ23" s="56">
        <v>38</v>
      </c>
      <c r="CA23" s="56">
        <v>2</v>
      </c>
      <c r="CB23" s="56"/>
      <c r="CC23" s="56"/>
      <c r="CD23" s="56"/>
      <c r="CE23" s="56">
        <f t="shared" si="6"/>
        <v>401</v>
      </c>
      <c r="CF23" s="89">
        <f t="shared" si="7"/>
        <v>21.695760598503743</v>
      </c>
      <c r="CG23" s="89">
        <f t="shared" si="8"/>
        <v>78.304239401496261</v>
      </c>
      <c r="CH23" s="88" t="s">
        <v>235</v>
      </c>
    </row>
    <row r="24" spans="1:86" ht="15">
      <c r="A24">
        <f t="shared" si="5"/>
        <v>1992</v>
      </c>
      <c r="B24" s="29"/>
      <c r="C24" s="29"/>
      <c r="D24" s="29"/>
      <c r="E24" s="29"/>
      <c r="G24" s="29"/>
      <c r="H24" s="29"/>
      <c r="I24" s="29"/>
      <c r="J24" s="29"/>
      <c r="L24" s="29"/>
      <c r="M24" s="29"/>
      <c r="N24" s="29"/>
      <c r="O24" s="29"/>
      <c r="P24" s="29"/>
      <c r="Q24" s="29">
        <f t="shared" si="9"/>
        <v>0</v>
      </c>
      <c r="R24" s="29">
        <f t="shared" si="10"/>
        <v>1.2987012987012988E-2</v>
      </c>
      <c r="S24" s="29">
        <f t="shared" si="11"/>
        <v>0.72727272727272729</v>
      </c>
      <c r="T24" s="29">
        <f t="shared" si="12"/>
        <v>0.25974025974025972</v>
      </c>
      <c r="U24" s="29">
        <f t="shared" si="13"/>
        <v>0</v>
      </c>
      <c r="V24">
        <f t="shared" si="14"/>
        <v>77</v>
      </c>
      <c r="W24" s="29"/>
      <c r="X24" s="29"/>
      <c r="Y24" s="29"/>
      <c r="Z24" s="29"/>
      <c r="AA24" s="29"/>
      <c r="AC24" s="29"/>
      <c r="AD24" s="29"/>
      <c r="AE24" s="29"/>
      <c r="AF24" s="29"/>
      <c r="AG24" s="29"/>
      <c r="AH24" t="s">
        <v>129</v>
      </c>
      <c r="AM24" s="42"/>
      <c r="AZ24">
        <v>1</v>
      </c>
      <c r="BA24">
        <v>56</v>
      </c>
      <c r="BB24">
        <v>20</v>
      </c>
      <c r="BD24">
        <f t="shared" si="15"/>
        <v>77</v>
      </c>
      <c r="BL24">
        <v>1</v>
      </c>
      <c r="BM24">
        <v>56</v>
      </c>
      <c r="BN24">
        <v>20</v>
      </c>
      <c r="BP24">
        <f t="shared" si="16"/>
        <v>77</v>
      </c>
      <c r="BR24" s="87"/>
      <c r="BS24" s="56"/>
      <c r="BT24" s="56">
        <v>1</v>
      </c>
      <c r="BU24" s="56"/>
      <c r="BV24" s="56">
        <v>15</v>
      </c>
      <c r="BW24" s="56">
        <v>41</v>
      </c>
      <c r="BX24" s="56"/>
      <c r="BY24" s="56"/>
      <c r="BZ24" s="56">
        <v>20</v>
      </c>
      <c r="CA24" s="56"/>
      <c r="CB24" s="56"/>
      <c r="CC24" s="56"/>
      <c r="CD24" s="56"/>
      <c r="CE24" s="56">
        <f t="shared" si="6"/>
        <v>77</v>
      </c>
      <c r="CF24" s="89">
        <f t="shared" si="7"/>
        <v>20.779220779220779</v>
      </c>
      <c r="CG24" s="89">
        <f t="shared" si="8"/>
        <v>79.220779220779221</v>
      </c>
      <c r="CH24" s="88" t="s">
        <v>236</v>
      </c>
    </row>
    <row r="25" spans="1:86" ht="15">
      <c r="A25">
        <f t="shared" si="5"/>
        <v>1993</v>
      </c>
      <c r="B25" s="29">
        <f>AM25/(AM25+AN25+AO25+AP25)</f>
        <v>0</v>
      </c>
      <c r="C25" s="29">
        <f>AN25/(AM25+AN25+AO25+AP25)</f>
        <v>0</v>
      </c>
      <c r="D25" s="40">
        <f>AO25/(AM25+AN25+AO25+AP25)</f>
        <v>1</v>
      </c>
      <c r="E25" s="29">
        <f>AP25/(AM25+AN25+AO25+AP25)</f>
        <v>0</v>
      </c>
      <c r="F25">
        <f>SUM(AM25:AP25)</f>
        <v>2</v>
      </c>
      <c r="G25" s="29"/>
      <c r="H25" s="29"/>
      <c r="I25" s="29"/>
      <c r="J25" s="29"/>
      <c r="L25" s="29"/>
      <c r="M25" s="29"/>
      <c r="N25" s="29"/>
      <c r="O25" s="29"/>
      <c r="P25" s="29"/>
      <c r="Q25" s="29">
        <f t="shared" si="9"/>
        <v>0</v>
      </c>
      <c r="R25" s="29">
        <f t="shared" si="10"/>
        <v>0</v>
      </c>
      <c r="S25" s="29">
        <f t="shared" si="11"/>
        <v>0.875</v>
      </c>
      <c r="T25" s="29">
        <f t="shared" si="12"/>
        <v>0.125</v>
      </c>
      <c r="U25" s="29">
        <f t="shared" si="13"/>
        <v>0</v>
      </c>
      <c r="V25">
        <f t="shared" si="14"/>
        <v>8</v>
      </c>
      <c r="W25" s="29"/>
      <c r="X25" s="29"/>
      <c r="Y25" s="29"/>
      <c r="Z25" s="29"/>
      <c r="AA25" s="29"/>
      <c r="AC25" s="46"/>
      <c r="AD25" s="46">
        <f>BL42</f>
        <v>6.2618182311531545E-2</v>
      </c>
      <c r="AE25" s="46">
        <f>BM42</f>
        <v>0.66352616164202827</v>
      </c>
      <c r="AF25" s="46">
        <f>BN42</f>
        <v>0.26756814508675325</v>
      </c>
      <c r="AG25" s="46"/>
      <c r="AH25" t="s">
        <v>170</v>
      </c>
      <c r="AM25" s="42"/>
      <c r="AO25" s="38">
        <v>2</v>
      </c>
      <c r="BA25">
        <v>7</v>
      </c>
      <c r="BB25">
        <v>1</v>
      </c>
      <c r="BD25">
        <f t="shared" si="15"/>
        <v>8</v>
      </c>
      <c r="BK25" s="33"/>
      <c r="BL25" s="33"/>
      <c r="BM25" s="33"/>
      <c r="BN25" s="33"/>
      <c r="BO25" s="33"/>
      <c r="BR25" s="87"/>
      <c r="BS25" s="56"/>
      <c r="BT25" s="56"/>
      <c r="BU25" s="56"/>
      <c r="BV25" s="56"/>
      <c r="BW25" s="56"/>
      <c r="BX25" s="56"/>
      <c r="BY25" s="56"/>
      <c r="BZ25" s="56"/>
      <c r="CA25" s="56"/>
      <c r="CB25" s="56"/>
      <c r="CC25" s="56"/>
      <c r="CD25" s="56"/>
      <c r="CE25" s="56"/>
      <c r="CF25" s="89">
        <f t="shared" si="7"/>
        <v>0</v>
      </c>
      <c r="CG25" s="89">
        <f t="shared" si="8"/>
        <v>0</v>
      </c>
      <c r="CH25" s="88"/>
    </row>
    <row r="26" spans="1:86" ht="15">
      <c r="A26">
        <f t="shared" si="5"/>
        <v>1994</v>
      </c>
      <c r="B26" s="29"/>
      <c r="C26" s="29"/>
      <c r="D26" s="29"/>
      <c r="E26" s="29"/>
      <c r="G26" s="29"/>
      <c r="H26" s="29"/>
      <c r="I26" s="29"/>
      <c r="J26" s="29"/>
      <c r="L26" s="29"/>
      <c r="M26" s="29"/>
      <c r="N26" s="29"/>
      <c r="O26" s="29"/>
      <c r="P26" s="29"/>
      <c r="Q26" s="29"/>
      <c r="R26" s="29"/>
      <c r="S26" s="29"/>
      <c r="T26" s="29"/>
      <c r="U26" s="29"/>
      <c r="W26" s="29"/>
      <c r="X26" s="29"/>
      <c r="Y26" s="29"/>
      <c r="Z26" s="29"/>
      <c r="AA26" s="29"/>
      <c r="AC26" s="46"/>
      <c r="AD26" s="46">
        <f>BL42</f>
        <v>6.2618182311531545E-2</v>
      </c>
      <c r="AE26" s="46">
        <f>BM42</f>
        <v>0.66352616164202827</v>
      </c>
      <c r="AF26" s="46">
        <f>BN42</f>
        <v>0.26756814508675325</v>
      </c>
      <c r="AG26" s="46"/>
      <c r="AM26" s="42"/>
      <c r="BK26" s="33"/>
      <c r="BL26" s="33"/>
      <c r="BM26" s="33"/>
      <c r="BN26" s="33"/>
      <c r="BO26" s="33"/>
      <c r="BR26" s="87"/>
      <c r="BS26" s="56"/>
      <c r="BT26" s="56"/>
      <c r="BU26" s="56"/>
      <c r="BV26" s="56"/>
      <c r="BW26" s="56"/>
      <c r="BX26" s="56"/>
      <c r="BY26" s="56"/>
      <c r="BZ26" s="56"/>
      <c r="CA26" s="56"/>
      <c r="CB26" s="56"/>
      <c r="CC26" s="56"/>
      <c r="CD26" s="56"/>
      <c r="CE26" s="56"/>
      <c r="CF26" s="89">
        <f t="shared" si="7"/>
        <v>0</v>
      </c>
      <c r="CG26" s="89">
        <f t="shared" si="8"/>
        <v>0</v>
      </c>
      <c r="CH26" s="88"/>
    </row>
    <row r="27" spans="1:86" ht="15">
      <c r="A27">
        <f t="shared" si="5"/>
        <v>1995</v>
      </c>
      <c r="B27" s="29"/>
      <c r="C27" s="29"/>
      <c r="D27" s="29"/>
      <c r="E27" s="29"/>
      <c r="G27" s="29"/>
      <c r="H27" s="29"/>
      <c r="I27" s="29"/>
      <c r="J27" s="29"/>
      <c r="L27" s="29"/>
      <c r="M27" s="29"/>
      <c r="N27" s="29"/>
      <c r="O27" s="29"/>
      <c r="P27" s="29"/>
      <c r="Q27" s="29"/>
      <c r="R27" s="29"/>
      <c r="S27" s="29"/>
      <c r="T27" s="29"/>
      <c r="U27" s="29"/>
      <c r="W27" s="29"/>
      <c r="X27" s="29"/>
      <c r="Y27" s="29"/>
      <c r="Z27" s="29"/>
      <c r="AA27" s="29"/>
      <c r="AC27" s="46"/>
      <c r="AD27" s="46">
        <f>BL42</f>
        <v>6.2618182311531545E-2</v>
      </c>
      <c r="AE27" s="46">
        <f>BM42</f>
        <v>0.66352616164202827</v>
      </c>
      <c r="AF27" s="46">
        <f>BN42</f>
        <v>0.26756814508675325</v>
      </c>
      <c r="AG27" s="46"/>
      <c r="AM27" s="42"/>
      <c r="BK27" s="33"/>
      <c r="BL27" s="33"/>
      <c r="BM27" s="33"/>
      <c r="BN27" s="33"/>
      <c r="BO27" s="33"/>
      <c r="BR27" s="87"/>
      <c r="BS27" s="56"/>
      <c r="BT27" s="56"/>
      <c r="BU27" s="56"/>
      <c r="BV27" s="56"/>
      <c r="BW27" s="56"/>
      <c r="BX27" s="56"/>
      <c r="BY27" s="56"/>
      <c r="BZ27" s="56"/>
      <c r="CA27" s="56"/>
      <c r="CB27" s="56"/>
      <c r="CC27" s="56"/>
      <c r="CD27" s="56"/>
      <c r="CE27" s="56"/>
      <c r="CF27" s="89">
        <f t="shared" si="7"/>
        <v>0</v>
      </c>
      <c r="CG27" s="89">
        <f t="shared" si="8"/>
        <v>0</v>
      </c>
      <c r="CH27" s="88"/>
    </row>
    <row r="28" spans="1:86" ht="15">
      <c r="A28">
        <f t="shared" si="5"/>
        <v>1996</v>
      </c>
      <c r="B28" s="29">
        <f>AM28/(AM28+AN28+AO28+AP28)</f>
        <v>0</v>
      </c>
      <c r="C28" s="29">
        <f>AN28/(AM28+AN28+AO28+AP28)</f>
        <v>0.83333333333333337</v>
      </c>
      <c r="D28" s="29">
        <f>AO28/(AM28+AN28+AO28+AP28)</f>
        <v>0</v>
      </c>
      <c r="E28" s="29">
        <f>AP28/(AM28+AN28+AO28+AP28)</f>
        <v>0.16666666666666666</v>
      </c>
      <c r="F28">
        <f>SUM(AM28:AP28)</f>
        <v>6</v>
      </c>
      <c r="G28" s="29"/>
      <c r="H28" s="29"/>
      <c r="I28" s="29"/>
      <c r="J28" s="29"/>
      <c r="L28" s="29"/>
      <c r="M28" s="29"/>
      <c r="N28" s="29"/>
      <c r="O28" s="29"/>
      <c r="P28" s="29"/>
      <c r="Q28" s="29"/>
      <c r="R28" s="29"/>
      <c r="S28" s="29"/>
      <c r="T28" s="29"/>
      <c r="U28" s="29"/>
      <c r="W28" s="29"/>
      <c r="X28" s="29"/>
      <c r="Y28" s="29"/>
      <c r="Z28" s="29"/>
      <c r="AA28" s="29"/>
      <c r="AC28" s="46"/>
      <c r="AD28" s="46">
        <f>BL42</f>
        <v>6.2618182311531545E-2</v>
      </c>
      <c r="AE28" s="46">
        <f>BM42</f>
        <v>0.66352616164202827</v>
      </c>
      <c r="AF28" s="46">
        <f>BN42</f>
        <v>0.26756814508675325</v>
      </c>
      <c r="AG28" s="46"/>
      <c r="AH28" t="s">
        <v>172</v>
      </c>
      <c r="AM28" s="42"/>
      <c r="AN28">
        <v>5</v>
      </c>
      <c r="AP28">
        <v>1</v>
      </c>
      <c r="BK28" s="33"/>
      <c r="BL28" s="33"/>
      <c r="BM28" s="33"/>
      <c r="BN28" s="33"/>
      <c r="BO28" s="33"/>
      <c r="BR28" s="87"/>
      <c r="BS28" s="56"/>
      <c r="BT28" s="56"/>
      <c r="BU28" s="56"/>
      <c r="BV28" s="56"/>
      <c r="BW28" s="56"/>
      <c r="BX28" s="56"/>
      <c r="BY28" s="56"/>
      <c r="BZ28" s="56"/>
      <c r="CA28" s="56"/>
      <c r="CB28" s="56"/>
      <c r="CC28" s="56"/>
      <c r="CD28" s="56"/>
      <c r="CE28" s="56"/>
      <c r="CF28" s="89">
        <f t="shared" si="7"/>
        <v>0</v>
      </c>
      <c r="CG28" s="89">
        <f t="shared" si="8"/>
        <v>0</v>
      </c>
      <c r="CH28" s="88"/>
    </row>
    <row r="29" spans="1:86" ht="15">
      <c r="A29">
        <f t="shared" si="5"/>
        <v>1997</v>
      </c>
      <c r="B29" s="29"/>
      <c r="C29" s="29"/>
      <c r="D29" s="29"/>
      <c r="E29" s="29"/>
      <c r="G29" s="29"/>
      <c r="H29" s="29"/>
      <c r="I29" s="29"/>
      <c r="J29" s="29"/>
      <c r="L29" s="29"/>
      <c r="M29" s="29"/>
      <c r="N29" s="29"/>
      <c r="O29" s="29"/>
      <c r="P29" s="29"/>
      <c r="Q29" s="29">
        <f>AY29/(AY29+AZ29+BA29+BB29+BC29)</f>
        <v>0</v>
      </c>
      <c r="R29" s="29">
        <f>AZ29/(AY29+AZ29+BA29+BB29+BC29)</f>
        <v>9.0909090909090912E-2</v>
      </c>
      <c r="S29" s="29">
        <f>BA29/(AY29+AZ29+BA29+BB29+BC29)</f>
        <v>0.54545454545454541</v>
      </c>
      <c r="T29" s="29">
        <f>BB29/(AY29+AZ29+BA29+BB29+BC29)</f>
        <v>0.36363636363636365</v>
      </c>
      <c r="U29" s="29">
        <f>BC29/(AY29+AZ29+BA29+BB29+BC29)</f>
        <v>0</v>
      </c>
      <c r="V29">
        <f>SUM(AY29:BC29)</f>
        <v>11</v>
      </c>
      <c r="W29" s="29">
        <f>BE29/(BE29+BF29+BG29+BH29+BI29)</f>
        <v>2.8571428571428571E-2</v>
      </c>
      <c r="X29" s="29">
        <f>BF29/(BE29+BF29+BG29+BH29+BI29)</f>
        <v>0.35714285714285715</v>
      </c>
      <c r="Y29" s="29">
        <f>BG29/(BE29+BF29+BG29+BH29+BI29)</f>
        <v>0.48571428571428571</v>
      </c>
      <c r="Z29" s="29">
        <f>BH29/(BE29+BF29+BG29+BH29+BI29)</f>
        <v>0.12857142857142856</v>
      </c>
      <c r="AA29" s="29">
        <f>BI29/(BE29+BF29+BG29+BH29+BI29)</f>
        <v>0</v>
      </c>
      <c r="AB29">
        <f>SUM(BE29:BI29)</f>
        <v>140</v>
      </c>
      <c r="AC29" s="29"/>
      <c r="AD29" s="29"/>
      <c r="AE29" s="29"/>
      <c r="AF29" s="29"/>
      <c r="AG29" s="29"/>
      <c r="AH29" t="s">
        <v>129</v>
      </c>
      <c r="AM29" s="42"/>
      <c r="AZ29">
        <v>1</v>
      </c>
      <c r="BA29">
        <v>6</v>
      </c>
      <c r="BB29">
        <v>4</v>
      </c>
      <c r="BD29">
        <f>SUM(AY29:BC29)</f>
        <v>11</v>
      </c>
      <c r="BE29">
        <v>4</v>
      </c>
      <c r="BF29">
        <v>50</v>
      </c>
      <c r="BG29">
        <v>68</v>
      </c>
      <c r="BH29">
        <v>18</v>
      </c>
      <c r="BJ29">
        <f>SUM(BE29:BI29)</f>
        <v>140</v>
      </c>
      <c r="BK29">
        <v>4</v>
      </c>
      <c r="BL29">
        <v>50</v>
      </c>
      <c r="BM29">
        <v>68</v>
      </c>
      <c r="BN29">
        <v>18</v>
      </c>
      <c r="BP29">
        <f>SUM(BK29:BO29)</f>
        <v>140</v>
      </c>
      <c r="BR29" s="87">
        <v>4</v>
      </c>
      <c r="BS29" s="56"/>
      <c r="BT29" s="56">
        <v>50</v>
      </c>
      <c r="BU29" s="56"/>
      <c r="BV29" s="56">
        <v>11</v>
      </c>
      <c r="BW29" s="56">
        <v>57</v>
      </c>
      <c r="BX29" s="56"/>
      <c r="BY29" s="56"/>
      <c r="BZ29" s="56">
        <v>18</v>
      </c>
      <c r="CA29" s="56"/>
      <c r="CB29" s="56"/>
      <c r="CC29" s="56"/>
      <c r="CD29" s="56"/>
      <c r="CE29" s="56">
        <f>SUM(BR29:CD29)</f>
        <v>140</v>
      </c>
      <c r="CF29" s="89">
        <f t="shared" si="7"/>
        <v>46.428571428571431</v>
      </c>
      <c r="CG29" s="89">
        <f t="shared" si="8"/>
        <v>53.571428571428569</v>
      </c>
      <c r="CH29" s="88" t="s">
        <v>248</v>
      </c>
    </row>
    <row r="30" spans="1:86" ht="15">
      <c r="A30">
        <f t="shared" si="5"/>
        <v>1998</v>
      </c>
      <c r="B30" s="40">
        <f>AM30/(AM30+AN30+AO30+AP30)</f>
        <v>0.05</v>
      </c>
      <c r="C30" s="40">
        <f>AN30/(AM30+AN30+AO30+AP30)</f>
        <v>0.45</v>
      </c>
      <c r="D30" s="40">
        <f>AO30/(AM30+AN30+AO30+AP30)</f>
        <v>0.45</v>
      </c>
      <c r="E30" s="40">
        <f>AP30/(AM30+AN30+AO30+AP30)</f>
        <v>0.05</v>
      </c>
      <c r="F30">
        <f>SUM(AM30:AP30)</f>
        <v>20</v>
      </c>
      <c r="G30" s="29"/>
      <c r="H30" s="29"/>
      <c r="I30" s="29"/>
      <c r="J30" s="29"/>
      <c r="L30" s="29"/>
      <c r="M30" s="29"/>
      <c r="N30" s="29"/>
      <c r="O30" s="29"/>
      <c r="P30" s="29"/>
      <c r="Q30" s="29">
        <f>AY30/(AY30+AZ30+BA30+BB30+BC30)</f>
        <v>0</v>
      </c>
      <c r="R30" s="29">
        <f>AZ30/(AY30+AZ30+BA30+BB30+BC30)</f>
        <v>0.21052631578947367</v>
      </c>
      <c r="S30" s="29">
        <f>BA30/(AY30+AZ30+BA30+BB30+BC30)</f>
        <v>0.36842105263157893</v>
      </c>
      <c r="T30" s="29">
        <f>BB30/(AY30+AZ30+BA30+BB30+BC30)</f>
        <v>0.42105263157894735</v>
      </c>
      <c r="U30" s="29">
        <f>BC30/(AY30+AZ30+BA30+BB30+BC30)</f>
        <v>0</v>
      </c>
      <c r="V30">
        <f>SUM(AY30:BC30)</f>
        <v>19</v>
      </c>
      <c r="W30" s="29"/>
      <c r="X30" s="29"/>
      <c r="Y30" s="29"/>
      <c r="Z30" s="29"/>
      <c r="AA30" s="29"/>
      <c r="AC30" s="46"/>
      <c r="AD30" s="46">
        <f>BL42</f>
        <v>6.2618182311531545E-2</v>
      </c>
      <c r="AE30" s="46">
        <f>BM42</f>
        <v>0.66352616164202827</v>
      </c>
      <c r="AF30" s="46">
        <f>BN42</f>
        <v>0.26756814508675325</v>
      </c>
      <c r="AG30" s="46"/>
      <c r="AH30" t="s">
        <v>170</v>
      </c>
      <c r="AM30" s="43">
        <v>1</v>
      </c>
      <c r="AN30" s="38">
        <v>9</v>
      </c>
      <c r="AO30" s="38">
        <v>9</v>
      </c>
      <c r="AP30" s="38">
        <v>1</v>
      </c>
      <c r="AZ30">
        <v>4</v>
      </c>
      <c r="BA30">
        <v>7</v>
      </c>
      <c r="BB30">
        <v>8</v>
      </c>
      <c r="BD30">
        <f>SUM(AY30:BC30)</f>
        <v>19</v>
      </c>
      <c r="BK30" s="33"/>
      <c r="BL30" s="33"/>
      <c r="BM30" s="33"/>
      <c r="BN30" s="33"/>
      <c r="BO30" s="33"/>
      <c r="BR30" s="87"/>
      <c r="BS30" s="56"/>
      <c r="BT30" s="56"/>
      <c r="BU30" s="56"/>
      <c r="BV30" s="56"/>
      <c r="BW30" s="56"/>
      <c r="BX30" s="56"/>
      <c r="BY30" s="56"/>
      <c r="BZ30" s="56"/>
      <c r="CA30" s="56"/>
      <c r="CB30" s="56"/>
      <c r="CC30" s="56"/>
      <c r="CD30" s="56"/>
      <c r="CE30" s="56"/>
      <c r="CF30" s="89">
        <f t="shared" si="7"/>
        <v>0</v>
      </c>
      <c r="CG30" s="89">
        <f t="shared" si="8"/>
        <v>0</v>
      </c>
      <c r="CH30" s="88"/>
    </row>
    <row r="31" spans="1:86" ht="15">
      <c r="A31">
        <f t="shared" si="5"/>
        <v>1999</v>
      </c>
      <c r="B31" s="29"/>
      <c r="C31" s="29"/>
      <c r="D31" s="29"/>
      <c r="E31" s="29"/>
      <c r="G31" s="29"/>
      <c r="H31" s="29"/>
      <c r="I31" s="29"/>
      <c r="J31" s="29"/>
      <c r="L31" s="29"/>
      <c r="M31" s="29"/>
      <c r="N31" s="29"/>
      <c r="O31" s="29"/>
      <c r="P31" s="29"/>
      <c r="Q31" s="29">
        <f>AY31/(AY31+AZ31+BA31+BB31+BC31)</f>
        <v>0</v>
      </c>
      <c r="R31" s="29">
        <f>AZ31/(AY31+AZ31+BA31+BB31+BC31)</f>
        <v>0.25233644859813081</v>
      </c>
      <c r="S31" s="29">
        <f>BA31/(AY31+AZ31+BA31+BB31+BC31)</f>
        <v>0.58878504672897192</v>
      </c>
      <c r="T31" s="29">
        <f>BB31/(AY31+AZ31+BA31+BB31+BC31)</f>
        <v>0.15887850467289719</v>
      </c>
      <c r="U31" s="29">
        <f>BC31/(AY31+AZ31+BA31+BB31+BC31)</f>
        <v>0</v>
      </c>
      <c r="V31">
        <f>SUM(AY31:BC31)</f>
        <v>107</v>
      </c>
      <c r="W31" s="29"/>
      <c r="X31" s="29"/>
      <c r="Y31" s="29"/>
      <c r="Z31" s="29"/>
      <c r="AA31" s="29"/>
      <c r="AC31" s="29"/>
      <c r="AD31" s="29"/>
      <c r="AE31" s="29"/>
      <c r="AF31" s="29"/>
      <c r="AG31" s="29"/>
      <c r="AH31" t="s">
        <v>129</v>
      </c>
      <c r="AM31" s="42"/>
      <c r="AZ31">
        <v>27</v>
      </c>
      <c r="BA31">
        <v>63</v>
      </c>
      <c r="BB31">
        <v>17</v>
      </c>
      <c r="BD31">
        <f>SUM(AY31:BC31)</f>
        <v>107</v>
      </c>
      <c r="BL31">
        <v>27</v>
      </c>
      <c r="BM31">
        <v>63</v>
      </c>
      <c r="BN31">
        <v>17</v>
      </c>
      <c r="BP31">
        <f>SUM(BK31:BO31)</f>
        <v>107</v>
      </c>
      <c r="BR31" s="87"/>
      <c r="BS31" s="56"/>
      <c r="BT31" s="56">
        <v>27</v>
      </c>
      <c r="BU31" s="56"/>
      <c r="BV31" s="56">
        <v>41</v>
      </c>
      <c r="BW31" s="56">
        <v>22</v>
      </c>
      <c r="BX31" s="56"/>
      <c r="BY31" s="56"/>
      <c r="BZ31" s="56">
        <v>16</v>
      </c>
      <c r="CA31" s="56">
        <v>1</v>
      </c>
      <c r="CB31" s="56"/>
      <c r="CC31" s="56"/>
      <c r="CD31" s="56"/>
      <c r="CE31" s="56">
        <f>SUM(BR31:CD31)</f>
        <v>107</v>
      </c>
      <c r="CF31" s="89">
        <f t="shared" si="7"/>
        <v>63.551401869158873</v>
      </c>
      <c r="CG31" s="89">
        <f t="shared" si="8"/>
        <v>36.44859813084112</v>
      </c>
      <c r="CH31" s="88" t="s">
        <v>236</v>
      </c>
    </row>
    <row r="32" spans="1:86" ht="15">
      <c r="A32">
        <f t="shared" si="5"/>
        <v>2000</v>
      </c>
      <c r="B32" s="29">
        <f>AM32/(AM32+AN32+AO32+AP32)</f>
        <v>0</v>
      </c>
      <c r="C32" s="29">
        <f>AN32/(AM32+AN32+AO32+AP32)</f>
        <v>0.70731707317073167</v>
      </c>
      <c r="D32" s="29">
        <f>AO32/(AM32+AN32+AO32+AP32)</f>
        <v>0.21951219512195122</v>
      </c>
      <c r="E32" s="29">
        <f>AP32/(AM32+AN32+AO32+AP32)</f>
        <v>7.3170731707317069E-2</v>
      </c>
      <c r="F32">
        <f>SUM(AM32:AP32)</f>
        <v>41</v>
      </c>
      <c r="G32" s="29"/>
      <c r="H32" s="29"/>
      <c r="I32" s="29"/>
      <c r="J32" s="29"/>
      <c r="L32" s="29"/>
      <c r="M32" s="29"/>
      <c r="N32" s="29"/>
      <c r="O32" s="29"/>
      <c r="P32" s="29"/>
      <c r="Q32" s="29"/>
      <c r="R32" s="29"/>
      <c r="S32" s="29"/>
      <c r="T32" s="29"/>
      <c r="U32" s="29"/>
      <c r="W32" s="29"/>
      <c r="X32" s="29"/>
      <c r="Y32" s="29"/>
      <c r="Z32" s="29"/>
      <c r="AA32" s="29"/>
      <c r="AC32" s="46"/>
      <c r="AD32" s="46">
        <f>BL42</f>
        <v>6.2618182311531545E-2</v>
      </c>
      <c r="AE32" s="46">
        <f>BM42</f>
        <v>0.66352616164202827</v>
      </c>
      <c r="AF32" s="46">
        <f>BN42</f>
        <v>0.26756814508675325</v>
      </c>
      <c r="AG32" s="46"/>
      <c r="AH32" t="s">
        <v>170</v>
      </c>
      <c r="AM32" s="42"/>
      <c r="AN32">
        <v>29</v>
      </c>
      <c r="AO32">
        <v>9</v>
      </c>
      <c r="AP32">
        <v>3</v>
      </c>
      <c r="BK32" s="33"/>
      <c r="BL32" s="33"/>
      <c r="BM32" s="33"/>
      <c r="BN32" s="33"/>
      <c r="BO32" s="33"/>
      <c r="BR32" s="87"/>
      <c r="BS32" s="56"/>
      <c r="BT32" s="56"/>
      <c r="BU32" s="56"/>
      <c r="BV32" s="56"/>
      <c r="BW32" s="56"/>
      <c r="BX32" s="56"/>
      <c r="BY32" s="56"/>
      <c r="BZ32" s="56"/>
      <c r="CA32" s="56"/>
      <c r="CB32" s="56"/>
      <c r="CC32" s="56"/>
      <c r="CD32" s="56"/>
      <c r="CE32" s="56"/>
      <c r="CF32" s="89">
        <f t="shared" si="7"/>
        <v>0</v>
      </c>
      <c r="CG32" s="89">
        <f t="shared" si="8"/>
        <v>0</v>
      </c>
      <c r="CH32" s="88"/>
    </row>
    <row r="33" spans="1:86" ht="15">
      <c r="A33">
        <f t="shared" si="5"/>
        <v>2001</v>
      </c>
      <c r="B33" s="29"/>
      <c r="C33" s="29"/>
      <c r="D33" s="29"/>
      <c r="E33" s="29"/>
      <c r="G33" s="29"/>
      <c r="H33" s="29"/>
      <c r="I33" s="29"/>
      <c r="J33" s="29"/>
      <c r="L33" s="29"/>
      <c r="M33" s="29"/>
      <c r="N33" s="29"/>
      <c r="O33" s="29"/>
      <c r="P33" s="29"/>
      <c r="Q33" s="29"/>
      <c r="R33" s="29"/>
      <c r="S33" s="29"/>
      <c r="T33" s="29"/>
      <c r="U33" s="29"/>
      <c r="W33" s="29"/>
      <c r="X33" s="29"/>
      <c r="Y33" s="29"/>
      <c r="Z33" s="29"/>
      <c r="AA33" s="29"/>
      <c r="AC33" s="46"/>
      <c r="AD33" s="46">
        <f>BL42</f>
        <v>6.2618182311531545E-2</v>
      </c>
      <c r="AE33" s="46">
        <f>BM42</f>
        <v>0.66352616164202827</v>
      </c>
      <c r="AF33" s="46">
        <f>BN42</f>
        <v>0.26756814508675325</v>
      </c>
      <c r="AG33" s="46"/>
      <c r="AM33" s="42"/>
      <c r="BK33" s="33"/>
      <c r="BL33" s="33"/>
      <c r="BM33" s="33"/>
      <c r="BN33" s="33"/>
      <c r="BO33" s="33"/>
      <c r="BR33" s="87"/>
      <c r="BS33" s="56"/>
      <c r="BT33" s="56"/>
      <c r="BU33" s="56"/>
      <c r="BV33" s="56"/>
      <c r="BW33" s="56"/>
      <c r="BX33" s="56"/>
      <c r="BY33" s="56"/>
      <c r="BZ33" s="56"/>
      <c r="CA33" s="56"/>
      <c r="CB33" s="56"/>
      <c r="CC33" s="56"/>
      <c r="CD33" s="56"/>
      <c r="CE33" s="56"/>
      <c r="CF33" s="89">
        <f t="shared" si="7"/>
        <v>0</v>
      </c>
      <c r="CG33" s="89">
        <f t="shared" si="8"/>
        <v>0</v>
      </c>
      <c r="CH33" s="88"/>
    </row>
    <row r="34" spans="1:86" ht="15">
      <c r="A34">
        <f t="shared" si="5"/>
        <v>2002</v>
      </c>
      <c r="B34" s="29"/>
      <c r="C34" s="29"/>
      <c r="D34" s="29"/>
      <c r="E34" s="29"/>
      <c r="G34" s="29"/>
      <c r="H34" s="29"/>
      <c r="I34" s="29"/>
      <c r="J34" s="29"/>
      <c r="L34" s="29"/>
      <c r="M34" s="29"/>
      <c r="N34" s="29"/>
      <c r="O34" s="29"/>
      <c r="P34" s="29"/>
      <c r="Q34" s="29"/>
      <c r="R34" s="29"/>
      <c r="S34" s="29"/>
      <c r="T34" s="29"/>
      <c r="U34" s="29"/>
      <c r="W34" s="29"/>
      <c r="X34" s="29"/>
      <c r="Y34" s="29"/>
      <c r="Z34" s="29"/>
      <c r="AA34" s="29"/>
      <c r="AC34" s="46"/>
      <c r="AD34" s="46">
        <f>BL42</f>
        <v>6.2618182311531545E-2</v>
      </c>
      <c r="AE34" s="46">
        <f>BM42</f>
        <v>0.66352616164202827</v>
      </c>
      <c r="AF34" s="46">
        <f>BN42</f>
        <v>0.26756814508675325</v>
      </c>
      <c r="AG34" s="46"/>
      <c r="AM34" s="42"/>
      <c r="BK34" s="33"/>
      <c r="BL34" s="33"/>
      <c r="BM34" s="33"/>
      <c r="BN34" s="33"/>
      <c r="BO34" s="33"/>
      <c r="BR34" s="87"/>
      <c r="BS34" s="56"/>
      <c r="BT34" s="56"/>
      <c r="BU34" s="56"/>
      <c r="BV34" s="56"/>
      <c r="BW34" s="56"/>
      <c r="BX34" s="56"/>
      <c r="BY34" s="56"/>
      <c r="BZ34" s="56"/>
      <c r="CA34" s="56"/>
      <c r="CB34" s="56"/>
      <c r="CC34" s="56"/>
      <c r="CD34" s="56"/>
      <c r="CE34" s="56"/>
      <c r="CF34" s="89">
        <f t="shared" si="7"/>
        <v>0</v>
      </c>
      <c r="CG34" s="89">
        <f t="shared" si="8"/>
        <v>0</v>
      </c>
      <c r="CH34" s="88"/>
    </row>
    <row r="35" spans="1:86" ht="15">
      <c r="A35">
        <f t="shared" si="5"/>
        <v>2003</v>
      </c>
      <c r="B35" s="29"/>
      <c r="C35" s="29"/>
      <c r="D35" s="29"/>
      <c r="E35" s="29"/>
      <c r="G35" s="29"/>
      <c r="H35" s="29"/>
      <c r="I35" s="29"/>
      <c r="J35" s="29"/>
      <c r="L35" s="29"/>
      <c r="M35" s="29"/>
      <c r="N35" s="29"/>
      <c r="O35" s="29"/>
      <c r="P35" s="29"/>
      <c r="Q35" s="29">
        <f>AY35/(AY35+AZ35+BA35+BB35+BC35)</f>
        <v>0</v>
      </c>
      <c r="R35" s="29">
        <f>AZ35/(AY35+AZ35+BA35+BB35+BC35)</f>
        <v>6.5326633165829151E-2</v>
      </c>
      <c r="S35" s="29">
        <f>BA35/(AY35+AZ35+BA35+BB35+BC35)</f>
        <v>0.59296482412060303</v>
      </c>
      <c r="T35" s="29">
        <f>BB35/(AY35+AZ35+BA35+BB35+BC35)</f>
        <v>0.33165829145728642</v>
      </c>
      <c r="U35" s="29">
        <f>BC35/(AY35+AZ35+BA35+BB35+BC35)</f>
        <v>1.0050251256281407E-2</v>
      </c>
      <c r="V35">
        <f>SUM(AY35:BC35)</f>
        <v>199</v>
      </c>
      <c r="W35" s="29"/>
      <c r="X35" s="29"/>
      <c r="Y35" s="29"/>
      <c r="Z35" s="29"/>
      <c r="AA35" s="29"/>
      <c r="AC35" s="29"/>
      <c r="AD35" s="29"/>
      <c r="AE35" s="29"/>
      <c r="AF35" s="29"/>
      <c r="AG35" s="29"/>
      <c r="AH35" t="s">
        <v>129</v>
      </c>
      <c r="AM35" s="42"/>
      <c r="AZ35">
        <v>13</v>
      </c>
      <c r="BA35">
        <v>118</v>
      </c>
      <c r="BB35">
        <v>66</v>
      </c>
      <c r="BC35">
        <v>2</v>
      </c>
      <c r="BD35">
        <f>SUM(AY35:BC35)</f>
        <v>199</v>
      </c>
      <c r="BL35">
        <v>13</v>
      </c>
      <c r="BM35">
        <v>118</v>
      </c>
      <c r="BN35">
        <v>66</v>
      </c>
      <c r="BO35">
        <v>2</v>
      </c>
      <c r="BP35">
        <f>SUM(BK35:BO35)</f>
        <v>199</v>
      </c>
      <c r="BR35" s="87"/>
      <c r="BS35" s="56"/>
      <c r="BT35" s="56">
        <v>13</v>
      </c>
      <c r="BU35" s="56"/>
      <c r="BV35" s="56">
        <v>6</v>
      </c>
      <c r="BW35" s="56">
        <v>112</v>
      </c>
      <c r="BX35" s="56"/>
      <c r="BY35" s="56"/>
      <c r="BZ35" s="56">
        <v>60</v>
      </c>
      <c r="CA35" s="56">
        <v>6</v>
      </c>
      <c r="CB35" s="56">
        <v>1</v>
      </c>
      <c r="CC35" s="56">
        <v>1</v>
      </c>
      <c r="CD35" s="56"/>
      <c r="CE35" s="56">
        <f>SUM(BR35:CD35)</f>
        <v>199</v>
      </c>
      <c r="CF35" s="89">
        <f t="shared" si="7"/>
        <v>9.5477386934673358</v>
      </c>
      <c r="CG35" s="89">
        <f t="shared" si="8"/>
        <v>90.452261306532662</v>
      </c>
      <c r="CH35" s="88" t="s">
        <v>236</v>
      </c>
    </row>
    <row r="36" spans="1:86" ht="15">
      <c r="A36">
        <f t="shared" si="5"/>
        <v>2004</v>
      </c>
      <c r="B36" s="29"/>
      <c r="C36" s="29"/>
      <c r="D36" s="29"/>
      <c r="E36" s="29"/>
      <c r="G36" s="29"/>
      <c r="H36" s="29"/>
      <c r="I36" s="29"/>
      <c r="J36" s="29"/>
      <c r="L36" s="29"/>
      <c r="M36" s="29"/>
      <c r="N36" s="29"/>
      <c r="O36" s="29"/>
      <c r="P36" s="29"/>
      <c r="Q36" s="29"/>
      <c r="R36" s="29"/>
      <c r="S36" s="29"/>
      <c r="T36" s="29"/>
      <c r="U36" s="29"/>
      <c r="W36" s="29"/>
      <c r="X36" s="29"/>
      <c r="Y36" s="29"/>
      <c r="Z36" s="29"/>
      <c r="AA36" s="29"/>
      <c r="AC36" s="46"/>
      <c r="AD36" s="46">
        <f>BL$42</f>
        <v>6.2618182311531545E-2</v>
      </c>
      <c r="AE36" s="46">
        <f>BM$42</f>
        <v>0.66352616164202827</v>
      </c>
      <c r="AF36" s="46">
        <f>BN$42</f>
        <v>0.26756814508675325</v>
      </c>
      <c r="AG36" s="46"/>
      <c r="AH36" t="s">
        <v>128</v>
      </c>
      <c r="AM36" s="42"/>
      <c r="BK36" s="33"/>
      <c r="BL36" s="33"/>
      <c r="BM36" s="33"/>
      <c r="BN36" s="33"/>
      <c r="BO36" s="33"/>
      <c r="BR36" s="87"/>
      <c r="BS36" s="56"/>
      <c r="BT36" s="56"/>
      <c r="BU36" s="56"/>
      <c r="BV36" s="56"/>
      <c r="BW36" s="56"/>
      <c r="BX36" s="56"/>
      <c r="BY36" s="56"/>
      <c r="BZ36" s="56"/>
      <c r="CA36" s="56"/>
      <c r="CB36" s="56"/>
      <c r="CC36" s="56"/>
      <c r="CD36" s="56"/>
      <c r="CE36" s="56"/>
      <c r="CF36" s="89">
        <f t="shared" si="7"/>
        <v>0</v>
      </c>
      <c r="CG36" s="89">
        <f t="shared" si="8"/>
        <v>0</v>
      </c>
      <c r="CH36" s="88"/>
    </row>
    <row r="37" spans="1:86" ht="15">
      <c r="A37">
        <f t="shared" si="5"/>
        <v>2005</v>
      </c>
      <c r="B37" s="29"/>
      <c r="C37" s="29"/>
      <c r="D37" s="29"/>
      <c r="E37" s="29"/>
      <c r="G37" s="29"/>
      <c r="H37" s="29"/>
      <c r="I37" s="29"/>
      <c r="J37" s="29"/>
      <c r="L37" s="29"/>
      <c r="M37" s="29"/>
      <c r="N37" s="29"/>
      <c r="O37" s="29"/>
      <c r="P37" s="29"/>
      <c r="Q37" s="29">
        <f>AY37/(AY37+AZ37+BA37+BB37+BC37)</f>
        <v>1.1976047904191617E-2</v>
      </c>
      <c r="R37" s="29">
        <f>AZ37/(AY37+AZ37+BA37+BB37+BC37)</f>
        <v>7.1856287425149698E-2</v>
      </c>
      <c r="S37" s="29">
        <f>BA37/(AY37+AZ37+BA37+BB37+BC37)</f>
        <v>0.49700598802395207</v>
      </c>
      <c r="T37" s="29">
        <f>BB37/(AY37+AZ37+BA37+BB37+BC37)</f>
        <v>0.3772455089820359</v>
      </c>
      <c r="U37" s="29">
        <f>BC37/(AY37+AZ37+BA37+BB37+BC37)</f>
        <v>4.1916167664670656E-2</v>
      </c>
      <c r="V37">
        <f>SUM(AY37:BC37)</f>
        <v>167</v>
      </c>
      <c r="W37" s="29"/>
      <c r="X37" s="29"/>
      <c r="Y37" s="29"/>
      <c r="Z37" s="29"/>
      <c r="AA37" s="29"/>
      <c r="AC37" s="29"/>
      <c r="AD37" s="29"/>
      <c r="AE37" s="29"/>
      <c r="AF37" s="29"/>
      <c r="AG37" s="29"/>
      <c r="AH37" t="s">
        <v>129</v>
      </c>
      <c r="AM37" s="42"/>
      <c r="AY37">
        <v>2</v>
      </c>
      <c r="AZ37">
        <v>12</v>
      </c>
      <c r="BA37">
        <v>83</v>
      </c>
      <c r="BB37">
        <v>63</v>
      </c>
      <c r="BC37">
        <v>7</v>
      </c>
      <c r="BD37">
        <f>SUM(AY37:BC37)</f>
        <v>167</v>
      </c>
      <c r="BK37">
        <v>2</v>
      </c>
      <c r="BL37">
        <v>12</v>
      </c>
      <c r="BM37">
        <v>83</v>
      </c>
      <c r="BN37">
        <v>63</v>
      </c>
      <c r="BO37">
        <v>7</v>
      </c>
      <c r="BP37">
        <f>SUM(BK37:BO37)</f>
        <v>167</v>
      </c>
      <c r="BR37" s="87">
        <v>1</v>
      </c>
      <c r="BS37" s="56">
        <v>1</v>
      </c>
      <c r="BT37" s="56">
        <v>7</v>
      </c>
      <c r="BU37" s="56">
        <v>5</v>
      </c>
      <c r="BV37" s="56">
        <v>3</v>
      </c>
      <c r="BW37" s="56">
        <v>80</v>
      </c>
      <c r="BX37" s="56"/>
      <c r="BY37" s="56"/>
      <c r="BZ37" s="56">
        <v>21</v>
      </c>
      <c r="CA37" s="56">
        <v>42</v>
      </c>
      <c r="CB37" s="56"/>
      <c r="CC37" s="56">
        <v>7</v>
      </c>
      <c r="CD37" s="56"/>
      <c r="CE37" s="56">
        <f>SUM(BR37:CD37)</f>
        <v>167</v>
      </c>
      <c r="CF37" s="89">
        <f t="shared" si="7"/>
        <v>6.5868263473053901</v>
      </c>
      <c r="CG37" s="89">
        <f t="shared" si="8"/>
        <v>93.41317365269461</v>
      </c>
      <c r="CH37" s="88" t="s">
        <v>236</v>
      </c>
    </row>
    <row r="38" spans="1:86" ht="15">
      <c r="A38">
        <f t="shared" si="5"/>
        <v>2006</v>
      </c>
      <c r="B38" s="29"/>
      <c r="C38" s="29"/>
      <c r="D38" s="29"/>
      <c r="E38" s="29"/>
      <c r="G38" s="29"/>
      <c r="H38" s="29"/>
      <c r="I38" s="29"/>
      <c r="J38" s="29"/>
      <c r="L38" s="29"/>
      <c r="M38" s="29"/>
      <c r="N38" s="29"/>
      <c r="O38" s="29"/>
      <c r="P38" s="29"/>
      <c r="Q38" s="29">
        <f>AY38/(AY38+AZ38+BA38+BB38+BC38)</f>
        <v>0</v>
      </c>
      <c r="R38" s="29">
        <f>AZ38/(AY38+AZ38+BA38+BB38+BC38)</f>
        <v>1.7543859649122806E-2</v>
      </c>
      <c r="S38" s="29">
        <f>BA38/(AY38+AZ38+BA38+BB38+BC38)</f>
        <v>0.77192982456140347</v>
      </c>
      <c r="T38" s="29">
        <f>BB38/(AY38+AZ38+BA38+BB38+BC38)</f>
        <v>0.19298245614035087</v>
      </c>
      <c r="U38" s="29">
        <f>BC38/(AY38+AZ38+BA38+BB38+BC38)</f>
        <v>1.7543859649122806E-2</v>
      </c>
      <c r="V38">
        <f>SUM(AY38:BC38)</f>
        <v>57</v>
      </c>
      <c r="W38" s="29"/>
      <c r="X38" s="29"/>
      <c r="Y38" s="29"/>
      <c r="Z38" s="29"/>
      <c r="AA38" s="29"/>
      <c r="AC38" s="29"/>
      <c r="AD38" s="29"/>
      <c r="AE38" s="29"/>
      <c r="AF38" s="29"/>
      <c r="AG38" s="29"/>
      <c r="AH38" t="s">
        <v>129</v>
      </c>
      <c r="AM38" s="42"/>
      <c r="AZ38">
        <v>1</v>
      </c>
      <c r="BA38">
        <v>44</v>
      </c>
      <c r="BB38">
        <v>11</v>
      </c>
      <c r="BC38">
        <v>1</v>
      </c>
      <c r="BD38">
        <f>SUM(AY38:BC38)</f>
        <v>57</v>
      </c>
      <c r="BL38">
        <v>1</v>
      </c>
      <c r="BM38">
        <v>44</v>
      </c>
      <c r="BN38">
        <v>11</v>
      </c>
      <c r="BO38">
        <v>1</v>
      </c>
      <c r="BP38">
        <f>SUM(BK38:BO38)</f>
        <v>57</v>
      </c>
      <c r="BR38" s="87"/>
      <c r="BS38" s="56"/>
      <c r="BT38" s="56">
        <v>1</v>
      </c>
      <c r="BU38" s="56"/>
      <c r="BV38" s="56">
        <v>6</v>
      </c>
      <c r="BW38" s="56">
        <v>38</v>
      </c>
      <c r="BX38" s="56"/>
      <c r="BY38" s="56"/>
      <c r="BZ38" s="56">
        <v>7</v>
      </c>
      <c r="CA38" s="56">
        <v>4</v>
      </c>
      <c r="CB38" s="56"/>
      <c r="CC38" s="56">
        <v>1</v>
      </c>
      <c r="CD38" s="56"/>
      <c r="CE38" s="56">
        <f>SUM(BR38:CD38)</f>
        <v>57</v>
      </c>
      <c r="CF38" s="89">
        <f t="shared" si="7"/>
        <v>12.280701754385964</v>
      </c>
      <c r="CG38" s="89">
        <f t="shared" si="8"/>
        <v>87.719298245614027</v>
      </c>
      <c r="CH38" s="88" t="s">
        <v>236</v>
      </c>
    </row>
    <row r="39" spans="1:86" ht="15.6" thickBot="1">
      <c r="A39">
        <v>2007</v>
      </c>
      <c r="AC39" s="46"/>
      <c r="AD39" s="46">
        <f t="shared" ref="AD39:AD47" si="22">BL$42</f>
        <v>6.2618182311531545E-2</v>
      </c>
      <c r="AE39" s="46">
        <f t="shared" ref="AE39:AE47" si="23">BM$42</f>
        <v>0.66352616164202827</v>
      </c>
      <c r="AF39" s="46">
        <f t="shared" ref="AF39:AF47" si="24">BN$42</f>
        <v>0.26756814508675325</v>
      </c>
      <c r="AG39" s="46"/>
      <c r="BR39" s="90">
        <v>1</v>
      </c>
      <c r="BS39" s="91"/>
      <c r="BT39" s="91">
        <v>2</v>
      </c>
      <c r="BU39" s="91"/>
      <c r="BV39" s="91">
        <v>7</v>
      </c>
      <c r="BW39" s="91">
        <v>2</v>
      </c>
      <c r="BX39" s="91"/>
      <c r="BY39" s="91"/>
      <c r="BZ39" s="91">
        <v>8</v>
      </c>
      <c r="CA39" s="91"/>
      <c r="CB39" s="91"/>
      <c r="CC39" s="91"/>
      <c r="CD39" s="91"/>
      <c r="CE39" s="91">
        <f>SUM(BR39:CD39)</f>
        <v>20</v>
      </c>
      <c r="CF39" s="92">
        <f t="shared" si="7"/>
        <v>50</v>
      </c>
      <c r="CG39" s="92">
        <f t="shared" si="8"/>
        <v>50</v>
      </c>
      <c r="CH39" s="93" t="s">
        <v>8</v>
      </c>
    </row>
    <row r="40" spans="1:86" ht="12.6" thickTop="1">
      <c r="A40">
        <v>2008</v>
      </c>
      <c r="AC40" s="46"/>
      <c r="AD40" s="46">
        <f t="shared" si="22"/>
        <v>6.2618182311531545E-2</v>
      </c>
      <c r="AE40" s="46">
        <f t="shared" si="23"/>
        <v>0.66352616164202827</v>
      </c>
      <c r="AF40" s="46">
        <f t="shared" si="24"/>
        <v>0.26756814508675325</v>
      </c>
      <c r="AG40" s="46"/>
    </row>
    <row r="41" spans="1:86">
      <c r="A41">
        <v>2009</v>
      </c>
      <c r="AC41" s="46"/>
      <c r="AD41" s="46">
        <f t="shared" si="22"/>
        <v>6.2618182311531545E-2</v>
      </c>
      <c r="AE41" s="46">
        <f t="shared" si="23"/>
        <v>0.66352616164202827</v>
      </c>
      <c r="AF41" s="46">
        <f t="shared" si="24"/>
        <v>0.26756814508675325</v>
      </c>
      <c r="AG41" s="46"/>
      <c r="BK41">
        <f>SUMPRODUCT(BK6:BK38,BP6:BP38)/SUM(BP6:BP38)</f>
        <v>0.19991055456171736</v>
      </c>
      <c r="BL41">
        <f>SUMPRODUCT(BL6:BL38,BP6:BP38)/SUM(BP6:BP38)</f>
        <v>16.513193202146692</v>
      </c>
      <c r="BM41">
        <f>SUMPRODUCT(BM6:BM38,BP6:BP38)/SUM(BP6:BP38)</f>
        <v>174.98009838998212</v>
      </c>
      <c r="BN41">
        <f>SUMPRODUCT(BN6:BN38,BP6:BP38)/SUM(BP6:BP38)</f>
        <v>70.561046511627907</v>
      </c>
      <c r="BO41">
        <f>SUMPRODUCT(BO6:BO38,BP6:BP38)/SUM(BP6:BP38)</f>
        <v>1.4581842576028623</v>
      </c>
      <c r="BP41">
        <f>SUM(BK41:BO41)</f>
        <v>263.71243291592128</v>
      </c>
    </row>
    <row r="42" spans="1:86">
      <c r="A42">
        <v>2010</v>
      </c>
      <c r="AC42" s="46"/>
      <c r="AD42" s="46">
        <f t="shared" si="22"/>
        <v>6.2618182311531545E-2</v>
      </c>
      <c r="AE42" s="46">
        <f t="shared" si="23"/>
        <v>0.66352616164202827</v>
      </c>
      <c r="AF42" s="46">
        <f t="shared" si="24"/>
        <v>0.26756814508675325</v>
      </c>
      <c r="AG42" s="46"/>
      <c r="BK42" s="29">
        <f>BK41/BP41</f>
        <v>7.5806268347406391E-4</v>
      </c>
      <c r="BL42" s="29">
        <f>BL41/BP41</f>
        <v>6.2618182311531545E-2</v>
      </c>
      <c r="BM42" s="29">
        <f>BM41/BP41</f>
        <v>0.66352616164202827</v>
      </c>
      <c r="BN42" s="29">
        <f>BN41/BP41</f>
        <v>0.26756814508675325</v>
      </c>
      <c r="BO42" s="29">
        <f>BO41/BP41</f>
        <v>5.5294482762129433E-3</v>
      </c>
    </row>
    <row r="43" spans="1:86">
      <c r="A43">
        <v>2011</v>
      </c>
      <c r="AC43" s="46"/>
      <c r="AD43" s="46">
        <f t="shared" si="22"/>
        <v>6.2618182311531545E-2</v>
      </c>
      <c r="AE43" s="46">
        <f t="shared" si="23"/>
        <v>0.66352616164202827</v>
      </c>
      <c r="AF43" s="46">
        <f t="shared" si="24"/>
        <v>0.26756814508675325</v>
      </c>
      <c r="AG43" s="46"/>
    </row>
    <row r="44" spans="1:86">
      <c r="A44">
        <v>2012</v>
      </c>
      <c r="AC44" s="46"/>
      <c r="AD44" s="46">
        <f t="shared" si="22"/>
        <v>6.2618182311531545E-2</v>
      </c>
      <c r="AE44" s="46">
        <f t="shared" si="23"/>
        <v>0.66352616164202827</v>
      </c>
      <c r="AF44" s="46">
        <f t="shared" si="24"/>
        <v>0.26756814508675325</v>
      </c>
      <c r="AG44" s="46"/>
    </row>
    <row r="45" spans="1:86">
      <c r="A45">
        <v>2013</v>
      </c>
      <c r="AC45" s="46"/>
      <c r="AD45" s="46">
        <f t="shared" si="22"/>
        <v>6.2618182311531545E-2</v>
      </c>
      <c r="AE45" s="46">
        <f t="shared" si="23"/>
        <v>0.66352616164202827</v>
      </c>
      <c r="AF45" s="46">
        <f t="shared" si="24"/>
        <v>0.26756814508675325</v>
      </c>
      <c r="AG45" s="46"/>
      <c r="AM45" s="44"/>
    </row>
    <row r="46" spans="1:86">
      <c r="A46">
        <v>2014</v>
      </c>
      <c r="AC46" s="46"/>
      <c r="AD46" s="46">
        <f t="shared" si="22"/>
        <v>6.2618182311531545E-2</v>
      </c>
      <c r="AE46" s="46">
        <f t="shared" si="23"/>
        <v>0.66352616164202827</v>
      </c>
      <c r="AF46" s="46">
        <f t="shared" si="24"/>
        <v>0.26756814508675325</v>
      </c>
      <c r="AG46" s="46"/>
    </row>
    <row r="47" spans="1:86">
      <c r="AC47" s="46"/>
      <c r="AD47" s="46">
        <f t="shared" si="22"/>
        <v>6.2618182311531545E-2</v>
      </c>
      <c r="AE47" s="46">
        <f t="shared" si="23"/>
        <v>0.66352616164202827</v>
      </c>
      <c r="AF47" s="46">
        <f t="shared" si="24"/>
        <v>0.26756814508675325</v>
      </c>
      <c r="AG47" s="46"/>
    </row>
    <row r="49" spans="2:3">
      <c r="B49" s="7"/>
      <c r="C49" t="s">
        <v>165</v>
      </c>
    </row>
    <row r="50" spans="2:3">
      <c r="B50" s="4"/>
      <c r="C50" t="s">
        <v>166</v>
      </c>
    </row>
    <row r="51" spans="2:3">
      <c r="B51" s="34"/>
      <c r="C51" t="s">
        <v>167</v>
      </c>
    </row>
    <row r="52" spans="2:3">
      <c r="B52" s="39"/>
      <c r="C52" t="s">
        <v>171</v>
      </c>
    </row>
    <row r="53" spans="2:3">
      <c r="B53" s="33"/>
      <c r="C53" t="s">
        <v>188</v>
      </c>
    </row>
  </sheetData>
  <phoneticPr fontId="3" type="noConversion"/>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62"/>
  <sheetViews>
    <sheetView workbookViewId="0">
      <pane ySplit="3" topLeftCell="A35" activePane="bottomLeft" state="frozen"/>
      <selection pane="bottomLeft" activeCell="B63" sqref="B63"/>
    </sheetView>
  </sheetViews>
  <sheetFormatPr defaultColWidth="8.88671875" defaultRowHeight="12"/>
  <cols>
    <col min="12" max="12" width="24.109375" customWidth="1"/>
  </cols>
  <sheetData>
    <row r="1" spans="1:25">
      <c r="M1" t="s">
        <v>48</v>
      </c>
    </row>
    <row r="2" spans="1:25">
      <c r="B2" t="s">
        <v>19</v>
      </c>
      <c r="G2" t="s">
        <v>20</v>
      </c>
      <c r="M2" t="s">
        <v>19</v>
      </c>
      <c r="S2" t="s">
        <v>20</v>
      </c>
      <c r="X2" t="s">
        <v>50</v>
      </c>
    </row>
    <row r="3" spans="1:25">
      <c r="A3" t="s">
        <v>7</v>
      </c>
      <c r="B3" t="s">
        <v>42</v>
      </c>
      <c r="C3" t="s">
        <v>43</v>
      </c>
      <c r="D3" t="s">
        <v>15</v>
      </c>
      <c r="E3" t="s">
        <v>16</v>
      </c>
      <c r="F3" t="s">
        <v>44</v>
      </c>
      <c r="G3" t="s">
        <v>42</v>
      </c>
      <c r="H3" t="s">
        <v>43</v>
      </c>
      <c r="I3" t="s">
        <v>44</v>
      </c>
      <c r="J3" s="9" t="s">
        <v>52</v>
      </c>
      <c r="K3" t="s">
        <v>4</v>
      </c>
      <c r="L3" t="s">
        <v>18</v>
      </c>
      <c r="M3" t="s">
        <v>42</v>
      </c>
      <c r="N3" t="s">
        <v>43</v>
      </c>
      <c r="O3" t="s">
        <v>15</v>
      </c>
      <c r="P3" t="s">
        <v>16</v>
      </c>
      <c r="Q3" t="s">
        <v>44</v>
      </c>
      <c r="R3" t="s">
        <v>46</v>
      </c>
      <c r="S3" t="s">
        <v>42</v>
      </c>
      <c r="T3" t="s">
        <v>43</v>
      </c>
      <c r="U3" t="s">
        <v>44</v>
      </c>
      <c r="V3" t="s">
        <v>47</v>
      </c>
      <c r="W3" t="s">
        <v>18</v>
      </c>
      <c r="X3" t="s">
        <v>19</v>
      </c>
      <c r="Y3" t="s">
        <v>20</v>
      </c>
    </row>
    <row r="4" spans="1:25">
      <c r="A4">
        <v>1950</v>
      </c>
    </row>
    <row r="5" spans="1:25">
      <c r="A5">
        <f t="shared" ref="A5:A36" si="0">A4+1</f>
        <v>1951</v>
      </c>
    </row>
    <row r="6" spans="1:25">
      <c r="A6">
        <f t="shared" si="0"/>
        <v>1952</v>
      </c>
    </row>
    <row r="7" spans="1:25">
      <c r="A7">
        <f t="shared" si="0"/>
        <v>1953</v>
      </c>
    </row>
    <row r="8" spans="1:25">
      <c r="A8">
        <f t="shared" si="0"/>
        <v>1954</v>
      </c>
    </row>
    <row r="9" spans="1:25">
      <c r="A9">
        <f t="shared" si="0"/>
        <v>1955</v>
      </c>
    </row>
    <row r="10" spans="1:25">
      <c r="A10">
        <f t="shared" si="0"/>
        <v>1956</v>
      </c>
    </row>
    <row r="11" spans="1:25">
      <c r="A11">
        <f t="shared" si="0"/>
        <v>1957</v>
      </c>
    </row>
    <row r="12" spans="1:25">
      <c r="A12">
        <f t="shared" si="0"/>
        <v>1958</v>
      </c>
    </row>
    <row r="13" spans="1:25">
      <c r="A13">
        <f t="shared" si="0"/>
        <v>1959</v>
      </c>
    </row>
    <row r="14" spans="1:25">
      <c r="A14">
        <f t="shared" si="0"/>
        <v>1960</v>
      </c>
    </row>
    <row r="15" spans="1:25">
      <c r="A15">
        <f t="shared" si="0"/>
        <v>1961</v>
      </c>
    </row>
    <row r="16" spans="1:25">
      <c r="A16">
        <f t="shared" si="0"/>
        <v>1962</v>
      </c>
    </row>
    <row r="17" spans="1:10">
      <c r="A17">
        <f t="shared" si="0"/>
        <v>1963</v>
      </c>
    </row>
    <row r="18" spans="1:10">
      <c r="A18">
        <f t="shared" si="0"/>
        <v>1964</v>
      </c>
    </row>
    <row r="19" spans="1:10">
      <c r="A19">
        <f t="shared" si="0"/>
        <v>1965</v>
      </c>
    </row>
    <row r="20" spans="1:10">
      <c r="A20">
        <f t="shared" si="0"/>
        <v>1966</v>
      </c>
    </row>
    <row r="21" spans="1:10">
      <c r="A21">
        <f t="shared" si="0"/>
        <v>1967</v>
      </c>
    </row>
    <row r="22" spans="1:10">
      <c r="A22">
        <f t="shared" si="0"/>
        <v>1968</v>
      </c>
    </row>
    <row r="23" spans="1:10">
      <c r="A23">
        <f t="shared" si="0"/>
        <v>1969</v>
      </c>
    </row>
    <row r="24" spans="1:10">
      <c r="A24">
        <f t="shared" si="0"/>
        <v>1970</v>
      </c>
    </row>
    <row r="25" spans="1:10">
      <c r="A25">
        <f t="shared" si="0"/>
        <v>1971</v>
      </c>
    </row>
    <row r="26" spans="1:10">
      <c r="A26">
        <f t="shared" si="0"/>
        <v>1972</v>
      </c>
    </row>
    <row r="27" spans="1:10">
      <c r="A27">
        <f t="shared" si="0"/>
        <v>1973</v>
      </c>
    </row>
    <row r="28" spans="1:10">
      <c r="A28">
        <f t="shared" si="0"/>
        <v>1974</v>
      </c>
    </row>
    <row r="29" spans="1:10">
      <c r="A29">
        <f t="shared" si="0"/>
        <v>1975</v>
      </c>
      <c r="J29">
        <v>336</v>
      </c>
    </row>
    <row r="30" spans="1:10">
      <c r="A30">
        <f t="shared" si="0"/>
        <v>1976</v>
      </c>
      <c r="J30">
        <v>1213</v>
      </c>
    </row>
    <row r="31" spans="1:10">
      <c r="A31">
        <f t="shared" si="0"/>
        <v>1977</v>
      </c>
      <c r="J31">
        <v>1019</v>
      </c>
    </row>
    <row r="32" spans="1:10">
      <c r="A32">
        <f t="shared" si="0"/>
        <v>1978</v>
      </c>
      <c r="J32">
        <v>3322</v>
      </c>
    </row>
    <row r="33" spans="1:26">
      <c r="A33">
        <f t="shared" si="0"/>
        <v>1979</v>
      </c>
      <c r="J33">
        <v>3653</v>
      </c>
    </row>
    <row r="34" spans="1:26">
      <c r="A34">
        <f t="shared" si="0"/>
        <v>1980</v>
      </c>
      <c r="J34">
        <v>865</v>
      </c>
      <c r="M34">
        <v>22872</v>
      </c>
      <c r="N34">
        <v>0</v>
      </c>
      <c r="O34">
        <v>21361</v>
      </c>
      <c r="P34">
        <v>3794</v>
      </c>
      <c r="Q34">
        <v>0</v>
      </c>
      <c r="R34">
        <f t="shared" ref="R34:R42" si="1">SUM(M34:Q34)</f>
        <v>48027</v>
      </c>
      <c r="S34">
        <v>84395</v>
      </c>
      <c r="U34">
        <v>0</v>
      </c>
      <c r="V34">
        <f t="shared" ref="V34:V42" si="2">SUM(S34:U34)</f>
        <v>84395</v>
      </c>
      <c r="W34" t="s">
        <v>61</v>
      </c>
    </row>
    <row r="35" spans="1:26">
      <c r="A35">
        <f t="shared" si="0"/>
        <v>1981</v>
      </c>
      <c r="J35">
        <v>1708</v>
      </c>
      <c r="M35">
        <v>22559</v>
      </c>
      <c r="N35">
        <v>0</v>
      </c>
      <c r="O35">
        <v>19224</v>
      </c>
      <c r="P35">
        <v>2926</v>
      </c>
      <c r="Q35">
        <v>0</v>
      </c>
      <c r="R35">
        <f t="shared" si="1"/>
        <v>44709</v>
      </c>
      <c r="S35">
        <v>87964</v>
      </c>
      <c r="U35">
        <v>0</v>
      </c>
      <c r="V35">
        <f t="shared" si="2"/>
        <v>87964</v>
      </c>
      <c r="W35" t="s">
        <v>45</v>
      </c>
    </row>
    <row r="36" spans="1:26">
      <c r="A36">
        <f t="shared" si="0"/>
        <v>1982</v>
      </c>
      <c r="J36">
        <v>1557</v>
      </c>
      <c r="M36">
        <v>9790</v>
      </c>
      <c r="N36">
        <v>0</v>
      </c>
      <c r="O36">
        <v>6227</v>
      </c>
      <c r="P36">
        <v>1012</v>
      </c>
      <c r="Q36">
        <v>0</v>
      </c>
      <c r="R36">
        <f t="shared" si="1"/>
        <v>17029</v>
      </c>
      <c r="S36">
        <v>11604</v>
      </c>
      <c r="U36">
        <v>0</v>
      </c>
      <c r="V36">
        <f t="shared" si="2"/>
        <v>11604</v>
      </c>
      <c r="W36" t="s">
        <v>61</v>
      </c>
    </row>
    <row r="37" spans="1:26">
      <c r="A37">
        <f t="shared" ref="A37:A60" si="3">A36+1</f>
        <v>1983</v>
      </c>
      <c r="B37" s="8">
        <f>M37/R37*X37</f>
        <v>17635.639912025683</v>
      </c>
      <c r="C37" s="8">
        <f>N37/R37*X37</f>
        <v>0</v>
      </c>
      <c r="D37" s="8">
        <f>O37/R37*X37</f>
        <v>17790.019870060925</v>
      </c>
      <c r="E37" s="8">
        <f>P37/R37*X37</f>
        <v>9477.3402179133918</v>
      </c>
      <c r="F37" s="8">
        <f>Q37/R37*X37</f>
        <v>0</v>
      </c>
      <c r="G37" s="8">
        <f>S37/V37*Y37</f>
        <v>85831</v>
      </c>
      <c r="H37" s="8">
        <f>T37/V37*Y37</f>
        <v>0</v>
      </c>
      <c r="I37" s="8">
        <f>U37/V37*Y37</f>
        <v>0</v>
      </c>
      <c r="J37">
        <v>3026</v>
      </c>
      <c r="K37" s="8">
        <f>SUM(B37:J37)</f>
        <v>133760</v>
      </c>
      <c r="L37" t="s">
        <v>60</v>
      </c>
      <c r="M37">
        <v>15536</v>
      </c>
      <c r="N37">
        <v>0</v>
      </c>
      <c r="O37">
        <v>15672</v>
      </c>
      <c r="P37">
        <v>8349</v>
      </c>
      <c r="Q37">
        <v>0</v>
      </c>
      <c r="R37">
        <f t="shared" si="1"/>
        <v>39557</v>
      </c>
      <c r="S37">
        <v>77479</v>
      </c>
      <c r="T37">
        <v>0</v>
      </c>
      <c r="U37">
        <v>0</v>
      </c>
      <c r="V37">
        <f t="shared" si="2"/>
        <v>77479</v>
      </c>
      <c r="W37" t="s">
        <v>45</v>
      </c>
      <c r="X37">
        <v>44903</v>
      </c>
      <c r="Y37">
        <v>85831</v>
      </c>
    </row>
    <row r="38" spans="1:26">
      <c r="A38">
        <f t="shared" si="3"/>
        <v>1984</v>
      </c>
      <c r="B38" s="8">
        <f>M38/R38*X38</f>
        <v>8300.3223989528378</v>
      </c>
      <c r="C38" s="8">
        <f>N38/R38*X38</f>
        <v>0</v>
      </c>
      <c r="D38" s="8">
        <f>O38/R38*X38</f>
        <v>13204.815358375312</v>
      </c>
      <c r="E38" s="8">
        <f>P38/R38*X38</f>
        <v>5450.8622426718493</v>
      </c>
      <c r="F38" s="8">
        <f>Q38/R38*X38</f>
        <v>0</v>
      </c>
      <c r="G38" s="8">
        <f>S38/V38*Y38</f>
        <v>15895</v>
      </c>
      <c r="H38" s="8">
        <f>T38/V38*Y38</f>
        <v>0</v>
      </c>
      <c r="I38" s="8">
        <f>U38/V38*Y38</f>
        <v>0</v>
      </c>
      <c r="J38">
        <v>550</v>
      </c>
      <c r="K38" s="8">
        <f>SUM(B38:J38)</f>
        <v>43401</v>
      </c>
      <c r="L38" t="s">
        <v>60</v>
      </c>
      <c r="M38">
        <v>7763</v>
      </c>
      <c r="N38">
        <v>0</v>
      </c>
      <c r="O38">
        <v>12350</v>
      </c>
      <c r="P38">
        <v>5098</v>
      </c>
      <c r="Q38">
        <v>0</v>
      </c>
      <c r="R38">
        <f t="shared" si="1"/>
        <v>25211</v>
      </c>
      <c r="S38">
        <v>25300</v>
      </c>
      <c r="T38">
        <v>0</v>
      </c>
      <c r="U38">
        <v>0</v>
      </c>
      <c r="V38">
        <f t="shared" si="2"/>
        <v>25300</v>
      </c>
      <c r="W38" t="s">
        <v>45</v>
      </c>
      <c r="X38">
        <v>26956</v>
      </c>
      <c r="Y38">
        <v>15895</v>
      </c>
      <c r="Z38" t="s">
        <v>58</v>
      </c>
    </row>
    <row r="39" spans="1:26">
      <c r="A39">
        <f t="shared" si="3"/>
        <v>1985</v>
      </c>
      <c r="J39">
        <v>3359</v>
      </c>
      <c r="K39" s="8"/>
      <c r="M39">
        <v>17221</v>
      </c>
      <c r="N39">
        <v>3250</v>
      </c>
      <c r="O39">
        <v>21134</v>
      </c>
      <c r="P39">
        <v>9679</v>
      </c>
      <c r="Q39">
        <v>0</v>
      </c>
      <c r="R39">
        <f t="shared" si="1"/>
        <v>51284</v>
      </c>
      <c r="S39">
        <v>45506</v>
      </c>
      <c r="T39">
        <v>19127</v>
      </c>
      <c r="U39">
        <v>0</v>
      </c>
      <c r="V39">
        <f t="shared" si="2"/>
        <v>64633</v>
      </c>
      <c r="W39" t="s">
        <v>45</v>
      </c>
      <c r="X39" s="4"/>
      <c r="Y39" s="4"/>
    </row>
    <row r="40" spans="1:26">
      <c r="A40">
        <f t="shared" si="3"/>
        <v>1986</v>
      </c>
      <c r="J40">
        <v>5951</v>
      </c>
      <c r="K40" s="8"/>
      <c r="M40">
        <v>20903</v>
      </c>
      <c r="N40">
        <v>2386</v>
      </c>
      <c r="O40">
        <v>6335</v>
      </c>
      <c r="P40">
        <v>4465</v>
      </c>
      <c r="Q40">
        <v>479</v>
      </c>
      <c r="R40">
        <f t="shared" si="1"/>
        <v>34568</v>
      </c>
      <c r="S40">
        <v>40871</v>
      </c>
      <c r="T40">
        <v>10044</v>
      </c>
      <c r="U40">
        <v>9831</v>
      </c>
      <c r="V40">
        <f t="shared" si="2"/>
        <v>60746</v>
      </c>
      <c r="W40" t="s">
        <v>45</v>
      </c>
      <c r="X40" s="4"/>
      <c r="Y40" s="4"/>
    </row>
    <row r="41" spans="1:26">
      <c r="A41">
        <f t="shared" si="3"/>
        <v>1987</v>
      </c>
      <c r="B41" s="8">
        <f>M41/R41*X41</f>
        <v>25207.796328642151</v>
      </c>
      <c r="C41" s="8">
        <f>N41/R41*X41</f>
        <v>3409.9851143127325</v>
      </c>
      <c r="D41" s="8">
        <f>O41/R41*X41</f>
        <v>14180.449029315236</v>
      </c>
      <c r="E41" s="8">
        <f>P41/R41*X41</f>
        <v>30040.769527729877</v>
      </c>
      <c r="F41" s="8">
        <f>Q41/R41*X41</f>
        <v>0</v>
      </c>
      <c r="G41" s="8">
        <f>S41/V41*Y41</f>
        <v>109552.81562216852</v>
      </c>
      <c r="H41" s="8">
        <f>T41/V41*Y41</f>
        <v>29906.184377831472</v>
      </c>
      <c r="I41" s="8">
        <f>U41/V41*Y41</f>
        <v>0</v>
      </c>
      <c r="J41" s="8">
        <v>4585</v>
      </c>
      <c r="K41" s="8">
        <f>SUM(B41:J41)</f>
        <v>216883</v>
      </c>
      <c r="L41" t="s">
        <v>51</v>
      </c>
      <c r="M41">
        <v>31107</v>
      </c>
      <c r="N41">
        <v>4208</v>
      </c>
      <c r="O41">
        <v>17499</v>
      </c>
      <c r="P41">
        <v>37071</v>
      </c>
      <c r="Q41">
        <v>0</v>
      </c>
      <c r="R41">
        <f t="shared" si="1"/>
        <v>89885</v>
      </c>
      <c r="S41">
        <v>104039</v>
      </c>
      <c r="T41">
        <v>28401</v>
      </c>
      <c r="U41">
        <v>0</v>
      </c>
      <c r="V41">
        <f t="shared" si="2"/>
        <v>132440</v>
      </c>
      <c r="W41" t="s">
        <v>45</v>
      </c>
      <c r="X41">
        <v>72839</v>
      </c>
      <c r="Y41">
        <v>139459</v>
      </c>
    </row>
    <row r="42" spans="1:26">
      <c r="A42">
        <f t="shared" si="3"/>
        <v>1988</v>
      </c>
      <c r="B42" s="8">
        <f>M42/R42*X42</f>
        <v>17674.717348851744</v>
      </c>
      <c r="C42" s="8">
        <f>N42/R42*X42</f>
        <v>44.739708639275108</v>
      </c>
      <c r="D42" s="8">
        <f>O42/R42*X42</f>
        <v>22925.302023121389</v>
      </c>
      <c r="E42" s="8">
        <f>P42/R42*X42</f>
        <v>2548.4751015466331</v>
      </c>
      <c r="F42" s="8">
        <f>Q42/R42*X42</f>
        <v>33.765817840962349</v>
      </c>
      <c r="G42" s="8">
        <f>S42/V42*Y42</f>
        <v>106285.5617269942</v>
      </c>
      <c r="H42" s="8">
        <f>T42/V42*Y42</f>
        <v>5984.9511800748896</v>
      </c>
      <c r="I42" s="8">
        <f>U42/V42*Y42</f>
        <v>10846.487092930896</v>
      </c>
      <c r="J42" s="8">
        <v>62</v>
      </c>
      <c r="K42" s="8">
        <f>SUM(B42:J42)</f>
        <v>166406</v>
      </c>
      <c r="L42" t="s">
        <v>60</v>
      </c>
      <c r="M42">
        <v>20938</v>
      </c>
      <c r="N42">
        <v>53</v>
      </c>
      <c r="O42">
        <v>27158</v>
      </c>
      <c r="P42">
        <v>3019</v>
      </c>
      <c r="Q42">
        <v>40</v>
      </c>
      <c r="R42">
        <f t="shared" si="1"/>
        <v>51208</v>
      </c>
      <c r="S42">
        <v>91298</v>
      </c>
      <c r="T42">
        <v>5141</v>
      </c>
      <c r="U42">
        <v>9317</v>
      </c>
      <c r="V42">
        <f t="shared" si="2"/>
        <v>105756</v>
      </c>
      <c r="W42" t="s">
        <v>45</v>
      </c>
      <c r="X42">
        <v>43227</v>
      </c>
      <c r="Y42">
        <v>123117</v>
      </c>
    </row>
    <row r="43" spans="1:26">
      <c r="A43">
        <f t="shared" si="3"/>
        <v>1989</v>
      </c>
      <c r="B43">
        <v>3213</v>
      </c>
      <c r="C43">
        <v>171</v>
      </c>
      <c r="D43">
        <v>5115</v>
      </c>
      <c r="E43">
        <v>147</v>
      </c>
      <c r="G43">
        <v>11468</v>
      </c>
      <c r="H43">
        <v>2856</v>
      </c>
      <c r="J43">
        <v>1228</v>
      </c>
      <c r="K43">
        <f>SUM(B43:H43)</f>
        <v>22970</v>
      </c>
      <c r="L43" t="s">
        <v>21</v>
      </c>
    </row>
    <row r="44" spans="1:26">
      <c r="A44">
        <f t="shared" si="3"/>
        <v>1990</v>
      </c>
      <c r="B44">
        <v>14276</v>
      </c>
      <c r="D44">
        <v>2800</v>
      </c>
      <c r="E44">
        <v>2126</v>
      </c>
      <c r="G44">
        <v>69676</v>
      </c>
      <c r="J44">
        <v>3089</v>
      </c>
      <c r="K44">
        <f t="shared" ref="K44:K59" si="4">SUM(B44:G44)</f>
        <v>88878</v>
      </c>
      <c r="L44" t="s">
        <v>21</v>
      </c>
    </row>
    <row r="45" spans="1:26">
      <c r="A45">
        <f t="shared" si="3"/>
        <v>1991</v>
      </c>
      <c r="B45">
        <v>22476</v>
      </c>
      <c r="D45">
        <v>13508</v>
      </c>
      <c r="E45">
        <v>24033</v>
      </c>
      <c r="G45">
        <v>53664</v>
      </c>
      <c r="J45">
        <v>176</v>
      </c>
      <c r="K45">
        <f t="shared" si="4"/>
        <v>113681</v>
      </c>
      <c r="L45" t="s">
        <v>21</v>
      </c>
    </row>
    <row r="46" spans="1:26">
      <c r="A46">
        <f t="shared" si="3"/>
        <v>1992</v>
      </c>
      <c r="B46">
        <v>5560</v>
      </c>
      <c r="D46">
        <v>3771</v>
      </c>
      <c r="E46">
        <v>11</v>
      </c>
      <c r="G46">
        <v>65440</v>
      </c>
      <c r="J46">
        <v>97</v>
      </c>
      <c r="K46">
        <f t="shared" si="4"/>
        <v>74782</v>
      </c>
      <c r="L46" t="s">
        <v>21</v>
      </c>
    </row>
    <row r="47" spans="1:26">
      <c r="A47">
        <f t="shared" si="3"/>
        <v>1993</v>
      </c>
      <c r="B47">
        <v>11703</v>
      </c>
      <c r="D47">
        <v>1142</v>
      </c>
      <c r="E47">
        <v>0</v>
      </c>
      <c r="G47">
        <v>29489</v>
      </c>
      <c r="J47">
        <v>127</v>
      </c>
      <c r="K47">
        <f t="shared" si="4"/>
        <v>42334</v>
      </c>
      <c r="L47" t="s">
        <v>21</v>
      </c>
    </row>
    <row r="48" spans="1:26">
      <c r="A48">
        <f t="shared" si="3"/>
        <v>1994</v>
      </c>
      <c r="B48">
        <v>14159</v>
      </c>
      <c r="D48">
        <v>1475</v>
      </c>
      <c r="E48">
        <v>17</v>
      </c>
      <c r="G48">
        <v>248373</v>
      </c>
      <c r="J48">
        <v>9894</v>
      </c>
      <c r="K48">
        <f t="shared" si="4"/>
        <v>264024</v>
      </c>
      <c r="L48" t="s">
        <v>21</v>
      </c>
    </row>
    <row r="49" spans="1:12">
      <c r="A49">
        <f t="shared" si="3"/>
        <v>1995</v>
      </c>
      <c r="B49">
        <v>27030</v>
      </c>
      <c r="D49">
        <v>8345</v>
      </c>
      <c r="E49">
        <v>598</v>
      </c>
      <c r="G49">
        <v>30456</v>
      </c>
      <c r="J49">
        <v>438</v>
      </c>
      <c r="K49">
        <f t="shared" si="4"/>
        <v>66429</v>
      </c>
      <c r="L49" t="s">
        <v>21</v>
      </c>
    </row>
    <row r="50" spans="1:12">
      <c r="A50">
        <f t="shared" si="3"/>
        <v>1996</v>
      </c>
      <c r="B50">
        <v>14575</v>
      </c>
      <c r="D50">
        <v>2796</v>
      </c>
      <c r="E50">
        <v>54</v>
      </c>
      <c r="G50">
        <v>4633</v>
      </c>
      <c r="J50">
        <v>4</v>
      </c>
      <c r="K50">
        <f t="shared" si="4"/>
        <v>22058</v>
      </c>
      <c r="L50" t="s">
        <v>21</v>
      </c>
    </row>
    <row r="51" spans="1:12">
      <c r="A51">
        <f t="shared" si="3"/>
        <v>1997</v>
      </c>
      <c r="B51">
        <v>5576</v>
      </c>
      <c r="D51">
        <v>489</v>
      </c>
      <c r="E51">
        <v>40</v>
      </c>
      <c r="G51">
        <v>10422</v>
      </c>
      <c r="J51">
        <v>44</v>
      </c>
      <c r="K51">
        <f t="shared" si="4"/>
        <v>16527</v>
      </c>
      <c r="L51" t="s">
        <v>21</v>
      </c>
    </row>
    <row r="52" spans="1:12">
      <c r="A52">
        <f t="shared" si="3"/>
        <v>1998</v>
      </c>
      <c r="B52">
        <v>5499</v>
      </c>
      <c r="D52">
        <v>853</v>
      </c>
      <c r="E52">
        <v>52</v>
      </c>
      <c r="G52">
        <v>12581</v>
      </c>
      <c r="J52">
        <v>0</v>
      </c>
      <c r="K52">
        <f t="shared" si="4"/>
        <v>18985</v>
      </c>
      <c r="L52" t="s">
        <v>21</v>
      </c>
    </row>
    <row r="53" spans="1:12">
      <c r="A53">
        <f t="shared" si="3"/>
        <v>1999</v>
      </c>
      <c r="B53">
        <v>2578</v>
      </c>
      <c r="D53">
        <v>140</v>
      </c>
      <c r="E53">
        <v>1</v>
      </c>
      <c r="G53">
        <v>2311</v>
      </c>
      <c r="J53">
        <v>0</v>
      </c>
      <c r="K53">
        <f t="shared" si="4"/>
        <v>5030</v>
      </c>
      <c r="L53" t="s">
        <v>21</v>
      </c>
    </row>
    <row r="54" spans="1:12">
      <c r="A54">
        <f t="shared" si="3"/>
        <v>2000</v>
      </c>
      <c r="B54">
        <v>1426</v>
      </c>
      <c r="D54">
        <v>509</v>
      </c>
      <c r="E54">
        <v>0</v>
      </c>
      <c r="G54">
        <v>719</v>
      </c>
      <c r="J54">
        <v>0</v>
      </c>
      <c r="K54">
        <f t="shared" si="4"/>
        <v>2654</v>
      </c>
      <c r="L54" t="s">
        <v>21</v>
      </c>
    </row>
    <row r="55" spans="1:12">
      <c r="A55">
        <f t="shared" si="3"/>
        <v>2001</v>
      </c>
      <c r="B55">
        <v>799</v>
      </c>
      <c r="D55">
        <v>112</v>
      </c>
      <c r="E55">
        <v>0</v>
      </c>
      <c r="G55">
        <v>872</v>
      </c>
      <c r="J55">
        <v>0</v>
      </c>
      <c r="K55">
        <f t="shared" si="4"/>
        <v>1783</v>
      </c>
      <c r="L55" t="s">
        <v>21</v>
      </c>
    </row>
    <row r="56" spans="1:12">
      <c r="A56">
        <f t="shared" si="3"/>
        <v>2002</v>
      </c>
      <c r="B56">
        <v>1786</v>
      </c>
      <c r="D56">
        <v>320</v>
      </c>
      <c r="E56">
        <v>10</v>
      </c>
      <c r="G56">
        <v>2730</v>
      </c>
      <c r="J56">
        <v>0</v>
      </c>
      <c r="K56">
        <f t="shared" si="4"/>
        <v>4846</v>
      </c>
      <c r="L56" t="s">
        <v>21</v>
      </c>
    </row>
    <row r="57" spans="1:12">
      <c r="A57">
        <f t="shared" si="3"/>
        <v>2003</v>
      </c>
      <c r="B57">
        <v>3975</v>
      </c>
      <c r="D57">
        <v>261</v>
      </c>
      <c r="E57">
        <v>56</v>
      </c>
      <c r="G57">
        <v>3736</v>
      </c>
      <c r="J57">
        <v>0</v>
      </c>
      <c r="K57">
        <f t="shared" si="4"/>
        <v>8028</v>
      </c>
      <c r="L57" t="s">
        <v>21</v>
      </c>
    </row>
    <row r="58" spans="1:12">
      <c r="A58">
        <f t="shared" si="3"/>
        <v>2004</v>
      </c>
      <c r="B58">
        <v>1677</v>
      </c>
      <c r="D58">
        <v>142</v>
      </c>
      <c r="E58">
        <v>1</v>
      </c>
      <c r="G58">
        <v>1337</v>
      </c>
      <c r="J58">
        <v>1</v>
      </c>
      <c r="K58">
        <f t="shared" si="4"/>
        <v>3157</v>
      </c>
      <c r="L58" t="s">
        <v>21</v>
      </c>
    </row>
    <row r="59" spans="1:12">
      <c r="A59">
        <f t="shared" si="3"/>
        <v>2005</v>
      </c>
      <c r="B59">
        <v>961</v>
      </c>
      <c r="D59">
        <v>128</v>
      </c>
      <c r="E59">
        <v>0</v>
      </c>
      <c r="G59">
        <v>0</v>
      </c>
      <c r="K59">
        <f t="shared" si="4"/>
        <v>1089</v>
      </c>
      <c r="L59" t="s">
        <v>21</v>
      </c>
    </row>
    <row r="60" spans="1:12">
      <c r="A60">
        <f t="shared" si="3"/>
        <v>2006</v>
      </c>
    </row>
    <row r="62" spans="1:12">
      <c r="B62" s="44" t="s">
        <v>266</v>
      </c>
    </row>
  </sheetData>
  <phoneticPr fontId="3" type="noConversion"/>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7"/>
  <sheetViews>
    <sheetView workbookViewId="0">
      <selection activeCell="J25" sqref="J25"/>
    </sheetView>
  </sheetViews>
  <sheetFormatPr defaultColWidth="8" defaultRowHeight="13.2"/>
  <cols>
    <col min="1" max="1" width="8" style="1" customWidth="1"/>
    <col min="2" max="2" width="9.44140625" style="1" customWidth="1"/>
    <col min="3" max="3" width="9.33203125" style="1" customWidth="1"/>
    <col min="4" max="16384" width="8" style="1"/>
  </cols>
  <sheetData>
    <row r="1" spans="1:15">
      <c r="A1" s="1" t="s">
        <v>267</v>
      </c>
    </row>
    <row r="3" spans="1:15">
      <c r="B3" s="1" t="s">
        <v>1</v>
      </c>
      <c r="C3" s="1" t="s">
        <v>2</v>
      </c>
      <c r="D3" s="1" t="s">
        <v>3</v>
      </c>
      <c r="E3" s="1" t="s">
        <v>4</v>
      </c>
      <c r="G3" s="1" t="s">
        <v>5</v>
      </c>
      <c r="I3" s="1" t="s">
        <v>5</v>
      </c>
      <c r="L3" s="1" t="s">
        <v>6</v>
      </c>
      <c r="O3" s="1" t="s">
        <v>4</v>
      </c>
    </row>
    <row r="4" spans="1:15">
      <c r="A4" s="1" t="s">
        <v>7</v>
      </c>
      <c r="B4" s="1" t="s">
        <v>8</v>
      </c>
      <c r="C4" s="1" t="s">
        <v>9</v>
      </c>
      <c r="D4" s="1" t="s">
        <v>9</v>
      </c>
      <c r="E4" s="1" t="s">
        <v>10</v>
      </c>
      <c r="G4" s="1" t="s">
        <v>11</v>
      </c>
      <c r="I4" s="1" t="s">
        <v>12</v>
      </c>
      <c r="L4" s="1" t="s">
        <v>13</v>
      </c>
      <c r="O4" s="1" t="s">
        <v>14</v>
      </c>
    </row>
    <row r="5" spans="1:15">
      <c r="F5" s="1">
        <v>3</v>
      </c>
      <c r="G5" s="1">
        <v>4</v>
      </c>
      <c r="H5" s="1">
        <v>5</v>
      </c>
      <c r="I5" s="1">
        <v>3</v>
      </c>
      <c r="J5" s="1">
        <v>4</v>
      </c>
      <c r="K5" s="1">
        <v>5</v>
      </c>
      <c r="L5" s="1">
        <v>3</v>
      </c>
      <c r="M5" s="1">
        <v>4</v>
      </c>
      <c r="N5" s="1">
        <v>5</v>
      </c>
    </row>
    <row r="6" spans="1:15">
      <c r="A6" s="1">
        <v>1960</v>
      </c>
      <c r="B6" s="2" t="e">
        <f>'[1]ANNUAL ESC. SUMMARY'!D49</f>
        <v>#REF!</v>
      </c>
      <c r="D6" s="2"/>
      <c r="O6" s="3" t="e">
        <f>(B9*L9)+(B10*M10)+(B11*N11)+(C9*L9)+(C10*M10)+(C11*N11)+(D9*L9)+(D10*M10)+(D11*N11)</f>
        <v>#REF!</v>
      </c>
    </row>
    <row r="7" spans="1:15">
      <c r="A7" s="1">
        <f t="shared" ref="A7:A45" si="0">A6+1</f>
        <v>1961</v>
      </c>
      <c r="B7" s="2" t="e">
        <f>'[1]ANNUAL ESC. SUMMARY'!D48</f>
        <v>#REF!</v>
      </c>
      <c r="D7" s="2"/>
      <c r="O7" s="3" t="e">
        <f>(B10*L10)+(B11*M11)+(B12*N12)+(C10*L10)+(C11*M11)+(C12*N12)+(D10*L10)+(D11*M11)+(D12*N12)</f>
        <v>#REF!</v>
      </c>
    </row>
    <row r="8" spans="1:15">
      <c r="A8" s="1">
        <f t="shared" si="0"/>
        <v>1962</v>
      </c>
      <c r="B8" s="2" t="e">
        <f>'[1]ANNUAL ESC. SUMMARY'!D47</f>
        <v>#REF!</v>
      </c>
      <c r="C8" s="1">
        <v>150357</v>
      </c>
      <c r="D8" s="2"/>
      <c r="E8" s="2" t="e">
        <f t="shared" ref="E8:E43" si="1">B8+C8+D8</f>
        <v>#REF!</v>
      </c>
      <c r="L8" s="1">
        <v>0.02</v>
      </c>
      <c r="M8" s="1">
        <v>0.56000000000000005</v>
      </c>
      <c r="N8" s="1">
        <v>0.42</v>
      </c>
      <c r="O8" s="3" t="e">
        <f>(B11*L11)+(B12*M12)+(B13*N13)+(C11*L11)+(C12*M12)+(C13*N13)+(D11*L11)+(D12*M12)+(D13*N13)</f>
        <v>#REF!</v>
      </c>
    </row>
    <row r="9" spans="1:15">
      <c r="A9" s="1">
        <f t="shared" si="0"/>
        <v>1963</v>
      </c>
      <c r="B9" s="2" t="e">
        <f>'[1]ANNUAL ESC. SUMMARY'!D46</f>
        <v>#REF!</v>
      </c>
      <c r="C9" s="1">
        <v>95322</v>
      </c>
      <c r="D9" s="2"/>
      <c r="E9" s="2" t="e">
        <f t="shared" si="1"/>
        <v>#REF!</v>
      </c>
      <c r="L9" s="1">
        <v>0.02</v>
      </c>
      <c r="M9" s="1">
        <v>0.56000000000000005</v>
      </c>
      <c r="N9" s="1">
        <v>0.42</v>
      </c>
      <c r="O9" s="3" t="e">
        <f t="shared" ref="O9:O38" si="2">(B12*L12)+(B13*M13)+(B14*N14)+(C12*L12)+(C13*M13)+(C14*N14)+(D12*L12)+(D13*M13)+(D14*N14)</f>
        <v>#REF!</v>
      </c>
    </row>
    <row r="10" spans="1:15">
      <c r="A10" s="1">
        <f t="shared" si="0"/>
        <v>1964</v>
      </c>
      <c r="B10" s="2" t="e">
        <f>'[1]ANNUAL ESC. SUMMARY'!D45</f>
        <v>#REF!</v>
      </c>
      <c r="C10" s="1">
        <v>184977</v>
      </c>
      <c r="D10" s="2"/>
      <c r="E10" s="2" t="e">
        <f t="shared" si="1"/>
        <v>#REF!</v>
      </c>
      <c r="L10" s="1">
        <v>0.02</v>
      </c>
      <c r="M10" s="1">
        <v>0.56000000000000005</v>
      </c>
      <c r="N10" s="1">
        <v>0.42</v>
      </c>
      <c r="O10" s="3" t="e">
        <f t="shared" si="2"/>
        <v>#REF!</v>
      </c>
    </row>
    <row r="11" spans="1:15">
      <c r="A11" s="1">
        <f t="shared" si="0"/>
        <v>1965</v>
      </c>
      <c r="B11" s="2" t="e">
        <f>'[1]ANNUAL ESC. SUMMARY'!D44</f>
        <v>#REF!</v>
      </c>
      <c r="C11" s="1">
        <v>33488</v>
      </c>
      <c r="D11" s="2"/>
      <c r="E11" s="2" t="e">
        <f t="shared" si="1"/>
        <v>#REF!</v>
      </c>
      <c r="L11" s="1">
        <v>0.02</v>
      </c>
      <c r="M11" s="1">
        <v>0.56000000000000005</v>
      </c>
      <c r="N11" s="1">
        <v>0.42</v>
      </c>
      <c r="O11" s="3" t="e">
        <f t="shared" si="2"/>
        <v>#REF!</v>
      </c>
    </row>
    <row r="12" spans="1:15">
      <c r="A12" s="1">
        <f t="shared" si="0"/>
        <v>1966</v>
      </c>
      <c r="B12" s="2" t="e">
        <f>'[1]ANNUAL ESC. SUMMARY'!D43</f>
        <v>#REF!</v>
      </c>
      <c r="C12" s="1">
        <v>42893</v>
      </c>
      <c r="D12" s="2"/>
      <c r="E12" s="2" t="e">
        <f t="shared" si="1"/>
        <v>#REF!</v>
      </c>
      <c r="L12" s="1">
        <v>0.02</v>
      </c>
      <c r="M12" s="1">
        <v>0.56000000000000005</v>
      </c>
      <c r="N12" s="1">
        <v>0.42</v>
      </c>
      <c r="O12" s="3" t="e">
        <f t="shared" si="2"/>
        <v>#REF!</v>
      </c>
    </row>
    <row r="13" spans="1:15">
      <c r="A13" s="1">
        <f t="shared" si="0"/>
        <v>1967</v>
      </c>
      <c r="B13" s="2" t="e">
        <f>'[1]ANNUAL ESC. SUMMARY'!D42</f>
        <v>#REF!</v>
      </c>
      <c r="C13" s="1">
        <v>49651</v>
      </c>
      <c r="D13" s="2"/>
      <c r="E13" s="2" t="e">
        <f t="shared" si="1"/>
        <v>#REF!</v>
      </c>
      <c r="L13" s="1">
        <v>0.02</v>
      </c>
      <c r="M13" s="1">
        <v>0.56000000000000005</v>
      </c>
      <c r="N13" s="1">
        <v>0.42</v>
      </c>
      <c r="O13" s="3" t="e">
        <f t="shared" si="2"/>
        <v>#REF!</v>
      </c>
    </row>
    <row r="14" spans="1:15">
      <c r="A14" s="1">
        <f t="shared" si="0"/>
        <v>1968</v>
      </c>
      <c r="B14" s="2" t="e">
        <f>'[1]ANNUAL ESC. SUMMARY'!D41</f>
        <v>#REF!</v>
      </c>
      <c r="C14" s="1">
        <v>111743</v>
      </c>
      <c r="D14" s="2"/>
      <c r="E14" s="2" t="e">
        <f t="shared" si="1"/>
        <v>#REF!</v>
      </c>
      <c r="L14" s="1">
        <v>0.02</v>
      </c>
      <c r="M14" s="1">
        <v>0.56000000000000005</v>
      </c>
      <c r="N14" s="1">
        <v>0.42</v>
      </c>
      <c r="O14" s="3" t="e">
        <f t="shared" si="2"/>
        <v>#REF!</v>
      </c>
    </row>
    <row r="15" spans="1:15">
      <c r="A15" s="1">
        <f t="shared" si="0"/>
        <v>1969</v>
      </c>
      <c r="B15" s="2" t="e">
        <f>'[1]ANNUAL ESC. SUMMARY'!D40</f>
        <v>#REF!</v>
      </c>
      <c r="C15" s="1">
        <v>28295</v>
      </c>
      <c r="D15" s="2"/>
      <c r="E15" s="2" t="e">
        <f t="shared" si="1"/>
        <v>#REF!</v>
      </c>
      <c r="L15" s="1">
        <v>0.02</v>
      </c>
      <c r="M15" s="1">
        <v>0.56000000000000005</v>
      </c>
      <c r="N15" s="1">
        <v>0.42</v>
      </c>
      <c r="O15" s="3" t="e">
        <f t="shared" si="2"/>
        <v>#REF!</v>
      </c>
    </row>
    <row r="16" spans="1:15">
      <c r="A16" s="1">
        <f t="shared" si="0"/>
        <v>1970</v>
      </c>
      <c r="B16" s="2" t="e">
        <f>'[1]ANNUAL ESC. SUMMARY'!D38</f>
        <v>#REF!</v>
      </c>
      <c r="C16" s="1">
        <v>114536</v>
      </c>
      <c r="D16" s="2"/>
      <c r="E16" s="2" t="e">
        <f t="shared" si="1"/>
        <v>#REF!</v>
      </c>
      <c r="L16" s="1">
        <v>0.02</v>
      </c>
      <c r="M16" s="1">
        <v>0.56000000000000005</v>
      </c>
      <c r="N16" s="1">
        <v>0.42</v>
      </c>
      <c r="O16" s="3" t="e">
        <f t="shared" si="2"/>
        <v>#REF!</v>
      </c>
    </row>
    <row r="17" spans="1:15">
      <c r="A17" s="1">
        <f t="shared" si="0"/>
        <v>1971</v>
      </c>
      <c r="B17" s="2" t="e">
        <f>'[1]ANNUAL ESC. SUMMARY'!D37</f>
        <v>#REF!</v>
      </c>
      <c r="C17" s="1">
        <v>72146</v>
      </c>
      <c r="D17" s="2"/>
      <c r="E17" s="2" t="e">
        <f t="shared" si="1"/>
        <v>#REF!</v>
      </c>
      <c r="L17" s="1">
        <v>0.02</v>
      </c>
      <c r="M17" s="1">
        <v>0.56000000000000005</v>
      </c>
      <c r="N17" s="1">
        <v>0.42</v>
      </c>
      <c r="O17" s="3" t="e">
        <f t="shared" si="2"/>
        <v>#REF!</v>
      </c>
    </row>
    <row r="18" spans="1:15">
      <c r="A18" s="1">
        <f t="shared" si="0"/>
        <v>1972</v>
      </c>
      <c r="B18" s="2" t="e">
        <f>'[1]ANNUAL ESC. SUMMARY'!D36</f>
        <v>#REF!</v>
      </c>
      <c r="C18" s="1">
        <v>50353</v>
      </c>
      <c r="D18" s="2"/>
      <c r="E18" s="2" t="e">
        <f t="shared" si="1"/>
        <v>#REF!</v>
      </c>
      <c r="L18" s="1">
        <v>0.02</v>
      </c>
      <c r="M18" s="1">
        <v>0.56000000000000005</v>
      </c>
      <c r="N18" s="1">
        <v>0.42</v>
      </c>
      <c r="O18" s="3" t="e">
        <f t="shared" si="2"/>
        <v>#REF!</v>
      </c>
    </row>
    <row r="19" spans="1:15">
      <c r="A19" s="1">
        <f t="shared" si="0"/>
        <v>1973</v>
      </c>
      <c r="B19" s="2" t="e">
        <f>'[1]ANNUAL ESC. SUMMARY'!D35</f>
        <v>#REF!</v>
      </c>
      <c r="C19" s="1">
        <v>48433</v>
      </c>
      <c r="D19" s="2"/>
      <c r="E19" s="2" t="e">
        <f t="shared" si="1"/>
        <v>#REF!</v>
      </c>
      <c r="L19" s="1">
        <v>0.02</v>
      </c>
      <c r="M19" s="1">
        <v>0.56000000000000005</v>
      </c>
      <c r="N19" s="1">
        <v>0.42</v>
      </c>
      <c r="O19" s="3" t="e">
        <f t="shared" si="2"/>
        <v>#REF!</v>
      </c>
    </row>
    <row r="20" spans="1:15">
      <c r="A20" s="1">
        <f t="shared" si="0"/>
        <v>1974</v>
      </c>
      <c r="B20" s="2" t="e">
        <f>'[1]ANNUAL ESC. SUMMARY'!D34</f>
        <v>#REF!</v>
      </c>
      <c r="C20" s="1">
        <v>69242</v>
      </c>
      <c r="D20" s="2"/>
      <c r="E20" s="2" t="e">
        <f t="shared" si="1"/>
        <v>#REF!</v>
      </c>
      <c r="L20" s="1">
        <v>0.02</v>
      </c>
      <c r="M20" s="1">
        <v>0.56000000000000005</v>
      </c>
      <c r="N20" s="1">
        <v>0.42</v>
      </c>
      <c r="O20" s="3" t="e">
        <f t="shared" si="2"/>
        <v>#REF!</v>
      </c>
    </row>
    <row r="21" spans="1:15">
      <c r="A21" s="1">
        <f t="shared" si="0"/>
        <v>1975</v>
      </c>
      <c r="B21" s="2" t="e">
        <f>'[1]ANNUAL ESC. SUMMARY'!D33</f>
        <v>#REF!</v>
      </c>
      <c r="C21" s="1">
        <v>84765</v>
      </c>
      <c r="D21" s="2"/>
      <c r="E21" s="2" t="e">
        <f t="shared" si="1"/>
        <v>#REF!</v>
      </c>
      <c r="L21" s="1">
        <v>0.02</v>
      </c>
      <c r="M21" s="1">
        <v>0.56000000000000005</v>
      </c>
      <c r="N21" s="1">
        <v>0.42</v>
      </c>
      <c r="O21" s="3" t="e">
        <f t="shared" si="2"/>
        <v>#REF!</v>
      </c>
    </row>
    <row r="22" spans="1:15">
      <c r="A22" s="1">
        <f t="shared" si="0"/>
        <v>1976</v>
      </c>
      <c r="B22" s="2" t="e">
        <f>'[1]ANNUAL ESC. SUMMARY'!D32</f>
        <v>#REF!</v>
      </c>
      <c r="C22" s="1">
        <v>135518</v>
      </c>
      <c r="D22" s="2"/>
      <c r="E22" s="2" t="e">
        <f t="shared" si="1"/>
        <v>#REF!</v>
      </c>
      <c r="L22" s="1">
        <v>0.02</v>
      </c>
      <c r="M22" s="1">
        <v>0.56000000000000005</v>
      </c>
      <c r="N22" s="1">
        <v>0.42</v>
      </c>
      <c r="O22" s="3" t="e">
        <f t="shared" si="2"/>
        <v>#REF!</v>
      </c>
    </row>
    <row r="23" spans="1:15">
      <c r="A23" s="1">
        <f t="shared" si="0"/>
        <v>1977</v>
      </c>
      <c r="B23" s="2" t="e">
        <f>'[1]ANNUAL ESC. SUMMARY'!D31</f>
        <v>#REF!</v>
      </c>
      <c r="C23" s="1">
        <v>47832</v>
      </c>
      <c r="D23" s="2" t="e">
        <f>'[1]ANNUAL ESC. SUMMARY'!E31</f>
        <v>#REF!</v>
      </c>
      <c r="E23" s="2" t="e">
        <f t="shared" si="1"/>
        <v>#REF!</v>
      </c>
      <c r="L23" s="1">
        <v>0.02</v>
      </c>
      <c r="M23" s="1">
        <v>0.56000000000000005</v>
      </c>
      <c r="N23" s="1">
        <v>0.42</v>
      </c>
      <c r="O23" s="3" t="e">
        <f t="shared" si="2"/>
        <v>#REF!</v>
      </c>
    </row>
    <row r="24" spans="1:15">
      <c r="A24" s="1">
        <f t="shared" si="0"/>
        <v>1978</v>
      </c>
      <c r="B24" s="2" t="e">
        <f>'[1]ANNUAL ESC. SUMMARY'!D30</f>
        <v>#REF!</v>
      </c>
      <c r="C24" s="1">
        <v>29312</v>
      </c>
      <c r="D24" s="2" t="e">
        <f>'[1]ANNUAL ESC. SUMMARY'!E30</f>
        <v>#REF!</v>
      </c>
      <c r="E24" s="2" t="e">
        <f t="shared" si="1"/>
        <v>#REF!</v>
      </c>
      <c r="L24" s="1">
        <v>0.02</v>
      </c>
      <c r="M24" s="1">
        <v>0.56000000000000005</v>
      </c>
      <c r="N24" s="1">
        <v>0.42</v>
      </c>
      <c r="O24" s="3" t="e">
        <f t="shared" si="2"/>
        <v>#REF!</v>
      </c>
    </row>
    <row r="25" spans="1:15">
      <c r="A25" s="1">
        <f t="shared" si="0"/>
        <v>1979</v>
      </c>
      <c r="B25" s="2" t="e">
        <f>'[1]ANNUAL ESC. SUMMARY'!D29</f>
        <v>#REF!</v>
      </c>
      <c r="C25" s="1">
        <v>114964</v>
      </c>
      <c r="D25" s="2" t="e">
        <f>'[1]ANNUAL ESC. SUMMARY'!E29</f>
        <v>#REF!</v>
      </c>
      <c r="E25" s="2" t="e">
        <f t="shared" si="1"/>
        <v>#REF!</v>
      </c>
      <c r="L25" s="1">
        <v>0.02</v>
      </c>
      <c r="M25" s="1">
        <v>0.56000000000000005</v>
      </c>
      <c r="N25" s="1">
        <v>0.42</v>
      </c>
      <c r="O25" s="3" t="e">
        <f t="shared" si="2"/>
        <v>#REF!</v>
      </c>
    </row>
    <row r="26" spans="1:15">
      <c r="A26" s="1">
        <f t="shared" si="0"/>
        <v>1980</v>
      </c>
      <c r="B26" s="2" t="e">
        <f>'[1]ANNUAL ESC. SUMMARY'!D27</f>
        <v>#REF!</v>
      </c>
      <c r="C26" s="1">
        <v>105731</v>
      </c>
      <c r="D26" s="2" t="e">
        <f>'[1]ANNUAL ESC. SUMMARY'!E27</f>
        <v>#REF!</v>
      </c>
      <c r="E26" s="2" t="e">
        <f t="shared" si="1"/>
        <v>#REF!</v>
      </c>
      <c r="L26" s="1">
        <v>0.02</v>
      </c>
      <c r="M26" s="1">
        <v>0.56000000000000005</v>
      </c>
      <c r="N26" s="1">
        <v>0.42</v>
      </c>
      <c r="O26" s="3" t="e">
        <f t="shared" si="2"/>
        <v>#REF!</v>
      </c>
    </row>
    <row r="27" spans="1:15">
      <c r="A27" s="1">
        <f t="shared" si="0"/>
        <v>1981</v>
      </c>
      <c r="B27" s="2" t="e">
        <f>'[1]ANNUAL ESC. SUMMARY'!D26</f>
        <v>#REF!</v>
      </c>
      <c r="C27" s="1">
        <v>91325</v>
      </c>
      <c r="D27" s="2" t="e">
        <f>'[1]ANNUAL ESC. SUMMARY'!E26</f>
        <v>#REF!</v>
      </c>
      <c r="E27" s="2" t="e">
        <f t="shared" si="1"/>
        <v>#REF!</v>
      </c>
      <c r="L27" s="1">
        <v>0.02</v>
      </c>
      <c r="M27" s="1">
        <v>0.56000000000000005</v>
      </c>
      <c r="N27" s="1">
        <v>0.42</v>
      </c>
      <c r="O27" s="3" t="e">
        <f t="shared" si="2"/>
        <v>#REF!</v>
      </c>
    </row>
    <row r="28" spans="1:15">
      <c r="A28" s="1">
        <f t="shared" si="0"/>
        <v>1982</v>
      </c>
      <c r="B28" s="2" t="e">
        <f>'[1]ANNUAL ESC. SUMMARY'!D25</f>
        <v>#REF!</v>
      </c>
      <c r="C28" s="1">
        <v>19883</v>
      </c>
      <c r="D28" s="2" t="e">
        <f>'[1]ANNUAL ESC. SUMMARY'!E25</f>
        <v>#REF!</v>
      </c>
      <c r="E28" s="2" t="e">
        <f t="shared" si="1"/>
        <v>#REF!</v>
      </c>
      <c r="L28" s="1">
        <v>0.02</v>
      </c>
      <c r="M28" s="1">
        <v>0.56000000000000005</v>
      </c>
      <c r="N28" s="1">
        <v>0.42</v>
      </c>
      <c r="O28" s="3" t="e">
        <f t="shared" si="2"/>
        <v>#REF!</v>
      </c>
    </row>
    <row r="29" spans="1:15">
      <c r="A29" s="1">
        <f t="shared" si="0"/>
        <v>1983</v>
      </c>
      <c r="B29" s="2" t="e">
        <f>'[1]ANNUAL ESC. SUMMARY'!D24</f>
        <v>#REF!</v>
      </c>
      <c r="C29" s="1">
        <v>96945</v>
      </c>
      <c r="D29" s="2" t="e">
        <f>'[1]ANNUAL ESC. SUMMARY'!E24</f>
        <v>#REF!</v>
      </c>
      <c r="E29" s="2" t="e">
        <f t="shared" si="1"/>
        <v>#REF!</v>
      </c>
      <c r="L29" s="1">
        <v>0.02</v>
      </c>
      <c r="M29" s="1">
        <v>0.56000000000000005</v>
      </c>
      <c r="N29" s="1">
        <v>0.42</v>
      </c>
      <c r="O29" s="3" t="e">
        <f t="shared" si="2"/>
        <v>#REF!</v>
      </c>
    </row>
    <row r="30" spans="1:15">
      <c r="A30" s="1">
        <f t="shared" si="0"/>
        <v>1984</v>
      </c>
      <c r="B30" s="2" t="e">
        <f>'[1]ANNUAL ESC. SUMMARY'!D23</f>
        <v>#REF!</v>
      </c>
      <c r="C30" s="1">
        <v>29868</v>
      </c>
      <c r="D30" s="2" t="e">
        <f>'[1]ANNUAL ESC. SUMMARY'!E23</f>
        <v>#REF!</v>
      </c>
      <c r="E30" s="2" t="e">
        <f t="shared" si="1"/>
        <v>#REF!</v>
      </c>
      <c r="L30" s="1">
        <v>0.02</v>
      </c>
      <c r="M30" s="1">
        <v>0.56000000000000005</v>
      </c>
      <c r="N30" s="1">
        <v>0.42</v>
      </c>
      <c r="O30" s="3" t="e">
        <f t="shared" si="2"/>
        <v>#REF!</v>
      </c>
    </row>
    <row r="31" spans="1:15">
      <c r="A31" s="1">
        <f t="shared" si="0"/>
        <v>1985</v>
      </c>
      <c r="B31" s="2" t="e">
        <f>'[1]ANNUAL ESC. SUMMARY'!D22</f>
        <v>#REF!</v>
      </c>
      <c r="C31" s="1">
        <v>206547</v>
      </c>
      <c r="D31" s="2" t="e">
        <f>'[1]ANNUAL ESC. SUMMARY'!E22</f>
        <v>#REF!</v>
      </c>
      <c r="E31" s="2" t="e">
        <f t="shared" si="1"/>
        <v>#REF!</v>
      </c>
      <c r="F31" s="1">
        <v>0.02</v>
      </c>
      <c r="G31" s="1">
        <v>0.56000000000000005</v>
      </c>
      <c r="H31" s="1">
        <v>0.39</v>
      </c>
      <c r="L31" s="1">
        <v>0.02</v>
      </c>
      <c r="M31" s="1">
        <v>0.56000000000000005</v>
      </c>
      <c r="N31" s="1">
        <v>0.42</v>
      </c>
      <c r="O31" s="3" t="e">
        <f t="shared" si="2"/>
        <v>#REF!</v>
      </c>
    </row>
    <row r="32" spans="1:15">
      <c r="A32" s="1">
        <f t="shared" si="0"/>
        <v>1986</v>
      </c>
      <c r="B32" s="2" t="e">
        <f>'[1]ANNUAL ESC. SUMMARY'!D21</f>
        <v>#REF!</v>
      </c>
      <c r="C32" s="1">
        <v>496211</v>
      </c>
      <c r="D32" s="2" t="e">
        <f>'[1]ANNUAL ESC. SUMMARY'!E21</f>
        <v>#REF!</v>
      </c>
      <c r="E32" s="2" t="e">
        <f t="shared" si="1"/>
        <v>#REF!</v>
      </c>
      <c r="L32" s="1">
        <v>0.02</v>
      </c>
      <c r="M32" s="1">
        <v>0.56000000000000005</v>
      </c>
      <c r="N32" s="1">
        <v>0.42</v>
      </c>
      <c r="O32" s="3" t="e">
        <f t="shared" si="2"/>
        <v>#REF!</v>
      </c>
    </row>
    <row r="33" spans="1:15">
      <c r="A33" s="1">
        <f t="shared" si="0"/>
        <v>1987</v>
      </c>
      <c r="B33" s="2" t="e">
        <f>'[1]ANNUAL ESC. SUMMARY'!D20</f>
        <v>#REF!</v>
      </c>
      <c r="C33" s="1">
        <v>215994</v>
      </c>
      <c r="D33" s="2" t="e">
        <f>'[1]ANNUAL ESC. SUMMARY'!E20</f>
        <v>#REF!</v>
      </c>
      <c r="E33" s="2" t="e">
        <f t="shared" si="1"/>
        <v>#REF!</v>
      </c>
      <c r="L33" s="1">
        <v>0.02</v>
      </c>
      <c r="M33" s="1">
        <v>0.56000000000000005</v>
      </c>
      <c r="N33" s="1">
        <v>0.42</v>
      </c>
      <c r="O33" s="3" t="e">
        <f t="shared" si="2"/>
        <v>#REF!</v>
      </c>
    </row>
    <row r="34" spans="1:15">
      <c r="A34" s="1">
        <f t="shared" si="0"/>
        <v>1988</v>
      </c>
      <c r="B34" s="2" t="e">
        <f>'[1]ANNUAL ESC. SUMMARY'!D19</f>
        <v>#REF!</v>
      </c>
      <c r="C34" s="1">
        <v>415036</v>
      </c>
      <c r="D34" s="2" t="e">
        <f>'[1]ANNUAL ESC. SUMMARY'!E19</f>
        <v>#REF!</v>
      </c>
      <c r="E34" s="2" t="e">
        <f t="shared" si="1"/>
        <v>#REF!</v>
      </c>
      <c r="L34" s="1">
        <v>0.02</v>
      </c>
      <c r="M34" s="1">
        <v>0.56000000000000005</v>
      </c>
      <c r="N34" s="1">
        <v>0.42</v>
      </c>
      <c r="O34" s="3" t="e">
        <f t="shared" si="2"/>
        <v>#REF!</v>
      </c>
    </row>
    <row r="35" spans="1:15">
      <c r="A35" s="1">
        <f t="shared" si="0"/>
        <v>1989</v>
      </c>
      <c r="B35" s="2" t="e">
        <f>'[1]ANNUAL ESC. SUMMARY'!D18</f>
        <v>#REF!</v>
      </c>
      <c r="C35" s="1">
        <v>30955</v>
      </c>
      <c r="D35" s="2" t="e">
        <f>'[1]ANNUAL ESC. SUMMARY'!E18</f>
        <v>#REF!</v>
      </c>
      <c r="E35" s="2" t="e">
        <f t="shared" si="1"/>
        <v>#REF!</v>
      </c>
      <c r="L35" s="1">
        <v>0.02</v>
      </c>
      <c r="M35" s="1">
        <v>0.56000000000000005</v>
      </c>
      <c r="N35" s="1">
        <v>0.42</v>
      </c>
      <c r="O35" s="3" t="e">
        <f t="shared" si="2"/>
        <v>#REF!</v>
      </c>
    </row>
    <row r="36" spans="1:15">
      <c r="A36" s="1">
        <f t="shared" si="0"/>
        <v>1990</v>
      </c>
      <c r="B36" s="2" t="e">
        <f>'[1]ANNUAL ESC. SUMMARY'!D16</f>
        <v>#REF!</v>
      </c>
      <c r="C36" s="1">
        <v>306635</v>
      </c>
      <c r="D36" s="2" t="e">
        <f>'[1]ANNUAL ESC. SUMMARY'!E16</f>
        <v>#REF!</v>
      </c>
      <c r="E36" s="2" t="e">
        <f t="shared" si="1"/>
        <v>#REF!</v>
      </c>
      <c r="L36" s="1">
        <v>0.02</v>
      </c>
      <c r="M36" s="1">
        <v>0.56000000000000005</v>
      </c>
      <c r="N36" s="1">
        <v>0.42</v>
      </c>
      <c r="O36" s="3" t="e">
        <f t="shared" si="2"/>
        <v>#REF!</v>
      </c>
    </row>
    <row r="37" spans="1:15">
      <c r="A37" s="1">
        <f t="shared" si="0"/>
        <v>1991</v>
      </c>
      <c r="B37" s="2" t="e">
        <f>'[1]ANNUAL ESC. SUMMARY'!D15</f>
        <v>#REF!</v>
      </c>
      <c r="C37" s="1">
        <v>89553</v>
      </c>
      <c r="D37" s="2" t="e">
        <f>'[1]ANNUAL ESC. SUMMARY'!E15</f>
        <v>#REF!</v>
      </c>
      <c r="E37" s="2" t="e">
        <f t="shared" si="1"/>
        <v>#REF!</v>
      </c>
      <c r="L37" s="1">
        <v>0.02</v>
      </c>
      <c r="M37" s="1">
        <v>0.56000000000000005</v>
      </c>
      <c r="N37" s="1">
        <v>0.42</v>
      </c>
      <c r="O37" s="3" t="e">
        <f t="shared" si="2"/>
        <v>#REF!</v>
      </c>
    </row>
    <row r="38" spans="1:15">
      <c r="A38" s="1">
        <f t="shared" si="0"/>
        <v>1992</v>
      </c>
      <c r="B38" s="2" t="e">
        <f>'[1]ANNUAL ESC. SUMMARY'!D14</f>
        <v>#REF!</v>
      </c>
      <c r="C38" s="1">
        <v>74626</v>
      </c>
      <c r="D38" s="2" t="e">
        <f>'[1]ANNUAL ESC. SUMMARY'!E14</f>
        <v>#REF!</v>
      </c>
      <c r="E38" s="2" t="e">
        <f t="shared" si="1"/>
        <v>#REF!</v>
      </c>
      <c r="L38" s="1">
        <v>0.02</v>
      </c>
      <c r="M38" s="1">
        <v>0.56000000000000005</v>
      </c>
      <c r="N38" s="1">
        <v>0.42</v>
      </c>
      <c r="O38" s="3" t="e">
        <f t="shared" si="2"/>
        <v>#REF!</v>
      </c>
    </row>
    <row r="39" spans="1:15">
      <c r="A39" s="1">
        <f t="shared" si="0"/>
        <v>1993</v>
      </c>
      <c r="B39" s="2" t="e">
        <f>'[1]ANNUAL ESC. SUMMARY'!D13</f>
        <v>#REF!</v>
      </c>
      <c r="C39" s="1">
        <v>45626</v>
      </c>
      <c r="D39" s="2" t="e">
        <f>'[1]ANNUAL ESC. SUMMARY'!E13</f>
        <v>#REF!</v>
      </c>
      <c r="E39" s="2" t="e">
        <f t="shared" si="1"/>
        <v>#REF!</v>
      </c>
      <c r="L39" s="1">
        <v>0.02</v>
      </c>
      <c r="M39" s="1">
        <v>0.56000000000000005</v>
      </c>
      <c r="N39" s="1">
        <v>0.42</v>
      </c>
    </row>
    <row r="40" spans="1:15">
      <c r="A40" s="1">
        <f t="shared" si="0"/>
        <v>1994</v>
      </c>
      <c r="B40" s="2" t="e">
        <f>'[1]ANNUAL ESC. SUMMARY'!D12</f>
        <v>#REF!</v>
      </c>
      <c r="C40" s="1">
        <v>140738</v>
      </c>
      <c r="D40" s="2" t="e">
        <f>'[1]ANNUAL ESC. SUMMARY'!E12</f>
        <v>#REF!</v>
      </c>
      <c r="E40" s="2" t="e">
        <f t="shared" si="1"/>
        <v>#REF!</v>
      </c>
      <c r="L40" s="1">
        <v>0.02</v>
      </c>
      <c r="M40" s="1">
        <v>0.56000000000000005</v>
      </c>
      <c r="N40" s="1">
        <v>0.42</v>
      </c>
    </row>
    <row r="41" spans="1:15">
      <c r="A41" s="1">
        <f t="shared" si="0"/>
        <v>1995</v>
      </c>
      <c r="B41" s="2" t="e">
        <f>'[1]ANNUAL ESC. SUMMARY'!D11</f>
        <v>#REF!</v>
      </c>
      <c r="C41" s="1">
        <v>178889</v>
      </c>
      <c r="D41" s="2" t="e">
        <f>'[1]ANNUAL ESC. SUMMARY'!E11</f>
        <v>#REF!</v>
      </c>
      <c r="E41" s="2" t="e">
        <f t="shared" si="1"/>
        <v>#REF!</v>
      </c>
      <c r="L41" s="1">
        <v>0.02</v>
      </c>
      <c r="M41" s="1">
        <v>0.56000000000000005</v>
      </c>
      <c r="N41" s="1">
        <v>0.42</v>
      </c>
    </row>
    <row r="42" spans="1:15">
      <c r="A42" s="1">
        <f t="shared" si="0"/>
        <v>1996</v>
      </c>
      <c r="B42" s="2" t="e">
        <f>'[1]ANNUAL ESC. SUMMARY'!D10</f>
        <v>#REF!</v>
      </c>
      <c r="C42" s="1">
        <v>58730</v>
      </c>
      <c r="D42" s="2" t="e">
        <f>'[1]ANNUAL ESC. SUMMARY'!E10</f>
        <v>#REF!</v>
      </c>
      <c r="E42" s="2" t="e">
        <f t="shared" si="1"/>
        <v>#REF!</v>
      </c>
      <c r="F42" s="1">
        <v>0.24</v>
      </c>
      <c r="G42" s="1">
        <v>0.66</v>
      </c>
      <c r="H42" s="1">
        <v>0.1</v>
      </c>
      <c r="L42" s="1">
        <v>0.02</v>
      </c>
      <c r="M42" s="1">
        <v>0.56000000000000005</v>
      </c>
      <c r="N42" s="1">
        <v>0.42</v>
      </c>
    </row>
    <row r="43" spans="1:15">
      <c r="A43" s="1">
        <f t="shared" si="0"/>
        <v>1997</v>
      </c>
      <c r="B43" s="2" t="e">
        <f>'[1]ANNUAL ESC. SUMMARY'!D9</f>
        <v>#REF!</v>
      </c>
      <c r="C43" s="1">
        <v>37324</v>
      </c>
      <c r="D43" s="2" t="e">
        <f>'[1]ANNUAL ESC. SUMMARY'!E9</f>
        <v>#REF!</v>
      </c>
      <c r="E43" s="2" t="e">
        <f t="shared" si="1"/>
        <v>#REF!</v>
      </c>
      <c r="F43" s="1">
        <v>0.28999999999999998</v>
      </c>
      <c r="G43" s="1">
        <v>0.55000000000000004</v>
      </c>
      <c r="H43" s="1">
        <v>0.16</v>
      </c>
      <c r="L43" s="1">
        <v>0.02</v>
      </c>
      <c r="M43" s="1">
        <v>0.56000000000000005</v>
      </c>
      <c r="N43" s="1">
        <v>0.42</v>
      </c>
    </row>
    <row r="44" spans="1:15">
      <c r="A44" s="1">
        <f t="shared" si="0"/>
        <v>1998</v>
      </c>
    </row>
    <row r="45" spans="1:15">
      <c r="A45" s="1">
        <f t="shared" si="0"/>
        <v>1999</v>
      </c>
    </row>
    <row r="47" spans="1:15">
      <c r="B47" s="2" t="e">
        <f>SUM(B36:B43)</f>
        <v>#REF!</v>
      </c>
    </row>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2"/>
  <sheetViews>
    <sheetView topLeftCell="A13" zoomScale="60" zoomScaleNormal="60" workbookViewId="0">
      <selection activeCell="N45" sqref="N45"/>
    </sheetView>
  </sheetViews>
  <sheetFormatPr defaultColWidth="8.88671875" defaultRowHeight="12"/>
  <sheetData>
    <row r="1" spans="1:14" ht="15">
      <c r="A1" s="56" t="s">
        <v>212</v>
      </c>
    </row>
    <row r="2" spans="1:14">
      <c r="A2" t="s">
        <v>213</v>
      </c>
    </row>
    <row r="5" spans="1:14">
      <c r="A5" s="45" t="s">
        <v>211</v>
      </c>
    </row>
    <row r="6" spans="1:14">
      <c r="A6" t="s">
        <v>203</v>
      </c>
      <c r="C6">
        <f>'DNA- Individual'!N45</f>
        <v>0.12820512820512819</v>
      </c>
      <c r="D6" s="59" t="s">
        <v>225</v>
      </c>
      <c r="E6" t="s">
        <v>223</v>
      </c>
    </row>
    <row r="7" spans="1:14">
      <c r="A7" t="s">
        <v>204</v>
      </c>
      <c r="C7">
        <f>'DNA- Individual'!N46</f>
        <v>6.25E-2</v>
      </c>
      <c r="D7" s="59" t="s">
        <v>225</v>
      </c>
      <c r="E7" t="s">
        <v>224</v>
      </c>
    </row>
    <row r="9" spans="1:14">
      <c r="B9" s="45" t="s">
        <v>2</v>
      </c>
      <c r="G9" t="s">
        <v>4</v>
      </c>
      <c r="H9" s="45" t="s">
        <v>196</v>
      </c>
      <c r="M9" t="s">
        <v>4</v>
      </c>
      <c r="N9" s="45" t="s">
        <v>4</v>
      </c>
    </row>
    <row r="10" spans="1:14">
      <c r="A10" t="s">
        <v>7</v>
      </c>
      <c r="B10" t="s">
        <v>197</v>
      </c>
      <c r="C10" t="s">
        <v>198</v>
      </c>
      <c r="D10" t="s">
        <v>199</v>
      </c>
      <c r="E10" t="s">
        <v>200</v>
      </c>
      <c r="F10" t="s">
        <v>15</v>
      </c>
      <c r="G10" t="s">
        <v>54</v>
      </c>
      <c r="H10" t="s">
        <v>27</v>
      </c>
      <c r="I10" t="s">
        <v>28</v>
      </c>
      <c r="J10" t="s">
        <v>15</v>
      </c>
      <c r="K10" t="s">
        <v>201</v>
      </c>
      <c r="L10" t="s">
        <v>202</v>
      </c>
      <c r="M10" t="s">
        <v>196</v>
      </c>
      <c r="N10" s="45" t="s">
        <v>9</v>
      </c>
    </row>
    <row r="11" spans="1:14">
      <c r="A11">
        <f>1975</f>
        <v>1975</v>
      </c>
      <c r="B11" s="8">
        <f>$C$6*'Commercial Catch'!D4</f>
        <v>5793.1090702835672</v>
      </c>
      <c r="C11" s="8">
        <f>$C$6*'Commercial Catch'!I4</f>
        <v>10595.128205128205</v>
      </c>
      <c r="D11" s="8">
        <f>$C$7*'Commercial Catch'!E4</f>
        <v>0</v>
      </c>
      <c r="E11" s="8">
        <f>$C$7*'Commercial Catch'!J4</f>
        <v>0</v>
      </c>
      <c r="F11" s="8">
        <f>'Commercial Catch'!F4</f>
        <v>42120.754800860544</v>
      </c>
      <c r="G11" s="8">
        <f>SUM(B11:F11)</f>
        <v>58508.99207627232</v>
      </c>
      <c r="H11" s="61">
        <f>$C$6*'FSC Catch'!D3</f>
        <v>0</v>
      </c>
      <c r="I11" s="61">
        <f>$C$7*'FSC Catch'!E3</f>
        <v>0</v>
      </c>
      <c r="J11" s="34">
        <f>'FSC Catch'!F3</f>
        <v>0</v>
      </c>
      <c r="K11" s="34">
        <f>'FSC Catch'!B3</f>
        <v>0</v>
      </c>
      <c r="L11">
        <f>'FSC Catch'!C3</f>
        <v>0</v>
      </c>
      <c r="M11" s="8">
        <f>SUM(H11:L11)</f>
        <v>0</v>
      </c>
      <c r="N11" s="8">
        <f>+M11+G11</f>
        <v>58508.99207627232</v>
      </c>
    </row>
    <row r="12" spans="1:14">
      <c r="A12">
        <f>A11+1</f>
        <v>1976</v>
      </c>
      <c r="B12" s="8">
        <f>$C$6*'Commercial Catch'!D5</f>
        <v>3327.7120349886536</v>
      </c>
      <c r="C12" s="8">
        <f>$C$6*'Commercial Catch'!I5</f>
        <v>13834.102564102563</v>
      </c>
      <c r="D12" s="8">
        <f>$C$7*'Commercial Catch'!E5</f>
        <v>0</v>
      </c>
      <c r="E12" s="8">
        <f>$C$7*'Commercial Catch'!J5</f>
        <v>0</v>
      </c>
      <c r="F12" s="8">
        <f>'Commercial Catch'!F5</f>
        <v>34381.469484621688</v>
      </c>
      <c r="G12" s="8">
        <f t="shared" ref="G12:G42" si="0">SUM(B12:F12)</f>
        <v>51543.284083712904</v>
      </c>
      <c r="H12" s="61">
        <f>$C$6*'FSC Catch'!D4</f>
        <v>0</v>
      </c>
      <c r="I12" s="8">
        <f>$C$7*'FSC Catch'!E4</f>
        <v>0</v>
      </c>
      <c r="J12">
        <f>'FSC Catch'!F4</f>
        <v>208</v>
      </c>
      <c r="K12">
        <f>'FSC Catch'!B4</f>
        <v>1750</v>
      </c>
      <c r="L12">
        <f>'FSC Catch'!C4</f>
        <v>132</v>
      </c>
      <c r="M12" s="8">
        <f t="shared" ref="M12:M50" si="1">SUM(H12:L12)</f>
        <v>2090</v>
      </c>
      <c r="N12" s="8">
        <f t="shared" ref="N12:N50" si="2">+M12+G12</f>
        <v>53633.284083712904</v>
      </c>
    </row>
    <row r="13" spans="1:14">
      <c r="A13">
        <f t="shared" ref="A13:A42" si="3">A12+1</f>
        <v>1977</v>
      </c>
      <c r="B13" s="8">
        <f>$C$6*'Commercial Catch'!D6</f>
        <v>409.37516881246057</v>
      </c>
      <c r="C13" s="8">
        <f>$C$6*'Commercial Catch'!I6</f>
        <v>6600.1282051282042</v>
      </c>
      <c r="D13" s="8">
        <f>$C$7*'Commercial Catch'!E6</f>
        <v>0</v>
      </c>
      <c r="E13" s="8">
        <f>$C$7*'Commercial Catch'!J6</f>
        <v>0</v>
      </c>
      <c r="F13" s="8">
        <f>'Commercial Catch'!F6</f>
        <v>32559.709372467812</v>
      </c>
      <c r="G13" s="8">
        <f t="shared" si="0"/>
        <v>39569.212746408477</v>
      </c>
      <c r="H13" s="8">
        <f>$C$6*'FSC Catch'!D5</f>
        <v>441.28205128205127</v>
      </c>
      <c r="I13" s="8">
        <f>$C$7*'FSC Catch'!E5</f>
        <v>0</v>
      </c>
      <c r="J13">
        <f>'FSC Catch'!F5</f>
        <v>735</v>
      </c>
      <c r="K13">
        <f>'FSC Catch'!B5</f>
        <v>2499</v>
      </c>
      <c r="L13">
        <f>'FSC Catch'!C5</f>
        <v>200</v>
      </c>
      <c r="M13" s="8">
        <f t="shared" si="1"/>
        <v>3875.2820512820513</v>
      </c>
      <c r="N13" s="8">
        <f t="shared" si="2"/>
        <v>43444.494797690531</v>
      </c>
    </row>
    <row r="14" spans="1:14">
      <c r="A14">
        <f t="shared" si="3"/>
        <v>1978</v>
      </c>
      <c r="B14" s="8">
        <f>$C$6*'Commercial Catch'!D7</f>
        <v>2451.586413909924</v>
      </c>
      <c r="C14" s="8">
        <f>$C$6*'Commercial Catch'!I7</f>
        <v>4266.6666666666661</v>
      </c>
      <c r="D14" s="8">
        <f>$C$7*'Commercial Catch'!E7</f>
        <v>0</v>
      </c>
      <c r="E14" s="8">
        <f>$C$7*'Commercial Catch'!J7</f>
        <v>0</v>
      </c>
      <c r="F14" s="57">
        <f>'Commercial Catch'!F7</f>
        <v>0</v>
      </c>
      <c r="G14" s="8">
        <f t="shared" si="0"/>
        <v>6718.25308057659</v>
      </c>
      <c r="H14" s="8">
        <f>$C$6*'FSC Catch'!D6</f>
        <v>256.41025641025641</v>
      </c>
      <c r="I14" s="8">
        <f>$C$7*'FSC Catch'!E6</f>
        <v>0</v>
      </c>
      <c r="J14" s="7">
        <f>'FSC Catch'!F6</f>
        <v>1002</v>
      </c>
      <c r="K14">
        <f>'FSC Catch'!B6</f>
        <v>3078</v>
      </c>
      <c r="L14">
        <f>'FSC Catch'!C6</f>
        <v>19</v>
      </c>
      <c r="M14" s="8">
        <f t="shared" si="1"/>
        <v>4355.4102564102559</v>
      </c>
      <c r="N14" s="8">
        <f t="shared" si="2"/>
        <v>11073.663336986847</v>
      </c>
    </row>
    <row r="15" spans="1:14">
      <c r="A15">
        <f t="shared" si="3"/>
        <v>1979</v>
      </c>
      <c r="B15" s="8">
        <f>$C$6*'Commercial Catch'!D8</f>
        <v>5116.1562215335798</v>
      </c>
      <c r="C15" s="8">
        <f>$C$6*'Commercial Catch'!I8</f>
        <v>14708.461538461537</v>
      </c>
      <c r="D15" s="8">
        <f>$C$7*'Commercial Catch'!E8</f>
        <v>0</v>
      </c>
      <c r="E15" s="8">
        <f>$C$7*'Commercial Catch'!J8</f>
        <v>0</v>
      </c>
      <c r="F15" s="8">
        <f>'Commercial Catch'!F8</f>
        <v>26275.990413054562</v>
      </c>
      <c r="G15" s="8">
        <f t="shared" si="0"/>
        <v>46100.608173049681</v>
      </c>
      <c r="H15" s="8">
        <f>$C$6*'FSC Catch'!D7</f>
        <v>251.02564102564099</v>
      </c>
      <c r="I15" s="8">
        <f>$C$7*'FSC Catch'!E7</f>
        <v>0</v>
      </c>
      <c r="J15" s="7">
        <f>'FSC Catch'!F7</f>
        <v>268</v>
      </c>
      <c r="K15">
        <f>'FSC Catch'!B7</f>
        <v>2243</v>
      </c>
      <c r="L15">
        <f>'FSC Catch'!C7</f>
        <v>22</v>
      </c>
      <c r="M15" s="8">
        <f t="shared" si="1"/>
        <v>2784.0256410256411</v>
      </c>
      <c r="N15" s="8">
        <f t="shared" si="2"/>
        <v>48884.633814075321</v>
      </c>
    </row>
    <row r="16" spans="1:14">
      <c r="A16">
        <f t="shared" si="3"/>
        <v>1980</v>
      </c>
      <c r="B16" s="8">
        <f>$C$6*'Commercial Catch'!D9</f>
        <v>3253.2759297254265</v>
      </c>
      <c r="C16" s="8">
        <f>$C$6*'Commercial Catch'!I9</f>
        <v>14485.897435897434</v>
      </c>
      <c r="D16" s="8">
        <f>$C$7*'Commercial Catch'!E9</f>
        <v>0</v>
      </c>
      <c r="E16" s="8">
        <f>$C$7*'Commercial Catch'!J9</f>
        <v>0</v>
      </c>
      <c r="F16" s="8">
        <f>'Commercial Catch'!F9</f>
        <v>23699.159306223581</v>
      </c>
      <c r="G16" s="8">
        <f t="shared" si="0"/>
        <v>41438.332671846438</v>
      </c>
      <c r="H16" s="8">
        <f>$C$6*'FSC Catch'!D8</f>
        <v>241.28205128205127</v>
      </c>
      <c r="I16" s="8">
        <f>$C$7*'FSC Catch'!E8</f>
        <v>0</v>
      </c>
      <c r="J16" s="7">
        <f>'FSC Catch'!F8</f>
        <v>1000</v>
      </c>
      <c r="K16">
        <f>'FSC Catch'!B8</f>
        <v>4162</v>
      </c>
      <c r="L16" s="7">
        <f>'FSC Catch'!C8</f>
        <v>285</v>
      </c>
      <c r="M16" s="8">
        <f t="shared" si="1"/>
        <v>5688.2820512820508</v>
      </c>
      <c r="N16" s="8">
        <f t="shared" si="2"/>
        <v>47126.614723128485</v>
      </c>
    </row>
    <row r="17" spans="1:14">
      <c r="A17">
        <f t="shared" si="3"/>
        <v>1981</v>
      </c>
      <c r="B17" s="8">
        <f>$C$6*'Commercial Catch'!D10</f>
        <v>3120.1434432693241</v>
      </c>
      <c r="C17" s="8">
        <f>$C$6*'Commercial Catch'!I10</f>
        <v>16779.48717948718</v>
      </c>
      <c r="D17" s="8">
        <f>$C$7*'Commercial Catch'!E10</f>
        <v>0</v>
      </c>
      <c r="E17" s="8">
        <f>$C$7*'Commercial Catch'!J10</f>
        <v>0</v>
      </c>
      <c r="F17" s="8">
        <f>'Commercial Catch'!F10</f>
        <v>20739.251425887407</v>
      </c>
      <c r="G17" s="8">
        <f t="shared" si="0"/>
        <v>40638.882048643907</v>
      </c>
      <c r="H17" s="61">
        <f>$C$6*'FSC Catch'!D9</f>
        <v>0</v>
      </c>
      <c r="I17" s="61">
        <f>$C$7*'FSC Catch'!E9</f>
        <v>0</v>
      </c>
      <c r="J17" s="34">
        <f>'FSC Catch'!F9</f>
        <v>0</v>
      </c>
      <c r="K17">
        <f>'FSC Catch'!B9</f>
        <v>5068</v>
      </c>
      <c r="L17">
        <f>'FSC Catch'!C9</f>
        <v>267</v>
      </c>
      <c r="M17" s="8">
        <f t="shared" si="1"/>
        <v>5335</v>
      </c>
      <c r="N17" s="8">
        <f t="shared" si="2"/>
        <v>45973.882048643907</v>
      </c>
    </row>
    <row r="18" spans="1:14">
      <c r="A18">
        <f t="shared" si="3"/>
        <v>1982</v>
      </c>
      <c r="B18" s="8">
        <f>$C$6*'Commercial Catch'!D11</f>
        <v>1626.9716366198836</v>
      </c>
      <c r="C18" s="8">
        <f>$C$6*'Commercial Catch'!I11</f>
        <v>1694.102564102564</v>
      </c>
      <c r="D18" s="8">
        <f>$C$7*'Commercial Catch'!E11</f>
        <v>0</v>
      </c>
      <c r="E18" s="8">
        <f>$C$7*'Commercial Catch'!J11</f>
        <v>0</v>
      </c>
      <c r="F18" s="8">
        <f>'Commercial Catch'!F11</f>
        <v>8071.8068001644251</v>
      </c>
      <c r="G18" s="8">
        <f t="shared" si="0"/>
        <v>11392.881000886873</v>
      </c>
      <c r="H18" s="61">
        <f>$C$6*'FSC Catch'!D10</f>
        <v>0</v>
      </c>
      <c r="I18" s="61">
        <f>$C$7*'FSC Catch'!E10</f>
        <v>0</v>
      </c>
      <c r="J18" s="34">
        <f>'FSC Catch'!F10</f>
        <v>0</v>
      </c>
      <c r="K18">
        <f>'FSC Catch'!B10</f>
        <v>2662</v>
      </c>
      <c r="L18" s="34">
        <f>'FSC Catch'!C10</f>
        <v>0</v>
      </c>
      <c r="M18" s="8">
        <f t="shared" si="1"/>
        <v>2662</v>
      </c>
      <c r="N18" s="8">
        <f t="shared" si="2"/>
        <v>14054.881000886873</v>
      </c>
    </row>
    <row r="19" spans="1:14">
      <c r="A19">
        <f t="shared" si="3"/>
        <v>1983</v>
      </c>
      <c r="B19" s="8">
        <f>$C$6*'Commercial Catch'!D12</f>
        <v>2266.8203689191123</v>
      </c>
      <c r="C19" s="8">
        <f>$C$6*'Commercial Catch'!I12</f>
        <v>11211.666666666666</v>
      </c>
      <c r="D19" s="8">
        <f>$C$7*'Commercial Catch'!E12</f>
        <v>0</v>
      </c>
      <c r="E19" s="8">
        <f>$C$7*'Commercial Catch'!J12</f>
        <v>0</v>
      </c>
      <c r="F19" s="8">
        <f>'Commercial Catch'!F12</f>
        <v>17835.977652501453</v>
      </c>
      <c r="G19" s="8">
        <f t="shared" si="0"/>
        <v>31314.464688087231</v>
      </c>
      <c r="H19" s="8">
        <f>$C$6*'FSC Catch'!D11</f>
        <v>170.89743589743588</v>
      </c>
      <c r="I19" s="8">
        <f>$C$7*'FSC Catch'!E11</f>
        <v>0</v>
      </c>
      <c r="J19">
        <f>'FSC Catch'!F11</f>
        <v>1411</v>
      </c>
      <c r="K19">
        <f>'FSC Catch'!B11</f>
        <v>3748</v>
      </c>
      <c r="L19">
        <f>'FSC Catch'!C11</f>
        <v>272</v>
      </c>
      <c r="M19" s="8">
        <f t="shared" si="1"/>
        <v>5601.8974358974356</v>
      </c>
      <c r="N19" s="8">
        <f t="shared" si="2"/>
        <v>36916.362123984669</v>
      </c>
    </row>
    <row r="20" spans="1:14">
      <c r="A20">
        <f t="shared" si="3"/>
        <v>1984</v>
      </c>
      <c r="B20" s="8">
        <f>$C$6*'Commercial Catch'!D13</f>
        <v>1088.580203594483</v>
      </c>
      <c r="C20" s="8">
        <f>$C$6*'Commercial Catch'!I13</f>
        <v>2037.8205128205127</v>
      </c>
      <c r="D20" s="8">
        <f>$C$7*'Commercial Catch'!E13</f>
        <v>0</v>
      </c>
      <c r="E20" s="8">
        <f>$C$7*'Commercial Catch'!J13</f>
        <v>0</v>
      </c>
      <c r="F20" s="8">
        <f>'Commercial Catch'!F13</f>
        <v>13508.042124469477</v>
      </c>
      <c r="G20" s="8">
        <f t="shared" si="0"/>
        <v>16634.442840884472</v>
      </c>
      <c r="H20" s="8">
        <f>$C$6*'FSC Catch'!D12</f>
        <v>278.97435897435895</v>
      </c>
      <c r="I20" s="8">
        <f>$C$7*'FSC Catch'!E12</f>
        <v>0</v>
      </c>
      <c r="J20">
        <f>'FSC Catch'!F12</f>
        <v>363</v>
      </c>
      <c r="K20">
        <f>'FSC Catch'!B12</f>
        <v>5886</v>
      </c>
      <c r="L20">
        <f>'FSC Catch'!C12</f>
        <v>555</v>
      </c>
      <c r="M20" s="8">
        <f t="shared" si="1"/>
        <v>7082.9743589743593</v>
      </c>
      <c r="N20" s="8">
        <f t="shared" si="2"/>
        <v>23717.417199858832</v>
      </c>
    </row>
    <row r="21" spans="1:14">
      <c r="A21">
        <f t="shared" si="3"/>
        <v>1985</v>
      </c>
      <c r="B21" s="8">
        <f>$C$6*'Commercial Catch'!D14</f>
        <v>2057.9604550027098</v>
      </c>
      <c r="C21" s="8">
        <f>$C$6*'Commercial Catch'!I14</f>
        <v>9116.3212052904619</v>
      </c>
      <c r="D21" s="8">
        <f>$C$7*'Commercial Catch'!E14</f>
        <v>189.33750048748146</v>
      </c>
      <c r="E21" s="8">
        <f>$C$7*'Commercial Catch'!J14</f>
        <v>1867.9809124208996</v>
      </c>
      <c r="F21" s="8">
        <f>'Commercial Catch'!F14</f>
        <v>19699.48915841198</v>
      </c>
      <c r="G21" s="8">
        <f t="shared" si="0"/>
        <v>32931.089231613529</v>
      </c>
      <c r="H21" s="8">
        <f>$C$6*'FSC Catch'!D13</f>
        <v>337.05128205128204</v>
      </c>
      <c r="I21" s="8">
        <f>$C$7*'FSC Catch'!E13</f>
        <v>0</v>
      </c>
      <c r="J21">
        <f>'FSC Catch'!F13</f>
        <v>439</v>
      </c>
      <c r="K21">
        <f>'FSC Catch'!B13</f>
        <v>6849</v>
      </c>
      <c r="L21">
        <f>'FSC Catch'!C13</f>
        <v>572</v>
      </c>
      <c r="M21" s="8">
        <f t="shared" si="1"/>
        <v>8197.0512820512813</v>
      </c>
      <c r="N21" s="8">
        <f t="shared" si="2"/>
        <v>41128.14051366481</v>
      </c>
    </row>
    <row r="22" spans="1:14">
      <c r="A22">
        <f t="shared" si="3"/>
        <v>1986</v>
      </c>
      <c r="B22" s="8">
        <f>$C$6*'Commercial Catch'!D15</f>
        <v>3100.8305962532418</v>
      </c>
      <c r="C22" s="8">
        <f>$C$6*'Commercial Catch'!I15</f>
        <v>7952.7945851874174</v>
      </c>
      <c r="D22" s="8">
        <f>$C$7*'Commercial Catch'!E15</f>
        <v>172.54980762554965</v>
      </c>
      <c r="E22" s="8">
        <f>$C$7*'Commercial Catch'!J15</f>
        <v>952.76506683567641</v>
      </c>
      <c r="F22" s="8">
        <f>'Commercial Catch'!F15</f>
        <v>7330.1125318213371</v>
      </c>
      <c r="G22" s="8">
        <f t="shared" si="0"/>
        <v>19509.052587723221</v>
      </c>
      <c r="H22" s="8">
        <f>$C$6*'FSC Catch'!D14</f>
        <v>144.48717948717947</v>
      </c>
      <c r="I22" s="8">
        <f>$C$7*'FSC Catch'!E14</f>
        <v>0</v>
      </c>
      <c r="J22">
        <f>'FSC Catch'!F14</f>
        <v>0</v>
      </c>
      <c r="K22">
        <f>'FSC Catch'!B14</f>
        <v>4216</v>
      </c>
      <c r="L22">
        <f>'FSC Catch'!C14</f>
        <v>567</v>
      </c>
      <c r="M22" s="8">
        <f t="shared" si="1"/>
        <v>4927.4871794871797</v>
      </c>
      <c r="N22" s="8">
        <f t="shared" si="2"/>
        <v>24436.539767210401</v>
      </c>
    </row>
    <row r="23" spans="1:14">
      <c r="A23">
        <f t="shared" si="3"/>
        <v>1987</v>
      </c>
      <c r="B23" s="8">
        <f>$C$6*'Commercial Catch'!D16</f>
        <v>3235.4069901284111</v>
      </c>
      <c r="C23" s="8">
        <f>$C$6*'Commercial Catch'!I16</f>
        <v>14199.826109936574</v>
      </c>
      <c r="D23" s="8">
        <f>$C$7*'Commercial Catch'!E16</f>
        <v>213.36399844245423</v>
      </c>
      <c r="E23" s="8">
        <f>$C$7*'Commercial Catch'!J16</f>
        <v>1889.7097714059198</v>
      </c>
      <c r="F23" s="8">
        <f>'Commercial Catch'!F16</f>
        <v>14196.41296100573</v>
      </c>
      <c r="G23" s="8">
        <f t="shared" si="0"/>
        <v>33734.719830919094</v>
      </c>
      <c r="H23" s="8">
        <f>$C$6*'FSC Catch'!D15</f>
        <v>269.23076923076923</v>
      </c>
      <c r="I23" s="8">
        <f>$C$7*'FSC Catch'!E15</f>
        <v>0</v>
      </c>
      <c r="J23">
        <f>'FSC Catch'!F15</f>
        <v>432</v>
      </c>
      <c r="K23">
        <f>'FSC Catch'!B15</f>
        <v>4676</v>
      </c>
      <c r="L23">
        <f>'FSC Catch'!C15</f>
        <v>376</v>
      </c>
      <c r="M23" s="8">
        <f t="shared" si="1"/>
        <v>5753.2307692307695</v>
      </c>
      <c r="N23" s="8">
        <f t="shared" si="2"/>
        <v>39487.950600149867</v>
      </c>
    </row>
    <row r="24" spans="1:14">
      <c r="A24">
        <f t="shared" si="3"/>
        <v>1988</v>
      </c>
      <c r="B24" s="8">
        <f>$C$6*'Commercial Catch'!D17</f>
        <v>2265.2555139621609</v>
      </c>
      <c r="C24" s="8">
        <f>$C$6*'Commercial Catch'!I17</f>
        <v>13655.019692160276</v>
      </c>
      <c r="D24" s="8">
        <f>$C$7*'Commercial Catch'!E17</f>
        <v>2.795326169739103</v>
      </c>
      <c r="E24" s="8">
        <f>$C$7*'Commercial Catch'!J17</f>
        <v>374.84635387117515</v>
      </c>
      <c r="F24" s="8">
        <f>'Commercial Catch'!F17</f>
        <v>22917.877167630057</v>
      </c>
      <c r="G24" s="8">
        <f t="shared" si="0"/>
        <v>39215.794053793405</v>
      </c>
      <c r="H24" s="8">
        <f>$C$6*'FSC Catch'!D16</f>
        <v>608.46153846153845</v>
      </c>
      <c r="I24" s="8">
        <f>$C$7*'FSC Catch'!E16</f>
        <v>18.5</v>
      </c>
      <c r="J24" s="7">
        <f>'FSC Catch'!F16</f>
        <v>319</v>
      </c>
      <c r="K24">
        <f>'FSC Catch'!B16</f>
        <v>6343</v>
      </c>
      <c r="L24">
        <f>'FSC Catch'!C16</f>
        <v>536</v>
      </c>
      <c r="M24" s="8">
        <f t="shared" si="1"/>
        <v>7824.9615384615381</v>
      </c>
      <c r="N24" s="8">
        <f t="shared" si="2"/>
        <v>47040.755592254944</v>
      </c>
    </row>
    <row r="25" spans="1:14">
      <c r="A25">
        <f t="shared" si="3"/>
        <v>1989</v>
      </c>
      <c r="B25" s="8">
        <f>$C$6*'Commercial Catch'!D18</f>
        <v>455.08781295040831</v>
      </c>
      <c r="C25" s="8">
        <f>$C$6*'Commercial Catch'!I18</f>
        <v>2461.9917799783757</v>
      </c>
      <c r="D25" s="8">
        <f>$C$7*'Commercial Catch'!E18</f>
        <v>11.807425399028453</v>
      </c>
      <c r="E25" s="8">
        <f>$C$7*'Commercial Catch'!J18</f>
        <v>298.90400726054173</v>
      </c>
      <c r="F25" s="8">
        <f>'Commercial Catch'!F18</f>
        <v>5650.9923664122143</v>
      </c>
      <c r="G25" s="8">
        <f t="shared" si="0"/>
        <v>8878.7833920005687</v>
      </c>
      <c r="H25" s="8">
        <f>$C$6*'FSC Catch'!D17</f>
        <v>205.89743589743588</v>
      </c>
      <c r="I25" s="8">
        <f>$C$7*'FSC Catch'!E17</f>
        <v>0</v>
      </c>
      <c r="J25">
        <f>'FSC Catch'!F17</f>
        <v>0</v>
      </c>
      <c r="K25">
        <f>'FSC Catch'!B17</f>
        <v>5266</v>
      </c>
      <c r="L25">
        <f>'FSC Catch'!C17</f>
        <v>443</v>
      </c>
      <c r="M25" s="8">
        <f t="shared" si="1"/>
        <v>5914.8974358974356</v>
      </c>
      <c r="N25" s="8">
        <f t="shared" si="2"/>
        <v>14793.680827898004</v>
      </c>
    </row>
    <row r="26" spans="1:14">
      <c r="A26">
        <f t="shared" si="3"/>
        <v>1990</v>
      </c>
      <c r="B26" s="8">
        <f>$C$6*'Commercial Catch'!D19</f>
        <v>2482.5986075168448</v>
      </c>
      <c r="C26" s="8">
        <f>$C$6*'Commercial Catch'!I19</f>
        <v>12421.153846153846</v>
      </c>
      <c r="D26" s="8">
        <f>$C$7*'Commercial Catch'!E19</f>
        <v>0</v>
      </c>
      <c r="E26" s="8">
        <f>$C$7*'Commercial Catch'!J19</f>
        <v>0</v>
      </c>
      <c r="F26" s="8">
        <f>'Commercial Catch'!F19</f>
        <v>3797.9793771482132</v>
      </c>
      <c r="G26" s="8">
        <f t="shared" si="0"/>
        <v>18701.731830818906</v>
      </c>
      <c r="H26" s="8">
        <f>$C$6*'FSC Catch'!D18</f>
        <v>261.41025641025641</v>
      </c>
      <c r="I26" s="8">
        <f>$C$7*'FSC Catch'!E18</f>
        <v>0</v>
      </c>
      <c r="J26">
        <f>'FSC Catch'!F18</f>
        <v>277</v>
      </c>
      <c r="K26">
        <f>'FSC Catch'!B18</f>
        <v>3579</v>
      </c>
      <c r="L26">
        <f>'FSC Catch'!C18</f>
        <v>355</v>
      </c>
      <c r="M26" s="8">
        <f t="shared" si="1"/>
        <v>4472.4102564102559</v>
      </c>
      <c r="N26" s="8">
        <f t="shared" si="2"/>
        <v>23174.142087229164</v>
      </c>
    </row>
    <row r="27" spans="1:14">
      <c r="A27">
        <f t="shared" si="3"/>
        <v>1991</v>
      </c>
      <c r="B27" s="8">
        <f>$C$6*'Commercial Catch'!D20</f>
        <v>2608.6380397348953</v>
      </c>
      <c r="C27" s="8">
        <f>$C$6*'Commercial Catch'!I20</f>
        <v>6632.0512820512813</v>
      </c>
      <c r="D27" s="8">
        <f>$C$7*'Commercial Catch'!E20</f>
        <v>0</v>
      </c>
      <c r="E27" s="8">
        <f>$C$7*'Commercial Catch'!J20</f>
        <v>0</v>
      </c>
      <c r="F27" s="8">
        <f>'Commercial Catch'!F20</f>
        <v>12228.704600363231</v>
      </c>
      <c r="G27" s="8">
        <f t="shared" si="0"/>
        <v>21469.393922149407</v>
      </c>
      <c r="H27" s="8">
        <f>$C$6*'FSC Catch'!D19</f>
        <v>434.8717948717948</v>
      </c>
      <c r="I27" s="8">
        <f>$C$7*'FSC Catch'!E19</f>
        <v>233.25</v>
      </c>
      <c r="J27">
        <f>'FSC Catch'!F19</f>
        <v>622</v>
      </c>
      <c r="K27">
        <f>'FSC Catch'!B19</f>
        <v>8851</v>
      </c>
      <c r="L27">
        <f>'FSC Catch'!C19</f>
        <v>11</v>
      </c>
      <c r="M27" s="8">
        <f t="shared" si="1"/>
        <v>10152.121794871795</v>
      </c>
      <c r="N27" s="8">
        <f t="shared" si="2"/>
        <v>31621.515717021204</v>
      </c>
    </row>
    <row r="28" spans="1:14">
      <c r="A28">
        <f t="shared" si="3"/>
        <v>1992</v>
      </c>
      <c r="B28" s="8">
        <f>$C$6*'Commercial Catch'!D21</f>
        <v>908.00300819568622</v>
      </c>
      <c r="C28" s="8">
        <f>$C$6*'Commercial Catch'!I21</f>
        <v>12510.256410256408</v>
      </c>
      <c r="D28" s="8">
        <f>$C$7*'Commercial Catch'!E21</f>
        <v>0</v>
      </c>
      <c r="E28" s="8">
        <f>$C$7*'Commercial Catch'!J21</f>
        <v>0</v>
      </c>
      <c r="F28" s="8">
        <f>'Commercial Catch'!F21</f>
        <v>4803.564547206166</v>
      </c>
      <c r="G28" s="8">
        <f t="shared" si="0"/>
        <v>18221.823965658259</v>
      </c>
      <c r="H28" s="8">
        <f>$C$6*'FSC Catch'!D20</f>
        <v>187.30769230769229</v>
      </c>
      <c r="I28" s="8">
        <f>$C$7*'FSC Catch'!E20</f>
        <v>21.1875</v>
      </c>
      <c r="J28">
        <f>'FSC Catch'!F20</f>
        <v>0</v>
      </c>
      <c r="K28">
        <f>'FSC Catch'!B20</f>
        <v>7216</v>
      </c>
      <c r="L28">
        <f>'FSC Catch'!C20</f>
        <v>174</v>
      </c>
      <c r="M28" s="8">
        <f t="shared" si="1"/>
        <v>7598.4951923076924</v>
      </c>
      <c r="N28" s="8">
        <f t="shared" si="2"/>
        <v>25820.319157965951</v>
      </c>
    </row>
    <row r="29" spans="1:14">
      <c r="A29">
        <f t="shared" si="3"/>
        <v>1993</v>
      </c>
      <c r="B29" s="8">
        <f>$C$6*'Commercial Catch'!D22</f>
        <v>2413.2305296882951</v>
      </c>
      <c r="C29" s="8">
        <f>$C$6*'Commercial Catch'!I22</f>
        <v>5268.2051282051279</v>
      </c>
      <c r="D29" s="8">
        <f>$C$7*'Commercial Catch'!E22</f>
        <v>0</v>
      </c>
      <c r="E29" s="8">
        <f>$C$7*'Commercial Catch'!J22</f>
        <v>0</v>
      </c>
      <c r="F29" s="8">
        <f>'Commercial Catch'!F22</f>
        <v>1836.8018684312963</v>
      </c>
      <c r="G29" s="8">
        <f t="shared" si="0"/>
        <v>9518.2375263247195</v>
      </c>
      <c r="H29" s="8">
        <f>$C$6*'FSC Catch'!D21</f>
        <v>423.84615384615381</v>
      </c>
      <c r="I29" s="8">
        <f>$C$7*'FSC Catch'!E21</f>
        <v>42.6875</v>
      </c>
      <c r="J29">
        <f>'FSC Catch'!F21</f>
        <v>130</v>
      </c>
      <c r="K29">
        <f>'FSC Catch'!B21</f>
        <v>4287</v>
      </c>
      <c r="L29">
        <f>'FSC Catch'!C21</f>
        <v>305</v>
      </c>
      <c r="M29" s="8">
        <f t="shared" si="1"/>
        <v>5188.5336538461543</v>
      </c>
      <c r="N29" s="8">
        <f t="shared" si="2"/>
        <v>14706.771180170874</v>
      </c>
    </row>
    <row r="30" spans="1:14">
      <c r="A30">
        <f t="shared" si="3"/>
        <v>1994</v>
      </c>
      <c r="B30" s="8">
        <f>$C$6*'Commercial Catch'!D23</f>
        <v>2468.9389307474412</v>
      </c>
      <c r="C30" s="8">
        <f>$C$6*'Commercial Catch'!I23</f>
        <v>25831.794871794871</v>
      </c>
      <c r="D30" s="8">
        <f>$C$7*'Commercial Catch'!E23</f>
        <v>0</v>
      </c>
      <c r="E30" s="8">
        <f>$C$7*'Commercial Catch'!J23</f>
        <v>0</v>
      </c>
      <c r="F30" s="8">
        <f>'Commercial Catch'!F23</f>
        <v>2006.1545588141335</v>
      </c>
      <c r="G30" s="8">
        <f t="shared" si="0"/>
        <v>30306.888361356447</v>
      </c>
      <c r="H30" s="8">
        <f>$C$6*'FSC Catch'!D22</f>
        <v>322.82051282051282</v>
      </c>
      <c r="I30" s="8">
        <f>$C$7*'FSC Catch'!E22</f>
        <v>14.0625</v>
      </c>
      <c r="J30">
        <f>'FSC Catch'!F22</f>
        <v>0</v>
      </c>
      <c r="K30">
        <f>'FSC Catch'!B22</f>
        <v>600</v>
      </c>
      <c r="L30">
        <f>'FSC Catch'!C22</f>
        <v>22</v>
      </c>
      <c r="M30" s="8">
        <f t="shared" si="1"/>
        <v>958.88301282051282</v>
      </c>
      <c r="N30" s="8">
        <f t="shared" si="2"/>
        <v>31265.771374176958</v>
      </c>
    </row>
    <row r="31" spans="1:14">
      <c r="A31">
        <f t="shared" si="3"/>
        <v>1995</v>
      </c>
      <c r="B31" s="8">
        <f>$C$6*'Commercial Catch'!D24</f>
        <v>3635.0269112090477</v>
      </c>
      <c r="C31" s="8">
        <f>$C$6*'Commercial Catch'!I24</f>
        <v>4064.9999999999995</v>
      </c>
      <c r="D31" s="8">
        <f>$C$7*'Commercial Catch'!E24</f>
        <v>0</v>
      </c>
      <c r="E31" s="8">
        <f>$C$7*'Commercial Catch'!J24</f>
        <v>0</v>
      </c>
      <c r="F31" s="8">
        <f>'Commercial Catch'!F24</f>
        <v>8753.5159703110676</v>
      </c>
      <c r="G31" s="8">
        <f t="shared" si="0"/>
        <v>16453.542881520116</v>
      </c>
      <c r="H31" s="8">
        <f>$C$6*'FSC Catch'!D23</f>
        <v>419.74358974358972</v>
      </c>
      <c r="I31" s="8">
        <f>$C$7*'FSC Catch'!E23</f>
        <v>16.8125</v>
      </c>
      <c r="J31">
        <f>'FSC Catch'!F23</f>
        <v>0</v>
      </c>
      <c r="K31">
        <f>'FSC Catch'!B23</f>
        <v>4923</v>
      </c>
      <c r="L31">
        <f>'FSC Catch'!C23</f>
        <v>91</v>
      </c>
      <c r="M31" s="8">
        <f t="shared" si="1"/>
        <v>5450.5560897435898</v>
      </c>
      <c r="N31" s="8">
        <f t="shared" si="2"/>
        <v>21904.098971263706</v>
      </c>
    </row>
    <row r="32" spans="1:14">
      <c r="A32">
        <f t="shared" si="3"/>
        <v>1996</v>
      </c>
      <c r="B32" s="8">
        <f>$C$6*'Commercial Catch'!D25</f>
        <v>2254.6398484346832</v>
      </c>
      <c r="C32" s="8">
        <f>$C$6*'Commercial Catch'!I25</f>
        <v>628.58974358974353</v>
      </c>
      <c r="D32" s="8">
        <f>$C$7*'Commercial Catch'!E25</f>
        <v>0</v>
      </c>
      <c r="E32" s="8">
        <f>$C$7*'Commercial Catch'!J25</f>
        <v>0</v>
      </c>
      <c r="F32" s="8">
        <f>'Commercial Catch'!F25</f>
        <v>3373.6527977044475</v>
      </c>
      <c r="G32" s="8">
        <f t="shared" si="0"/>
        <v>6256.8823897288748</v>
      </c>
      <c r="H32" s="58">
        <f>$C$6*'FSC Catch'!D24</f>
        <v>804.74358974358972</v>
      </c>
      <c r="I32" s="8">
        <f>$C$7*'FSC Catch'!E24</f>
        <v>6.375</v>
      </c>
      <c r="J32">
        <f>'FSC Catch'!F24</f>
        <v>0</v>
      </c>
      <c r="K32">
        <f>'FSC Catch'!B24</f>
        <v>2866</v>
      </c>
      <c r="L32">
        <f>'FSC Catch'!C24</f>
        <v>92</v>
      </c>
      <c r="M32" s="8">
        <f t="shared" si="1"/>
        <v>3769.1185897435898</v>
      </c>
      <c r="N32" s="8">
        <f t="shared" si="2"/>
        <v>10026.000979472465</v>
      </c>
    </row>
    <row r="33" spans="1:15">
      <c r="A33">
        <f t="shared" si="3"/>
        <v>1997</v>
      </c>
      <c r="B33" s="8">
        <f>$C$6*'Commercial Catch'!D26</f>
        <v>903.04525504525509</v>
      </c>
      <c r="C33" s="8">
        <f>$C$6*'Commercial Catch'!I26</f>
        <v>3054.8717948717945</v>
      </c>
      <c r="D33" s="8">
        <f>$C$7*'Commercial Catch'!E26</f>
        <v>0</v>
      </c>
      <c r="E33" s="8">
        <f>$C$7*'Commercial Catch'!J26</f>
        <v>0</v>
      </c>
      <c r="F33" s="8">
        <f>'Commercial Catch'!F26</f>
        <v>617.71793611793612</v>
      </c>
      <c r="G33" s="8">
        <f t="shared" si="0"/>
        <v>4575.6349860349856</v>
      </c>
      <c r="H33" s="8">
        <f>$C$6*'FSC Catch'!D25</f>
        <v>2560.5128205128203</v>
      </c>
      <c r="I33" s="8">
        <f>$C$7*'FSC Catch'!E25</f>
        <v>1.1875</v>
      </c>
      <c r="J33">
        <f>'FSC Catch'!F25</f>
        <v>0</v>
      </c>
      <c r="K33">
        <f>'FSC Catch'!B25</f>
        <v>2803</v>
      </c>
      <c r="L33">
        <f>'FSC Catch'!C25</f>
        <v>498</v>
      </c>
      <c r="M33" s="8">
        <f t="shared" si="1"/>
        <v>5862.7003205128203</v>
      </c>
      <c r="N33" s="8">
        <f t="shared" si="2"/>
        <v>10438.335306547806</v>
      </c>
    </row>
    <row r="34" spans="1:15">
      <c r="A34">
        <f t="shared" si="3"/>
        <v>1998</v>
      </c>
      <c r="B34" s="8">
        <f>$C$6*'Commercial Catch'!D27</f>
        <v>939.48625858838204</v>
      </c>
      <c r="C34" s="8">
        <f>$C$6*'Commercial Catch'!I27</f>
        <v>1775.8974358974358</v>
      </c>
      <c r="D34" s="8">
        <f>$C$7*'Commercial Catch'!E27</f>
        <v>0</v>
      </c>
      <c r="E34" s="8">
        <f>$C$7*'Commercial Catch'!J27</f>
        <v>0</v>
      </c>
      <c r="F34" s="8">
        <f>'Commercial Catch'!F27</f>
        <v>1136.711742660837</v>
      </c>
      <c r="G34" s="8">
        <f t="shared" si="0"/>
        <v>3852.0954371466546</v>
      </c>
      <c r="H34" s="58">
        <f>$C$6*'FSC Catch'!D26</f>
        <v>224.74358974358972</v>
      </c>
      <c r="I34" s="58">
        <f>$C$7*'FSC Catch'!E26</f>
        <v>9.75</v>
      </c>
      <c r="J34">
        <f>'FSC Catch'!F26</f>
        <v>0</v>
      </c>
      <c r="K34">
        <f>'FSC Catch'!B26</f>
        <v>1719</v>
      </c>
      <c r="L34">
        <f>'FSC Catch'!C26</f>
        <v>320</v>
      </c>
      <c r="M34" s="8">
        <f t="shared" si="1"/>
        <v>2273.4935897435898</v>
      </c>
      <c r="N34" s="8">
        <f t="shared" si="2"/>
        <v>6125.589026890244</v>
      </c>
    </row>
    <row r="35" spans="1:15">
      <c r="A35">
        <f t="shared" si="3"/>
        <v>1999</v>
      </c>
      <c r="B35" s="8">
        <f>$C$6*'Commercial Catch'!D28</f>
        <v>340.48047453343514</v>
      </c>
      <c r="C35" s="8">
        <f>$C$6*'Commercial Catch'!I28</f>
        <v>415.25641025641022</v>
      </c>
      <c r="D35" s="8">
        <f>$C$7*'Commercial Catch'!E28</f>
        <v>0</v>
      </c>
      <c r="E35" s="8">
        <f>$C$7*'Commercial Catch'!J28</f>
        <v>0</v>
      </c>
      <c r="F35" s="8">
        <f>'Commercial Catch'!F28</f>
        <v>144.22214049282826</v>
      </c>
      <c r="G35" s="8">
        <f t="shared" si="0"/>
        <v>899.95902528267357</v>
      </c>
      <c r="H35" s="58">
        <f>$C$6*'FSC Catch'!D27</f>
        <v>109.87179487179486</v>
      </c>
      <c r="I35" s="8">
        <f>$C$7*'FSC Catch'!E27</f>
        <v>2.125</v>
      </c>
      <c r="J35">
        <f>'FSC Catch'!F27</f>
        <v>0</v>
      </c>
      <c r="K35">
        <f>'FSC Catch'!B27</f>
        <v>825</v>
      </c>
      <c r="L35">
        <f>'FSC Catch'!C27</f>
        <v>246</v>
      </c>
      <c r="M35" s="8">
        <f t="shared" si="1"/>
        <v>1182.9967948717949</v>
      </c>
      <c r="N35" s="8">
        <f t="shared" si="2"/>
        <v>2082.9558201544687</v>
      </c>
    </row>
    <row r="36" spans="1:15">
      <c r="A36">
        <f t="shared" si="3"/>
        <v>2000</v>
      </c>
      <c r="B36" s="8">
        <f>$C$6*'Commercial Catch'!D29</f>
        <v>185.37149672033394</v>
      </c>
      <c r="C36" s="8">
        <f>$C$6*'Commercial Catch'!I29</f>
        <v>76.025641025641022</v>
      </c>
      <c r="D36" s="8">
        <f>$C$7*'Commercial Catch'!E29</f>
        <v>0</v>
      </c>
      <c r="E36" s="8">
        <f>$C$7*'Commercial Catch'!J29</f>
        <v>0</v>
      </c>
      <c r="F36" s="8">
        <f>'Commercial Catch'!F29</f>
        <v>516.10232558139535</v>
      </c>
      <c r="G36" s="8">
        <f t="shared" si="0"/>
        <v>777.49946332737034</v>
      </c>
      <c r="H36" s="58">
        <f>$C$6*'FSC Catch'!D28</f>
        <v>305</v>
      </c>
      <c r="I36" s="8">
        <f>$C$7*'FSC Catch'!E28</f>
        <v>8.375</v>
      </c>
      <c r="J36">
        <f>'FSC Catch'!F28</f>
        <v>0</v>
      </c>
      <c r="K36">
        <f>'FSC Catch'!B28</f>
        <v>866</v>
      </c>
      <c r="L36">
        <f>'FSC Catch'!C28</f>
        <v>903</v>
      </c>
      <c r="M36" s="8">
        <f t="shared" si="1"/>
        <v>2082.375</v>
      </c>
      <c r="N36" s="8">
        <f t="shared" si="2"/>
        <v>2859.8744633273704</v>
      </c>
    </row>
    <row r="37" spans="1:15">
      <c r="A37">
        <f>A36+1</f>
        <v>2001</v>
      </c>
      <c r="B37" s="8">
        <f>$C$6*'Commercial Catch'!D30</f>
        <v>152.0234174899378</v>
      </c>
      <c r="C37" s="8">
        <f>$C$6*'Commercial Catch'!I30</f>
        <v>134.74358974358972</v>
      </c>
      <c r="D37" s="8">
        <f>$C$7*'Commercial Catch'!E30</f>
        <v>0</v>
      </c>
      <c r="E37" s="8">
        <f>$C$7*'Commercial Catch'!J30</f>
        <v>0</v>
      </c>
      <c r="F37" s="8">
        <f>'Commercial Catch'!F30</f>
        <v>166.21734357848518</v>
      </c>
      <c r="G37" s="8">
        <f t="shared" si="0"/>
        <v>452.98435081201274</v>
      </c>
      <c r="H37" s="8">
        <f>$C$6*'FSC Catch'!D29</f>
        <v>213.58974358974356</v>
      </c>
      <c r="I37" s="8">
        <f>$C$7*'FSC Catch'!E29</f>
        <v>85.875</v>
      </c>
      <c r="J37">
        <f>'FSC Catch'!F29</f>
        <v>0</v>
      </c>
      <c r="K37">
        <f>'FSC Catch'!B29</f>
        <v>912</v>
      </c>
      <c r="L37">
        <f>'FSC Catch'!C29</f>
        <v>525</v>
      </c>
      <c r="M37" s="8">
        <f t="shared" si="1"/>
        <v>1736.4647435897436</v>
      </c>
      <c r="N37" s="8">
        <f t="shared" si="2"/>
        <v>2189.4490944017562</v>
      </c>
    </row>
    <row r="38" spans="1:15">
      <c r="A38">
        <f t="shared" si="3"/>
        <v>2002</v>
      </c>
      <c r="B38" s="8">
        <f>$C$6*'Commercial Catch'!D31</f>
        <v>273.66547913334301</v>
      </c>
      <c r="C38" s="8">
        <f>$C$6*'Commercial Catch'!I31</f>
        <v>418.33333333333331</v>
      </c>
      <c r="D38" s="8">
        <f>$C$7*'Commercial Catch'!E31</f>
        <v>0</v>
      </c>
      <c r="E38" s="8">
        <f>$C$7*'Commercial Catch'!J31</f>
        <v>0</v>
      </c>
      <c r="F38" s="8">
        <f>'Commercial Catch'!F31</f>
        <v>382.45746691871454</v>
      </c>
      <c r="G38" s="8">
        <f t="shared" si="0"/>
        <v>1074.4562793853909</v>
      </c>
      <c r="H38" s="8">
        <f>$C$6*'FSC Catch'!D30</f>
        <v>286.28205128205127</v>
      </c>
      <c r="I38" s="8">
        <f>$C$7*'FSC Catch'!E30</f>
        <v>33</v>
      </c>
      <c r="J38">
        <f>'FSC Catch'!F30</f>
        <v>0</v>
      </c>
      <c r="K38">
        <f>'FSC Catch'!B30</f>
        <v>847</v>
      </c>
      <c r="L38">
        <f>'FSC Catch'!C30</f>
        <v>758</v>
      </c>
      <c r="M38" s="8">
        <f t="shared" si="1"/>
        <v>1924.2820512820513</v>
      </c>
      <c r="N38" s="8">
        <f t="shared" si="2"/>
        <v>2998.7383306674419</v>
      </c>
    </row>
    <row r="39" spans="1:15">
      <c r="A39">
        <f t="shared" si="3"/>
        <v>2003</v>
      </c>
      <c r="B39" s="8">
        <f>$C$6*'Commercial Catch'!D32</f>
        <v>618.85260592157135</v>
      </c>
      <c r="C39" s="8">
        <f>$C$6*'Commercial Catch'!I32</f>
        <v>1790.7692307692307</v>
      </c>
      <c r="D39" s="8">
        <f>$C$7*'Commercial Catch'!E32</f>
        <v>0</v>
      </c>
      <c r="E39" s="8">
        <f>$C$7*'Commercial Catch'!J32</f>
        <v>0</v>
      </c>
      <c r="F39" s="8">
        <f>'Commercial Catch'!F32</f>
        <v>316.94594594594594</v>
      </c>
      <c r="G39" s="8">
        <f t="shared" si="0"/>
        <v>2726.5677826367478</v>
      </c>
      <c r="H39" s="8">
        <f>$C$6*'FSC Catch'!D31</f>
        <v>259.10256410256409</v>
      </c>
      <c r="I39" s="8">
        <f>$C$7*'FSC Catch'!E31</f>
        <v>7</v>
      </c>
      <c r="J39">
        <f>'FSC Catch'!F31</f>
        <v>0</v>
      </c>
      <c r="K39">
        <f>'FSC Catch'!B31</f>
        <v>722</v>
      </c>
      <c r="L39">
        <f>'FSC Catch'!C31</f>
        <v>1045</v>
      </c>
      <c r="M39" s="8">
        <f t="shared" si="1"/>
        <v>2033.102564102564</v>
      </c>
      <c r="N39" s="8">
        <f t="shared" si="2"/>
        <v>4759.6703467393118</v>
      </c>
    </row>
    <row r="40" spans="1:15">
      <c r="A40">
        <f t="shared" si="3"/>
        <v>2004</v>
      </c>
      <c r="B40" s="8">
        <f>$C$6*'Commercial Catch'!D33</f>
        <v>365.6181318681318</v>
      </c>
      <c r="C40" s="8">
        <f>$C$6*'Commercial Catch'!I33</f>
        <v>242.05128205128204</v>
      </c>
      <c r="D40" s="8">
        <f>$C$7*'Commercial Catch'!E33</f>
        <v>0</v>
      </c>
      <c r="E40" s="8">
        <f>$C$7*'Commercial Catch'!J33</f>
        <v>0</v>
      </c>
      <c r="F40" s="8">
        <f>'Commercial Catch'!F33</f>
        <v>241.47802197802199</v>
      </c>
      <c r="G40" s="8">
        <f t="shared" si="0"/>
        <v>849.1474358974358</v>
      </c>
      <c r="H40" s="58">
        <f>$C$6*'FSC Catch'!D32</f>
        <v>362.30769230769226</v>
      </c>
      <c r="I40" s="8">
        <f>$C$7*'FSC Catch'!E32</f>
        <v>24</v>
      </c>
      <c r="J40" s="7">
        <f>'FSC Catch'!F32</f>
        <v>266</v>
      </c>
      <c r="K40">
        <f>'FSC Catch'!B32</f>
        <v>395</v>
      </c>
      <c r="L40">
        <f>'FSC Catch'!C32</f>
        <v>139</v>
      </c>
      <c r="M40" s="8">
        <f t="shared" si="1"/>
        <v>1186.3076923076924</v>
      </c>
      <c r="N40" s="8">
        <f t="shared" si="2"/>
        <v>2035.4551282051282</v>
      </c>
    </row>
    <row r="41" spans="1:15">
      <c r="A41">
        <f t="shared" si="3"/>
        <v>2005</v>
      </c>
      <c r="B41" s="8">
        <f>$C$6*'Commercial Catch'!D34</f>
        <v>107.47922111558474</v>
      </c>
      <c r="C41" s="8">
        <f>$C$6*'Commercial Catch'!I34</f>
        <v>2.0512820512820511</v>
      </c>
      <c r="D41" s="8">
        <f>$C$7*'Commercial Catch'!E34</f>
        <v>0</v>
      </c>
      <c r="E41" s="8">
        <f>$C$7*'Commercial Catch'!J34</f>
        <v>0</v>
      </c>
      <c r="F41" s="8">
        <f>'Commercial Catch'!F34</f>
        <v>111.66207529843894</v>
      </c>
      <c r="G41" s="8">
        <f t="shared" si="0"/>
        <v>221.19257846530573</v>
      </c>
      <c r="H41" s="8">
        <f>$C$6*'FSC Catch'!D33</f>
        <v>75.769230769230759</v>
      </c>
      <c r="I41" s="8">
        <f>$C$7*'FSC Catch'!E33</f>
        <v>9.875</v>
      </c>
      <c r="J41">
        <f>'FSC Catch'!F33</f>
        <v>0</v>
      </c>
      <c r="K41">
        <f>'FSC Catch'!B33</f>
        <v>180</v>
      </c>
      <c r="L41">
        <f>'FSC Catch'!C33</f>
        <v>255</v>
      </c>
      <c r="M41" s="8">
        <f t="shared" si="1"/>
        <v>520.64423076923072</v>
      </c>
      <c r="N41" s="8">
        <f t="shared" si="2"/>
        <v>741.83680923453642</v>
      </c>
    </row>
    <row r="42" spans="1:15">
      <c r="A42">
        <f t="shared" si="3"/>
        <v>2006</v>
      </c>
      <c r="B42" s="8">
        <f>$C$6*'Commercial Catch'!D35</f>
        <v>146.41025641025641</v>
      </c>
      <c r="C42" s="8">
        <f>$C$6*'Commercial Catch'!I35</f>
        <v>0</v>
      </c>
      <c r="D42" s="8">
        <f>$C$7*'Commercial Catch'!E35</f>
        <v>0</v>
      </c>
      <c r="E42" s="8">
        <f>$C$7*'Commercial Catch'!J35</f>
        <v>0</v>
      </c>
      <c r="F42" s="8">
        <f>'Commercial Catch'!F35</f>
        <v>44.999999999999993</v>
      </c>
      <c r="G42" s="8">
        <f t="shared" si="0"/>
        <v>191.41025641025641</v>
      </c>
      <c r="H42" s="8">
        <f>$C$6*'FSC Catch'!D34</f>
        <v>54.743589743589737</v>
      </c>
      <c r="I42" s="8">
        <f>$C$7*'FSC Catch'!E34</f>
        <v>0</v>
      </c>
      <c r="J42" s="58">
        <f>'FSC Catch'!F34</f>
        <v>400</v>
      </c>
      <c r="K42" s="8">
        <f>'FSC Catch'!B34</f>
        <v>102</v>
      </c>
      <c r="L42" s="8">
        <f>'FSC Catch'!C34</f>
        <v>68</v>
      </c>
      <c r="M42" s="8">
        <f t="shared" si="1"/>
        <v>624.74358974358972</v>
      </c>
      <c r="N42" s="8">
        <f t="shared" si="2"/>
        <v>816.15384615384619</v>
      </c>
    </row>
    <row r="43" spans="1:15">
      <c r="A43">
        <v>2007</v>
      </c>
      <c r="G43" s="109">
        <v>78.666666666666657</v>
      </c>
      <c r="H43" s="8">
        <f>$C$6*'FSC Catch'!D35</f>
        <v>33.46153846153846</v>
      </c>
      <c r="I43" s="8">
        <f>$C$7*'FSC Catch'!E35</f>
        <v>10.875</v>
      </c>
      <c r="J43" s="58">
        <f>'FSC Catch'!F35</f>
        <v>55</v>
      </c>
      <c r="K43" s="8">
        <f>'FSC Catch'!B35</f>
        <v>125</v>
      </c>
      <c r="L43" s="8">
        <f>'FSC Catch'!C35</f>
        <v>120</v>
      </c>
      <c r="M43" s="101">
        <f t="shared" si="1"/>
        <v>344.33653846153845</v>
      </c>
      <c r="N43" s="8">
        <f t="shared" si="2"/>
        <v>423.00320512820508</v>
      </c>
      <c r="O43" s="44"/>
    </row>
    <row r="44" spans="1:15">
      <c r="A44">
        <v>2008</v>
      </c>
      <c r="G44" s="109">
        <v>61.84615384615384</v>
      </c>
      <c r="H44" s="8">
        <f>$C$6*'FSC Catch'!D36</f>
        <v>149.61538461538461</v>
      </c>
      <c r="I44" s="8">
        <f>$C$7*'FSC Catch'!E36</f>
        <v>25.875</v>
      </c>
      <c r="J44" s="58">
        <f>'FSC Catch'!F36</f>
        <v>108</v>
      </c>
      <c r="K44" s="8">
        <f>'FSC Catch'!B36</f>
        <v>45</v>
      </c>
      <c r="L44" s="8">
        <f>'FSC Catch'!C36</f>
        <v>33</v>
      </c>
      <c r="M44" s="101">
        <f t="shared" si="1"/>
        <v>361.49038461538464</v>
      </c>
      <c r="N44" s="8">
        <f t="shared" si="2"/>
        <v>423.33653846153845</v>
      </c>
      <c r="O44" s="44"/>
    </row>
    <row r="45" spans="1:15">
      <c r="A45">
        <v>2009</v>
      </c>
      <c r="G45" s="109">
        <v>404.07692307692309</v>
      </c>
      <c r="H45" s="8">
        <f>$C$6*'FSC Catch'!D37</f>
        <v>74.743589743589737</v>
      </c>
      <c r="I45" s="8">
        <f>$C$7*'FSC Catch'!E37</f>
        <v>3.4375</v>
      </c>
      <c r="J45" s="58">
        <f>'FSC Catch'!F37</f>
        <v>414</v>
      </c>
      <c r="K45" s="8">
        <f>'FSC Catch'!B37</f>
        <v>107</v>
      </c>
      <c r="L45" s="8">
        <f>'FSC Catch'!C37</f>
        <v>37</v>
      </c>
      <c r="M45" s="101">
        <f t="shared" si="1"/>
        <v>636.18108974358972</v>
      </c>
      <c r="N45" s="8">
        <f t="shared" si="2"/>
        <v>1040.2580128205127</v>
      </c>
      <c r="O45" s="44"/>
    </row>
    <row r="46" spans="1:15">
      <c r="A46">
        <v>2010</v>
      </c>
      <c r="G46" s="109">
        <v>66.358974358974365</v>
      </c>
      <c r="H46" s="8">
        <f>$C$6*'FSC Catch'!D38</f>
        <v>3.974358974358974</v>
      </c>
      <c r="I46" s="8">
        <f>$C$7*'FSC Catch'!E38</f>
        <v>0</v>
      </c>
      <c r="J46" s="58">
        <f>'FSC Catch'!F38</f>
        <v>0</v>
      </c>
      <c r="K46" s="8">
        <f>'FSC Catch'!B38</f>
        <v>131</v>
      </c>
      <c r="L46" s="8">
        <f>'FSC Catch'!C38</f>
        <v>30</v>
      </c>
      <c r="M46" s="101">
        <f t="shared" si="1"/>
        <v>164.97435897435898</v>
      </c>
      <c r="N46" s="8">
        <f t="shared" si="2"/>
        <v>231.33333333333334</v>
      </c>
      <c r="O46" s="44"/>
    </row>
    <row r="47" spans="1:15">
      <c r="A47">
        <v>2011</v>
      </c>
      <c r="G47" s="109">
        <v>231.76923076923077</v>
      </c>
      <c r="H47" s="8">
        <f>$C$6*'FSC Catch'!D39</f>
        <v>1.5384615384615383</v>
      </c>
      <c r="I47" s="8">
        <f>$C$7*'FSC Catch'!E39</f>
        <v>0</v>
      </c>
      <c r="J47" s="58">
        <f>'FSC Catch'!F39</f>
        <v>0</v>
      </c>
      <c r="K47" s="8">
        <f>'FSC Catch'!B39</f>
        <v>41</v>
      </c>
      <c r="L47" s="8">
        <f>'FSC Catch'!C39</f>
        <v>49</v>
      </c>
      <c r="M47" s="101">
        <f t="shared" si="1"/>
        <v>91.538461538461547</v>
      </c>
      <c r="N47" s="8">
        <f t="shared" si="2"/>
        <v>323.30769230769232</v>
      </c>
      <c r="O47" s="44"/>
    </row>
    <row r="48" spans="1:15">
      <c r="A48">
        <v>2012</v>
      </c>
      <c r="G48" s="109">
        <v>704.23076923076928</v>
      </c>
      <c r="H48" s="8">
        <f>$C$6*'FSC Catch'!D40</f>
        <v>34.102564102564102</v>
      </c>
      <c r="I48" s="8">
        <f>$C$7*'FSC Catch'!E40</f>
        <v>62.5</v>
      </c>
      <c r="J48" s="58">
        <f>'FSC Catch'!F40</f>
        <v>0</v>
      </c>
      <c r="K48" s="8">
        <f>'FSC Catch'!B40</f>
        <v>60</v>
      </c>
      <c r="L48" s="8">
        <f>'FSC Catch'!C40</f>
        <v>31</v>
      </c>
      <c r="M48" s="101">
        <f t="shared" si="1"/>
        <v>187.60256410256409</v>
      </c>
      <c r="N48" s="8">
        <f t="shared" si="2"/>
        <v>891.83333333333337</v>
      </c>
      <c r="O48" s="44"/>
    </row>
    <row r="49" spans="1:15">
      <c r="A49">
        <v>2013</v>
      </c>
      <c r="G49" s="109">
        <v>510.28205128205127</v>
      </c>
      <c r="H49" s="8">
        <f>$C$6*'FSC Catch'!D41</f>
        <v>0</v>
      </c>
      <c r="I49" s="8">
        <f>$C$7*'FSC Catch'!E41</f>
        <v>24.0625</v>
      </c>
      <c r="J49" s="58">
        <f>'FSC Catch'!F41</f>
        <v>0</v>
      </c>
      <c r="K49" s="8">
        <f>'FSC Catch'!B41</f>
        <v>21</v>
      </c>
      <c r="L49" s="8">
        <f>'FSC Catch'!C41</f>
        <v>18</v>
      </c>
      <c r="M49" s="101">
        <f t="shared" si="1"/>
        <v>63.0625</v>
      </c>
      <c r="N49" s="8">
        <f t="shared" si="2"/>
        <v>573.34455128205127</v>
      </c>
      <c r="O49" s="44"/>
    </row>
    <row r="50" spans="1:15">
      <c r="A50">
        <v>2014</v>
      </c>
      <c r="G50" s="109">
        <v>155.23076923076923</v>
      </c>
      <c r="H50" s="8">
        <f>$C$6*'FSC Catch'!D42</f>
        <v>138.7179487179487</v>
      </c>
      <c r="I50" s="8">
        <f>$C$7*'FSC Catch'!E42</f>
        <v>0</v>
      </c>
      <c r="J50" s="58">
        <f>'FSC Catch'!F42</f>
        <v>0</v>
      </c>
      <c r="K50" s="8">
        <f>'FSC Catch'!B42</f>
        <v>145</v>
      </c>
      <c r="L50" s="8">
        <f>'FSC Catch'!C42</f>
        <v>20</v>
      </c>
      <c r="M50" s="101">
        <f t="shared" si="1"/>
        <v>303.71794871794873</v>
      </c>
      <c r="N50" s="8">
        <f t="shared" si="2"/>
        <v>458.94871794871796</v>
      </c>
      <c r="O50" s="44"/>
    </row>
    <row r="51" spans="1:15">
      <c r="A51">
        <v>2015</v>
      </c>
      <c r="G51" s="109">
        <v>448.38461538461536</v>
      </c>
      <c r="H51" s="8">
        <f>$C$6*'FSC Catch'!D43</f>
        <v>122.30769230769229</v>
      </c>
      <c r="I51" s="8">
        <f>$C$7*'FSC Catch'!E43</f>
        <v>0</v>
      </c>
      <c r="J51" s="58">
        <f>'FSC Catch'!F43</f>
        <v>0</v>
      </c>
      <c r="K51" s="8">
        <f>'FSC Catch'!B43</f>
        <v>132</v>
      </c>
      <c r="L51" s="8">
        <f>'FSC Catch'!C43</f>
        <v>32</v>
      </c>
      <c r="M51" s="101">
        <f t="shared" ref="M51" si="4">SUM(H51:L51)</f>
        <v>286.30769230769226</v>
      </c>
      <c r="N51" s="8">
        <f t="shared" ref="N51" si="5">+M51+G51</f>
        <v>734.69230769230762</v>
      </c>
      <c r="O51" s="44"/>
    </row>
    <row r="52" spans="1:15">
      <c r="A52">
        <v>2016</v>
      </c>
      <c r="G52" s="109">
        <v>1014.4871794871794</v>
      </c>
      <c r="H52" s="8">
        <f>$C$6*'FSC Catch'!D44</f>
        <v>32.179487179487175</v>
      </c>
      <c r="I52" s="8">
        <f>$C$7*'FSC Catch'!E44</f>
        <v>4.6875</v>
      </c>
      <c r="J52" s="58">
        <f>'FSC Catch'!F44</f>
        <v>0</v>
      </c>
      <c r="K52" s="8">
        <f>'FSC Catch'!B44</f>
        <v>65</v>
      </c>
      <c r="L52" s="8">
        <f>'FSC Catch'!C44</f>
        <v>37</v>
      </c>
      <c r="M52" s="101">
        <f t="shared" ref="M52:M53" si="6">SUM(H52:L52)</f>
        <v>138.86698717948718</v>
      </c>
      <c r="N52" s="8">
        <f t="shared" ref="N52:N53" si="7">+M52+G52</f>
        <v>1153.3541666666665</v>
      </c>
    </row>
    <row r="53" spans="1:15">
      <c r="A53">
        <v>2017</v>
      </c>
      <c r="G53" s="109">
        <v>189.82051282051282</v>
      </c>
      <c r="H53" s="8">
        <f>$C$6*'FSC Catch'!D45</f>
        <v>28.205128205128204</v>
      </c>
      <c r="I53" s="8">
        <f>$C$7*'FSC Catch'!E45</f>
        <v>6.25</v>
      </c>
      <c r="J53" s="58">
        <f>'FSC Catch'!F45</f>
        <v>0</v>
      </c>
      <c r="K53" s="8">
        <f>'FSC Catch'!B45</f>
        <v>66</v>
      </c>
      <c r="L53" s="8">
        <f>'FSC Catch'!C45</f>
        <v>32</v>
      </c>
      <c r="M53" s="101">
        <f t="shared" si="6"/>
        <v>132.4551282051282</v>
      </c>
      <c r="N53" s="8">
        <f t="shared" si="7"/>
        <v>322.27564102564099</v>
      </c>
    </row>
    <row r="56" spans="1:15">
      <c r="A56" s="44" t="s">
        <v>259</v>
      </c>
    </row>
    <row r="57" spans="1:15">
      <c r="A57" s="44" t="s">
        <v>269</v>
      </c>
    </row>
    <row r="58" spans="1:15">
      <c r="A58" s="7"/>
      <c r="B58" t="s">
        <v>313</v>
      </c>
    </row>
    <row r="59" spans="1:15">
      <c r="A59" s="4"/>
      <c r="B59" t="s">
        <v>166</v>
      </c>
    </row>
    <row r="60" spans="1:15">
      <c r="A60" s="34"/>
      <c r="B60" t="s">
        <v>167</v>
      </c>
    </row>
    <row r="61" spans="1:15">
      <c r="A61" s="39"/>
      <c r="B61" t="s">
        <v>171</v>
      </c>
    </row>
    <row r="62" spans="1:15">
      <c r="A62" s="33"/>
      <c r="B62" t="s">
        <v>188</v>
      </c>
    </row>
  </sheetData>
  <phoneticPr fontId="3"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70" zoomScaleNormal="70" workbookViewId="0">
      <pane ySplit="3" topLeftCell="A4" activePane="bottomLeft" state="frozen"/>
      <selection pane="bottomLeft" activeCell="K32" sqref="K32"/>
    </sheetView>
  </sheetViews>
  <sheetFormatPr defaultColWidth="8.88671875" defaultRowHeight="12"/>
  <cols>
    <col min="14" max="14" width="24.109375" customWidth="1"/>
    <col min="25" max="25" width="13.6640625" customWidth="1"/>
  </cols>
  <sheetData>
    <row r="1" spans="1:28">
      <c r="O1" t="s">
        <v>48</v>
      </c>
    </row>
    <row r="2" spans="1:28">
      <c r="B2" t="s">
        <v>243</v>
      </c>
      <c r="D2" t="s">
        <v>19</v>
      </c>
      <c r="I2" t="s">
        <v>20</v>
      </c>
      <c r="O2" t="s">
        <v>19</v>
      </c>
      <c r="U2" t="s">
        <v>20</v>
      </c>
      <c r="Z2" t="s">
        <v>50</v>
      </c>
    </row>
    <row r="3" spans="1:28">
      <c r="A3" t="s">
        <v>7</v>
      </c>
      <c r="B3" t="s">
        <v>244</v>
      </c>
      <c r="C3" t="s">
        <v>162</v>
      </c>
      <c r="D3" t="s">
        <v>42</v>
      </c>
      <c r="E3" t="s">
        <v>43</v>
      </c>
      <c r="F3" t="s">
        <v>15</v>
      </c>
      <c r="G3" t="s">
        <v>16</v>
      </c>
      <c r="H3" t="s">
        <v>44</v>
      </c>
      <c r="I3" t="s">
        <v>42</v>
      </c>
      <c r="J3" t="s">
        <v>43</v>
      </c>
      <c r="K3" t="s">
        <v>44</v>
      </c>
      <c r="L3" t="s">
        <v>52</v>
      </c>
      <c r="M3" t="s">
        <v>4</v>
      </c>
      <c r="N3" t="s">
        <v>18</v>
      </c>
      <c r="O3" t="s">
        <v>42</v>
      </c>
      <c r="P3" t="s">
        <v>43</v>
      </c>
      <c r="Q3" t="s">
        <v>15</v>
      </c>
      <c r="R3" t="s">
        <v>16</v>
      </c>
      <c r="S3" t="s">
        <v>44</v>
      </c>
      <c r="T3" t="s">
        <v>46</v>
      </c>
      <c r="U3" t="s">
        <v>42</v>
      </c>
      <c r="V3" t="s">
        <v>43</v>
      </c>
      <c r="W3" t="s">
        <v>44</v>
      </c>
      <c r="X3" t="s">
        <v>47</v>
      </c>
      <c r="Y3" t="s">
        <v>18</v>
      </c>
      <c r="Z3" t="s">
        <v>19</v>
      </c>
      <c r="AA3" t="s">
        <v>20</v>
      </c>
    </row>
    <row r="4" spans="1:28">
      <c r="A4">
        <v>1975</v>
      </c>
      <c r="B4">
        <v>480002</v>
      </c>
      <c r="C4" s="34"/>
      <c r="D4" s="8">
        <f>O4/T4*Z4</f>
        <v>45186.250748211831</v>
      </c>
      <c r="E4" s="8"/>
      <c r="F4" s="8">
        <f>Q4/T4*Z4</f>
        <v>42120.754800860544</v>
      </c>
      <c r="G4" s="8">
        <f>R4/T4*Z4</f>
        <v>55764.994450927625</v>
      </c>
      <c r="H4" s="8"/>
      <c r="I4" s="8">
        <f>U4/X4*AA4</f>
        <v>82642</v>
      </c>
      <c r="J4" s="8"/>
      <c r="K4" s="8"/>
      <c r="L4">
        <v>336</v>
      </c>
      <c r="M4" s="8">
        <f t="shared" ref="M4:M17" si="0">SUM(D4:L4)</f>
        <v>226050</v>
      </c>
      <c r="N4" t="s">
        <v>160</v>
      </c>
      <c r="O4">
        <v>39784</v>
      </c>
      <c r="Q4">
        <v>37085</v>
      </c>
      <c r="R4">
        <v>49098</v>
      </c>
      <c r="T4">
        <f t="shared" ref="T4:T11" si="1">SUM(O4:S4)</f>
        <v>125967</v>
      </c>
      <c r="U4">
        <v>80898</v>
      </c>
      <c r="X4">
        <f>SUM(U4:W4)</f>
        <v>80898</v>
      </c>
      <c r="Y4" t="s">
        <v>61</v>
      </c>
      <c r="Z4">
        <v>143072</v>
      </c>
      <c r="AA4">
        <v>82642</v>
      </c>
    </row>
    <row r="5" spans="1:28">
      <c r="A5">
        <f t="shared" ref="A5:A35" si="2">A4+1</f>
        <v>1976</v>
      </c>
      <c r="B5">
        <v>300000</v>
      </c>
      <c r="C5" s="34"/>
      <c r="D5" s="8">
        <f>O5/T5*Z5</f>
        <v>25956.153872911502</v>
      </c>
      <c r="E5" s="8"/>
      <c r="F5" s="8">
        <f>Q5/T5*Z5</f>
        <v>34381.469484621688</v>
      </c>
      <c r="G5" s="8">
        <f>R5/T5*Z5</f>
        <v>33355.376642466814</v>
      </c>
      <c r="H5" s="8"/>
      <c r="I5" s="8">
        <f>U5/X5*AA5</f>
        <v>107906</v>
      </c>
      <c r="J5" s="8"/>
      <c r="K5" s="8"/>
      <c r="L5">
        <v>1213</v>
      </c>
      <c r="M5" s="8">
        <f t="shared" si="0"/>
        <v>202812</v>
      </c>
      <c r="N5" t="s">
        <v>160</v>
      </c>
      <c r="O5">
        <v>24689</v>
      </c>
      <c r="Q5">
        <v>32703</v>
      </c>
      <c r="R5">
        <v>31727</v>
      </c>
      <c r="T5">
        <f t="shared" si="1"/>
        <v>89119</v>
      </c>
      <c r="U5">
        <v>65270</v>
      </c>
      <c r="X5">
        <f>SUM(U5:W5)</f>
        <v>65270</v>
      </c>
      <c r="Y5" t="s">
        <v>61</v>
      </c>
      <c r="Z5">
        <v>93693</v>
      </c>
      <c r="AA5">
        <v>107906</v>
      </c>
    </row>
    <row r="6" spans="1:28">
      <c r="A6">
        <f t="shared" si="2"/>
        <v>1977</v>
      </c>
      <c r="B6">
        <v>191600</v>
      </c>
      <c r="C6" s="34"/>
      <c r="D6" s="8">
        <f>O6/T6*Z6</f>
        <v>3193.1263167371926</v>
      </c>
      <c r="E6" s="8"/>
      <c r="F6" s="8">
        <f>Q6/T6*Z6</f>
        <v>32559.709372467812</v>
      </c>
      <c r="G6" s="8">
        <f>R6/T6*Z6</f>
        <v>1114.1643107949942</v>
      </c>
      <c r="H6" s="8"/>
      <c r="I6" s="8">
        <f>U6/X6*AA6</f>
        <v>51481</v>
      </c>
      <c r="J6" s="8"/>
      <c r="K6" s="8"/>
      <c r="L6">
        <v>1019</v>
      </c>
      <c r="M6" s="8">
        <f t="shared" si="0"/>
        <v>89367</v>
      </c>
      <c r="N6" t="s">
        <v>160</v>
      </c>
      <c r="O6">
        <v>2886</v>
      </c>
      <c r="Q6">
        <v>29428</v>
      </c>
      <c r="R6">
        <v>1007</v>
      </c>
      <c r="T6">
        <f t="shared" si="1"/>
        <v>33321</v>
      </c>
      <c r="U6">
        <v>28279</v>
      </c>
      <c r="X6">
        <f>SUM(U6:W6)</f>
        <v>28279</v>
      </c>
      <c r="Y6" t="s">
        <v>61</v>
      </c>
      <c r="Z6">
        <v>36867</v>
      </c>
      <c r="AA6">
        <v>51481</v>
      </c>
    </row>
    <row r="7" spans="1:28">
      <c r="A7">
        <f t="shared" si="2"/>
        <v>1978</v>
      </c>
      <c r="B7">
        <v>383000</v>
      </c>
      <c r="C7" s="34"/>
      <c r="D7" s="8">
        <f>O7/T7*Z7</f>
        <v>19122.374028497408</v>
      </c>
      <c r="E7" s="8"/>
      <c r="F7" s="57">
        <f>Q7/T7*Z7</f>
        <v>0</v>
      </c>
      <c r="G7" s="8">
        <f>R7/T7*Z7</f>
        <v>580.62597150259069</v>
      </c>
      <c r="H7" s="8"/>
      <c r="I7" s="8">
        <f>U7/X7*AA7</f>
        <v>33280</v>
      </c>
      <c r="J7" s="8"/>
      <c r="K7" s="8"/>
      <c r="L7">
        <v>3322</v>
      </c>
      <c r="M7" s="8">
        <f t="shared" si="0"/>
        <v>56305</v>
      </c>
      <c r="N7" t="s">
        <v>160</v>
      </c>
      <c r="O7">
        <v>5994</v>
      </c>
      <c r="Q7" s="4">
        <v>0</v>
      </c>
      <c r="R7">
        <v>182</v>
      </c>
      <c r="T7">
        <f t="shared" si="1"/>
        <v>6176</v>
      </c>
      <c r="U7">
        <v>35845</v>
      </c>
      <c r="X7">
        <f>SUM(U7:W7)</f>
        <v>35845</v>
      </c>
      <c r="Y7" t="s">
        <v>61</v>
      </c>
      <c r="Z7">
        <v>19703</v>
      </c>
      <c r="AA7">
        <v>33280</v>
      </c>
    </row>
    <row r="8" spans="1:28">
      <c r="A8">
        <f t="shared" si="2"/>
        <v>1979</v>
      </c>
      <c r="B8">
        <v>297525</v>
      </c>
      <c r="C8" s="34"/>
      <c r="D8" s="8">
        <f>O8/T8*Z8</f>
        <v>39906.018527961925</v>
      </c>
      <c r="E8" s="8"/>
      <c r="F8" s="8">
        <f>Q8/T8*Z8</f>
        <v>26275.990413054562</v>
      </c>
      <c r="G8" s="8">
        <f>R8/T8*Z8</f>
        <v>39204.991058983513</v>
      </c>
      <c r="H8" s="8"/>
      <c r="I8" s="8">
        <f>U8/X8*AA8</f>
        <v>114726</v>
      </c>
      <c r="J8" s="8"/>
      <c r="K8" s="8"/>
      <c r="L8">
        <v>3653</v>
      </c>
      <c r="M8" s="8">
        <f t="shared" si="0"/>
        <v>223766</v>
      </c>
      <c r="N8" t="s">
        <v>160</v>
      </c>
      <c r="O8">
        <v>33415</v>
      </c>
      <c r="Q8">
        <v>22002</v>
      </c>
      <c r="R8">
        <v>32828</v>
      </c>
      <c r="T8">
        <f t="shared" si="1"/>
        <v>88245</v>
      </c>
      <c r="U8">
        <v>89447</v>
      </c>
      <c r="X8">
        <f>SUM(U8:W8)</f>
        <v>89447</v>
      </c>
      <c r="Y8" t="s">
        <v>61</v>
      </c>
      <c r="Z8">
        <v>105387</v>
      </c>
      <c r="AA8">
        <v>114726</v>
      </c>
    </row>
    <row r="9" spans="1:28">
      <c r="A9">
        <f t="shared" si="2"/>
        <v>1980</v>
      </c>
      <c r="B9">
        <v>313000</v>
      </c>
      <c r="C9" s="34"/>
      <c r="D9" s="8">
        <f t="shared" ref="D9:D17" si="3">O9/T9*Z9</f>
        <v>25375.552251858328</v>
      </c>
      <c r="E9" s="8"/>
      <c r="F9" s="8">
        <f t="shared" ref="F9:F17" si="4">Q9/T9*Z9</f>
        <v>23699.159306223581</v>
      </c>
      <c r="G9" s="8">
        <f t="shared" ref="G9:G17" si="5">R9/T9*Z9</f>
        <v>4209.2884419180882</v>
      </c>
      <c r="H9" s="8"/>
      <c r="I9" s="8">
        <f t="shared" ref="I9:I17" si="6">U9/X9*AA9</f>
        <v>112990</v>
      </c>
      <c r="J9" s="8"/>
      <c r="K9" s="8"/>
      <c r="L9">
        <v>865</v>
      </c>
      <c r="M9" s="8">
        <f t="shared" si="0"/>
        <v>167139</v>
      </c>
      <c r="N9" t="s">
        <v>160</v>
      </c>
      <c r="O9">
        <v>22872</v>
      </c>
      <c r="Q9">
        <v>21361</v>
      </c>
      <c r="R9">
        <v>3794</v>
      </c>
      <c r="T9">
        <f t="shared" si="1"/>
        <v>48027</v>
      </c>
      <c r="U9">
        <v>84395</v>
      </c>
      <c r="W9">
        <v>0</v>
      </c>
      <c r="X9">
        <f t="shared" ref="X9:X16" si="7">SUM(U9:W9)</f>
        <v>84395</v>
      </c>
      <c r="Y9" t="s">
        <v>61</v>
      </c>
      <c r="Z9">
        <v>53284</v>
      </c>
      <c r="AA9">
        <v>112990</v>
      </c>
    </row>
    <row r="10" spans="1:28">
      <c r="A10">
        <f t="shared" si="2"/>
        <v>1981</v>
      </c>
      <c r="B10">
        <v>753075</v>
      </c>
      <c r="C10" s="34"/>
      <c r="D10" s="8">
        <f t="shared" si="3"/>
        <v>24337.118857500729</v>
      </c>
      <c r="E10" s="8"/>
      <c r="F10" s="8">
        <f t="shared" si="4"/>
        <v>20739.251425887407</v>
      </c>
      <c r="G10" s="8">
        <f t="shared" si="5"/>
        <v>3156.6297166118679</v>
      </c>
      <c r="H10" s="8"/>
      <c r="I10" s="8">
        <f t="shared" si="6"/>
        <v>130880</v>
      </c>
      <c r="J10" s="8"/>
      <c r="K10" s="8"/>
      <c r="L10">
        <v>1708</v>
      </c>
      <c r="M10" s="8">
        <f t="shared" si="0"/>
        <v>180821</v>
      </c>
      <c r="N10" t="s">
        <v>160</v>
      </c>
      <c r="O10">
        <v>22559</v>
      </c>
      <c r="Q10">
        <v>19224</v>
      </c>
      <c r="R10">
        <v>2926</v>
      </c>
      <c r="T10">
        <f t="shared" si="1"/>
        <v>44709</v>
      </c>
      <c r="U10">
        <v>87974</v>
      </c>
      <c r="W10">
        <v>0</v>
      </c>
      <c r="X10">
        <f t="shared" si="7"/>
        <v>87974</v>
      </c>
      <c r="Y10" t="s">
        <v>61</v>
      </c>
      <c r="Z10">
        <v>48233</v>
      </c>
      <c r="AA10">
        <v>130880</v>
      </c>
    </row>
    <row r="11" spans="1:28">
      <c r="A11">
        <f t="shared" si="2"/>
        <v>1982</v>
      </c>
      <c r="B11">
        <v>823000</v>
      </c>
      <c r="C11" s="34"/>
      <c r="D11" s="8">
        <f t="shared" si="3"/>
        <v>12690.378765635094</v>
      </c>
      <c r="E11" s="8"/>
      <c r="F11" s="8">
        <f t="shared" si="4"/>
        <v>8071.8068001644251</v>
      </c>
      <c r="G11" s="8">
        <f t="shared" si="5"/>
        <v>1311.8144342004816</v>
      </c>
      <c r="H11" s="8"/>
      <c r="I11" s="8">
        <f t="shared" si="6"/>
        <v>13214</v>
      </c>
      <c r="J11" s="8"/>
      <c r="K11" s="8"/>
      <c r="L11">
        <v>1557</v>
      </c>
      <c r="M11" s="8">
        <f t="shared" si="0"/>
        <v>36845</v>
      </c>
      <c r="N11" t="s">
        <v>160</v>
      </c>
      <c r="O11">
        <v>9790</v>
      </c>
      <c r="Q11">
        <v>6227</v>
      </c>
      <c r="R11">
        <v>1012</v>
      </c>
      <c r="T11">
        <f t="shared" si="1"/>
        <v>17029</v>
      </c>
      <c r="U11">
        <v>11604</v>
      </c>
      <c r="X11">
        <f t="shared" si="7"/>
        <v>11604</v>
      </c>
      <c r="Y11" t="s">
        <v>61</v>
      </c>
      <c r="Z11">
        <v>22074</v>
      </c>
      <c r="AA11">
        <v>13214</v>
      </c>
    </row>
    <row r="12" spans="1:28" ht="12.6" thickBot="1">
      <c r="A12">
        <f t="shared" si="2"/>
        <v>1983</v>
      </c>
      <c r="B12">
        <v>636502</v>
      </c>
      <c r="C12" s="34"/>
      <c r="D12" s="8">
        <f t="shared" si="3"/>
        <v>17681.198877569077</v>
      </c>
      <c r="E12" s="8"/>
      <c r="F12" s="8">
        <f t="shared" si="4"/>
        <v>17835.977652501453</v>
      </c>
      <c r="G12" s="8">
        <f t="shared" si="5"/>
        <v>9501.8234699294699</v>
      </c>
      <c r="H12" s="8"/>
      <c r="I12" s="8">
        <f t="shared" si="6"/>
        <v>87451</v>
      </c>
      <c r="J12" s="8">
        <f t="shared" ref="J12:J17" si="8">V12/X12*AA12</f>
        <v>0</v>
      </c>
      <c r="K12" s="8"/>
      <c r="L12">
        <v>3026</v>
      </c>
      <c r="M12" s="8">
        <f t="shared" si="0"/>
        <v>135496</v>
      </c>
      <c r="N12" t="s">
        <v>60</v>
      </c>
      <c r="O12" s="32">
        <v>15536</v>
      </c>
      <c r="Q12">
        <v>15672</v>
      </c>
      <c r="R12">
        <v>8349</v>
      </c>
      <c r="T12">
        <f t="shared" ref="T12:T35" si="9">SUM(O12:S12)</f>
        <v>39557</v>
      </c>
      <c r="U12" s="32">
        <v>77479</v>
      </c>
      <c r="X12">
        <f t="shared" si="7"/>
        <v>77479</v>
      </c>
      <c r="Y12" t="s">
        <v>45</v>
      </c>
      <c r="Z12">
        <v>45019</v>
      </c>
      <c r="AA12">
        <v>87451</v>
      </c>
    </row>
    <row r="13" spans="1:28" ht="12.6" thickTop="1">
      <c r="A13">
        <f t="shared" si="2"/>
        <v>1984</v>
      </c>
      <c r="B13">
        <v>214301</v>
      </c>
      <c r="C13" s="34"/>
      <c r="D13" s="8">
        <f t="shared" si="3"/>
        <v>8490.9255880369674</v>
      </c>
      <c r="E13" s="8">
        <f>P13/T13*Z13</f>
        <v>0</v>
      </c>
      <c r="F13" s="8">
        <f t="shared" si="4"/>
        <v>13508.042124469477</v>
      </c>
      <c r="G13" s="8">
        <f t="shared" si="5"/>
        <v>5576.0322874935546</v>
      </c>
      <c r="H13" s="8">
        <f>S13/T13*Z13</f>
        <v>0</v>
      </c>
      <c r="I13" s="8">
        <f t="shared" si="6"/>
        <v>15895</v>
      </c>
      <c r="J13" s="8">
        <f t="shared" si="8"/>
        <v>0</v>
      </c>
      <c r="K13" s="8">
        <f>W13/X13*AA13</f>
        <v>0</v>
      </c>
      <c r="L13">
        <v>550</v>
      </c>
      <c r="M13" s="8">
        <f t="shared" si="0"/>
        <v>44020</v>
      </c>
      <c r="N13" t="s">
        <v>60</v>
      </c>
      <c r="O13">
        <v>7763</v>
      </c>
      <c r="P13">
        <v>0</v>
      </c>
      <c r="Q13">
        <v>12350</v>
      </c>
      <c r="R13">
        <v>5098</v>
      </c>
      <c r="S13">
        <v>0</v>
      </c>
      <c r="T13">
        <f t="shared" si="9"/>
        <v>25211</v>
      </c>
      <c r="U13">
        <v>25300</v>
      </c>
      <c r="V13">
        <v>0</v>
      </c>
      <c r="W13">
        <v>0</v>
      </c>
      <c r="X13">
        <f t="shared" si="7"/>
        <v>25300</v>
      </c>
      <c r="Y13" t="s">
        <v>45</v>
      </c>
      <c r="Z13">
        <v>27575</v>
      </c>
      <c r="AA13">
        <v>15895</v>
      </c>
      <c r="AB13" t="s">
        <v>58</v>
      </c>
    </row>
    <row r="14" spans="1:28">
      <c r="A14">
        <f t="shared" si="2"/>
        <v>1985</v>
      </c>
      <c r="B14">
        <v>500430</v>
      </c>
      <c r="C14" s="34"/>
      <c r="D14" s="8">
        <f t="shared" si="3"/>
        <v>16052.091549021137</v>
      </c>
      <c r="E14" s="8">
        <f>P14/T14*Z14</f>
        <v>3029.4000077997034</v>
      </c>
      <c r="F14" s="8">
        <f t="shared" si="4"/>
        <v>19699.48915841198</v>
      </c>
      <c r="G14" s="8">
        <f t="shared" si="5"/>
        <v>9022.0192847671788</v>
      </c>
      <c r="H14" s="8">
        <f>S14/T14*Z14</f>
        <v>0</v>
      </c>
      <c r="I14" s="8">
        <f t="shared" si="6"/>
        <v>71107.305401265607</v>
      </c>
      <c r="J14" s="8">
        <f t="shared" si="8"/>
        <v>29887.694598734393</v>
      </c>
      <c r="K14" s="8">
        <f>W14/X14*AA14</f>
        <v>0</v>
      </c>
      <c r="L14">
        <v>3359</v>
      </c>
      <c r="M14" s="8">
        <f t="shared" si="0"/>
        <v>152157</v>
      </c>
      <c r="N14" t="s">
        <v>60</v>
      </c>
      <c r="O14">
        <v>17221</v>
      </c>
      <c r="P14">
        <v>3250</v>
      </c>
      <c r="Q14">
        <v>21134</v>
      </c>
      <c r="R14">
        <v>9679</v>
      </c>
      <c r="S14">
        <v>0</v>
      </c>
      <c r="T14">
        <f t="shared" si="9"/>
        <v>51284</v>
      </c>
      <c r="U14">
        <v>45506</v>
      </c>
      <c r="V14">
        <v>19127</v>
      </c>
      <c r="W14">
        <v>0</v>
      </c>
      <c r="X14">
        <f t="shared" si="7"/>
        <v>64633</v>
      </c>
      <c r="Y14" t="s">
        <v>45</v>
      </c>
      <c r="Z14">
        <v>47803</v>
      </c>
      <c r="AA14">
        <v>100995</v>
      </c>
    </row>
    <row r="15" spans="1:28">
      <c r="A15">
        <f t="shared" si="2"/>
        <v>1986</v>
      </c>
      <c r="B15">
        <v>825626</v>
      </c>
      <c r="C15" s="34"/>
      <c r="D15" s="8">
        <f t="shared" si="3"/>
        <v>24186.478650775287</v>
      </c>
      <c r="E15" s="8">
        <f>P15/T15*Z15</f>
        <v>2760.7969220087944</v>
      </c>
      <c r="F15" s="8">
        <f t="shared" si="4"/>
        <v>7330.1125318213371</v>
      </c>
      <c r="G15" s="8">
        <f t="shared" si="5"/>
        <v>5166.3697639435313</v>
      </c>
      <c r="H15" s="8">
        <f>S15/T15*Z15</f>
        <v>554.24213145105296</v>
      </c>
      <c r="I15" s="8">
        <f t="shared" si="6"/>
        <v>62031.797764461859</v>
      </c>
      <c r="J15" s="8">
        <f t="shared" si="8"/>
        <v>15244.241069370823</v>
      </c>
      <c r="K15" s="8">
        <f>W15/X15*AA15</f>
        <v>14920.961166167319</v>
      </c>
      <c r="L15">
        <v>5951</v>
      </c>
      <c r="M15" s="8">
        <f t="shared" si="0"/>
        <v>138146</v>
      </c>
      <c r="N15" t="s">
        <v>60</v>
      </c>
      <c r="O15">
        <v>20903</v>
      </c>
      <c r="P15">
        <v>2386</v>
      </c>
      <c r="Q15">
        <v>6335</v>
      </c>
      <c r="R15">
        <v>4465</v>
      </c>
      <c r="S15">
        <v>479</v>
      </c>
      <c r="T15">
        <f t="shared" si="9"/>
        <v>34568</v>
      </c>
      <c r="U15">
        <v>40871</v>
      </c>
      <c r="V15">
        <v>10044</v>
      </c>
      <c r="W15">
        <v>9831</v>
      </c>
      <c r="X15">
        <f t="shared" si="7"/>
        <v>60746</v>
      </c>
      <c r="Y15" t="s">
        <v>45</v>
      </c>
      <c r="Z15">
        <v>39998</v>
      </c>
      <c r="AA15">
        <v>92197</v>
      </c>
    </row>
    <row r="16" spans="1:28">
      <c r="A16">
        <f t="shared" si="2"/>
        <v>1987</v>
      </c>
      <c r="B16">
        <v>521700</v>
      </c>
      <c r="C16" s="34"/>
      <c r="D16" s="8">
        <f t="shared" si="3"/>
        <v>25236.174523001609</v>
      </c>
      <c r="E16" s="8">
        <f>P16/T16*Z16</f>
        <v>3413.8239750792677</v>
      </c>
      <c r="F16" s="8">
        <f t="shared" si="4"/>
        <v>14196.41296100573</v>
      </c>
      <c r="G16" s="8">
        <f t="shared" si="5"/>
        <v>30074.588540913388</v>
      </c>
      <c r="H16" s="8">
        <f>S16/T16*Z16</f>
        <v>0</v>
      </c>
      <c r="I16" s="8">
        <f t="shared" si="6"/>
        <v>110758.64365750528</v>
      </c>
      <c r="J16" s="8">
        <f t="shared" si="8"/>
        <v>30235.356342494717</v>
      </c>
      <c r="K16" s="8">
        <f>W16/X16*AA16</f>
        <v>0</v>
      </c>
      <c r="L16" s="8">
        <v>4585</v>
      </c>
      <c r="M16" s="8">
        <f t="shared" si="0"/>
        <v>218500</v>
      </c>
      <c r="N16" t="s">
        <v>51</v>
      </c>
      <c r="O16">
        <v>31107</v>
      </c>
      <c r="P16">
        <v>4208</v>
      </c>
      <c r="Q16">
        <v>17499</v>
      </c>
      <c r="R16">
        <v>37071</v>
      </c>
      <c r="S16">
        <v>0</v>
      </c>
      <c r="T16">
        <f t="shared" si="9"/>
        <v>89885</v>
      </c>
      <c r="U16">
        <v>104039</v>
      </c>
      <c r="V16">
        <v>28401</v>
      </c>
      <c r="W16">
        <v>0</v>
      </c>
      <c r="X16">
        <f t="shared" si="7"/>
        <v>132440</v>
      </c>
      <c r="Y16" t="s">
        <v>45</v>
      </c>
      <c r="Z16">
        <v>72921</v>
      </c>
      <c r="AA16">
        <v>140994</v>
      </c>
    </row>
    <row r="17" spans="1:27">
      <c r="A17">
        <f>A16+1</f>
        <v>1988</v>
      </c>
      <c r="B17">
        <v>503000</v>
      </c>
      <c r="C17" s="34"/>
      <c r="D17" s="8">
        <f t="shared" si="3"/>
        <v>17668.993008904858</v>
      </c>
      <c r="E17" s="8">
        <f>P17/T17*Z17</f>
        <v>44.725218715825648</v>
      </c>
      <c r="F17" s="8">
        <f t="shared" si="4"/>
        <v>22917.877167630057</v>
      </c>
      <c r="G17" s="8">
        <f t="shared" si="5"/>
        <v>2547.649722699578</v>
      </c>
      <c r="H17" s="8">
        <f>S17/T17*Z17</f>
        <v>33.754882049679736</v>
      </c>
      <c r="I17" s="8">
        <f t="shared" si="6"/>
        <v>106509.15359885017</v>
      </c>
      <c r="J17" s="8">
        <f t="shared" si="8"/>
        <v>5997.5416619388025</v>
      </c>
      <c r="K17" s="8">
        <f>W17/X17*AA17</f>
        <v>10869.304739211013</v>
      </c>
      <c r="L17" s="8">
        <v>62</v>
      </c>
      <c r="M17" s="8">
        <f t="shared" si="0"/>
        <v>166651</v>
      </c>
      <c r="N17" t="s">
        <v>60</v>
      </c>
      <c r="O17">
        <v>20938</v>
      </c>
      <c r="P17">
        <v>53</v>
      </c>
      <c r="Q17">
        <v>27158</v>
      </c>
      <c r="R17">
        <v>3019</v>
      </c>
      <c r="S17">
        <v>40</v>
      </c>
      <c r="T17">
        <f t="shared" si="9"/>
        <v>51208</v>
      </c>
      <c r="U17">
        <v>91298</v>
      </c>
      <c r="V17">
        <v>5141</v>
      </c>
      <c r="W17">
        <v>9317</v>
      </c>
      <c r="X17">
        <f>SUM(U17:W17)</f>
        <v>105756</v>
      </c>
      <c r="Y17" t="s">
        <v>45</v>
      </c>
      <c r="Z17">
        <v>43213</v>
      </c>
      <c r="AA17">
        <v>123376</v>
      </c>
    </row>
    <row r="18" spans="1:27">
      <c r="A18">
        <f t="shared" si="2"/>
        <v>1989</v>
      </c>
      <c r="B18">
        <v>375175</v>
      </c>
      <c r="C18" s="34"/>
      <c r="D18" s="8">
        <f t="shared" ref="D18:D33" si="10">O18/T18*Z18</f>
        <v>3549.6849410131849</v>
      </c>
      <c r="E18" s="8">
        <f t="shared" ref="E18:E33" si="11">P18/T18*Z18</f>
        <v>188.91880638445525</v>
      </c>
      <c r="F18" s="8">
        <f t="shared" ref="F18:F33" si="12">Q18/T18*Z18</f>
        <v>5650.9923664122143</v>
      </c>
      <c r="G18" s="8">
        <f t="shared" ref="G18:G33" si="13">R18/T18*Z18</f>
        <v>162.40388619014576</v>
      </c>
      <c r="H18" s="8">
        <f t="shared" ref="H18:H33" si="14">S18/T18*Z18</f>
        <v>0</v>
      </c>
      <c r="I18" s="8">
        <f t="shared" ref="I18:I33" si="15">U18/X18*AA18</f>
        <v>19203.535883831333</v>
      </c>
      <c r="J18" s="8">
        <f t="shared" ref="J18:J33" si="16">V18/X18*AA18</f>
        <v>4782.4641161686677</v>
      </c>
      <c r="K18" s="8">
        <f t="shared" ref="K18:K33" si="17">W18/X18*AA18</f>
        <v>0</v>
      </c>
      <c r="L18" s="8">
        <v>1228</v>
      </c>
      <c r="M18" s="8">
        <f t="shared" ref="M18:M35" si="18">SUM(D18:L18)</f>
        <v>34766</v>
      </c>
      <c r="N18" t="s">
        <v>60</v>
      </c>
      <c r="O18" s="8">
        <v>3213</v>
      </c>
      <c r="P18" s="8">
        <v>171</v>
      </c>
      <c r="Q18" s="8">
        <v>5115</v>
      </c>
      <c r="R18" s="8">
        <v>147</v>
      </c>
      <c r="S18" s="8"/>
      <c r="T18">
        <f t="shared" si="9"/>
        <v>8646</v>
      </c>
      <c r="U18" s="8">
        <v>11468</v>
      </c>
      <c r="V18" s="8">
        <v>2856</v>
      </c>
      <c r="W18" s="8"/>
      <c r="X18">
        <f t="shared" ref="X18:X35" si="19">SUM(U18:W18)</f>
        <v>14324</v>
      </c>
      <c r="Y18" t="s">
        <v>45</v>
      </c>
      <c r="Z18">
        <v>9552</v>
      </c>
      <c r="AA18">
        <v>23986</v>
      </c>
    </row>
    <row r="19" spans="1:27">
      <c r="A19">
        <f t="shared" si="2"/>
        <v>1990</v>
      </c>
      <c r="B19">
        <v>586510</v>
      </c>
      <c r="C19">
        <v>149</v>
      </c>
      <c r="D19" s="8">
        <f t="shared" si="10"/>
        <v>19364.269138631393</v>
      </c>
      <c r="E19" s="8">
        <f t="shared" si="11"/>
        <v>0</v>
      </c>
      <c r="F19" s="8">
        <f t="shared" si="12"/>
        <v>3797.9793771482132</v>
      </c>
      <c r="G19" s="8">
        <f t="shared" si="13"/>
        <v>2883.7514842203936</v>
      </c>
      <c r="H19" s="8">
        <f t="shared" si="14"/>
        <v>0</v>
      </c>
      <c r="I19" s="8">
        <f t="shared" si="15"/>
        <v>96885</v>
      </c>
      <c r="J19" s="8">
        <f t="shared" si="16"/>
        <v>0</v>
      </c>
      <c r="K19" s="8">
        <f t="shared" si="17"/>
        <v>0</v>
      </c>
      <c r="L19" s="8">
        <v>3089</v>
      </c>
      <c r="M19" s="8">
        <f t="shared" si="18"/>
        <v>126020</v>
      </c>
      <c r="N19" t="s">
        <v>60</v>
      </c>
      <c r="O19" s="8">
        <v>14276</v>
      </c>
      <c r="P19" s="8"/>
      <c r="Q19" s="8">
        <v>2800</v>
      </c>
      <c r="R19" s="8">
        <v>2126</v>
      </c>
      <c r="S19" s="8"/>
      <c r="T19">
        <f t="shared" si="9"/>
        <v>19202</v>
      </c>
      <c r="U19" s="8">
        <v>69676</v>
      </c>
      <c r="V19" s="8"/>
      <c r="W19" s="8"/>
      <c r="X19">
        <f t="shared" si="19"/>
        <v>69676</v>
      </c>
      <c r="Y19" t="s">
        <v>45</v>
      </c>
      <c r="Z19">
        <v>26046</v>
      </c>
      <c r="AA19">
        <v>96885</v>
      </c>
    </row>
    <row r="20" spans="1:27">
      <c r="A20">
        <f t="shared" si="2"/>
        <v>1991</v>
      </c>
      <c r="B20">
        <v>346500</v>
      </c>
      <c r="C20">
        <v>149</v>
      </c>
      <c r="D20" s="8">
        <f t="shared" si="10"/>
        <v>20347.376709932185</v>
      </c>
      <c r="E20" s="8">
        <f t="shared" si="11"/>
        <v>0</v>
      </c>
      <c r="F20" s="8">
        <f t="shared" si="12"/>
        <v>12228.704600363231</v>
      </c>
      <c r="G20" s="8">
        <f t="shared" si="13"/>
        <v>21756.918689704584</v>
      </c>
      <c r="H20" s="8">
        <f t="shared" si="14"/>
        <v>0</v>
      </c>
      <c r="I20" s="8">
        <f t="shared" si="15"/>
        <v>51730</v>
      </c>
      <c r="J20" s="8">
        <f t="shared" si="16"/>
        <v>0</v>
      </c>
      <c r="K20" s="8">
        <f t="shared" si="17"/>
        <v>0</v>
      </c>
      <c r="L20" s="8">
        <v>176</v>
      </c>
      <c r="M20" s="8">
        <f t="shared" si="18"/>
        <v>106239</v>
      </c>
      <c r="N20" t="s">
        <v>60</v>
      </c>
      <c r="O20" s="8">
        <v>22476</v>
      </c>
      <c r="P20" s="8"/>
      <c r="Q20" s="8">
        <v>13508</v>
      </c>
      <c r="R20" s="8">
        <v>24033</v>
      </c>
      <c r="S20" s="8"/>
      <c r="T20">
        <f t="shared" si="9"/>
        <v>60017</v>
      </c>
      <c r="U20" s="8">
        <v>53664</v>
      </c>
      <c r="V20" s="8"/>
      <c r="W20" s="8"/>
      <c r="X20">
        <f t="shared" si="19"/>
        <v>53664</v>
      </c>
      <c r="Y20" t="s">
        <v>45</v>
      </c>
      <c r="Z20">
        <v>54333</v>
      </c>
      <c r="AA20">
        <v>51730</v>
      </c>
    </row>
    <row r="21" spans="1:27">
      <c r="A21">
        <f t="shared" si="2"/>
        <v>1992</v>
      </c>
      <c r="B21">
        <v>343005</v>
      </c>
      <c r="C21">
        <v>149</v>
      </c>
      <c r="D21" s="8">
        <f t="shared" si="10"/>
        <v>7082.4234639263532</v>
      </c>
      <c r="E21" s="8">
        <f t="shared" si="11"/>
        <v>0</v>
      </c>
      <c r="F21" s="8">
        <f t="shared" si="12"/>
        <v>4803.564547206166</v>
      </c>
      <c r="G21" s="8">
        <f t="shared" si="13"/>
        <v>14.011988867480197</v>
      </c>
      <c r="H21" s="8">
        <f t="shared" si="14"/>
        <v>0</v>
      </c>
      <c r="I21" s="8">
        <f t="shared" si="15"/>
        <v>97580</v>
      </c>
      <c r="J21" s="8">
        <f t="shared" si="16"/>
        <v>0</v>
      </c>
      <c r="K21" s="8">
        <f t="shared" si="17"/>
        <v>0</v>
      </c>
      <c r="L21" s="8">
        <v>97</v>
      </c>
      <c r="M21" s="8">
        <f t="shared" si="18"/>
        <v>109577</v>
      </c>
      <c r="N21" t="s">
        <v>60</v>
      </c>
      <c r="O21" s="8">
        <v>5560</v>
      </c>
      <c r="P21" s="8"/>
      <c r="Q21" s="8">
        <v>3771</v>
      </c>
      <c r="R21" s="8">
        <v>11</v>
      </c>
      <c r="S21" s="8"/>
      <c r="T21">
        <f t="shared" si="9"/>
        <v>9342</v>
      </c>
      <c r="U21" s="8">
        <v>65440</v>
      </c>
      <c r="V21" s="8"/>
      <c r="W21" s="8"/>
      <c r="X21">
        <f t="shared" si="19"/>
        <v>65440</v>
      </c>
      <c r="Y21" t="s">
        <v>45</v>
      </c>
      <c r="Z21">
        <v>11900</v>
      </c>
      <c r="AA21">
        <v>97580</v>
      </c>
    </row>
    <row r="22" spans="1:27">
      <c r="A22">
        <f t="shared" si="2"/>
        <v>1993</v>
      </c>
      <c r="B22">
        <v>311000</v>
      </c>
      <c r="C22">
        <v>149</v>
      </c>
      <c r="D22" s="8">
        <f t="shared" si="10"/>
        <v>18823.198131568704</v>
      </c>
      <c r="E22" s="8">
        <f t="shared" si="11"/>
        <v>0</v>
      </c>
      <c r="F22" s="8">
        <f t="shared" si="12"/>
        <v>1836.8018684312963</v>
      </c>
      <c r="G22" s="8">
        <f t="shared" si="13"/>
        <v>0</v>
      </c>
      <c r="H22" s="8">
        <f t="shared" si="14"/>
        <v>0</v>
      </c>
      <c r="I22" s="8">
        <f t="shared" si="15"/>
        <v>41092</v>
      </c>
      <c r="J22" s="8">
        <f t="shared" si="16"/>
        <v>0</v>
      </c>
      <c r="K22" s="8">
        <f t="shared" si="17"/>
        <v>0</v>
      </c>
      <c r="L22" s="8">
        <v>127</v>
      </c>
      <c r="M22" s="8">
        <f t="shared" si="18"/>
        <v>61879</v>
      </c>
      <c r="N22" t="s">
        <v>60</v>
      </c>
      <c r="O22" s="8">
        <v>11703</v>
      </c>
      <c r="P22" s="8"/>
      <c r="Q22" s="8">
        <v>1142</v>
      </c>
      <c r="R22" s="8">
        <v>0</v>
      </c>
      <c r="S22" s="8"/>
      <c r="T22">
        <f t="shared" si="9"/>
        <v>12845</v>
      </c>
      <c r="U22" s="8">
        <v>29489</v>
      </c>
      <c r="V22" s="8"/>
      <c r="W22" s="8"/>
      <c r="X22">
        <f t="shared" si="19"/>
        <v>29489</v>
      </c>
      <c r="Y22" t="s">
        <v>45</v>
      </c>
      <c r="Z22">
        <v>20660</v>
      </c>
      <c r="AA22">
        <v>41092</v>
      </c>
    </row>
    <row r="23" spans="1:27">
      <c r="A23">
        <f t="shared" si="2"/>
        <v>1994</v>
      </c>
      <c r="B23">
        <v>91500</v>
      </c>
      <c r="C23">
        <v>149</v>
      </c>
      <c r="D23" s="8">
        <f t="shared" si="10"/>
        <v>19257.723659830044</v>
      </c>
      <c r="E23" s="8">
        <f t="shared" si="11"/>
        <v>0</v>
      </c>
      <c r="F23" s="8">
        <f t="shared" si="12"/>
        <v>2006.1545588141335</v>
      </c>
      <c r="G23" s="8">
        <f t="shared" si="13"/>
        <v>23.121781355823909</v>
      </c>
      <c r="H23" s="8">
        <f t="shared" si="14"/>
        <v>0</v>
      </c>
      <c r="I23" s="8">
        <f t="shared" si="15"/>
        <v>201488</v>
      </c>
      <c r="J23" s="8">
        <f t="shared" si="16"/>
        <v>0</v>
      </c>
      <c r="K23" s="8">
        <f t="shared" si="17"/>
        <v>0</v>
      </c>
      <c r="L23" s="8">
        <v>9894</v>
      </c>
      <c r="M23" s="8">
        <f t="shared" si="18"/>
        <v>232669</v>
      </c>
      <c r="N23" t="s">
        <v>60</v>
      </c>
      <c r="O23" s="8">
        <v>14159</v>
      </c>
      <c r="P23" s="8"/>
      <c r="Q23" s="8">
        <v>1475</v>
      </c>
      <c r="R23" s="8">
        <v>17</v>
      </c>
      <c r="S23" s="8"/>
      <c r="T23">
        <f t="shared" si="9"/>
        <v>15651</v>
      </c>
      <c r="U23" s="8">
        <v>248373</v>
      </c>
      <c r="V23" s="8"/>
      <c r="W23" s="8"/>
      <c r="X23">
        <f t="shared" si="19"/>
        <v>248373</v>
      </c>
      <c r="Y23" t="s">
        <v>45</v>
      </c>
      <c r="Z23">
        <v>21287</v>
      </c>
      <c r="AA23">
        <v>201488</v>
      </c>
    </row>
    <row r="24" spans="1:27">
      <c r="A24">
        <f t="shared" si="2"/>
        <v>1995</v>
      </c>
      <c r="B24">
        <v>73000</v>
      </c>
      <c r="C24">
        <v>149</v>
      </c>
      <c r="D24" s="8">
        <f t="shared" si="10"/>
        <v>28353.209907430573</v>
      </c>
      <c r="E24" s="8">
        <f t="shared" si="11"/>
        <v>0</v>
      </c>
      <c r="F24" s="8">
        <f t="shared" si="12"/>
        <v>8753.5159703110676</v>
      </c>
      <c r="G24" s="8">
        <f t="shared" si="13"/>
        <v>627.27412225836053</v>
      </c>
      <c r="H24" s="8">
        <f t="shared" si="14"/>
        <v>0</v>
      </c>
      <c r="I24" s="8">
        <f t="shared" si="15"/>
        <v>31707</v>
      </c>
      <c r="J24" s="8">
        <f t="shared" si="16"/>
        <v>0</v>
      </c>
      <c r="K24" s="8">
        <f t="shared" si="17"/>
        <v>0</v>
      </c>
      <c r="L24" s="8">
        <v>438</v>
      </c>
      <c r="M24" s="8">
        <f t="shared" si="18"/>
        <v>69879</v>
      </c>
      <c r="N24" t="s">
        <v>60</v>
      </c>
      <c r="O24" s="8">
        <v>27030</v>
      </c>
      <c r="P24" s="8"/>
      <c r="Q24" s="8">
        <v>8345</v>
      </c>
      <c r="R24" s="8">
        <v>598</v>
      </c>
      <c r="S24" s="8"/>
      <c r="T24">
        <f t="shared" si="9"/>
        <v>35973</v>
      </c>
      <c r="U24" s="8">
        <v>30456</v>
      </c>
      <c r="V24" s="8"/>
      <c r="W24" s="8"/>
      <c r="X24">
        <f t="shared" si="19"/>
        <v>30456</v>
      </c>
      <c r="Y24" t="s">
        <v>45</v>
      </c>
      <c r="Z24">
        <v>37734</v>
      </c>
      <c r="AA24">
        <v>31707</v>
      </c>
    </row>
    <row r="25" spans="1:27">
      <c r="A25">
        <f t="shared" si="2"/>
        <v>1996</v>
      </c>
      <c r="B25">
        <v>65000</v>
      </c>
      <c r="C25">
        <v>149</v>
      </c>
      <c r="D25" s="8">
        <f t="shared" si="10"/>
        <v>17586.190817790532</v>
      </c>
      <c r="E25" s="8">
        <f t="shared" si="11"/>
        <v>0</v>
      </c>
      <c r="F25" s="8">
        <f t="shared" si="12"/>
        <v>3373.6527977044475</v>
      </c>
      <c r="G25" s="8">
        <f t="shared" si="13"/>
        <v>65.156384505021521</v>
      </c>
      <c r="H25" s="8">
        <f t="shared" si="14"/>
        <v>0</v>
      </c>
      <c r="I25" s="8">
        <f t="shared" si="15"/>
        <v>4903</v>
      </c>
      <c r="J25" s="8">
        <f t="shared" si="16"/>
        <v>0</v>
      </c>
      <c r="K25" s="8">
        <f t="shared" si="17"/>
        <v>0</v>
      </c>
      <c r="L25" s="8">
        <v>4</v>
      </c>
      <c r="M25" s="8">
        <f t="shared" si="18"/>
        <v>25932</v>
      </c>
      <c r="N25" t="s">
        <v>60</v>
      </c>
      <c r="O25" s="8">
        <v>14575</v>
      </c>
      <c r="P25" s="8"/>
      <c r="Q25" s="8">
        <v>2796</v>
      </c>
      <c r="R25" s="8">
        <v>54</v>
      </c>
      <c r="S25" s="8"/>
      <c r="T25">
        <f t="shared" si="9"/>
        <v>17425</v>
      </c>
      <c r="U25" s="8">
        <v>4633</v>
      </c>
      <c r="V25" s="8"/>
      <c r="W25" s="8"/>
      <c r="X25">
        <f t="shared" si="19"/>
        <v>4633</v>
      </c>
      <c r="Y25" t="s">
        <v>45</v>
      </c>
      <c r="Z25">
        <v>21025</v>
      </c>
      <c r="AA25">
        <v>4903</v>
      </c>
    </row>
    <row r="26" spans="1:27">
      <c r="A26">
        <f t="shared" si="2"/>
        <v>1997</v>
      </c>
      <c r="B26">
        <v>276100</v>
      </c>
      <c r="C26">
        <v>149</v>
      </c>
      <c r="D26" s="8">
        <f t="shared" si="10"/>
        <v>7043.75298935299</v>
      </c>
      <c r="E26" s="8">
        <f t="shared" si="11"/>
        <v>0</v>
      </c>
      <c r="F26" s="8">
        <f t="shared" si="12"/>
        <v>617.71793611793612</v>
      </c>
      <c r="G26" s="8">
        <f t="shared" si="13"/>
        <v>50.529074529074535</v>
      </c>
      <c r="H26" s="8">
        <f t="shared" si="14"/>
        <v>0</v>
      </c>
      <c r="I26" s="8">
        <f t="shared" si="15"/>
        <v>23828</v>
      </c>
      <c r="J26" s="8">
        <f t="shared" si="16"/>
        <v>0</v>
      </c>
      <c r="K26" s="8">
        <f t="shared" si="17"/>
        <v>0</v>
      </c>
      <c r="L26" s="8">
        <v>44</v>
      </c>
      <c r="M26" s="8">
        <f t="shared" si="18"/>
        <v>31584</v>
      </c>
      <c r="N26" t="s">
        <v>60</v>
      </c>
      <c r="O26" s="8">
        <v>5576</v>
      </c>
      <c r="P26" s="8"/>
      <c r="Q26" s="8">
        <v>489</v>
      </c>
      <c r="R26" s="8">
        <v>40</v>
      </c>
      <c r="S26" s="8"/>
      <c r="T26">
        <f t="shared" si="9"/>
        <v>6105</v>
      </c>
      <c r="U26" s="8">
        <v>10422</v>
      </c>
      <c r="V26" s="8"/>
      <c r="W26" s="8"/>
      <c r="X26">
        <f t="shared" si="19"/>
        <v>10422</v>
      </c>
      <c r="Y26" t="s">
        <v>45</v>
      </c>
      <c r="Z26">
        <v>7712</v>
      </c>
      <c r="AA26">
        <v>23828</v>
      </c>
    </row>
    <row r="27" spans="1:27">
      <c r="A27">
        <f t="shared" si="2"/>
        <v>1998</v>
      </c>
      <c r="B27">
        <v>52020</v>
      </c>
      <c r="C27">
        <v>149</v>
      </c>
      <c r="D27" s="8">
        <f t="shared" si="10"/>
        <v>7327.992816989381</v>
      </c>
      <c r="E27" s="8">
        <f t="shared" si="11"/>
        <v>0</v>
      </c>
      <c r="F27" s="8">
        <f t="shared" si="12"/>
        <v>1136.711742660837</v>
      </c>
      <c r="G27" s="8">
        <f t="shared" si="13"/>
        <v>69.295440349781387</v>
      </c>
      <c r="H27" s="8">
        <f t="shared" si="14"/>
        <v>0</v>
      </c>
      <c r="I27" s="8">
        <f t="shared" si="15"/>
        <v>13852</v>
      </c>
      <c r="J27" s="8">
        <f t="shared" si="16"/>
        <v>0</v>
      </c>
      <c r="K27" s="8">
        <f t="shared" si="17"/>
        <v>0</v>
      </c>
      <c r="L27" s="8">
        <v>0</v>
      </c>
      <c r="M27" s="8">
        <f t="shared" si="18"/>
        <v>22386</v>
      </c>
      <c r="N27" t="s">
        <v>60</v>
      </c>
      <c r="O27" s="8">
        <v>5499</v>
      </c>
      <c r="P27" s="8"/>
      <c r="Q27" s="8">
        <v>853</v>
      </c>
      <c r="R27" s="8">
        <v>52</v>
      </c>
      <c r="S27" s="8"/>
      <c r="T27">
        <f t="shared" si="9"/>
        <v>6404</v>
      </c>
      <c r="U27" s="8">
        <v>12581</v>
      </c>
      <c r="V27" s="8"/>
      <c r="W27" s="8"/>
      <c r="X27">
        <f t="shared" si="19"/>
        <v>12581</v>
      </c>
      <c r="Y27" t="s">
        <v>45</v>
      </c>
      <c r="Z27">
        <v>8534</v>
      </c>
      <c r="AA27">
        <v>13852</v>
      </c>
    </row>
    <row r="28" spans="1:27">
      <c r="A28">
        <f t="shared" si="2"/>
        <v>1999</v>
      </c>
      <c r="B28">
        <v>3600</v>
      </c>
      <c r="C28">
        <v>149</v>
      </c>
      <c r="D28" s="8">
        <f t="shared" si="10"/>
        <v>2655.7477013607945</v>
      </c>
      <c r="E28" s="8">
        <f t="shared" si="11"/>
        <v>0</v>
      </c>
      <c r="F28" s="8">
        <f t="shared" si="12"/>
        <v>144.22214049282826</v>
      </c>
      <c r="G28" s="8">
        <f t="shared" si="13"/>
        <v>1.0301581463773446</v>
      </c>
      <c r="H28" s="8">
        <f t="shared" si="14"/>
        <v>0</v>
      </c>
      <c r="I28" s="8">
        <f t="shared" si="15"/>
        <v>3239</v>
      </c>
      <c r="J28" s="8">
        <f t="shared" si="16"/>
        <v>0</v>
      </c>
      <c r="K28" s="8">
        <f t="shared" si="17"/>
        <v>0</v>
      </c>
      <c r="L28" s="8">
        <v>0</v>
      </c>
      <c r="M28" s="8">
        <f t="shared" si="18"/>
        <v>6040</v>
      </c>
      <c r="N28" t="s">
        <v>60</v>
      </c>
      <c r="O28" s="8">
        <v>2578</v>
      </c>
      <c r="P28" s="8"/>
      <c r="Q28" s="8">
        <v>140</v>
      </c>
      <c r="R28" s="8">
        <v>1</v>
      </c>
      <c r="S28" s="8"/>
      <c r="T28">
        <f t="shared" si="9"/>
        <v>2719</v>
      </c>
      <c r="U28" s="8">
        <v>2311</v>
      </c>
      <c r="V28" s="8"/>
      <c r="W28" s="8"/>
      <c r="X28">
        <f t="shared" si="19"/>
        <v>2311</v>
      </c>
      <c r="Y28" t="s">
        <v>45</v>
      </c>
      <c r="Z28">
        <v>2801</v>
      </c>
      <c r="AA28">
        <v>3239</v>
      </c>
    </row>
    <row r="29" spans="1:27">
      <c r="A29">
        <f t="shared" si="2"/>
        <v>2000</v>
      </c>
      <c r="B29">
        <v>21110</v>
      </c>
      <c r="C29">
        <v>149</v>
      </c>
      <c r="D29" s="8">
        <f t="shared" si="10"/>
        <v>1445.8976744186048</v>
      </c>
      <c r="E29" s="8">
        <f t="shared" si="11"/>
        <v>0</v>
      </c>
      <c r="F29" s="8">
        <f t="shared" si="12"/>
        <v>516.10232558139535</v>
      </c>
      <c r="G29" s="8">
        <f t="shared" si="13"/>
        <v>0</v>
      </c>
      <c r="H29" s="8">
        <f t="shared" si="14"/>
        <v>0</v>
      </c>
      <c r="I29" s="8">
        <f t="shared" si="15"/>
        <v>593</v>
      </c>
      <c r="J29" s="8">
        <f t="shared" si="16"/>
        <v>0</v>
      </c>
      <c r="K29" s="8">
        <f t="shared" si="17"/>
        <v>0</v>
      </c>
      <c r="L29" s="8">
        <v>0</v>
      </c>
      <c r="M29" s="8">
        <f t="shared" si="18"/>
        <v>2555</v>
      </c>
      <c r="N29" t="s">
        <v>60</v>
      </c>
      <c r="O29" s="8">
        <v>1426</v>
      </c>
      <c r="P29" s="8"/>
      <c r="Q29" s="8">
        <v>509</v>
      </c>
      <c r="R29" s="8">
        <v>0</v>
      </c>
      <c r="S29" s="8"/>
      <c r="T29">
        <f t="shared" si="9"/>
        <v>1935</v>
      </c>
      <c r="U29" s="8">
        <v>719</v>
      </c>
      <c r="V29" s="8"/>
      <c r="W29" s="8"/>
      <c r="X29">
        <f t="shared" si="19"/>
        <v>719</v>
      </c>
      <c r="Y29" t="s">
        <v>45</v>
      </c>
      <c r="Z29">
        <v>1962</v>
      </c>
      <c r="AA29">
        <v>593</v>
      </c>
    </row>
    <row r="30" spans="1:27">
      <c r="A30">
        <f t="shared" si="2"/>
        <v>2001</v>
      </c>
      <c r="B30">
        <v>24500</v>
      </c>
      <c r="C30">
        <v>158</v>
      </c>
      <c r="D30" s="8">
        <f t="shared" si="10"/>
        <v>1185.782656421515</v>
      </c>
      <c r="E30" s="8">
        <f t="shared" si="11"/>
        <v>0</v>
      </c>
      <c r="F30" s="8">
        <f t="shared" si="12"/>
        <v>166.21734357848518</v>
      </c>
      <c r="G30" s="8">
        <f t="shared" si="13"/>
        <v>0</v>
      </c>
      <c r="H30" s="8">
        <f t="shared" si="14"/>
        <v>0</v>
      </c>
      <c r="I30" s="8">
        <f t="shared" si="15"/>
        <v>1051</v>
      </c>
      <c r="J30" s="8">
        <f t="shared" si="16"/>
        <v>0</v>
      </c>
      <c r="K30" s="8">
        <f t="shared" si="17"/>
        <v>0</v>
      </c>
      <c r="L30" s="8">
        <v>0</v>
      </c>
      <c r="M30" s="8">
        <f t="shared" si="18"/>
        <v>2403</v>
      </c>
      <c r="N30" t="s">
        <v>60</v>
      </c>
      <c r="O30" s="8">
        <v>799</v>
      </c>
      <c r="P30" s="8"/>
      <c r="Q30" s="8">
        <v>112</v>
      </c>
      <c r="R30" s="8">
        <v>0</v>
      </c>
      <c r="S30" s="8"/>
      <c r="T30">
        <f t="shared" si="9"/>
        <v>911</v>
      </c>
      <c r="U30" s="8">
        <v>872</v>
      </c>
      <c r="V30" s="8"/>
      <c r="W30" s="8"/>
      <c r="X30">
        <f t="shared" si="19"/>
        <v>872</v>
      </c>
      <c r="Y30" t="s">
        <v>45</v>
      </c>
      <c r="Z30">
        <v>1352</v>
      </c>
      <c r="AA30">
        <v>1051</v>
      </c>
    </row>
    <row r="31" spans="1:27">
      <c r="A31">
        <f t="shared" si="2"/>
        <v>2002</v>
      </c>
      <c r="B31">
        <v>100000</v>
      </c>
      <c r="C31">
        <v>158</v>
      </c>
      <c r="D31" s="8">
        <f t="shared" si="10"/>
        <v>2134.5907372400757</v>
      </c>
      <c r="E31" s="8">
        <f t="shared" si="11"/>
        <v>0</v>
      </c>
      <c r="F31" s="8">
        <f t="shared" si="12"/>
        <v>382.45746691871454</v>
      </c>
      <c r="G31" s="8">
        <f t="shared" si="13"/>
        <v>11.95179584120983</v>
      </c>
      <c r="H31" s="8">
        <f t="shared" si="14"/>
        <v>0</v>
      </c>
      <c r="I31" s="8">
        <f t="shared" si="15"/>
        <v>3263</v>
      </c>
      <c r="J31" s="8">
        <f t="shared" si="16"/>
        <v>0</v>
      </c>
      <c r="K31" s="8">
        <f t="shared" si="17"/>
        <v>0</v>
      </c>
      <c r="L31" s="8">
        <v>0</v>
      </c>
      <c r="M31" s="8">
        <f t="shared" si="18"/>
        <v>5792</v>
      </c>
      <c r="N31" t="s">
        <v>60</v>
      </c>
      <c r="O31" s="8">
        <v>1786</v>
      </c>
      <c r="P31" s="8"/>
      <c r="Q31" s="8">
        <v>320</v>
      </c>
      <c r="R31" s="8">
        <v>10</v>
      </c>
      <c r="S31" s="8"/>
      <c r="T31">
        <f t="shared" si="9"/>
        <v>2116</v>
      </c>
      <c r="U31" s="8">
        <v>2730</v>
      </c>
      <c r="V31" s="8"/>
      <c r="W31" s="8"/>
      <c r="X31">
        <f t="shared" si="19"/>
        <v>2730</v>
      </c>
      <c r="Y31" t="s">
        <v>45</v>
      </c>
      <c r="Z31">
        <v>2529</v>
      </c>
      <c r="AA31">
        <v>3263</v>
      </c>
    </row>
    <row r="32" spans="1:27">
      <c r="A32">
        <f t="shared" si="2"/>
        <v>2003</v>
      </c>
      <c r="B32">
        <v>139000</v>
      </c>
      <c r="C32">
        <v>158</v>
      </c>
      <c r="D32" s="8">
        <f t="shared" si="10"/>
        <v>4827.0503261882568</v>
      </c>
      <c r="E32" s="8">
        <f t="shared" si="11"/>
        <v>0</v>
      </c>
      <c r="F32" s="8">
        <f>Q32/T32*Z32</f>
        <v>316.94594594594594</v>
      </c>
      <c r="G32" s="8">
        <f t="shared" si="13"/>
        <v>68.003727865796833</v>
      </c>
      <c r="H32" s="8">
        <f t="shared" si="14"/>
        <v>0</v>
      </c>
      <c r="I32" s="8">
        <f t="shared" si="15"/>
        <v>13968</v>
      </c>
      <c r="J32" s="8">
        <f t="shared" si="16"/>
        <v>0</v>
      </c>
      <c r="K32" s="8">
        <f t="shared" si="17"/>
        <v>0</v>
      </c>
      <c r="L32" s="8">
        <v>0</v>
      </c>
      <c r="M32" s="8">
        <f t="shared" si="18"/>
        <v>19180</v>
      </c>
      <c r="N32" t="s">
        <v>60</v>
      </c>
      <c r="O32" s="8">
        <v>3975</v>
      </c>
      <c r="P32" s="8"/>
      <c r="Q32" s="8">
        <v>261</v>
      </c>
      <c r="R32" s="8">
        <v>56</v>
      </c>
      <c r="S32" s="8"/>
      <c r="T32">
        <f t="shared" si="9"/>
        <v>4292</v>
      </c>
      <c r="U32" s="8">
        <v>3736</v>
      </c>
      <c r="V32" s="8"/>
      <c r="W32" s="8"/>
      <c r="X32">
        <f t="shared" si="19"/>
        <v>3736</v>
      </c>
      <c r="Y32" t="s">
        <v>45</v>
      </c>
      <c r="Z32">
        <v>5212</v>
      </c>
      <c r="AA32">
        <v>13968</v>
      </c>
    </row>
    <row r="33" spans="1:27">
      <c r="A33">
        <f t="shared" si="2"/>
        <v>2004</v>
      </c>
      <c r="B33">
        <v>115000</v>
      </c>
      <c r="C33">
        <v>158</v>
      </c>
      <c r="D33" s="8">
        <f t="shared" si="10"/>
        <v>2851.8214285714284</v>
      </c>
      <c r="E33" s="8">
        <f t="shared" si="11"/>
        <v>0</v>
      </c>
      <c r="F33" s="8">
        <f t="shared" si="12"/>
        <v>241.47802197802199</v>
      </c>
      <c r="G33" s="8">
        <f t="shared" si="13"/>
        <v>1.7005494505494505</v>
      </c>
      <c r="H33" s="8">
        <f t="shared" si="14"/>
        <v>0</v>
      </c>
      <c r="I33" s="8">
        <f t="shared" si="15"/>
        <v>1888</v>
      </c>
      <c r="J33" s="8">
        <f t="shared" si="16"/>
        <v>0</v>
      </c>
      <c r="K33" s="8">
        <f t="shared" si="17"/>
        <v>0</v>
      </c>
      <c r="L33" s="8">
        <v>1</v>
      </c>
      <c r="M33" s="8">
        <f t="shared" si="18"/>
        <v>4984</v>
      </c>
      <c r="N33" t="s">
        <v>60</v>
      </c>
      <c r="O33" s="8">
        <v>1677</v>
      </c>
      <c r="P33" s="8"/>
      <c r="Q33" s="8">
        <v>142</v>
      </c>
      <c r="R33" s="8">
        <v>1</v>
      </c>
      <c r="S33" s="8"/>
      <c r="T33">
        <f t="shared" si="9"/>
        <v>1820</v>
      </c>
      <c r="U33" s="8">
        <v>1337</v>
      </c>
      <c r="V33" s="8"/>
      <c r="W33" s="8"/>
      <c r="X33">
        <f t="shared" si="19"/>
        <v>1337</v>
      </c>
      <c r="Y33" t="s">
        <v>45</v>
      </c>
      <c r="Z33">
        <v>3095</v>
      </c>
      <c r="AA33">
        <v>1888</v>
      </c>
    </row>
    <row r="34" spans="1:27">
      <c r="A34">
        <f>A33+1</f>
        <v>2005</v>
      </c>
      <c r="B34">
        <v>150000</v>
      </c>
      <c r="C34">
        <v>158</v>
      </c>
      <c r="D34" s="8">
        <f>O34/T34*Z34</f>
        <v>838.33792470156106</v>
      </c>
      <c r="E34" s="8">
        <f>P34/T34*Z34</f>
        <v>0</v>
      </c>
      <c r="F34" s="8">
        <f>Q34/T34*Z34</f>
        <v>111.66207529843894</v>
      </c>
      <c r="G34" s="8">
        <f>R34/T34*Z34</f>
        <v>0</v>
      </c>
      <c r="H34" s="8">
        <f>S34/T34*Z34</f>
        <v>0</v>
      </c>
      <c r="I34">
        <f>AA34</f>
        <v>16</v>
      </c>
      <c r="J34" s="8"/>
      <c r="K34" s="8"/>
      <c r="L34" s="8">
        <v>0</v>
      </c>
      <c r="M34" s="8">
        <f t="shared" si="18"/>
        <v>966</v>
      </c>
      <c r="N34" t="s">
        <v>60</v>
      </c>
      <c r="O34">
        <v>961</v>
      </c>
      <c r="Q34">
        <v>128</v>
      </c>
      <c r="R34">
        <v>0</v>
      </c>
      <c r="T34">
        <f t="shared" si="9"/>
        <v>1089</v>
      </c>
      <c r="U34">
        <v>0</v>
      </c>
      <c r="X34">
        <f t="shared" si="19"/>
        <v>0</v>
      </c>
      <c r="Y34" t="s">
        <v>45</v>
      </c>
      <c r="Z34">
        <v>950</v>
      </c>
      <c r="AA34">
        <v>16</v>
      </c>
    </row>
    <row r="35" spans="1:27">
      <c r="A35">
        <f t="shared" si="2"/>
        <v>2006</v>
      </c>
      <c r="C35">
        <v>158</v>
      </c>
      <c r="D35" s="8">
        <f>O35/T35*Z35</f>
        <v>1142</v>
      </c>
      <c r="E35" s="8">
        <f>P35/T35*Z35</f>
        <v>0</v>
      </c>
      <c r="F35" s="8">
        <f>Q35/T35*Z35</f>
        <v>44.999999999999993</v>
      </c>
      <c r="G35" s="8">
        <f>R35/T35*Z35</f>
        <v>2</v>
      </c>
      <c r="H35" s="8">
        <f>S35/T35*Z35</f>
        <v>0</v>
      </c>
      <c r="I35" s="8">
        <f>AA35</f>
        <v>0</v>
      </c>
      <c r="L35" s="34"/>
      <c r="M35" s="8">
        <f t="shared" si="18"/>
        <v>1189</v>
      </c>
      <c r="O35" s="8">
        <v>1142</v>
      </c>
      <c r="Q35" s="8">
        <v>45</v>
      </c>
      <c r="R35" s="8">
        <v>2</v>
      </c>
      <c r="T35">
        <f t="shared" si="9"/>
        <v>1189</v>
      </c>
      <c r="U35" s="8">
        <v>0</v>
      </c>
      <c r="X35">
        <f t="shared" si="19"/>
        <v>0</v>
      </c>
      <c r="Y35" t="s">
        <v>209</v>
      </c>
      <c r="Z35" s="34">
        <v>1189</v>
      </c>
      <c r="AA35" s="34">
        <v>0</v>
      </c>
    </row>
    <row r="36" spans="1:27">
      <c r="A36">
        <v>2007</v>
      </c>
    </row>
    <row r="37" spans="1:27">
      <c r="A37">
        <v>2008</v>
      </c>
    </row>
    <row r="38" spans="1:27">
      <c r="A38">
        <v>2009</v>
      </c>
    </row>
    <row r="39" spans="1:27">
      <c r="A39">
        <v>2010</v>
      </c>
    </row>
    <row r="47" spans="1:27">
      <c r="E47" s="44" t="s">
        <v>260</v>
      </c>
    </row>
    <row r="48" spans="1:27">
      <c r="C48" t="s">
        <v>76</v>
      </c>
      <c r="E48" t="s">
        <v>77</v>
      </c>
    </row>
    <row r="50" spans="3:7">
      <c r="C50" s="7"/>
      <c r="D50" t="s">
        <v>165</v>
      </c>
      <c r="G50" s="44" t="s">
        <v>250</v>
      </c>
    </row>
    <row r="51" spans="3:7">
      <c r="C51" s="4"/>
      <c r="D51" t="s">
        <v>166</v>
      </c>
      <c r="G51" s="44" t="s">
        <v>249</v>
      </c>
    </row>
    <row r="52" spans="3:7">
      <c r="C52" s="34"/>
      <c r="D52" t="s">
        <v>167</v>
      </c>
    </row>
  </sheetData>
  <phoneticPr fontId="3" type="noConversion"/>
  <pageMargins left="0.75" right="0.75" top="1" bottom="1" header="0.5" footer="0.5"/>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63"/>
  <sheetViews>
    <sheetView zoomScale="70" zoomScaleNormal="70" workbookViewId="0">
      <pane xSplit="1" topLeftCell="B1" activePane="topRight" state="frozen"/>
      <selection pane="topRight" activeCell="H24" sqref="H24"/>
    </sheetView>
  </sheetViews>
  <sheetFormatPr defaultColWidth="8.88671875" defaultRowHeight="12"/>
  <cols>
    <col min="2" max="2" width="15" bestFit="1" customWidth="1"/>
    <col min="3" max="3" width="17.109375" bestFit="1" customWidth="1"/>
    <col min="4" max="4" width="23.109375" bestFit="1" customWidth="1"/>
    <col min="5" max="5" width="26.33203125" bestFit="1" customWidth="1"/>
    <col min="6" max="6" width="13" bestFit="1" customWidth="1"/>
    <col min="9" max="9" width="11.6640625" customWidth="1"/>
  </cols>
  <sheetData>
    <row r="2" spans="1:9">
      <c r="A2" t="s">
        <v>7</v>
      </c>
      <c r="B2" t="s">
        <v>26</v>
      </c>
      <c r="C2" t="s">
        <v>25</v>
      </c>
      <c r="D2" t="s">
        <v>27</v>
      </c>
      <c r="E2" t="s">
        <v>28</v>
      </c>
      <c r="F2" t="s">
        <v>29</v>
      </c>
      <c r="G2" t="s">
        <v>168</v>
      </c>
      <c r="H2" t="s">
        <v>4</v>
      </c>
      <c r="I2" t="s">
        <v>18</v>
      </c>
    </row>
    <row r="3" spans="1:9">
      <c r="A3">
        <v>1975</v>
      </c>
      <c r="B3" s="34"/>
      <c r="C3" s="34"/>
      <c r="D3" s="34"/>
      <c r="E3" s="34"/>
      <c r="F3" s="34"/>
      <c r="G3" s="34"/>
    </row>
    <row r="4" spans="1:9">
      <c r="A4">
        <f t="shared" ref="A4:A34" si="0">A3+1</f>
        <v>1976</v>
      </c>
      <c r="B4">
        <v>1750</v>
      </c>
      <c r="C4">
        <v>132</v>
      </c>
      <c r="D4" s="34"/>
      <c r="F4">
        <v>208</v>
      </c>
      <c r="G4">
        <v>94</v>
      </c>
      <c r="H4">
        <f>SUM(B4:G4)</f>
        <v>2184</v>
      </c>
      <c r="I4" t="s">
        <v>169</v>
      </c>
    </row>
    <row r="5" spans="1:9">
      <c r="A5">
        <f t="shared" si="0"/>
        <v>1977</v>
      </c>
      <c r="B5">
        <v>2499</v>
      </c>
      <c r="C5">
        <v>200</v>
      </c>
      <c r="D5">
        <v>3442</v>
      </c>
      <c r="F5">
        <v>735</v>
      </c>
      <c r="H5">
        <f>SUM(B5:G5)</f>
        <v>6876</v>
      </c>
      <c r="I5" t="s">
        <v>169</v>
      </c>
    </row>
    <row r="6" spans="1:9">
      <c r="A6">
        <f t="shared" si="0"/>
        <v>1978</v>
      </c>
      <c r="B6">
        <v>3078</v>
      </c>
      <c r="C6">
        <v>19</v>
      </c>
      <c r="D6">
        <v>2000</v>
      </c>
      <c r="F6" s="7">
        <v>1002</v>
      </c>
      <c r="H6">
        <f>SUM(B6:G6)</f>
        <v>6099</v>
      </c>
      <c r="I6" t="s">
        <v>169</v>
      </c>
    </row>
    <row r="7" spans="1:9">
      <c r="A7">
        <f t="shared" si="0"/>
        <v>1979</v>
      </c>
      <c r="B7">
        <v>2243</v>
      </c>
      <c r="C7">
        <v>22</v>
      </c>
      <c r="D7">
        <v>1958</v>
      </c>
      <c r="F7" s="7">
        <v>268</v>
      </c>
      <c r="H7">
        <f>SUM(B7:G7)</f>
        <v>4491</v>
      </c>
      <c r="I7" t="s">
        <v>169</v>
      </c>
    </row>
    <row r="8" spans="1:9">
      <c r="A8">
        <f t="shared" si="0"/>
        <v>1980</v>
      </c>
      <c r="B8">
        <v>4162</v>
      </c>
      <c r="C8" s="7">
        <v>285</v>
      </c>
      <c r="D8">
        <v>1882</v>
      </c>
      <c r="F8" s="7">
        <v>1000</v>
      </c>
      <c r="H8">
        <f>SUM(B8:G8)</f>
        <v>7329</v>
      </c>
      <c r="I8" t="s">
        <v>169</v>
      </c>
    </row>
    <row r="9" spans="1:9">
      <c r="A9">
        <f t="shared" si="0"/>
        <v>1981</v>
      </c>
      <c r="B9">
        <v>5068</v>
      </c>
      <c r="C9">
        <v>267</v>
      </c>
      <c r="D9" s="34"/>
      <c r="E9" s="34"/>
      <c r="F9" s="34"/>
      <c r="G9" s="34"/>
      <c r="H9">
        <v>9609</v>
      </c>
      <c r="I9" t="s">
        <v>161</v>
      </c>
    </row>
    <row r="10" spans="1:9">
      <c r="A10">
        <f t="shared" si="0"/>
        <v>1982</v>
      </c>
      <c r="B10">
        <v>2662</v>
      </c>
      <c r="C10" s="34"/>
      <c r="D10" s="34"/>
      <c r="E10" s="34"/>
      <c r="F10" s="34"/>
      <c r="G10" s="34"/>
      <c r="H10">
        <v>5489</v>
      </c>
      <c r="I10" t="s">
        <v>163</v>
      </c>
    </row>
    <row r="11" spans="1:9">
      <c r="A11">
        <f t="shared" si="0"/>
        <v>1983</v>
      </c>
      <c r="B11">
        <v>3748</v>
      </c>
      <c r="C11">
        <v>272</v>
      </c>
      <c r="D11">
        <v>1333</v>
      </c>
      <c r="F11">
        <v>1411</v>
      </c>
      <c r="H11" s="4">
        <f t="shared" ref="H11:H16" si="1">SUM(B11:G11)</f>
        <v>6764</v>
      </c>
      <c r="I11" t="s">
        <v>59</v>
      </c>
    </row>
    <row r="12" spans="1:9">
      <c r="A12">
        <f t="shared" si="0"/>
        <v>1984</v>
      </c>
      <c r="B12">
        <v>5886</v>
      </c>
      <c r="C12">
        <v>555</v>
      </c>
      <c r="D12">
        <v>2176</v>
      </c>
      <c r="F12">
        <v>363</v>
      </c>
      <c r="H12">
        <f t="shared" si="1"/>
        <v>8980</v>
      </c>
      <c r="I12" t="s">
        <v>57</v>
      </c>
    </row>
    <row r="13" spans="1:9">
      <c r="A13">
        <f t="shared" si="0"/>
        <v>1985</v>
      </c>
      <c r="B13">
        <v>6849</v>
      </c>
      <c r="C13">
        <v>572</v>
      </c>
      <c r="D13">
        <v>2629</v>
      </c>
      <c r="E13">
        <v>0</v>
      </c>
      <c r="F13">
        <v>439</v>
      </c>
      <c r="H13" s="4">
        <f t="shared" si="1"/>
        <v>10489</v>
      </c>
      <c r="I13" t="s">
        <v>56</v>
      </c>
    </row>
    <row r="14" spans="1:9">
      <c r="A14">
        <f t="shared" si="0"/>
        <v>1986</v>
      </c>
      <c r="B14">
        <v>4216</v>
      </c>
      <c r="C14">
        <v>567</v>
      </c>
      <c r="D14">
        <v>1127</v>
      </c>
      <c r="F14">
        <v>0</v>
      </c>
      <c r="H14" s="4">
        <f t="shared" si="1"/>
        <v>5910</v>
      </c>
      <c r="I14" t="s">
        <v>55</v>
      </c>
    </row>
    <row r="15" spans="1:9">
      <c r="A15">
        <f t="shared" si="0"/>
        <v>1987</v>
      </c>
      <c r="B15">
        <v>4676</v>
      </c>
      <c r="C15">
        <v>376</v>
      </c>
      <c r="D15">
        <v>2100</v>
      </c>
      <c r="E15">
        <v>0</v>
      </c>
      <c r="F15">
        <v>432</v>
      </c>
      <c r="G15">
        <v>46</v>
      </c>
      <c r="H15" s="4">
        <f t="shared" si="1"/>
        <v>7630</v>
      </c>
      <c r="I15" t="s">
        <v>53</v>
      </c>
    </row>
    <row r="16" spans="1:9">
      <c r="A16">
        <f>A15+1</f>
        <v>1988</v>
      </c>
      <c r="B16">
        <v>6343</v>
      </c>
      <c r="C16">
        <v>536</v>
      </c>
      <c r="D16">
        <v>4746</v>
      </c>
      <c r="E16">
        <v>296</v>
      </c>
      <c r="F16" s="7">
        <v>319</v>
      </c>
      <c r="H16" s="4">
        <f t="shared" si="1"/>
        <v>12240</v>
      </c>
      <c r="I16" t="s">
        <v>49</v>
      </c>
    </row>
    <row r="17" spans="1:9">
      <c r="A17">
        <f t="shared" si="0"/>
        <v>1989</v>
      </c>
      <c r="B17">
        <v>5266</v>
      </c>
      <c r="C17">
        <v>443</v>
      </c>
      <c r="D17">
        <v>1606</v>
      </c>
      <c r="F17">
        <v>0</v>
      </c>
      <c r="H17">
        <f t="shared" ref="H17:H32" si="2">SUM(B17:G17)</f>
        <v>7315</v>
      </c>
      <c r="I17" t="s">
        <v>21</v>
      </c>
    </row>
    <row r="18" spans="1:9">
      <c r="A18">
        <f t="shared" si="0"/>
        <v>1990</v>
      </c>
      <c r="B18">
        <v>3579</v>
      </c>
      <c r="C18">
        <v>355</v>
      </c>
      <c r="D18">
        <v>2039</v>
      </c>
      <c r="E18">
        <v>0</v>
      </c>
      <c r="F18">
        <v>277</v>
      </c>
      <c r="H18">
        <f t="shared" si="2"/>
        <v>6250</v>
      </c>
      <c r="I18" t="s">
        <v>21</v>
      </c>
    </row>
    <row r="19" spans="1:9">
      <c r="A19">
        <f t="shared" si="0"/>
        <v>1991</v>
      </c>
      <c r="B19">
        <v>8851</v>
      </c>
      <c r="C19">
        <v>11</v>
      </c>
      <c r="D19">
        <v>3392</v>
      </c>
      <c r="E19">
        <v>3732</v>
      </c>
      <c r="F19">
        <v>622</v>
      </c>
      <c r="H19">
        <f t="shared" si="2"/>
        <v>16608</v>
      </c>
      <c r="I19" t="s">
        <v>21</v>
      </c>
    </row>
    <row r="20" spans="1:9">
      <c r="A20">
        <f t="shared" si="0"/>
        <v>1992</v>
      </c>
      <c r="B20">
        <v>7216</v>
      </c>
      <c r="C20">
        <v>174</v>
      </c>
      <c r="D20">
        <v>1461</v>
      </c>
      <c r="E20">
        <v>339</v>
      </c>
      <c r="F20">
        <v>0</v>
      </c>
      <c r="H20">
        <f t="shared" si="2"/>
        <v>9190</v>
      </c>
      <c r="I20" t="s">
        <v>21</v>
      </c>
    </row>
    <row r="21" spans="1:9">
      <c r="A21">
        <f t="shared" si="0"/>
        <v>1993</v>
      </c>
      <c r="B21">
        <v>4287</v>
      </c>
      <c r="C21">
        <v>305</v>
      </c>
      <c r="D21">
        <v>3306</v>
      </c>
      <c r="E21">
        <v>683</v>
      </c>
      <c r="F21">
        <v>130</v>
      </c>
      <c r="H21">
        <f t="shared" si="2"/>
        <v>8711</v>
      </c>
      <c r="I21" t="s">
        <v>21</v>
      </c>
    </row>
    <row r="22" spans="1:9">
      <c r="A22">
        <f t="shared" si="0"/>
        <v>1994</v>
      </c>
      <c r="B22">
        <v>600</v>
      </c>
      <c r="C22">
        <v>22</v>
      </c>
      <c r="D22">
        <v>2518</v>
      </c>
      <c r="E22">
        <v>225</v>
      </c>
      <c r="H22">
        <f t="shared" si="2"/>
        <v>3365</v>
      </c>
      <c r="I22" t="s">
        <v>21</v>
      </c>
    </row>
    <row r="23" spans="1:9">
      <c r="A23">
        <f t="shared" si="0"/>
        <v>1995</v>
      </c>
      <c r="B23">
        <v>4923</v>
      </c>
      <c r="C23">
        <v>91</v>
      </c>
      <c r="D23">
        <v>3274</v>
      </c>
      <c r="E23">
        <v>269</v>
      </c>
      <c r="H23">
        <f t="shared" si="2"/>
        <v>8557</v>
      </c>
      <c r="I23" t="s">
        <v>21</v>
      </c>
    </row>
    <row r="24" spans="1:9">
      <c r="A24">
        <f t="shared" si="0"/>
        <v>1996</v>
      </c>
      <c r="B24">
        <v>2866</v>
      </c>
      <c r="C24">
        <v>92</v>
      </c>
      <c r="D24" s="7">
        <v>6277</v>
      </c>
      <c r="E24">
        <v>102</v>
      </c>
      <c r="H24">
        <f t="shared" si="2"/>
        <v>9337</v>
      </c>
      <c r="I24" t="s">
        <v>21</v>
      </c>
    </row>
    <row r="25" spans="1:9">
      <c r="A25">
        <f t="shared" si="0"/>
        <v>1997</v>
      </c>
      <c r="B25">
        <v>2803</v>
      </c>
      <c r="C25">
        <v>498</v>
      </c>
      <c r="D25">
        <v>19972</v>
      </c>
      <c r="E25">
        <v>19</v>
      </c>
      <c r="H25">
        <f t="shared" si="2"/>
        <v>23292</v>
      </c>
      <c r="I25" t="s">
        <v>38</v>
      </c>
    </row>
    <row r="26" spans="1:9">
      <c r="A26">
        <f t="shared" si="0"/>
        <v>1998</v>
      </c>
      <c r="B26">
        <v>1719</v>
      </c>
      <c r="C26">
        <v>320</v>
      </c>
      <c r="D26" s="7">
        <v>1753</v>
      </c>
      <c r="E26" s="7">
        <v>156</v>
      </c>
      <c r="H26">
        <f t="shared" si="2"/>
        <v>3948</v>
      </c>
      <c r="I26" t="s">
        <v>164</v>
      </c>
    </row>
    <row r="27" spans="1:9">
      <c r="A27">
        <f t="shared" si="0"/>
        <v>1999</v>
      </c>
      <c r="B27">
        <v>825</v>
      </c>
      <c r="C27">
        <v>246</v>
      </c>
      <c r="D27" s="7">
        <v>857</v>
      </c>
      <c r="E27">
        <v>34</v>
      </c>
      <c r="H27">
        <f t="shared" si="2"/>
        <v>1962</v>
      </c>
      <c r="I27" t="s">
        <v>36</v>
      </c>
    </row>
    <row r="28" spans="1:9">
      <c r="A28">
        <f t="shared" si="0"/>
        <v>2000</v>
      </c>
      <c r="B28">
        <v>866</v>
      </c>
      <c r="C28">
        <v>903</v>
      </c>
      <c r="D28" s="7">
        <v>2379</v>
      </c>
      <c r="E28">
        <v>134</v>
      </c>
      <c r="H28">
        <f t="shared" si="2"/>
        <v>4282</v>
      </c>
      <c r="I28" t="s">
        <v>21</v>
      </c>
    </row>
    <row r="29" spans="1:9">
      <c r="A29">
        <f t="shared" si="0"/>
        <v>2001</v>
      </c>
      <c r="B29">
        <v>912</v>
      </c>
      <c r="C29">
        <v>525</v>
      </c>
      <c r="D29">
        <v>1666</v>
      </c>
      <c r="E29">
        <v>1374</v>
      </c>
      <c r="F29">
        <v>0</v>
      </c>
      <c r="H29">
        <f t="shared" si="2"/>
        <v>4477</v>
      </c>
      <c r="I29" t="s">
        <v>21</v>
      </c>
    </row>
    <row r="30" spans="1:9">
      <c r="A30">
        <f t="shared" si="0"/>
        <v>2002</v>
      </c>
      <c r="B30">
        <v>847</v>
      </c>
      <c r="C30">
        <v>758</v>
      </c>
      <c r="D30">
        <v>2233</v>
      </c>
      <c r="E30">
        <v>528</v>
      </c>
      <c r="F30">
        <v>0</v>
      </c>
      <c r="H30">
        <f t="shared" si="2"/>
        <v>4366</v>
      </c>
      <c r="I30" t="s">
        <v>21</v>
      </c>
    </row>
    <row r="31" spans="1:9">
      <c r="A31">
        <f t="shared" si="0"/>
        <v>2003</v>
      </c>
      <c r="B31">
        <v>722</v>
      </c>
      <c r="C31">
        <v>1045</v>
      </c>
      <c r="D31">
        <v>2021</v>
      </c>
      <c r="E31">
        <v>112</v>
      </c>
      <c r="F31">
        <v>0</v>
      </c>
      <c r="G31">
        <v>0</v>
      </c>
      <c r="H31">
        <f t="shared" si="2"/>
        <v>3900</v>
      </c>
      <c r="I31" t="s">
        <v>245</v>
      </c>
    </row>
    <row r="32" spans="1:9">
      <c r="A32">
        <f t="shared" si="0"/>
        <v>2004</v>
      </c>
      <c r="B32">
        <v>395</v>
      </c>
      <c r="C32">
        <v>139</v>
      </c>
      <c r="D32" s="7">
        <v>2826</v>
      </c>
      <c r="E32">
        <v>384</v>
      </c>
      <c r="F32" s="7">
        <v>266</v>
      </c>
      <c r="G32">
        <v>0</v>
      </c>
      <c r="H32">
        <f t="shared" si="2"/>
        <v>4010</v>
      </c>
      <c r="I32" t="s">
        <v>30</v>
      </c>
    </row>
    <row r="33" spans="1:9">
      <c r="A33">
        <f>A32+1</f>
        <v>2005</v>
      </c>
      <c r="B33">
        <v>180</v>
      </c>
      <c r="C33">
        <v>255</v>
      </c>
      <c r="D33">
        <v>591</v>
      </c>
      <c r="E33">
        <v>158</v>
      </c>
      <c r="F33">
        <v>0</v>
      </c>
      <c r="G33">
        <v>0</v>
      </c>
      <c r="H33">
        <f>SUM(B33:G33)</f>
        <v>1184</v>
      </c>
      <c r="I33" t="s">
        <v>21</v>
      </c>
    </row>
    <row r="34" spans="1:9">
      <c r="A34">
        <f t="shared" si="0"/>
        <v>2006</v>
      </c>
      <c r="B34">
        <v>102</v>
      </c>
      <c r="C34">
        <v>68</v>
      </c>
      <c r="D34">
        <v>427</v>
      </c>
      <c r="E34">
        <v>0</v>
      </c>
      <c r="F34" s="7">
        <v>400</v>
      </c>
      <c r="G34">
        <v>0</v>
      </c>
      <c r="H34">
        <f>SUM(B34:G34)</f>
        <v>997</v>
      </c>
    </row>
    <row r="35" spans="1:9">
      <c r="A35">
        <v>2007</v>
      </c>
      <c r="B35" s="102">
        <v>125</v>
      </c>
      <c r="C35" s="102">
        <v>120</v>
      </c>
      <c r="D35">
        <v>261</v>
      </c>
      <c r="E35">
        <v>174</v>
      </c>
      <c r="F35">
        <v>55</v>
      </c>
      <c r="H35" s="98">
        <f t="shared" ref="H35:H45" si="3">SUM(B35:G35)</f>
        <v>735</v>
      </c>
      <c r="I35" s="44" t="s">
        <v>262</v>
      </c>
    </row>
    <row r="36" spans="1:9">
      <c r="A36">
        <v>2008</v>
      </c>
      <c r="B36" s="102">
        <v>45</v>
      </c>
      <c r="C36" s="102">
        <v>33</v>
      </c>
      <c r="D36">
        <v>1167</v>
      </c>
      <c r="E36">
        <v>414</v>
      </c>
      <c r="F36">
        <v>108</v>
      </c>
      <c r="H36" s="98">
        <f t="shared" si="3"/>
        <v>1767</v>
      </c>
      <c r="I36" s="44" t="s">
        <v>262</v>
      </c>
    </row>
    <row r="37" spans="1:9">
      <c r="A37">
        <v>2009</v>
      </c>
      <c r="B37" s="102">
        <v>107</v>
      </c>
      <c r="C37" s="102">
        <v>37</v>
      </c>
      <c r="D37">
        <v>583</v>
      </c>
      <c r="E37">
        <v>55</v>
      </c>
      <c r="F37">
        <v>414</v>
      </c>
      <c r="H37" s="98">
        <f t="shared" si="3"/>
        <v>1196</v>
      </c>
      <c r="I37" s="44" t="s">
        <v>262</v>
      </c>
    </row>
    <row r="38" spans="1:9">
      <c r="A38">
        <v>2010</v>
      </c>
      <c r="B38" s="102">
        <v>131</v>
      </c>
      <c r="C38" s="102">
        <v>30</v>
      </c>
      <c r="D38">
        <v>31</v>
      </c>
      <c r="E38">
        <v>0</v>
      </c>
      <c r="F38">
        <v>0</v>
      </c>
      <c r="H38" s="98">
        <f t="shared" si="3"/>
        <v>192</v>
      </c>
      <c r="I38" s="44" t="s">
        <v>262</v>
      </c>
    </row>
    <row r="39" spans="1:9">
      <c r="A39">
        <v>2011</v>
      </c>
      <c r="B39" s="102">
        <v>41</v>
      </c>
      <c r="C39" s="102">
        <v>49</v>
      </c>
      <c r="D39">
        <v>12</v>
      </c>
      <c r="E39">
        <v>0</v>
      </c>
      <c r="F39">
        <v>0</v>
      </c>
      <c r="H39" s="98">
        <f t="shared" si="3"/>
        <v>102</v>
      </c>
      <c r="I39" s="44" t="s">
        <v>262</v>
      </c>
    </row>
    <row r="40" spans="1:9">
      <c r="A40">
        <v>2012</v>
      </c>
      <c r="B40" s="102">
        <v>60</v>
      </c>
      <c r="C40" s="102">
        <v>31</v>
      </c>
      <c r="D40">
        <v>266</v>
      </c>
      <c r="E40">
        <v>1000</v>
      </c>
      <c r="F40">
        <v>0</v>
      </c>
      <c r="H40" s="98">
        <f t="shared" si="3"/>
        <v>1357</v>
      </c>
      <c r="I40" s="44" t="s">
        <v>262</v>
      </c>
    </row>
    <row r="41" spans="1:9">
      <c r="A41">
        <v>2013</v>
      </c>
      <c r="B41" s="102">
        <v>21</v>
      </c>
      <c r="C41" s="102">
        <v>18</v>
      </c>
      <c r="D41">
        <v>0</v>
      </c>
      <c r="E41">
        <v>385</v>
      </c>
      <c r="F41">
        <v>0</v>
      </c>
      <c r="H41" s="98">
        <f t="shared" si="3"/>
        <v>424</v>
      </c>
      <c r="I41" s="44" t="s">
        <v>262</v>
      </c>
    </row>
    <row r="42" spans="1:9">
      <c r="A42">
        <v>2014</v>
      </c>
      <c r="B42" s="102">
        <v>145</v>
      </c>
      <c r="C42" s="102">
        <v>20</v>
      </c>
      <c r="D42">
        <v>1082</v>
      </c>
      <c r="E42">
        <v>0</v>
      </c>
      <c r="F42">
        <v>0</v>
      </c>
      <c r="H42" s="98">
        <f t="shared" si="3"/>
        <v>1247</v>
      </c>
      <c r="I42" s="44" t="s">
        <v>262</v>
      </c>
    </row>
    <row r="43" spans="1:9">
      <c r="A43">
        <v>2015</v>
      </c>
      <c r="B43" s="102">
        <v>132</v>
      </c>
      <c r="C43">
        <v>32</v>
      </c>
      <c r="D43">
        <v>954</v>
      </c>
      <c r="E43">
        <v>0</v>
      </c>
      <c r="F43">
        <v>0</v>
      </c>
      <c r="H43" s="98">
        <f t="shared" si="3"/>
        <v>1118</v>
      </c>
    </row>
    <row r="44" spans="1:9">
      <c r="A44">
        <v>2016</v>
      </c>
      <c r="B44">
        <v>65</v>
      </c>
      <c r="C44">
        <v>37</v>
      </c>
      <c r="D44">
        <v>251</v>
      </c>
      <c r="E44">
        <v>75</v>
      </c>
      <c r="F44">
        <v>0</v>
      </c>
      <c r="H44" s="98">
        <f t="shared" si="3"/>
        <v>428</v>
      </c>
    </row>
    <row r="45" spans="1:9">
      <c r="A45">
        <v>2017</v>
      </c>
      <c r="B45">
        <v>66</v>
      </c>
      <c r="C45">
        <v>32</v>
      </c>
      <c r="D45">
        <v>220</v>
      </c>
      <c r="E45">
        <v>100</v>
      </c>
      <c r="F45">
        <v>0</v>
      </c>
      <c r="H45" s="98">
        <f t="shared" si="3"/>
        <v>418</v>
      </c>
    </row>
    <row r="48" spans="1:9">
      <c r="A48" s="7"/>
      <c r="B48" t="s">
        <v>165</v>
      </c>
    </row>
    <row r="49" spans="1:3">
      <c r="A49" s="4"/>
      <c r="B49" t="s">
        <v>210</v>
      </c>
    </row>
    <row r="50" spans="1:3">
      <c r="A50" s="34"/>
      <c r="B50" t="s">
        <v>167</v>
      </c>
    </row>
    <row r="53" spans="1:3">
      <c r="A53" s="44" t="s">
        <v>263</v>
      </c>
    </row>
    <row r="55" spans="1:3">
      <c r="A55">
        <v>2007</v>
      </c>
      <c r="B55" s="102">
        <v>125</v>
      </c>
      <c r="C55" s="102">
        <v>120</v>
      </c>
    </row>
    <row r="56" spans="1:3">
      <c r="A56">
        <v>2008</v>
      </c>
      <c r="B56" s="102">
        <v>45</v>
      </c>
      <c r="C56" s="102">
        <v>33</v>
      </c>
    </row>
    <row r="57" spans="1:3">
      <c r="A57">
        <v>2009</v>
      </c>
      <c r="B57" s="102">
        <v>107</v>
      </c>
      <c r="C57" s="102">
        <v>37</v>
      </c>
    </row>
    <row r="58" spans="1:3">
      <c r="A58">
        <v>2010</v>
      </c>
      <c r="B58" s="102">
        <v>131</v>
      </c>
      <c r="C58" s="102">
        <v>30</v>
      </c>
    </row>
    <row r="59" spans="1:3">
      <c r="A59">
        <v>2011</v>
      </c>
      <c r="B59" s="102">
        <v>41</v>
      </c>
      <c r="C59" s="102">
        <v>49</v>
      </c>
    </row>
    <row r="60" spans="1:3">
      <c r="A60">
        <v>2012</v>
      </c>
      <c r="B60" s="102">
        <v>60</v>
      </c>
      <c r="C60" s="102">
        <v>31</v>
      </c>
    </row>
    <row r="61" spans="1:3">
      <c r="A61">
        <v>2013</v>
      </c>
      <c r="B61" s="102">
        <v>21</v>
      </c>
      <c r="C61" s="102">
        <v>17</v>
      </c>
    </row>
    <row r="62" spans="1:3">
      <c r="A62">
        <v>2014</v>
      </c>
      <c r="B62" s="102">
        <v>145</v>
      </c>
      <c r="C62" s="102">
        <v>20</v>
      </c>
    </row>
    <row r="63" spans="1:3">
      <c r="A63">
        <v>2015</v>
      </c>
      <c r="B63" s="102">
        <v>132</v>
      </c>
    </row>
  </sheetData>
  <phoneticPr fontId="3"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9"/>
  <sheetViews>
    <sheetView workbookViewId="0">
      <pane ySplit="2" topLeftCell="A6" activePane="bottomLeft" state="frozen"/>
      <selection pane="bottomLeft" activeCell="F41" sqref="F41"/>
    </sheetView>
  </sheetViews>
  <sheetFormatPr defaultColWidth="8.88671875" defaultRowHeight="12"/>
  <cols>
    <col min="2" max="2" width="10.88671875" bestFit="1" customWidth="1"/>
    <col min="4" max="4" width="12.44140625" customWidth="1"/>
  </cols>
  <sheetData>
    <row r="1" spans="1:6">
      <c r="B1" t="s">
        <v>22</v>
      </c>
      <c r="D1" t="s">
        <v>23</v>
      </c>
    </row>
    <row r="2" spans="1:6">
      <c r="A2" t="s">
        <v>7</v>
      </c>
      <c r="B2" t="s">
        <v>24</v>
      </c>
      <c r="C2" t="s">
        <v>31</v>
      </c>
      <c r="D2" t="s">
        <v>39</v>
      </c>
      <c r="E2" t="s">
        <v>1</v>
      </c>
      <c r="F2" t="s">
        <v>18</v>
      </c>
    </row>
    <row r="3" spans="1:6">
      <c r="A3">
        <v>1975</v>
      </c>
      <c r="B3" s="34"/>
      <c r="C3" s="34"/>
      <c r="D3" s="34"/>
      <c r="E3" s="34"/>
      <c r="F3" s="34"/>
    </row>
    <row r="4" spans="1:6">
      <c r="A4">
        <f t="shared" ref="A4:A34" si="0">A3+1</f>
        <v>1976</v>
      </c>
      <c r="B4" s="34"/>
      <c r="C4" s="34"/>
      <c r="D4" s="34"/>
      <c r="E4" s="34"/>
      <c r="F4" s="34"/>
    </row>
    <row r="5" spans="1:6">
      <c r="A5">
        <f t="shared" si="0"/>
        <v>1977</v>
      </c>
      <c r="B5" s="34"/>
      <c r="C5" s="34"/>
      <c r="D5" s="34"/>
      <c r="E5" s="34"/>
      <c r="F5" s="34"/>
    </row>
    <row r="6" spans="1:6">
      <c r="A6">
        <f t="shared" si="0"/>
        <v>1978</v>
      </c>
      <c r="B6" s="34"/>
      <c r="C6" s="34"/>
      <c r="D6" s="34"/>
      <c r="E6" s="34"/>
      <c r="F6" s="34"/>
    </row>
    <row r="7" spans="1:6">
      <c r="A7">
        <f t="shared" si="0"/>
        <v>1979</v>
      </c>
      <c r="B7" s="34"/>
      <c r="C7" s="34"/>
      <c r="D7" s="34"/>
      <c r="E7" s="34"/>
      <c r="F7" s="34"/>
    </row>
    <row r="8" spans="1:6">
      <c r="A8">
        <f t="shared" si="0"/>
        <v>1980</v>
      </c>
      <c r="B8">
        <v>15</v>
      </c>
      <c r="C8" s="34"/>
      <c r="D8" s="34"/>
      <c r="E8" s="34"/>
      <c r="F8" t="s">
        <v>174</v>
      </c>
    </row>
    <row r="9" spans="1:6">
      <c r="A9">
        <f t="shared" si="0"/>
        <v>1981</v>
      </c>
      <c r="B9">
        <v>10</v>
      </c>
      <c r="C9" s="34"/>
      <c r="D9" s="34"/>
      <c r="E9" s="34"/>
      <c r="F9" t="s">
        <v>174</v>
      </c>
    </row>
    <row r="10" spans="1:6">
      <c r="A10">
        <f t="shared" si="0"/>
        <v>1982</v>
      </c>
      <c r="B10" s="34"/>
      <c r="C10" s="34"/>
      <c r="D10" s="34"/>
      <c r="E10" s="34"/>
      <c r="F10" s="34"/>
    </row>
    <row r="11" spans="1:6">
      <c r="A11">
        <f t="shared" si="0"/>
        <v>1983</v>
      </c>
      <c r="B11">
        <v>1</v>
      </c>
      <c r="C11">
        <v>1</v>
      </c>
      <c r="D11">
        <v>0</v>
      </c>
      <c r="E11">
        <v>0</v>
      </c>
      <c r="F11" t="s">
        <v>21</v>
      </c>
    </row>
    <row r="12" spans="1:6">
      <c r="A12">
        <f t="shared" si="0"/>
        <v>1984</v>
      </c>
      <c r="B12">
        <v>24</v>
      </c>
      <c r="C12">
        <v>12</v>
      </c>
      <c r="D12">
        <v>0</v>
      </c>
      <c r="E12">
        <v>0</v>
      </c>
      <c r="F12" t="s">
        <v>21</v>
      </c>
    </row>
    <row r="13" spans="1:6">
      <c r="A13">
        <f t="shared" si="0"/>
        <v>1985</v>
      </c>
      <c r="B13">
        <v>24</v>
      </c>
      <c r="C13">
        <v>10</v>
      </c>
      <c r="D13">
        <v>0</v>
      </c>
      <c r="E13">
        <v>0</v>
      </c>
      <c r="F13" t="s">
        <v>21</v>
      </c>
    </row>
    <row r="14" spans="1:6">
      <c r="A14">
        <f t="shared" si="0"/>
        <v>1986</v>
      </c>
      <c r="B14">
        <v>11</v>
      </c>
      <c r="C14">
        <v>0</v>
      </c>
      <c r="D14">
        <v>0</v>
      </c>
      <c r="E14">
        <v>0</v>
      </c>
      <c r="F14" t="s">
        <v>21</v>
      </c>
    </row>
    <row r="15" spans="1:6">
      <c r="A15">
        <f t="shared" si="0"/>
        <v>1987</v>
      </c>
      <c r="B15">
        <v>5</v>
      </c>
      <c r="D15">
        <v>0</v>
      </c>
      <c r="E15">
        <v>0</v>
      </c>
      <c r="F15" t="s">
        <v>21</v>
      </c>
    </row>
    <row r="16" spans="1:6">
      <c r="A16">
        <f>A15+1</f>
        <v>1988</v>
      </c>
      <c r="B16">
        <v>9</v>
      </c>
      <c r="C16">
        <v>0</v>
      </c>
      <c r="D16">
        <v>0</v>
      </c>
      <c r="E16">
        <v>0</v>
      </c>
      <c r="F16" t="s">
        <v>21</v>
      </c>
    </row>
    <row r="17" spans="1:6">
      <c r="A17">
        <f t="shared" si="0"/>
        <v>1989</v>
      </c>
      <c r="B17">
        <v>34</v>
      </c>
      <c r="D17">
        <v>0</v>
      </c>
      <c r="E17">
        <v>0</v>
      </c>
      <c r="F17" t="s">
        <v>21</v>
      </c>
    </row>
    <row r="18" spans="1:6">
      <c r="A18">
        <f t="shared" si="0"/>
        <v>1990</v>
      </c>
      <c r="B18">
        <v>1</v>
      </c>
      <c r="D18">
        <v>0</v>
      </c>
      <c r="E18">
        <v>0</v>
      </c>
      <c r="F18" t="s">
        <v>21</v>
      </c>
    </row>
    <row r="19" spans="1:6">
      <c r="A19">
        <f t="shared" si="0"/>
        <v>1991</v>
      </c>
      <c r="B19">
        <v>8</v>
      </c>
      <c r="D19">
        <v>0</v>
      </c>
      <c r="E19">
        <v>0</v>
      </c>
      <c r="F19" t="s">
        <v>21</v>
      </c>
    </row>
    <row r="20" spans="1:6">
      <c r="A20">
        <f t="shared" si="0"/>
        <v>1992</v>
      </c>
      <c r="B20">
        <v>2</v>
      </c>
      <c r="C20">
        <v>0</v>
      </c>
      <c r="D20">
        <v>0</v>
      </c>
      <c r="E20">
        <v>0</v>
      </c>
      <c r="F20" t="s">
        <v>21</v>
      </c>
    </row>
    <row r="21" spans="1:6">
      <c r="A21">
        <f t="shared" si="0"/>
        <v>1993</v>
      </c>
      <c r="B21">
        <v>14</v>
      </c>
      <c r="D21">
        <v>0</v>
      </c>
      <c r="E21">
        <v>0</v>
      </c>
      <c r="F21" t="s">
        <v>21</v>
      </c>
    </row>
    <row r="22" spans="1:6">
      <c r="A22">
        <f t="shared" si="0"/>
        <v>1994</v>
      </c>
      <c r="B22">
        <v>2</v>
      </c>
      <c r="D22">
        <v>0</v>
      </c>
      <c r="E22">
        <v>0</v>
      </c>
      <c r="F22" t="s">
        <v>21</v>
      </c>
    </row>
    <row r="23" spans="1:6">
      <c r="A23">
        <f t="shared" si="0"/>
        <v>1995</v>
      </c>
      <c r="B23">
        <v>0</v>
      </c>
      <c r="C23">
        <v>0</v>
      </c>
      <c r="D23">
        <v>0</v>
      </c>
      <c r="E23">
        <v>0</v>
      </c>
      <c r="F23" t="s">
        <v>21</v>
      </c>
    </row>
    <row r="24" spans="1:6">
      <c r="A24">
        <f t="shared" si="0"/>
        <v>1996</v>
      </c>
      <c r="B24">
        <v>2</v>
      </c>
      <c r="D24">
        <v>0</v>
      </c>
      <c r="E24">
        <v>0</v>
      </c>
      <c r="F24" t="s">
        <v>21</v>
      </c>
    </row>
    <row r="25" spans="1:6">
      <c r="A25">
        <f t="shared" si="0"/>
        <v>1997</v>
      </c>
      <c r="B25">
        <v>12</v>
      </c>
      <c r="C25">
        <v>0</v>
      </c>
      <c r="D25">
        <v>0</v>
      </c>
      <c r="E25">
        <v>0</v>
      </c>
      <c r="F25" t="s">
        <v>21</v>
      </c>
    </row>
    <row r="26" spans="1:6">
      <c r="A26">
        <f t="shared" si="0"/>
        <v>1998</v>
      </c>
      <c r="B26">
        <v>1</v>
      </c>
      <c r="C26">
        <v>0</v>
      </c>
      <c r="D26">
        <v>0</v>
      </c>
      <c r="E26">
        <v>0</v>
      </c>
      <c r="F26" t="s">
        <v>21</v>
      </c>
    </row>
    <row r="27" spans="1:6">
      <c r="A27">
        <f t="shared" si="0"/>
        <v>1999</v>
      </c>
      <c r="B27">
        <v>12</v>
      </c>
      <c r="C27">
        <v>0</v>
      </c>
      <c r="D27">
        <v>0</v>
      </c>
      <c r="E27">
        <v>0</v>
      </c>
      <c r="F27" t="s">
        <v>21</v>
      </c>
    </row>
    <row r="28" spans="1:6">
      <c r="A28">
        <f t="shared" si="0"/>
        <v>2000</v>
      </c>
      <c r="B28">
        <v>0</v>
      </c>
      <c r="C28">
        <v>0</v>
      </c>
      <c r="D28">
        <v>0</v>
      </c>
      <c r="E28">
        <v>0</v>
      </c>
      <c r="F28" t="s">
        <v>21</v>
      </c>
    </row>
    <row r="29" spans="1:6">
      <c r="A29">
        <f t="shared" si="0"/>
        <v>2001</v>
      </c>
      <c r="B29">
        <v>0</v>
      </c>
      <c r="C29">
        <v>0</v>
      </c>
      <c r="D29">
        <v>0</v>
      </c>
      <c r="E29">
        <v>0</v>
      </c>
      <c r="F29" t="s">
        <v>21</v>
      </c>
    </row>
    <row r="30" spans="1:6">
      <c r="A30">
        <f t="shared" si="0"/>
        <v>2002</v>
      </c>
      <c r="B30">
        <v>2</v>
      </c>
      <c r="C30">
        <v>1</v>
      </c>
      <c r="D30">
        <v>0</v>
      </c>
      <c r="E30">
        <v>0</v>
      </c>
      <c r="F30" t="s">
        <v>21</v>
      </c>
    </row>
    <row r="31" spans="1:6">
      <c r="A31">
        <f t="shared" si="0"/>
        <v>2003</v>
      </c>
      <c r="B31">
        <v>2</v>
      </c>
      <c r="D31">
        <v>0</v>
      </c>
      <c r="E31">
        <v>0</v>
      </c>
      <c r="F31" t="s">
        <v>21</v>
      </c>
    </row>
    <row r="32" spans="1:6">
      <c r="A32">
        <f t="shared" si="0"/>
        <v>2004</v>
      </c>
      <c r="B32">
        <v>1</v>
      </c>
      <c r="D32">
        <v>0</v>
      </c>
      <c r="E32">
        <v>0</v>
      </c>
      <c r="F32" t="s">
        <v>21</v>
      </c>
    </row>
    <row r="33" spans="1:6">
      <c r="A33">
        <f>A32+1</f>
        <v>2005</v>
      </c>
      <c r="B33">
        <v>4</v>
      </c>
      <c r="D33">
        <v>0</v>
      </c>
      <c r="E33">
        <v>0</v>
      </c>
      <c r="F33" t="s">
        <v>21</v>
      </c>
    </row>
    <row r="34" spans="1:6">
      <c r="A34">
        <f t="shared" si="0"/>
        <v>2006</v>
      </c>
    </row>
    <row r="35" spans="1:6">
      <c r="A35" s="44" t="s">
        <v>257</v>
      </c>
    </row>
    <row r="37" spans="1:6">
      <c r="A37" s="7"/>
      <c r="B37" t="s">
        <v>165</v>
      </c>
    </row>
    <row r="38" spans="1:6">
      <c r="A38" s="4"/>
      <c r="B38" t="s">
        <v>166</v>
      </c>
    </row>
    <row r="39" spans="1:6">
      <c r="A39" s="34"/>
      <c r="B39" t="s">
        <v>167</v>
      </c>
    </row>
  </sheetData>
  <phoneticPr fontId="3"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60"/>
  <sheetViews>
    <sheetView workbookViewId="0">
      <pane ySplit="3" topLeftCell="A32" activePane="bottomLeft" state="frozen"/>
      <selection pane="bottomLeft" activeCell="C55" sqref="C55"/>
    </sheetView>
  </sheetViews>
  <sheetFormatPr defaultColWidth="8.88671875" defaultRowHeight="12"/>
  <cols>
    <col min="1" max="1" width="8.88671875" style="5"/>
    <col min="2" max="2" width="14.109375" style="5" customWidth="1"/>
    <col min="3" max="3" width="17" style="5" customWidth="1"/>
    <col min="4" max="4" width="8.88671875" style="5"/>
    <col min="5" max="5" width="14" style="5" customWidth="1"/>
    <col min="6" max="6" width="8.88671875" style="5"/>
    <col min="7" max="7" width="13" style="5" bestFit="1" customWidth="1"/>
    <col min="8" max="8" width="31.109375" style="5" customWidth="1"/>
    <col min="9" max="16384" width="8.88671875" style="5"/>
  </cols>
  <sheetData>
    <row r="2" spans="1:17">
      <c r="B2" s="5" t="s">
        <v>130</v>
      </c>
      <c r="P2" s="5" t="s">
        <v>152</v>
      </c>
    </row>
    <row r="3" spans="1:17">
      <c r="A3" s="5" t="s">
        <v>7</v>
      </c>
      <c r="B3" s="5" t="s">
        <v>238</v>
      </c>
      <c r="C3" s="5" t="s">
        <v>237</v>
      </c>
      <c r="D3" s="5" t="s">
        <v>4</v>
      </c>
      <c r="E3" s="5" t="s">
        <v>131</v>
      </c>
      <c r="F3" s="5" t="s">
        <v>40</v>
      </c>
      <c r="G3" s="5" t="s">
        <v>17</v>
      </c>
      <c r="H3" s="5" t="s">
        <v>18</v>
      </c>
      <c r="P3" s="5" t="s">
        <v>158</v>
      </c>
      <c r="Q3" s="5" t="s">
        <v>159</v>
      </c>
    </row>
    <row r="4" spans="1:17">
      <c r="A4" s="5">
        <v>1966</v>
      </c>
      <c r="B4" s="5">
        <v>16000</v>
      </c>
      <c r="D4" s="5">
        <f>SUM(B4:C4)</f>
        <v>16000</v>
      </c>
      <c r="G4" s="5">
        <v>18275</v>
      </c>
      <c r="H4" s="5" t="s">
        <v>74</v>
      </c>
    </row>
    <row r="5" spans="1:17">
      <c r="A5" s="5">
        <f t="shared" ref="A5:A44" si="0">A4+1</f>
        <v>1967</v>
      </c>
      <c r="B5" s="5">
        <v>36000</v>
      </c>
      <c r="D5" s="5">
        <f t="shared" ref="D5:D44" si="1">SUM(B5:C5)</f>
        <v>36000</v>
      </c>
      <c r="G5" s="5">
        <v>55800</v>
      </c>
      <c r="H5" s="5" t="s">
        <v>67</v>
      </c>
    </row>
    <row r="6" spans="1:17">
      <c r="A6" s="5">
        <f t="shared" si="0"/>
        <v>1968</v>
      </c>
      <c r="B6" s="37">
        <v>8000</v>
      </c>
      <c r="C6" s="37"/>
      <c r="D6" s="37">
        <f t="shared" si="1"/>
        <v>8000</v>
      </c>
      <c r="G6" s="5">
        <v>13750</v>
      </c>
      <c r="H6" s="5" t="s">
        <v>73</v>
      </c>
    </row>
    <row r="7" spans="1:17">
      <c r="A7" s="5">
        <f t="shared" si="0"/>
        <v>1969</v>
      </c>
      <c r="B7" s="37">
        <v>40000</v>
      </c>
      <c r="C7" s="37"/>
      <c r="D7" s="37">
        <f t="shared" si="1"/>
        <v>40000</v>
      </c>
      <c r="G7" s="5">
        <v>45750</v>
      </c>
      <c r="H7" s="5" t="s">
        <v>72</v>
      </c>
    </row>
    <row r="8" spans="1:17">
      <c r="A8" s="5">
        <f t="shared" si="0"/>
        <v>1970</v>
      </c>
      <c r="B8" s="37">
        <v>25000</v>
      </c>
      <c r="C8" s="37"/>
      <c r="D8" s="37">
        <f t="shared" si="1"/>
        <v>25000</v>
      </c>
      <c r="G8" s="5">
        <v>30000</v>
      </c>
      <c r="H8" s="5" t="s">
        <v>72</v>
      </c>
    </row>
    <row r="9" spans="1:17">
      <c r="A9" s="5">
        <f t="shared" si="0"/>
        <v>1971</v>
      </c>
      <c r="B9" s="37">
        <v>100000</v>
      </c>
      <c r="C9" s="37"/>
      <c r="D9" s="37">
        <f t="shared" si="1"/>
        <v>100000</v>
      </c>
      <c r="G9" s="5">
        <v>169200</v>
      </c>
      <c r="H9" s="5" t="s">
        <v>71</v>
      </c>
    </row>
    <row r="10" spans="1:17">
      <c r="A10" s="5">
        <f t="shared" si="0"/>
        <v>1972</v>
      </c>
      <c r="B10" s="5">
        <v>32500</v>
      </c>
      <c r="D10" s="5">
        <f t="shared" si="1"/>
        <v>32500</v>
      </c>
      <c r="G10" s="5">
        <v>49925</v>
      </c>
      <c r="H10" s="5" t="s">
        <v>70</v>
      </c>
    </row>
    <row r="11" spans="1:17">
      <c r="A11" s="5">
        <f t="shared" si="0"/>
        <v>1973</v>
      </c>
      <c r="B11" s="5">
        <v>85000</v>
      </c>
      <c r="D11" s="5">
        <f t="shared" si="1"/>
        <v>85000</v>
      </c>
      <c r="G11" s="5">
        <v>93825</v>
      </c>
      <c r="H11" s="5" t="s">
        <v>70</v>
      </c>
    </row>
    <row r="12" spans="1:17" ht="12.6" thickBot="1">
      <c r="A12" s="10">
        <f t="shared" si="0"/>
        <v>1974</v>
      </c>
      <c r="B12" s="10">
        <v>55000</v>
      </c>
      <c r="C12" s="10"/>
      <c r="D12" s="10">
        <f t="shared" si="1"/>
        <v>55000</v>
      </c>
      <c r="E12" s="10"/>
      <c r="F12" s="10"/>
      <c r="G12" s="10">
        <v>63225</v>
      </c>
      <c r="H12" s="10" t="s">
        <v>69</v>
      </c>
    </row>
    <row r="13" spans="1:17" ht="12.6" thickTop="1">
      <c r="A13" s="5">
        <f t="shared" si="0"/>
        <v>1975</v>
      </c>
      <c r="B13" s="5">
        <v>45000</v>
      </c>
      <c r="D13" s="5">
        <f t="shared" si="1"/>
        <v>45000</v>
      </c>
      <c r="G13" s="5">
        <v>84650</v>
      </c>
      <c r="H13" s="5" t="s">
        <v>68</v>
      </c>
    </row>
    <row r="14" spans="1:17">
      <c r="A14" s="5">
        <f t="shared" si="0"/>
        <v>1976</v>
      </c>
      <c r="B14" s="5">
        <v>30000</v>
      </c>
      <c r="D14" s="5">
        <f t="shared" si="1"/>
        <v>30000</v>
      </c>
      <c r="G14" s="5">
        <v>66625</v>
      </c>
      <c r="H14" s="5" t="s">
        <v>68</v>
      </c>
    </row>
    <row r="15" spans="1:17">
      <c r="A15" s="5">
        <f t="shared" si="0"/>
        <v>1977</v>
      </c>
      <c r="B15" s="5">
        <v>27363</v>
      </c>
      <c r="C15" s="5">
        <v>2637</v>
      </c>
      <c r="D15" s="5">
        <f t="shared" si="1"/>
        <v>30000</v>
      </c>
      <c r="E15" s="5" t="s">
        <v>135</v>
      </c>
      <c r="G15" s="5">
        <v>45845</v>
      </c>
      <c r="H15" s="5" t="s">
        <v>154</v>
      </c>
      <c r="P15" s="5" t="s">
        <v>34</v>
      </c>
      <c r="Q15" s="5" t="s">
        <v>34</v>
      </c>
    </row>
    <row r="16" spans="1:17">
      <c r="A16" s="5">
        <f t="shared" si="0"/>
        <v>1978</v>
      </c>
      <c r="B16" s="5">
        <v>17203</v>
      </c>
      <c r="C16" s="5">
        <v>2797</v>
      </c>
      <c r="D16" s="5">
        <f t="shared" si="1"/>
        <v>20000</v>
      </c>
      <c r="E16" s="5" t="s">
        <v>153</v>
      </c>
      <c r="G16" s="5">
        <v>33050</v>
      </c>
      <c r="H16" s="5" t="s">
        <v>154</v>
      </c>
      <c r="P16" s="5" t="s">
        <v>34</v>
      </c>
      <c r="Q16" s="5" t="s">
        <v>34</v>
      </c>
    </row>
    <row r="17" spans="1:17">
      <c r="A17" s="5">
        <f t="shared" si="0"/>
        <v>1979</v>
      </c>
      <c r="B17" s="5">
        <v>15633</v>
      </c>
      <c r="C17" s="5">
        <v>2367</v>
      </c>
      <c r="D17" s="5">
        <f t="shared" si="1"/>
        <v>18000</v>
      </c>
      <c r="E17" s="5" t="s">
        <v>135</v>
      </c>
      <c r="G17" s="5">
        <v>44575</v>
      </c>
      <c r="H17" s="5" t="s">
        <v>151</v>
      </c>
      <c r="P17" s="5" t="s">
        <v>34</v>
      </c>
      <c r="Q17" s="5" t="s">
        <v>34</v>
      </c>
    </row>
    <row r="18" spans="1:17">
      <c r="A18" s="5">
        <f t="shared" si="0"/>
        <v>1980</v>
      </c>
      <c r="B18" s="5">
        <v>23000</v>
      </c>
      <c r="C18" s="5">
        <v>1000</v>
      </c>
      <c r="D18" s="5">
        <f t="shared" si="1"/>
        <v>24000</v>
      </c>
      <c r="E18" s="5" t="s">
        <v>135</v>
      </c>
      <c r="G18" s="5">
        <v>35300</v>
      </c>
      <c r="H18" s="5" t="s">
        <v>150</v>
      </c>
      <c r="P18" s="5" t="s">
        <v>34</v>
      </c>
      <c r="Q18" s="5" t="s">
        <v>34</v>
      </c>
    </row>
    <row r="19" spans="1:17">
      <c r="A19" s="5">
        <f t="shared" si="0"/>
        <v>1981</v>
      </c>
      <c r="B19" s="5">
        <v>36736</v>
      </c>
      <c r="C19" s="5">
        <v>3264</v>
      </c>
      <c r="D19" s="5">
        <f t="shared" si="1"/>
        <v>40000</v>
      </c>
      <c r="E19" s="5" t="s">
        <v>135</v>
      </c>
      <c r="G19" s="5">
        <v>52581</v>
      </c>
      <c r="H19" s="5" t="s">
        <v>150</v>
      </c>
      <c r="P19" s="5" t="s">
        <v>34</v>
      </c>
      <c r="Q19" s="5" t="s">
        <v>34</v>
      </c>
    </row>
    <row r="20" spans="1:17">
      <c r="A20" s="5">
        <f t="shared" si="0"/>
        <v>1982</v>
      </c>
      <c r="B20" s="5">
        <v>17648</v>
      </c>
      <c r="C20" s="5">
        <v>2352</v>
      </c>
      <c r="D20" s="5">
        <f t="shared" si="1"/>
        <v>20000</v>
      </c>
      <c r="E20" s="5" t="s">
        <v>135</v>
      </c>
      <c r="G20" s="5">
        <v>37555</v>
      </c>
      <c r="H20" s="5" t="s">
        <v>149</v>
      </c>
      <c r="P20" s="5">
        <v>500</v>
      </c>
      <c r="Q20" s="5" t="s">
        <v>34</v>
      </c>
    </row>
    <row r="21" spans="1:17">
      <c r="A21" s="5">
        <f t="shared" si="0"/>
        <v>1983</v>
      </c>
      <c r="B21" s="5">
        <v>19345</v>
      </c>
      <c r="C21" s="5">
        <v>5655</v>
      </c>
      <c r="D21" s="5">
        <f t="shared" si="1"/>
        <v>25000</v>
      </c>
      <c r="E21" s="5" t="s">
        <v>135</v>
      </c>
      <c r="G21" s="5">
        <v>57975</v>
      </c>
      <c r="H21" s="5" t="s">
        <v>148</v>
      </c>
      <c r="P21" s="5">
        <v>600</v>
      </c>
      <c r="Q21" s="5">
        <v>600</v>
      </c>
    </row>
    <row r="22" spans="1:17">
      <c r="A22" s="5">
        <f t="shared" si="0"/>
        <v>1984</v>
      </c>
      <c r="B22" s="5">
        <v>36589</v>
      </c>
      <c r="C22" s="5">
        <v>8411</v>
      </c>
      <c r="D22" s="5">
        <f>SUM(B22:C22)</f>
        <v>45000</v>
      </c>
      <c r="E22" s="5" t="s">
        <v>135</v>
      </c>
      <c r="G22" s="5">
        <v>64335</v>
      </c>
      <c r="H22" s="5" t="s">
        <v>147</v>
      </c>
      <c r="P22" s="5" t="s">
        <v>34</v>
      </c>
      <c r="Q22" s="5" t="s">
        <v>34</v>
      </c>
    </row>
    <row r="23" spans="1:17" ht="12.6" thickBot="1">
      <c r="A23" s="5">
        <f t="shared" si="0"/>
        <v>1985</v>
      </c>
      <c r="B23" s="5">
        <v>37432</v>
      </c>
      <c r="C23" s="37">
        <v>12568</v>
      </c>
      <c r="D23" s="37">
        <f t="shared" si="1"/>
        <v>50000</v>
      </c>
      <c r="E23" s="5" t="s">
        <v>135</v>
      </c>
      <c r="G23" s="5">
        <v>70870</v>
      </c>
      <c r="H23" s="5" t="s">
        <v>146</v>
      </c>
      <c r="P23" s="5" t="s">
        <v>34</v>
      </c>
    </row>
    <row r="24" spans="1:17" ht="12.6" thickTop="1">
      <c r="A24" s="5">
        <f t="shared" si="0"/>
        <v>1986</v>
      </c>
      <c r="B24" s="5">
        <v>14013</v>
      </c>
      <c r="C24" s="5">
        <v>5962</v>
      </c>
      <c r="D24" s="5">
        <f t="shared" si="1"/>
        <v>19975</v>
      </c>
      <c r="E24" s="5" t="s">
        <v>135</v>
      </c>
      <c r="F24" s="31">
        <v>25</v>
      </c>
      <c r="G24" s="5">
        <v>40749</v>
      </c>
      <c r="H24" s="5" t="s">
        <v>136</v>
      </c>
      <c r="P24" s="5">
        <v>20</v>
      </c>
      <c r="Q24" s="5">
        <v>22</v>
      </c>
    </row>
    <row r="25" spans="1:17">
      <c r="A25" s="5">
        <f t="shared" si="0"/>
        <v>1987</v>
      </c>
      <c r="B25" s="5">
        <v>17550</v>
      </c>
      <c r="C25" s="5">
        <v>13230</v>
      </c>
      <c r="D25" s="5">
        <f t="shared" si="1"/>
        <v>30780</v>
      </c>
      <c r="E25" s="5" t="s">
        <v>135</v>
      </c>
      <c r="F25" s="5">
        <v>20</v>
      </c>
      <c r="G25" s="5">
        <v>55573</v>
      </c>
      <c r="H25" s="5" t="s">
        <v>137</v>
      </c>
      <c r="P25" s="5">
        <v>57</v>
      </c>
      <c r="Q25" s="5">
        <v>60</v>
      </c>
    </row>
    <row r="26" spans="1:17">
      <c r="A26" s="5">
        <f>A25+1</f>
        <v>1988</v>
      </c>
      <c r="B26" s="5">
        <v>26500</v>
      </c>
      <c r="C26" s="5">
        <v>3500</v>
      </c>
      <c r="D26" s="5">
        <f t="shared" si="1"/>
        <v>30000</v>
      </c>
      <c r="E26" s="5" t="s">
        <v>135</v>
      </c>
      <c r="F26" s="5">
        <v>100</v>
      </c>
      <c r="G26" s="5">
        <v>44655</v>
      </c>
      <c r="H26" s="5" t="s">
        <v>138</v>
      </c>
      <c r="P26" s="5">
        <v>38</v>
      </c>
      <c r="Q26" s="5">
        <v>38</v>
      </c>
    </row>
    <row r="27" spans="1:17">
      <c r="A27" s="5">
        <f t="shared" si="0"/>
        <v>1989</v>
      </c>
      <c r="B27" s="5">
        <v>6000</v>
      </c>
      <c r="C27" s="5">
        <v>9000</v>
      </c>
      <c r="D27" s="5">
        <f t="shared" si="1"/>
        <v>15000</v>
      </c>
      <c r="E27" s="5" t="s">
        <v>135</v>
      </c>
      <c r="F27" s="5">
        <v>10</v>
      </c>
      <c r="G27" s="5">
        <v>29338</v>
      </c>
      <c r="H27" s="5" t="s">
        <v>139</v>
      </c>
      <c r="P27" s="5">
        <v>12</v>
      </c>
      <c r="Q27" s="5">
        <v>12</v>
      </c>
    </row>
    <row r="28" spans="1:17">
      <c r="A28" s="5">
        <f t="shared" si="0"/>
        <v>1990</v>
      </c>
      <c r="B28" s="6">
        <v>19097</v>
      </c>
      <c r="C28" s="6">
        <v>903</v>
      </c>
      <c r="D28" s="5">
        <f t="shared" si="1"/>
        <v>20000</v>
      </c>
      <c r="E28" s="5" t="s">
        <v>134</v>
      </c>
      <c r="F28" s="6">
        <v>3</v>
      </c>
      <c r="G28" s="5">
        <v>28455</v>
      </c>
      <c r="H28" s="5" t="s">
        <v>140</v>
      </c>
      <c r="P28" s="5" t="s">
        <v>34</v>
      </c>
      <c r="Q28" s="5">
        <v>18</v>
      </c>
    </row>
    <row r="29" spans="1:17">
      <c r="A29" s="5">
        <f t="shared" si="0"/>
        <v>1991</v>
      </c>
      <c r="B29" s="6">
        <v>37288</v>
      </c>
      <c r="C29" s="6">
        <v>15212</v>
      </c>
      <c r="D29" s="5">
        <f t="shared" si="1"/>
        <v>52500</v>
      </c>
      <c r="E29" s="5" t="s">
        <v>134</v>
      </c>
      <c r="F29" s="6">
        <v>48</v>
      </c>
      <c r="G29" s="5">
        <v>80869</v>
      </c>
      <c r="H29" s="5" t="s">
        <v>140</v>
      </c>
      <c r="P29" s="5" t="s">
        <v>34</v>
      </c>
      <c r="Q29" s="5">
        <v>215</v>
      </c>
    </row>
    <row r="30" spans="1:17">
      <c r="A30" s="5">
        <f t="shared" si="0"/>
        <v>1992</v>
      </c>
      <c r="B30" s="6">
        <v>37014</v>
      </c>
      <c r="C30" s="6">
        <v>3986</v>
      </c>
      <c r="D30" s="5">
        <f t="shared" si="1"/>
        <v>41000</v>
      </c>
      <c r="E30" s="5" t="s">
        <v>134</v>
      </c>
      <c r="F30" s="6">
        <v>5</v>
      </c>
      <c r="G30" s="5">
        <v>55481</v>
      </c>
      <c r="H30" s="5" t="s">
        <v>140</v>
      </c>
      <c r="P30" s="5" t="s">
        <v>34</v>
      </c>
      <c r="Q30" s="5" t="s">
        <v>34</v>
      </c>
    </row>
    <row r="31" spans="1:17">
      <c r="A31" s="5">
        <f t="shared" si="0"/>
        <v>1993</v>
      </c>
      <c r="B31" s="35">
        <v>15000</v>
      </c>
      <c r="C31" s="35"/>
      <c r="D31" s="5">
        <f t="shared" si="1"/>
        <v>15000</v>
      </c>
      <c r="F31" s="6">
        <v>10</v>
      </c>
      <c r="G31" s="5">
        <v>29702</v>
      </c>
      <c r="H31" s="5" t="s">
        <v>41</v>
      </c>
      <c r="P31" s="5" t="s">
        <v>34</v>
      </c>
      <c r="Q31" s="5" t="s">
        <v>34</v>
      </c>
    </row>
    <row r="32" spans="1:17">
      <c r="A32" s="5">
        <f t="shared" si="0"/>
        <v>1994</v>
      </c>
      <c r="B32" s="6">
        <v>9131</v>
      </c>
      <c r="C32" s="6">
        <v>15869</v>
      </c>
      <c r="D32" s="5">
        <f t="shared" si="1"/>
        <v>25000</v>
      </c>
      <c r="E32" s="5" t="s">
        <v>134</v>
      </c>
      <c r="F32" s="6">
        <v>25</v>
      </c>
      <c r="G32" s="5">
        <v>26441</v>
      </c>
      <c r="H32" s="5" t="s">
        <v>141</v>
      </c>
      <c r="P32" s="5" t="s">
        <v>34</v>
      </c>
      <c r="Q32" s="5" t="s">
        <v>34</v>
      </c>
    </row>
    <row r="33" spans="1:17">
      <c r="A33" s="5">
        <f t="shared" si="0"/>
        <v>1995</v>
      </c>
      <c r="B33" s="6">
        <v>40000</v>
      </c>
      <c r="C33" s="6">
        <v>15000</v>
      </c>
      <c r="D33" s="5">
        <f t="shared" si="1"/>
        <v>55000</v>
      </c>
      <c r="E33" s="5" t="s">
        <v>133</v>
      </c>
      <c r="F33" s="6" t="s">
        <v>34</v>
      </c>
      <c r="G33" s="5">
        <v>55016</v>
      </c>
      <c r="H33" s="5" t="s">
        <v>140</v>
      </c>
      <c r="P33" s="5" t="s">
        <v>34</v>
      </c>
      <c r="Q33" s="5" t="s">
        <v>34</v>
      </c>
    </row>
    <row r="34" spans="1:17">
      <c r="A34" s="5">
        <f t="shared" si="0"/>
        <v>1996</v>
      </c>
      <c r="B34" s="6">
        <v>45000</v>
      </c>
      <c r="C34" s="6"/>
      <c r="D34" s="5">
        <f t="shared" si="1"/>
        <v>45000</v>
      </c>
      <c r="E34" s="5" t="s">
        <v>133</v>
      </c>
      <c r="F34" s="6" t="s">
        <v>34</v>
      </c>
      <c r="G34" s="5">
        <v>66885</v>
      </c>
      <c r="H34" s="5" t="s">
        <v>37</v>
      </c>
      <c r="P34" s="5" t="s">
        <v>34</v>
      </c>
      <c r="Q34" s="5" t="s">
        <v>34</v>
      </c>
    </row>
    <row r="35" spans="1:17">
      <c r="A35" s="5">
        <f t="shared" si="0"/>
        <v>1997</v>
      </c>
      <c r="B35" s="6">
        <v>12425</v>
      </c>
      <c r="C35" s="6">
        <v>7575</v>
      </c>
      <c r="D35" s="5">
        <f>SUM(B35:C35)</f>
        <v>20000</v>
      </c>
      <c r="E35" s="5" t="s">
        <v>133</v>
      </c>
      <c r="F35" s="6" t="s">
        <v>35</v>
      </c>
      <c r="G35" s="5">
        <v>25302</v>
      </c>
      <c r="H35" s="5" t="s">
        <v>142</v>
      </c>
      <c r="P35" s="5">
        <v>20</v>
      </c>
      <c r="Q35" s="5" t="s">
        <v>34</v>
      </c>
    </row>
    <row r="36" spans="1:17">
      <c r="A36" s="5">
        <f t="shared" si="0"/>
        <v>1998</v>
      </c>
      <c r="B36" s="6">
        <v>7215</v>
      </c>
      <c r="C36" s="6">
        <v>22785</v>
      </c>
      <c r="D36" s="5">
        <f t="shared" si="1"/>
        <v>30000</v>
      </c>
      <c r="E36" s="5" t="s">
        <v>133</v>
      </c>
      <c r="F36" s="6" t="s">
        <v>33</v>
      </c>
      <c r="G36" s="5">
        <v>30166</v>
      </c>
      <c r="H36" s="5" t="s">
        <v>143</v>
      </c>
      <c r="P36" s="5">
        <v>147</v>
      </c>
      <c r="Q36" s="5" t="s">
        <v>34</v>
      </c>
    </row>
    <row r="37" spans="1:17">
      <c r="A37" s="5">
        <f t="shared" si="0"/>
        <v>1999</v>
      </c>
      <c r="B37" s="6">
        <v>6250</v>
      </c>
      <c r="C37" s="6">
        <v>18750</v>
      </c>
      <c r="D37" s="5">
        <f t="shared" si="1"/>
        <v>25000</v>
      </c>
      <c r="E37" s="5" t="s">
        <v>132</v>
      </c>
      <c r="F37" s="6" t="s">
        <v>33</v>
      </c>
      <c r="G37" s="5">
        <v>29300</v>
      </c>
      <c r="H37" s="5" t="s">
        <v>143</v>
      </c>
      <c r="P37" s="5">
        <v>1</v>
      </c>
      <c r="Q37" s="5" t="s">
        <v>34</v>
      </c>
    </row>
    <row r="38" spans="1:17">
      <c r="A38" s="5">
        <f t="shared" si="0"/>
        <v>2000</v>
      </c>
      <c r="B38" s="6">
        <v>3281</v>
      </c>
      <c r="C38" s="6">
        <v>11719</v>
      </c>
      <c r="D38" s="5">
        <f t="shared" si="1"/>
        <v>15000</v>
      </c>
      <c r="E38" s="5" t="s">
        <v>132</v>
      </c>
      <c r="F38" s="6" t="s">
        <v>34</v>
      </c>
      <c r="G38" s="5">
        <v>25294</v>
      </c>
      <c r="H38" s="5" t="s">
        <v>144</v>
      </c>
      <c r="P38" s="5">
        <v>1300</v>
      </c>
      <c r="Q38" s="5" t="s">
        <v>34</v>
      </c>
    </row>
    <row r="39" spans="1:17">
      <c r="A39" s="5">
        <f t="shared" si="0"/>
        <v>2001</v>
      </c>
      <c r="B39" s="5">
        <v>4000</v>
      </c>
      <c r="C39" s="5">
        <v>26000</v>
      </c>
      <c r="D39" s="5">
        <f t="shared" si="1"/>
        <v>30000</v>
      </c>
      <c r="E39" s="5" t="s">
        <v>132</v>
      </c>
      <c r="F39" s="6" t="s">
        <v>32</v>
      </c>
      <c r="G39" s="5">
        <v>31152</v>
      </c>
      <c r="H39" s="5" t="s">
        <v>145</v>
      </c>
      <c r="P39" s="5" t="s">
        <v>34</v>
      </c>
      <c r="Q39" s="5" t="s">
        <v>34</v>
      </c>
    </row>
    <row r="40" spans="1:17">
      <c r="A40" s="5">
        <f t="shared" si="0"/>
        <v>2002</v>
      </c>
      <c r="B40" s="5">
        <v>10000</v>
      </c>
      <c r="C40" s="5">
        <v>40000</v>
      </c>
      <c r="D40" s="5">
        <f t="shared" si="1"/>
        <v>50000</v>
      </c>
      <c r="E40" s="5" t="s">
        <v>132</v>
      </c>
      <c r="F40" s="6" t="s">
        <v>32</v>
      </c>
      <c r="G40" s="5">
        <v>53730</v>
      </c>
      <c r="H40" s="5" t="s">
        <v>143</v>
      </c>
      <c r="P40" s="5">
        <v>51</v>
      </c>
      <c r="Q40" s="5" t="s">
        <v>34</v>
      </c>
    </row>
    <row r="41" spans="1:17">
      <c r="A41" s="5">
        <f t="shared" si="0"/>
        <v>2003</v>
      </c>
      <c r="B41" s="5">
        <v>3000</v>
      </c>
      <c r="C41" s="5">
        <v>15000</v>
      </c>
      <c r="D41" s="5">
        <f t="shared" si="1"/>
        <v>18000</v>
      </c>
      <c r="E41" s="5" t="s">
        <v>132</v>
      </c>
      <c r="F41" s="6" t="s">
        <v>32</v>
      </c>
      <c r="G41" s="5">
        <v>21300</v>
      </c>
      <c r="H41" s="5" t="s">
        <v>140</v>
      </c>
      <c r="P41" s="5">
        <v>5</v>
      </c>
      <c r="Q41" s="5" t="s">
        <v>34</v>
      </c>
    </row>
    <row r="42" spans="1:17">
      <c r="A42" s="5">
        <f t="shared" si="0"/>
        <v>2004</v>
      </c>
      <c r="B42" s="5">
        <v>9000</v>
      </c>
      <c r="C42" s="5">
        <v>16000</v>
      </c>
      <c r="D42" s="5">
        <f t="shared" si="1"/>
        <v>25000</v>
      </c>
      <c r="E42" s="5" t="s">
        <v>132</v>
      </c>
      <c r="F42" s="6" t="s">
        <v>32</v>
      </c>
      <c r="G42" s="5">
        <v>27800</v>
      </c>
      <c r="H42" s="5" t="s">
        <v>155</v>
      </c>
      <c r="P42" s="30"/>
      <c r="Q42" s="5" t="s">
        <v>34</v>
      </c>
    </row>
    <row r="43" spans="1:17">
      <c r="A43" s="5">
        <f>A42+1</f>
        <v>2005</v>
      </c>
      <c r="B43" s="5">
        <v>3000</v>
      </c>
      <c r="C43" s="5">
        <v>3000</v>
      </c>
      <c r="D43" s="5">
        <f t="shared" si="1"/>
        <v>6000</v>
      </c>
      <c r="E43" s="5" t="s">
        <v>132</v>
      </c>
      <c r="F43" s="6" t="s">
        <v>32</v>
      </c>
      <c r="G43" s="5">
        <v>7400</v>
      </c>
      <c r="H43" s="5" t="s">
        <v>156</v>
      </c>
      <c r="P43" s="5">
        <v>63</v>
      </c>
      <c r="Q43" s="5" t="s">
        <v>34</v>
      </c>
    </row>
    <row r="44" spans="1:17">
      <c r="A44" s="5">
        <f t="shared" si="0"/>
        <v>2006</v>
      </c>
      <c r="B44" s="5">
        <v>4000</v>
      </c>
      <c r="C44" s="5">
        <v>2000</v>
      </c>
      <c r="D44" s="5">
        <f t="shared" si="1"/>
        <v>6000</v>
      </c>
      <c r="E44" s="5" t="s">
        <v>132</v>
      </c>
      <c r="F44" s="6" t="s">
        <v>33</v>
      </c>
      <c r="G44" s="36"/>
      <c r="H44" s="5" t="s">
        <v>157</v>
      </c>
      <c r="P44" s="30"/>
      <c r="Q44" s="5" t="s">
        <v>34</v>
      </c>
    </row>
    <row r="45" spans="1:17">
      <c r="A45" s="5">
        <v>2007</v>
      </c>
      <c r="D45" s="99">
        <v>1200</v>
      </c>
      <c r="H45" s="44" t="s">
        <v>258</v>
      </c>
    </row>
    <row r="46" spans="1:17">
      <c r="A46" s="5">
        <v>2008</v>
      </c>
      <c r="D46" s="99">
        <v>900</v>
      </c>
      <c r="H46" s="44" t="s">
        <v>258</v>
      </c>
    </row>
    <row r="47" spans="1:17">
      <c r="A47" s="5">
        <v>2009</v>
      </c>
      <c r="D47" s="99">
        <v>3500</v>
      </c>
      <c r="H47" s="44" t="s">
        <v>258</v>
      </c>
    </row>
    <row r="48" spans="1:17">
      <c r="A48" s="44">
        <v>2010</v>
      </c>
      <c r="D48" s="100">
        <v>2300</v>
      </c>
      <c r="H48" s="44" t="s">
        <v>258</v>
      </c>
    </row>
    <row r="49" spans="1:8">
      <c r="A49" s="44">
        <v>2011</v>
      </c>
      <c r="D49" s="100">
        <v>1500</v>
      </c>
      <c r="H49" s="44" t="s">
        <v>258</v>
      </c>
    </row>
    <row r="50" spans="1:8">
      <c r="A50" s="44">
        <v>2012</v>
      </c>
      <c r="D50" s="100">
        <v>3000</v>
      </c>
      <c r="H50" s="44" t="s">
        <v>258</v>
      </c>
    </row>
    <row r="51" spans="1:8">
      <c r="A51" s="44">
        <v>2013</v>
      </c>
      <c r="D51" s="100">
        <v>1500</v>
      </c>
      <c r="H51" s="44" t="s">
        <v>258</v>
      </c>
    </row>
    <row r="52" spans="1:8">
      <c r="A52" s="44">
        <v>2014</v>
      </c>
      <c r="D52" s="100">
        <v>2500</v>
      </c>
      <c r="H52" s="44" t="s">
        <v>258</v>
      </c>
    </row>
    <row r="53" spans="1:8">
      <c r="A53" s="44">
        <v>2015</v>
      </c>
      <c r="D53">
        <v>11194</v>
      </c>
    </row>
    <row r="54" spans="1:8">
      <c r="A54" s="44">
        <v>2016</v>
      </c>
      <c r="D54">
        <v>6940</v>
      </c>
    </row>
    <row r="55" spans="1:8">
      <c r="A55" s="44">
        <v>2017</v>
      </c>
      <c r="D55">
        <v>5224</v>
      </c>
    </row>
    <row r="58" spans="1:8">
      <c r="A58" s="7"/>
      <c r="B58" t="s">
        <v>165</v>
      </c>
    </row>
    <row r="59" spans="1:8">
      <c r="A59" s="4"/>
      <c r="B59" t="s">
        <v>166</v>
      </c>
    </row>
    <row r="60" spans="1:8">
      <c r="A60" s="34"/>
      <c r="B60" t="s">
        <v>167</v>
      </c>
    </row>
  </sheetData>
  <phoneticPr fontId="3"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P54"/>
  <sheetViews>
    <sheetView topLeftCell="A21" zoomScale="90" zoomScaleNormal="90" workbookViewId="0">
      <pane xSplit="1" topLeftCell="R1" activePane="topRight" state="frozen"/>
      <selection pane="topRight" activeCell="X46" sqref="X46"/>
    </sheetView>
  </sheetViews>
  <sheetFormatPr defaultColWidth="8.88671875" defaultRowHeight="12"/>
  <cols>
    <col min="34" max="34" width="31.33203125" customWidth="1"/>
  </cols>
  <sheetData>
    <row r="1" spans="1:68" s="56" customFormat="1" ht="15">
      <c r="A1" s="63" t="s">
        <v>185</v>
      </c>
      <c r="AM1" s="62" t="s">
        <v>186</v>
      </c>
    </row>
    <row r="2" spans="1:68">
      <c r="AM2" s="42"/>
    </row>
    <row r="3" spans="1:68">
      <c r="B3" t="s">
        <v>54</v>
      </c>
      <c r="G3" t="s">
        <v>54</v>
      </c>
      <c r="L3" t="s">
        <v>54</v>
      </c>
      <c r="Q3" t="s">
        <v>187</v>
      </c>
      <c r="AC3" t="s">
        <v>189</v>
      </c>
      <c r="AM3" s="42" t="s">
        <v>54</v>
      </c>
      <c r="AQ3" t="s">
        <v>54</v>
      </c>
      <c r="AU3" t="s">
        <v>54</v>
      </c>
      <c r="AY3" t="s">
        <v>187</v>
      </c>
      <c r="BK3" t="s">
        <v>193</v>
      </c>
    </row>
    <row r="4" spans="1:68">
      <c r="A4" t="s">
        <v>7</v>
      </c>
      <c r="B4" t="s">
        <v>9</v>
      </c>
      <c r="G4" t="s">
        <v>9</v>
      </c>
      <c r="L4" t="s">
        <v>9</v>
      </c>
      <c r="Q4" t="s">
        <v>9</v>
      </c>
      <c r="W4" t="s">
        <v>8</v>
      </c>
      <c r="AC4" t="s">
        <v>192</v>
      </c>
      <c r="AM4" s="42" t="s">
        <v>9</v>
      </c>
      <c r="AQ4" t="s">
        <v>9</v>
      </c>
      <c r="AU4" t="s">
        <v>9</v>
      </c>
      <c r="AY4" t="s">
        <v>9</v>
      </c>
      <c r="BE4" t="s">
        <v>8</v>
      </c>
      <c r="BK4" t="s">
        <v>194</v>
      </c>
    </row>
    <row r="5" spans="1:68">
      <c r="B5">
        <v>3</v>
      </c>
      <c r="C5">
        <v>4</v>
      </c>
      <c r="D5">
        <v>5</v>
      </c>
      <c r="E5">
        <v>6</v>
      </c>
      <c r="F5" t="s">
        <v>184</v>
      </c>
      <c r="G5">
        <v>3</v>
      </c>
      <c r="H5">
        <v>4</v>
      </c>
      <c r="I5">
        <v>5</v>
      </c>
      <c r="J5">
        <v>6</v>
      </c>
      <c r="K5" t="s">
        <v>184</v>
      </c>
      <c r="L5">
        <v>3</v>
      </c>
      <c r="M5">
        <v>4</v>
      </c>
      <c r="N5">
        <v>5</v>
      </c>
      <c r="O5">
        <v>6</v>
      </c>
      <c r="P5" t="s">
        <v>184</v>
      </c>
      <c r="Q5">
        <v>2</v>
      </c>
      <c r="R5">
        <v>3</v>
      </c>
      <c r="S5">
        <v>4</v>
      </c>
      <c r="T5">
        <v>5</v>
      </c>
      <c r="U5">
        <v>6</v>
      </c>
      <c r="V5" t="s">
        <v>184</v>
      </c>
      <c r="W5">
        <v>2</v>
      </c>
      <c r="X5">
        <v>3</v>
      </c>
      <c r="Y5">
        <v>4</v>
      </c>
      <c r="Z5">
        <v>5</v>
      </c>
      <c r="AA5">
        <v>6</v>
      </c>
      <c r="AB5" t="s">
        <v>184</v>
      </c>
      <c r="AC5">
        <v>2</v>
      </c>
      <c r="AD5">
        <v>3</v>
      </c>
      <c r="AE5">
        <v>4</v>
      </c>
      <c r="AF5">
        <v>5</v>
      </c>
      <c r="AG5">
        <v>6</v>
      </c>
      <c r="AH5" t="s">
        <v>18</v>
      </c>
      <c r="AM5" s="42">
        <v>3</v>
      </c>
      <c r="AN5">
        <v>4</v>
      </c>
      <c r="AO5">
        <v>5</v>
      </c>
      <c r="AP5">
        <v>6</v>
      </c>
      <c r="AQ5">
        <v>3</v>
      </c>
      <c r="AR5">
        <v>4</v>
      </c>
      <c r="AS5">
        <v>5</v>
      </c>
      <c r="AT5">
        <v>6</v>
      </c>
      <c r="AU5">
        <v>3</v>
      </c>
      <c r="AV5">
        <v>4</v>
      </c>
      <c r="AW5">
        <v>5</v>
      </c>
      <c r="AX5">
        <v>6</v>
      </c>
      <c r="AY5">
        <v>2</v>
      </c>
      <c r="AZ5">
        <v>3</v>
      </c>
      <c r="BA5">
        <v>4</v>
      </c>
      <c r="BB5">
        <v>5</v>
      </c>
      <c r="BC5">
        <v>6</v>
      </c>
      <c r="BD5" t="s">
        <v>184</v>
      </c>
      <c r="BE5">
        <v>2</v>
      </c>
      <c r="BF5">
        <v>3</v>
      </c>
      <c r="BG5">
        <v>4</v>
      </c>
      <c r="BH5">
        <v>5</v>
      </c>
      <c r="BI5">
        <v>6</v>
      </c>
      <c r="BJ5" t="s">
        <v>184</v>
      </c>
      <c r="BK5">
        <v>2</v>
      </c>
      <c r="BL5">
        <v>3</v>
      </c>
      <c r="BM5">
        <v>4</v>
      </c>
      <c r="BN5">
        <v>5</v>
      </c>
      <c r="BO5">
        <v>6</v>
      </c>
      <c r="BP5" t="s">
        <v>184</v>
      </c>
    </row>
    <row r="6" spans="1:68">
      <c r="A6">
        <v>1974</v>
      </c>
      <c r="B6" s="29">
        <f>AM6/(AM6+AN6+AO6+AP6)</f>
        <v>8.0118694362017809E-2</v>
      </c>
      <c r="C6" s="29">
        <f>AN6/(AM6+AN6+AO6+AP6)</f>
        <v>0.62314540059347179</v>
      </c>
      <c r="D6" s="29">
        <f>AO6/(AM6+AN6+AO6+AP6)</f>
        <v>0.28486646884272998</v>
      </c>
      <c r="E6" s="29">
        <f>AP6/(AM6+AN6+AO6+AP6)</f>
        <v>1.1869436201780416E-2</v>
      </c>
      <c r="F6">
        <f t="shared" ref="F6:F11" si="0">SUM(AM6:AP6)</f>
        <v>337</v>
      </c>
      <c r="G6" s="29">
        <f>AQ6/(AQ6+AR6+AS6+AT6)</f>
        <v>3.125E-2</v>
      </c>
      <c r="H6" s="29">
        <f>AR6/(AQ6+AR6+AS6+AT6)</f>
        <v>0.71875</v>
      </c>
      <c r="I6" s="29">
        <f>AS6/(AQ6+AR6+AS6+AT6)</f>
        <v>0.25</v>
      </c>
      <c r="J6" s="29">
        <f>AT6/(AQ6+AR6+AS6+AT6)</f>
        <v>0</v>
      </c>
      <c r="K6">
        <f>SUM(AQ6:AT6)</f>
        <v>32</v>
      </c>
      <c r="L6" s="29"/>
      <c r="M6" s="29"/>
      <c r="N6" s="29"/>
      <c r="O6" s="29"/>
      <c r="P6" s="29"/>
      <c r="Q6" s="29"/>
      <c r="R6" s="29"/>
      <c r="S6" s="29"/>
      <c r="T6" s="29"/>
      <c r="U6" s="29"/>
      <c r="V6" s="29"/>
      <c r="W6" s="29">
        <f>BE6/(BE6+BF6+BG6+BH6+BI6)</f>
        <v>0</v>
      </c>
      <c r="X6" s="29">
        <f>BF6/(BE6+BF6+BG6+BH6+BI6)</f>
        <v>0.13541666666666666</v>
      </c>
      <c r="Y6" s="29">
        <f>BG6/(BE6+BF6+BG6+BH6+BI6)</f>
        <v>0.609375</v>
      </c>
      <c r="Z6" s="29">
        <f>BH6/(BE6+BF6+BG6+BH6+BI6)</f>
        <v>0.25</v>
      </c>
      <c r="AA6" s="29">
        <f>BI6/(BE6+BF6+BG6+BH6+BI6)</f>
        <v>5.208333333333333E-3</v>
      </c>
      <c r="AB6">
        <f>SUM(BE6:BI6)</f>
        <v>192</v>
      </c>
      <c r="AC6" s="29"/>
      <c r="AD6" s="29"/>
      <c r="AE6" s="29"/>
      <c r="AF6" s="29"/>
      <c r="AG6" s="29"/>
      <c r="AH6" t="s">
        <v>63</v>
      </c>
      <c r="AM6" s="42">
        <v>27</v>
      </c>
      <c r="AN6">
        <v>210</v>
      </c>
      <c r="AO6">
        <v>96</v>
      </c>
      <c r="AP6">
        <v>4</v>
      </c>
      <c r="AQ6">
        <v>1</v>
      </c>
      <c r="AR6">
        <v>23</v>
      </c>
      <c r="AS6">
        <v>8</v>
      </c>
      <c r="BF6">
        <v>26</v>
      </c>
      <c r="BG6">
        <v>117</v>
      </c>
      <c r="BH6">
        <v>48</v>
      </c>
      <c r="BI6">
        <v>1</v>
      </c>
      <c r="BJ6">
        <f>SUM(BE6:BI6)</f>
        <v>192</v>
      </c>
      <c r="BL6">
        <v>26</v>
      </c>
      <c r="BM6">
        <v>117</v>
      </c>
      <c r="BN6">
        <v>48</v>
      </c>
      <c r="BO6">
        <v>1</v>
      </c>
      <c r="BP6">
        <f>SUM(BK6:BO6)</f>
        <v>192</v>
      </c>
    </row>
    <row r="7" spans="1:68">
      <c r="A7">
        <f>A6+1</f>
        <v>1975</v>
      </c>
      <c r="B7" s="29">
        <f>AM7/(AM7+AN7+AO7+AP7)</f>
        <v>0</v>
      </c>
      <c r="C7" s="29">
        <f>AN7/(AM7+AN7+AO7+AP7)</f>
        <v>0.91577540106951871</v>
      </c>
      <c r="D7" s="29">
        <f>AO7/(AM7+AN7+AO7+AP7)</f>
        <v>8.4224598930481287E-2</v>
      </c>
      <c r="E7" s="29">
        <f>AP7/(AM7+AN7+AO7+AP7)</f>
        <v>0</v>
      </c>
      <c r="F7">
        <f t="shared" si="0"/>
        <v>748</v>
      </c>
      <c r="G7" s="29"/>
      <c r="H7" s="29"/>
      <c r="I7" s="29"/>
      <c r="J7" s="29"/>
      <c r="L7" s="29"/>
      <c r="M7" s="29"/>
      <c r="N7" s="29"/>
      <c r="O7" s="29"/>
      <c r="P7" s="29"/>
      <c r="Q7" s="29"/>
      <c r="R7" s="29"/>
      <c r="S7" s="29"/>
      <c r="T7" s="29"/>
      <c r="U7" s="29"/>
      <c r="V7" s="29"/>
      <c r="W7" s="29"/>
      <c r="X7" s="29"/>
      <c r="Y7" s="29"/>
      <c r="Z7" s="29"/>
      <c r="AA7" s="29"/>
      <c r="AC7" s="46"/>
      <c r="AD7" s="46">
        <f>BL42</f>
        <v>6.2618182311531545E-2</v>
      </c>
      <c r="AE7" s="46">
        <f>BM42</f>
        <v>0.66352616164202827</v>
      </c>
      <c r="AF7" s="46">
        <f>BN42</f>
        <v>0.26756814508675325</v>
      </c>
      <c r="AG7" s="46"/>
      <c r="AH7" t="s">
        <v>63</v>
      </c>
      <c r="AM7" s="42"/>
      <c r="AN7">
        <v>685</v>
      </c>
      <c r="AO7">
        <v>63</v>
      </c>
      <c r="BK7" s="33"/>
      <c r="BL7" s="33"/>
      <c r="BM7" s="33"/>
      <c r="BN7" s="33"/>
      <c r="BO7" s="33"/>
    </row>
    <row r="8" spans="1:68">
      <c r="A8">
        <f t="shared" ref="A8:A38" si="1">A7+1</f>
        <v>1976</v>
      </c>
      <c r="B8" s="29">
        <f t="shared" ref="B8:B32" si="2">AM8/(AM8+AN8+AO8+AP8)</f>
        <v>1.3303769401330377E-2</v>
      </c>
      <c r="C8" s="29">
        <f t="shared" ref="C8:C32" si="3">AN8/(AM8+AN8+AO8+AP8)</f>
        <v>0.6784922394678492</v>
      </c>
      <c r="D8" s="29">
        <f t="shared" ref="D8:D32" si="4">AO8/(AM8+AN8+AO8+AP8)</f>
        <v>0.30598669623059865</v>
      </c>
      <c r="E8" s="29">
        <f t="shared" ref="E8:E32" si="5">AP8/(AM8+AN8+AO8+AP8)</f>
        <v>2.2172949002217295E-3</v>
      </c>
      <c r="F8">
        <f t="shared" si="0"/>
        <v>451</v>
      </c>
      <c r="G8" s="29"/>
      <c r="H8" s="29"/>
      <c r="I8" s="29"/>
      <c r="J8" s="29"/>
      <c r="L8" s="29"/>
      <c r="M8" s="29"/>
      <c r="N8" s="29"/>
      <c r="O8" s="29"/>
      <c r="P8" s="29"/>
      <c r="Q8" s="29">
        <f>AY8/(AY8+AZ8+BA8+BB8+BC8)</f>
        <v>0</v>
      </c>
      <c r="R8" s="29">
        <f>AZ8/(AY8+AZ8+BA8+BB8+BC8)</f>
        <v>0</v>
      </c>
      <c r="S8" s="29">
        <f>BA8/(AY8+AZ8+BA8+BB8+BC8)</f>
        <v>0.46153846153846156</v>
      </c>
      <c r="T8" s="29">
        <f>BB8/(AY8+AZ8+BA8+BB8+BC8)</f>
        <v>0.53846153846153844</v>
      </c>
      <c r="U8" s="29">
        <f>BC8/(AY8+AZ8+BA8+BB8+BC8)</f>
        <v>0</v>
      </c>
      <c r="V8">
        <f t="shared" ref="V8:V25" si="6">SUM(AY8:BC8)</f>
        <v>91</v>
      </c>
      <c r="W8" s="29"/>
      <c r="X8" s="29"/>
      <c r="Y8" s="29"/>
      <c r="Z8" s="29"/>
      <c r="AA8" s="29"/>
      <c r="AC8" s="29"/>
      <c r="AD8" s="29"/>
      <c r="AE8" s="29"/>
      <c r="AF8" s="29"/>
      <c r="AG8" s="29"/>
      <c r="AH8" t="s">
        <v>63</v>
      </c>
      <c r="AM8" s="42">
        <v>6</v>
      </c>
      <c r="AN8">
        <v>306</v>
      </c>
      <c r="AO8">
        <v>138</v>
      </c>
      <c r="AP8">
        <v>1</v>
      </c>
      <c r="BA8">
        <v>42</v>
      </c>
      <c r="BB8">
        <v>49</v>
      </c>
      <c r="BD8">
        <f>SUM(AY8:BC8)</f>
        <v>91</v>
      </c>
      <c r="BM8">
        <v>42</v>
      </c>
      <c r="BN8">
        <v>49</v>
      </c>
      <c r="BP8">
        <f>SUM(BK8:BO8)</f>
        <v>91</v>
      </c>
    </row>
    <row r="9" spans="1:68">
      <c r="A9">
        <f t="shared" si="1"/>
        <v>1977</v>
      </c>
      <c r="B9" s="29">
        <f t="shared" si="2"/>
        <v>0</v>
      </c>
      <c r="C9" s="29">
        <f t="shared" si="3"/>
        <v>0.625</v>
      </c>
      <c r="D9" s="29">
        <f t="shared" si="4"/>
        <v>0.375</v>
      </c>
      <c r="E9" s="29">
        <f t="shared" si="5"/>
        <v>0</v>
      </c>
      <c r="F9">
        <f t="shared" si="0"/>
        <v>176</v>
      </c>
      <c r="G9" s="29">
        <f>AQ9/(AQ9+AR9+AS9+AT9)</f>
        <v>0</v>
      </c>
      <c r="H9" s="29">
        <f>AR9/(AQ9+AR9+AS9+AT9)</f>
        <v>0.88709677419354838</v>
      </c>
      <c r="I9" s="29">
        <f>AS9/(AQ9+AR9+AS9+AT9)</f>
        <v>0.11290322580645161</v>
      </c>
      <c r="J9" s="29">
        <f>AT9/(AQ9+AR9+AS9+AT9)</f>
        <v>0</v>
      </c>
      <c r="K9">
        <f>SUM(AQ9:AT9)</f>
        <v>62</v>
      </c>
      <c r="L9" s="29">
        <f>AU9/(AU9+AV9+AW9+AX9)</f>
        <v>1.8867924528301886E-2</v>
      </c>
      <c r="M9" s="29">
        <f>AV9/(AU9+AV9+AW9+AX9)</f>
        <v>0.77358490566037741</v>
      </c>
      <c r="N9" s="29">
        <f>AW9/(AU9+AV9+AW9+AX9)</f>
        <v>0.18867924528301888</v>
      </c>
      <c r="O9" s="29">
        <f>AX9/(AU9+AV9+AW9+AX9)</f>
        <v>1.8867924528301886E-2</v>
      </c>
      <c r="P9">
        <f>SUM(AU9:AX9)</f>
        <v>53</v>
      </c>
      <c r="Q9" s="29">
        <f>AY9/(AY9+AZ9+BA9+BB9+BC9)</f>
        <v>0</v>
      </c>
      <c r="R9" s="41">
        <f>AZ9/(AY9+AZ9+BA9+BB9+BC9)</f>
        <v>3.0769230769230771E-2</v>
      </c>
      <c r="S9" s="41">
        <f>BA9/(AY9+AZ9+BA9+BB9+BC9)</f>
        <v>0.90256410256410258</v>
      </c>
      <c r="T9" s="41">
        <f>BB9/(AY9+AZ9+BA9+BB9+BC9)</f>
        <v>6.6666666666666666E-2</v>
      </c>
      <c r="U9" s="29">
        <f>BC9/(AY9+AZ9+BA9+BB9+BC9)</f>
        <v>0</v>
      </c>
      <c r="V9">
        <f t="shared" si="6"/>
        <v>195</v>
      </c>
      <c r="W9" s="29"/>
      <c r="X9" s="29"/>
      <c r="Y9" s="29"/>
      <c r="Z9" s="29"/>
      <c r="AA9" s="29"/>
      <c r="AC9" s="29"/>
      <c r="AD9" s="29"/>
      <c r="AE9" s="29"/>
      <c r="AF9" s="29"/>
      <c r="AG9" s="29"/>
      <c r="AH9" t="s">
        <v>63</v>
      </c>
      <c r="AM9" s="42"/>
      <c r="AN9">
        <v>110</v>
      </c>
      <c r="AO9">
        <v>66</v>
      </c>
      <c r="AR9">
        <v>55</v>
      </c>
      <c r="AS9">
        <v>7</v>
      </c>
      <c r="AU9">
        <v>1</v>
      </c>
      <c r="AV9">
        <v>41</v>
      </c>
      <c r="AW9">
        <v>10</v>
      </c>
      <c r="AX9">
        <v>1</v>
      </c>
      <c r="AZ9" s="7">
        <v>6</v>
      </c>
      <c r="BA9" s="7">
        <v>176</v>
      </c>
      <c r="BB9" s="7">
        <v>13</v>
      </c>
      <c r="BD9">
        <f t="shared" ref="BD9:BD25" si="7">SUM(AY9:BC9)</f>
        <v>195</v>
      </c>
      <c r="BL9">
        <v>6</v>
      </c>
      <c r="BM9">
        <v>176</v>
      </c>
      <c r="BN9">
        <v>13</v>
      </c>
      <c r="BP9">
        <f t="shared" ref="BP9:BP24" si="8">SUM(BK9:BO9)</f>
        <v>195</v>
      </c>
    </row>
    <row r="10" spans="1:68">
      <c r="A10">
        <f t="shared" si="1"/>
        <v>1978</v>
      </c>
      <c r="B10" s="29">
        <f t="shared" si="2"/>
        <v>5.1612903225806452E-2</v>
      </c>
      <c r="C10" s="29">
        <f t="shared" si="3"/>
        <v>0.68387096774193545</v>
      </c>
      <c r="D10" s="29">
        <f t="shared" si="4"/>
        <v>0.26451612903225807</v>
      </c>
      <c r="E10" s="29">
        <f t="shared" si="5"/>
        <v>0</v>
      </c>
      <c r="F10">
        <f t="shared" si="0"/>
        <v>155</v>
      </c>
      <c r="G10" s="29">
        <f>AQ10/(AQ10+AR10+AS10+AT10)</f>
        <v>0</v>
      </c>
      <c r="H10" s="29">
        <f>AR10/(AQ10+AR10+AS10+AT10)</f>
        <v>1</v>
      </c>
      <c r="I10" s="29">
        <f>AS10/(AQ10+AR10+AS10+AT10)</f>
        <v>0</v>
      </c>
      <c r="J10" s="29">
        <f>AT10/(AQ10+AR10+AS10+AT10)</f>
        <v>0</v>
      </c>
      <c r="K10">
        <f>SUM(AQ10:AT10)</f>
        <v>1</v>
      </c>
      <c r="L10" s="29"/>
      <c r="M10" s="29"/>
      <c r="N10" s="29"/>
      <c r="O10" s="29"/>
      <c r="P10" s="29"/>
      <c r="Q10" s="29">
        <f t="shared" ref="Q10:Q38" si="9">AY10/(AY10+AZ10+BA10+BB10+BC10)</f>
        <v>0</v>
      </c>
      <c r="R10" s="41">
        <f t="shared" ref="R10:R38" si="10">AZ10/(AY10+AZ10+BA10+BB10+BC10)</f>
        <v>1.936619718309859E-2</v>
      </c>
      <c r="S10" s="41">
        <f t="shared" ref="S10:S38" si="11">BA10/(AY10+AZ10+BA10+BB10+BC10)</f>
        <v>0.57042253521126762</v>
      </c>
      <c r="T10" s="41">
        <f t="shared" ref="T10:T38" si="12">BB10/(AY10+AZ10+BA10+BB10+BC10)</f>
        <v>0.40316901408450706</v>
      </c>
      <c r="U10" s="29">
        <f t="shared" ref="U10:U38" si="13">BC10/(AY10+AZ10+BA10+BB10+BC10)</f>
        <v>7.0422535211267607E-3</v>
      </c>
      <c r="V10">
        <f t="shared" si="6"/>
        <v>568</v>
      </c>
      <c r="W10" s="29"/>
      <c r="X10" s="29"/>
      <c r="Y10" s="29"/>
      <c r="Z10" s="29"/>
      <c r="AA10" s="29"/>
      <c r="AC10" s="29"/>
      <c r="AD10" s="29"/>
      <c r="AE10" s="29"/>
      <c r="AF10" s="29"/>
      <c r="AG10" s="29"/>
      <c r="AH10" t="s">
        <v>63</v>
      </c>
      <c r="AM10" s="42">
        <v>8</v>
      </c>
      <c r="AN10">
        <v>106</v>
      </c>
      <c r="AO10">
        <v>41</v>
      </c>
      <c r="AR10">
        <v>1</v>
      </c>
      <c r="AZ10" s="7">
        <v>11</v>
      </c>
      <c r="BA10" s="7">
        <v>324</v>
      </c>
      <c r="BB10" s="7">
        <v>229</v>
      </c>
      <c r="BC10">
        <v>4</v>
      </c>
      <c r="BD10">
        <f t="shared" si="7"/>
        <v>568</v>
      </c>
      <c r="BL10">
        <v>11</v>
      </c>
      <c r="BM10">
        <v>324</v>
      </c>
      <c r="BN10">
        <v>229</v>
      </c>
      <c r="BO10">
        <v>4</v>
      </c>
      <c r="BP10">
        <f t="shared" si="8"/>
        <v>568</v>
      </c>
    </row>
    <row r="11" spans="1:68">
      <c r="A11">
        <f t="shared" si="1"/>
        <v>1979</v>
      </c>
      <c r="B11" s="29">
        <f t="shared" si="2"/>
        <v>0</v>
      </c>
      <c r="C11" s="29">
        <f t="shared" si="3"/>
        <v>0.59090909090909094</v>
      </c>
      <c r="D11" s="29">
        <f t="shared" si="4"/>
        <v>0.40909090909090912</v>
      </c>
      <c r="E11" s="29">
        <f t="shared" si="5"/>
        <v>0</v>
      </c>
      <c r="F11">
        <f t="shared" si="0"/>
        <v>22</v>
      </c>
      <c r="G11" s="41">
        <f>AQ11/(AQ11+AR11+AS11+AT11)</f>
        <v>3.2967032967032968E-2</v>
      </c>
      <c r="H11" s="41">
        <f>AR11/(AQ11+AR11+AS11+AT11)</f>
        <v>0.78021978021978022</v>
      </c>
      <c r="I11" s="41">
        <f>AS11/(AQ11+AR11+AS11+AT11)</f>
        <v>0.18681318681318682</v>
      </c>
      <c r="J11" s="29">
        <f>AT11/(AQ11+AR11+AS11+AT11)</f>
        <v>0</v>
      </c>
      <c r="K11">
        <f>SUM(AQ11:AT11)</f>
        <v>91</v>
      </c>
      <c r="L11" s="29"/>
      <c r="M11" s="29"/>
      <c r="N11" s="29"/>
      <c r="O11" s="29"/>
      <c r="P11" s="29"/>
      <c r="Q11" s="29">
        <f t="shared" si="9"/>
        <v>0</v>
      </c>
      <c r="R11" s="29">
        <f t="shared" si="10"/>
        <v>5.2023121387283239E-2</v>
      </c>
      <c r="S11" s="29">
        <f t="shared" si="11"/>
        <v>0.61849710982658956</v>
      </c>
      <c r="T11" s="29">
        <f t="shared" si="12"/>
        <v>0.32947976878612717</v>
      </c>
      <c r="U11" s="29">
        <f t="shared" si="13"/>
        <v>0</v>
      </c>
      <c r="V11">
        <f t="shared" si="6"/>
        <v>173</v>
      </c>
      <c r="W11" s="29"/>
      <c r="X11" s="29"/>
      <c r="Y11" s="29"/>
      <c r="Z11" s="29"/>
      <c r="AA11" s="29"/>
      <c r="AC11" s="29"/>
      <c r="AD11" s="29"/>
      <c r="AE11" s="29"/>
      <c r="AF11" s="29"/>
      <c r="AG11" s="29"/>
      <c r="AH11" t="s">
        <v>63</v>
      </c>
      <c r="AM11" s="42"/>
      <c r="AN11">
        <v>13</v>
      </c>
      <c r="AO11">
        <v>9</v>
      </c>
      <c r="AQ11" s="7">
        <v>3</v>
      </c>
      <c r="AR11" s="7">
        <v>71</v>
      </c>
      <c r="AS11" s="7">
        <v>17</v>
      </c>
      <c r="AZ11">
        <v>9</v>
      </c>
      <c r="BA11">
        <v>107</v>
      </c>
      <c r="BB11">
        <v>57</v>
      </c>
      <c r="BD11">
        <f t="shared" si="7"/>
        <v>173</v>
      </c>
      <c r="BL11">
        <v>9</v>
      </c>
      <c r="BM11">
        <v>107</v>
      </c>
      <c r="BN11">
        <v>57</v>
      </c>
      <c r="BP11">
        <f t="shared" si="8"/>
        <v>173</v>
      </c>
    </row>
    <row r="12" spans="1:68">
      <c r="A12">
        <f t="shared" si="1"/>
        <v>1980</v>
      </c>
      <c r="B12" s="29"/>
      <c r="C12" s="29"/>
      <c r="D12" s="29"/>
      <c r="E12" s="29"/>
      <c r="G12" s="29"/>
      <c r="H12" s="29"/>
      <c r="I12" s="29"/>
      <c r="J12" s="29"/>
      <c r="L12" s="29"/>
      <c r="M12" s="29"/>
      <c r="N12" s="29"/>
      <c r="O12" s="29"/>
      <c r="P12" s="29"/>
      <c r="Q12" s="29">
        <f t="shared" si="9"/>
        <v>0</v>
      </c>
      <c r="R12" s="29">
        <f t="shared" si="10"/>
        <v>5.8375634517766499E-2</v>
      </c>
      <c r="S12" s="29">
        <f t="shared" si="11"/>
        <v>0.78680203045685282</v>
      </c>
      <c r="T12" s="29">
        <f t="shared" si="12"/>
        <v>0.15228426395939088</v>
      </c>
      <c r="U12" s="29">
        <f t="shared" si="13"/>
        <v>2.5380710659898475E-3</v>
      </c>
      <c r="V12">
        <f t="shared" si="6"/>
        <v>394</v>
      </c>
      <c r="W12" s="29"/>
      <c r="X12" s="29"/>
      <c r="Y12" s="29"/>
      <c r="Z12" s="29"/>
      <c r="AA12" s="29"/>
      <c r="AC12" s="29"/>
      <c r="AD12" s="29"/>
      <c r="AE12" s="29"/>
      <c r="AF12" s="29"/>
      <c r="AG12" s="29"/>
      <c r="AH12" t="s">
        <v>63</v>
      </c>
      <c r="AM12" s="42"/>
      <c r="AZ12">
        <v>23</v>
      </c>
      <c r="BA12">
        <v>310</v>
      </c>
      <c r="BB12">
        <v>60</v>
      </c>
      <c r="BC12">
        <v>1</v>
      </c>
      <c r="BD12">
        <f t="shared" si="7"/>
        <v>394</v>
      </c>
      <c r="BL12">
        <v>23</v>
      </c>
      <c r="BM12">
        <v>310</v>
      </c>
      <c r="BN12">
        <v>60</v>
      </c>
      <c r="BO12">
        <v>1</v>
      </c>
      <c r="BP12">
        <f t="shared" si="8"/>
        <v>394</v>
      </c>
    </row>
    <row r="13" spans="1:68">
      <c r="A13">
        <f t="shared" si="1"/>
        <v>1981</v>
      </c>
      <c r="B13" s="29">
        <f t="shared" si="2"/>
        <v>2.4390243902439025E-2</v>
      </c>
      <c r="C13" s="29">
        <f t="shared" si="3"/>
        <v>0.51219512195121952</v>
      </c>
      <c r="D13" s="29">
        <f t="shared" si="4"/>
        <v>0.46341463414634149</v>
      </c>
      <c r="E13" s="29">
        <f t="shared" si="5"/>
        <v>0</v>
      </c>
      <c r="F13">
        <f t="shared" ref="F13:F23" si="14">SUM(AM13:AP13)</f>
        <v>41</v>
      </c>
      <c r="G13" s="29"/>
      <c r="H13" s="29"/>
      <c r="I13" s="29"/>
      <c r="J13" s="29"/>
      <c r="L13" s="29"/>
      <c r="M13" s="29"/>
      <c r="N13" s="29"/>
      <c r="O13" s="29"/>
      <c r="P13" s="29"/>
      <c r="Q13" s="29">
        <f t="shared" si="9"/>
        <v>0</v>
      </c>
      <c r="R13" s="29">
        <f t="shared" si="10"/>
        <v>3.9735099337748346E-2</v>
      </c>
      <c r="S13" s="29">
        <f t="shared" si="11"/>
        <v>0.66887417218543044</v>
      </c>
      <c r="T13" s="29">
        <f t="shared" si="12"/>
        <v>0.29139072847682118</v>
      </c>
      <c r="U13" s="29">
        <f t="shared" si="13"/>
        <v>0</v>
      </c>
      <c r="V13">
        <f t="shared" si="6"/>
        <v>151</v>
      </c>
      <c r="W13" s="29"/>
      <c r="X13" s="29"/>
      <c r="Y13" s="29"/>
      <c r="Z13" s="29"/>
      <c r="AA13" s="29"/>
      <c r="AC13" s="29"/>
      <c r="AD13" s="29"/>
      <c r="AE13" s="29"/>
      <c r="AF13" s="29"/>
      <c r="AG13" s="29"/>
      <c r="AH13" t="s">
        <v>173</v>
      </c>
      <c r="AM13" s="42">
        <v>1</v>
      </c>
      <c r="AN13">
        <v>21</v>
      </c>
      <c r="AO13">
        <v>19</v>
      </c>
      <c r="AZ13">
        <v>6</v>
      </c>
      <c r="BA13">
        <v>101</v>
      </c>
      <c r="BB13">
        <v>44</v>
      </c>
      <c r="BD13">
        <f t="shared" si="7"/>
        <v>151</v>
      </c>
      <c r="BL13">
        <v>6</v>
      </c>
      <c r="BM13">
        <v>101</v>
      </c>
      <c r="BN13">
        <v>44</v>
      </c>
      <c r="BP13">
        <f t="shared" si="8"/>
        <v>151</v>
      </c>
    </row>
    <row r="14" spans="1:68">
      <c r="A14">
        <f t="shared" si="1"/>
        <v>1982</v>
      </c>
      <c r="B14" s="29">
        <f t="shared" si="2"/>
        <v>0</v>
      </c>
      <c r="C14" s="29">
        <f t="shared" si="3"/>
        <v>0.76086956521739135</v>
      </c>
      <c r="D14" s="29">
        <f t="shared" si="4"/>
        <v>0.2391304347826087</v>
      </c>
      <c r="E14" s="29">
        <f t="shared" si="5"/>
        <v>0</v>
      </c>
      <c r="F14">
        <f t="shared" si="14"/>
        <v>92</v>
      </c>
      <c r="G14" s="29"/>
      <c r="H14" s="29"/>
      <c r="I14" s="29"/>
      <c r="J14" s="29"/>
      <c r="L14" s="29"/>
      <c r="M14" s="29"/>
      <c r="N14" s="29"/>
      <c r="O14" s="29"/>
      <c r="P14" s="29"/>
      <c r="Q14" s="29">
        <f t="shared" si="9"/>
        <v>0</v>
      </c>
      <c r="R14" s="29">
        <f t="shared" si="10"/>
        <v>1.8181818181818181E-2</v>
      </c>
      <c r="S14" s="29">
        <f t="shared" si="11"/>
        <v>0.65454545454545454</v>
      </c>
      <c r="T14" s="29">
        <f t="shared" si="12"/>
        <v>0.32727272727272727</v>
      </c>
      <c r="U14" s="29">
        <f t="shared" si="13"/>
        <v>0</v>
      </c>
      <c r="V14">
        <f t="shared" si="6"/>
        <v>110</v>
      </c>
      <c r="W14" s="29"/>
      <c r="X14" s="29"/>
      <c r="Y14" s="29"/>
      <c r="Z14" s="29"/>
      <c r="AA14" s="29"/>
      <c r="AC14" s="29"/>
      <c r="AD14" s="29"/>
      <c r="AE14" s="29"/>
      <c r="AF14" s="29"/>
      <c r="AG14" s="29"/>
      <c r="AH14" t="s">
        <v>63</v>
      </c>
      <c r="AM14" s="42"/>
      <c r="AN14">
        <v>70</v>
      </c>
      <c r="AO14">
        <v>22</v>
      </c>
      <c r="AZ14">
        <v>2</v>
      </c>
      <c r="BA14">
        <v>72</v>
      </c>
      <c r="BB14">
        <v>36</v>
      </c>
      <c r="BD14">
        <f t="shared" si="7"/>
        <v>110</v>
      </c>
      <c r="BL14">
        <v>2</v>
      </c>
      <c r="BM14">
        <v>72</v>
      </c>
      <c r="BN14">
        <v>36</v>
      </c>
      <c r="BP14">
        <f t="shared" si="8"/>
        <v>110</v>
      </c>
    </row>
    <row r="15" spans="1:68">
      <c r="A15">
        <f t="shared" si="1"/>
        <v>1983</v>
      </c>
      <c r="B15" s="29">
        <f t="shared" si="2"/>
        <v>0</v>
      </c>
      <c r="C15" s="29">
        <f t="shared" si="3"/>
        <v>0.57894736842105265</v>
      </c>
      <c r="D15" s="29">
        <f t="shared" si="4"/>
        <v>0.42105263157894735</v>
      </c>
      <c r="E15" s="29">
        <f t="shared" si="5"/>
        <v>0</v>
      </c>
      <c r="F15">
        <f t="shared" si="14"/>
        <v>19</v>
      </c>
      <c r="G15" s="29"/>
      <c r="H15" s="29"/>
      <c r="I15" s="29"/>
      <c r="J15" s="29"/>
      <c r="L15" s="29"/>
      <c r="M15" s="29"/>
      <c r="N15" s="29"/>
      <c r="O15" s="29"/>
      <c r="P15" s="29"/>
      <c r="Q15" s="29">
        <f t="shared" si="9"/>
        <v>0</v>
      </c>
      <c r="R15" s="29">
        <f t="shared" si="10"/>
        <v>2.0270270270270271E-2</v>
      </c>
      <c r="S15" s="29">
        <f t="shared" si="11"/>
        <v>0.56756756756756754</v>
      </c>
      <c r="T15" s="29">
        <f t="shared" si="12"/>
        <v>0.40540540540540543</v>
      </c>
      <c r="U15" s="29">
        <f t="shared" si="13"/>
        <v>6.7567567567567571E-3</v>
      </c>
      <c r="V15">
        <f t="shared" si="6"/>
        <v>148</v>
      </c>
      <c r="W15" s="29"/>
      <c r="X15" s="29"/>
      <c r="Y15" s="29"/>
      <c r="Z15" s="29"/>
      <c r="AA15" s="29"/>
      <c r="AC15" s="29"/>
      <c r="AD15" s="29"/>
      <c r="AE15" s="29"/>
      <c r="AF15" s="29"/>
      <c r="AG15" s="29"/>
      <c r="AH15" t="s">
        <v>63</v>
      </c>
      <c r="AM15" s="42"/>
      <c r="AN15">
        <v>11</v>
      </c>
      <c r="AO15">
        <v>8</v>
      </c>
      <c r="AZ15">
        <v>3</v>
      </c>
      <c r="BA15">
        <v>84</v>
      </c>
      <c r="BB15">
        <v>60</v>
      </c>
      <c r="BC15">
        <v>1</v>
      </c>
      <c r="BD15">
        <f t="shared" si="7"/>
        <v>148</v>
      </c>
      <c r="BL15">
        <v>3</v>
      </c>
      <c r="BM15">
        <v>84</v>
      </c>
      <c r="BN15">
        <v>60</v>
      </c>
      <c r="BO15">
        <v>1</v>
      </c>
      <c r="BP15">
        <f t="shared" si="8"/>
        <v>148</v>
      </c>
    </row>
    <row r="16" spans="1:68">
      <c r="A16">
        <f t="shared" si="1"/>
        <v>1984</v>
      </c>
      <c r="B16" s="29">
        <f t="shared" si="2"/>
        <v>0</v>
      </c>
      <c r="C16" s="29">
        <f t="shared" si="3"/>
        <v>0.67045454545454541</v>
      </c>
      <c r="D16" s="29">
        <f t="shared" si="4"/>
        <v>0.32954545454545453</v>
      </c>
      <c r="E16" s="29">
        <f t="shared" si="5"/>
        <v>0</v>
      </c>
      <c r="F16">
        <f t="shared" si="14"/>
        <v>88</v>
      </c>
      <c r="G16" s="29"/>
      <c r="H16" s="29"/>
      <c r="I16" s="29"/>
      <c r="J16" s="29"/>
      <c r="L16" s="29"/>
      <c r="M16" s="29"/>
      <c r="N16" s="29"/>
      <c r="O16" s="29"/>
      <c r="P16" s="29"/>
      <c r="Q16" s="29">
        <f t="shared" si="9"/>
        <v>0</v>
      </c>
      <c r="R16" s="29">
        <f t="shared" si="10"/>
        <v>4.0322580645161289E-2</v>
      </c>
      <c r="S16" s="29">
        <f t="shared" si="11"/>
        <v>0.62096774193548387</v>
      </c>
      <c r="T16" s="29">
        <f t="shared" si="12"/>
        <v>0.33870967741935482</v>
      </c>
      <c r="U16" s="29">
        <f t="shared" si="13"/>
        <v>0</v>
      </c>
      <c r="V16">
        <f t="shared" si="6"/>
        <v>124</v>
      </c>
      <c r="W16" s="29"/>
      <c r="X16" s="29"/>
      <c r="Y16" s="29"/>
      <c r="Z16" s="29"/>
      <c r="AA16" s="29"/>
      <c r="AC16" s="29"/>
      <c r="AD16" s="29"/>
      <c r="AE16" s="29"/>
      <c r="AF16" s="29"/>
      <c r="AG16" s="29"/>
      <c r="AH16" t="s">
        <v>64</v>
      </c>
      <c r="AM16" s="42"/>
      <c r="AN16">
        <v>59</v>
      </c>
      <c r="AO16">
        <v>29</v>
      </c>
      <c r="AZ16">
        <v>5</v>
      </c>
      <c r="BA16">
        <v>77</v>
      </c>
      <c r="BB16">
        <v>42</v>
      </c>
      <c r="BD16">
        <f t="shared" si="7"/>
        <v>124</v>
      </c>
      <c r="BL16">
        <v>5</v>
      </c>
      <c r="BM16">
        <v>77</v>
      </c>
      <c r="BN16">
        <v>42</v>
      </c>
      <c r="BP16">
        <f t="shared" si="8"/>
        <v>124</v>
      </c>
    </row>
    <row r="17" spans="1:68">
      <c r="A17">
        <f t="shared" si="1"/>
        <v>1985</v>
      </c>
      <c r="B17" s="29">
        <f t="shared" si="2"/>
        <v>0</v>
      </c>
      <c r="C17" s="29">
        <f t="shared" si="3"/>
        <v>0.43037974683544306</v>
      </c>
      <c r="D17" s="29">
        <f t="shared" si="4"/>
        <v>0.569620253164557</v>
      </c>
      <c r="E17" s="29">
        <f t="shared" si="5"/>
        <v>0</v>
      </c>
      <c r="F17">
        <f t="shared" si="14"/>
        <v>79</v>
      </c>
      <c r="G17" s="29">
        <f>AQ17/(AQ17+AR17+AS17+AT17)</f>
        <v>0</v>
      </c>
      <c r="H17" s="29">
        <f>AR17/(AQ17+AR17+AS17+AT17)</f>
        <v>0.4</v>
      </c>
      <c r="I17" s="29">
        <f>AS17/(AQ17+AR17+AS17+AT17)</f>
        <v>0.6</v>
      </c>
      <c r="J17" s="29">
        <f>AT17/(AQ17+AR17+AS17+AT17)</f>
        <v>0</v>
      </c>
      <c r="K17">
        <f>SUM(AQ17:AT17)</f>
        <v>35</v>
      </c>
      <c r="L17" s="29"/>
      <c r="M17" s="29"/>
      <c r="N17" s="29"/>
      <c r="O17" s="29"/>
      <c r="P17" s="29"/>
      <c r="Q17" s="29">
        <f t="shared" si="9"/>
        <v>0</v>
      </c>
      <c r="R17" s="29">
        <f t="shared" si="10"/>
        <v>4.6948356807511738E-3</v>
      </c>
      <c r="S17" s="29">
        <f t="shared" si="11"/>
        <v>0.52112676056338025</v>
      </c>
      <c r="T17" s="29">
        <f t="shared" si="12"/>
        <v>0.46948356807511737</v>
      </c>
      <c r="U17" s="29">
        <f t="shared" si="13"/>
        <v>4.6948356807511738E-3</v>
      </c>
      <c r="V17">
        <f t="shared" si="6"/>
        <v>213</v>
      </c>
      <c r="W17" s="29"/>
      <c r="X17" s="29"/>
      <c r="Y17" s="29"/>
      <c r="Z17" s="29"/>
      <c r="AA17" s="29"/>
      <c r="AC17" s="29"/>
      <c r="AD17" s="29"/>
      <c r="AE17" s="29"/>
      <c r="AF17" s="29"/>
      <c r="AG17" s="29"/>
      <c r="AH17" t="s">
        <v>63</v>
      </c>
      <c r="AM17" s="42"/>
      <c r="AN17">
        <v>34</v>
      </c>
      <c r="AO17">
        <v>45</v>
      </c>
      <c r="AR17">
        <v>14</v>
      </c>
      <c r="AS17">
        <v>21</v>
      </c>
      <c r="AZ17">
        <v>1</v>
      </c>
      <c r="BA17">
        <v>111</v>
      </c>
      <c r="BB17">
        <v>100</v>
      </c>
      <c r="BC17">
        <v>1</v>
      </c>
      <c r="BD17">
        <f t="shared" si="7"/>
        <v>213</v>
      </c>
      <c r="BL17">
        <v>1</v>
      </c>
      <c r="BM17">
        <v>111</v>
      </c>
      <c r="BN17">
        <v>100</v>
      </c>
      <c r="BO17">
        <v>1</v>
      </c>
      <c r="BP17">
        <f t="shared" si="8"/>
        <v>213</v>
      </c>
    </row>
    <row r="18" spans="1:68">
      <c r="A18">
        <f t="shared" si="1"/>
        <v>1986</v>
      </c>
      <c r="B18" s="29">
        <f t="shared" si="2"/>
        <v>0</v>
      </c>
      <c r="C18" s="29">
        <f t="shared" si="3"/>
        <v>0.58333333333333337</v>
      </c>
      <c r="D18" s="29">
        <f t="shared" si="4"/>
        <v>0.41666666666666669</v>
      </c>
      <c r="E18" s="29">
        <f t="shared" si="5"/>
        <v>0</v>
      </c>
      <c r="F18">
        <f t="shared" si="14"/>
        <v>24</v>
      </c>
      <c r="G18" s="29"/>
      <c r="H18" s="29"/>
      <c r="I18" s="29"/>
      <c r="J18" s="29"/>
      <c r="L18" s="29"/>
      <c r="M18" s="29"/>
      <c r="N18" s="29"/>
      <c r="O18" s="29"/>
      <c r="P18" s="29"/>
      <c r="Q18" s="29">
        <f t="shared" si="9"/>
        <v>0</v>
      </c>
      <c r="R18" s="29">
        <f t="shared" si="10"/>
        <v>0</v>
      </c>
      <c r="S18" s="29">
        <f t="shared" si="11"/>
        <v>0.68715083798882681</v>
      </c>
      <c r="T18" s="29">
        <f t="shared" si="12"/>
        <v>0.30726256983240224</v>
      </c>
      <c r="U18" s="29">
        <f t="shared" si="13"/>
        <v>5.5865921787709499E-3</v>
      </c>
      <c r="V18">
        <f t="shared" si="6"/>
        <v>179</v>
      </c>
      <c r="W18" s="29"/>
      <c r="X18" s="29"/>
      <c r="Y18" s="29"/>
      <c r="Z18" s="29"/>
      <c r="AA18" s="29"/>
      <c r="AC18" s="29"/>
      <c r="AD18" s="29"/>
      <c r="AE18" s="29"/>
      <c r="AF18" s="29"/>
      <c r="AG18" s="29"/>
      <c r="AH18" t="s">
        <v>65</v>
      </c>
      <c r="AM18" s="42"/>
      <c r="AN18">
        <v>14</v>
      </c>
      <c r="AO18">
        <v>10</v>
      </c>
      <c r="BA18">
        <v>123</v>
      </c>
      <c r="BB18">
        <v>55</v>
      </c>
      <c r="BC18">
        <v>1</v>
      </c>
      <c r="BD18">
        <f t="shared" si="7"/>
        <v>179</v>
      </c>
      <c r="BM18">
        <v>123</v>
      </c>
      <c r="BN18">
        <v>55</v>
      </c>
      <c r="BO18">
        <v>1</v>
      </c>
      <c r="BP18">
        <f t="shared" si="8"/>
        <v>179</v>
      </c>
    </row>
    <row r="19" spans="1:68">
      <c r="A19">
        <f t="shared" si="1"/>
        <v>1987</v>
      </c>
      <c r="B19" s="29">
        <f t="shared" si="2"/>
        <v>0</v>
      </c>
      <c r="C19" s="29">
        <f t="shared" si="3"/>
        <v>0.33333333333333331</v>
      </c>
      <c r="D19" s="29">
        <f t="shared" si="4"/>
        <v>0.58333333333333337</v>
      </c>
      <c r="E19" s="29">
        <f t="shared" si="5"/>
        <v>8.3333333333333329E-2</v>
      </c>
      <c r="F19">
        <f t="shared" si="14"/>
        <v>12</v>
      </c>
      <c r="G19" s="29"/>
      <c r="H19" s="29"/>
      <c r="I19" s="29"/>
      <c r="J19" s="29"/>
      <c r="L19" s="29"/>
      <c r="M19" s="29"/>
      <c r="N19" s="29"/>
      <c r="O19" s="29"/>
      <c r="P19" s="29"/>
      <c r="Q19" s="29">
        <f t="shared" si="9"/>
        <v>0</v>
      </c>
      <c r="R19" s="29">
        <f t="shared" si="10"/>
        <v>5.0761421319796954E-2</v>
      </c>
      <c r="S19" s="29">
        <f t="shared" si="11"/>
        <v>0.68527918781725883</v>
      </c>
      <c r="T19" s="29">
        <f t="shared" si="12"/>
        <v>0.24365482233502539</v>
      </c>
      <c r="U19" s="29">
        <f t="shared" si="13"/>
        <v>2.030456852791878E-2</v>
      </c>
      <c r="V19">
        <f t="shared" si="6"/>
        <v>197</v>
      </c>
      <c r="W19" s="29"/>
      <c r="X19" s="29"/>
      <c r="Y19" s="29"/>
      <c r="Z19" s="29"/>
      <c r="AA19" s="29"/>
      <c r="AC19" s="29"/>
      <c r="AD19" s="29"/>
      <c r="AE19" s="29"/>
      <c r="AF19" s="29"/>
      <c r="AG19" s="29"/>
      <c r="AH19" t="s">
        <v>75</v>
      </c>
      <c r="AM19" s="42"/>
      <c r="AN19">
        <v>4</v>
      </c>
      <c r="AO19">
        <v>7</v>
      </c>
      <c r="AP19">
        <v>1</v>
      </c>
      <c r="AZ19">
        <v>10</v>
      </c>
      <c r="BA19">
        <v>135</v>
      </c>
      <c r="BB19">
        <v>48</v>
      </c>
      <c r="BC19">
        <v>4</v>
      </c>
      <c r="BD19">
        <f t="shared" si="7"/>
        <v>197</v>
      </c>
      <c r="BL19">
        <v>10</v>
      </c>
      <c r="BM19">
        <v>135</v>
      </c>
      <c r="BN19">
        <v>48</v>
      </c>
      <c r="BO19">
        <v>4</v>
      </c>
      <c r="BP19">
        <f t="shared" si="8"/>
        <v>197</v>
      </c>
    </row>
    <row r="20" spans="1:68">
      <c r="A20">
        <f t="shared" si="1"/>
        <v>1988</v>
      </c>
      <c r="B20" s="29">
        <f>AM20/(AM20+AN20+AO20+AP20)</f>
        <v>0.18181818181818182</v>
      </c>
      <c r="C20" s="29">
        <f>AN20/(AM20+AN20+AO20+AP20)</f>
        <v>0.36363636363636365</v>
      </c>
      <c r="D20" s="29">
        <f>AO20/(AM20+AN20+AO20+AP20)</f>
        <v>0.45454545454545453</v>
      </c>
      <c r="E20" s="29">
        <f t="shared" si="5"/>
        <v>0</v>
      </c>
      <c r="F20">
        <f t="shared" si="14"/>
        <v>11</v>
      </c>
      <c r="G20" s="29"/>
      <c r="H20" s="29"/>
      <c r="I20" s="29"/>
      <c r="J20" s="29"/>
      <c r="L20" s="29"/>
      <c r="M20" s="29"/>
      <c r="N20" s="29"/>
      <c r="O20" s="29"/>
      <c r="P20" s="29"/>
      <c r="Q20" s="29">
        <f t="shared" si="9"/>
        <v>0</v>
      </c>
      <c r="R20" s="29">
        <f t="shared" si="10"/>
        <v>2.9520295202952029E-2</v>
      </c>
      <c r="S20" s="29">
        <f t="shared" si="11"/>
        <v>0.76014760147601479</v>
      </c>
      <c r="T20" s="29">
        <f t="shared" si="12"/>
        <v>0.20664206642066421</v>
      </c>
      <c r="U20" s="29">
        <f t="shared" si="13"/>
        <v>3.6900369003690036E-3</v>
      </c>
      <c r="V20">
        <f t="shared" si="6"/>
        <v>271</v>
      </c>
      <c r="W20" s="29"/>
      <c r="X20" s="29"/>
      <c r="Y20" s="29"/>
      <c r="Z20" s="29"/>
      <c r="AA20" s="29"/>
      <c r="AC20" s="29"/>
      <c r="AD20" s="29"/>
      <c r="AE20" s="29"/>
      <c r="AF20" s="29"/>
      <c r="AG20" s="29"/>
      <c r="AH20" t="s">
        <v>66</v>
      </c>
      <c r="AM20" s="42">
        <v>2</v>
      </c>
      <c r="AN20">
        <v>4</v>
      </c>
      <c r="AO20">
        <v>5</v>
      </c>
      <c r="AZ20">
        <v>8</v>
      </c>
      <c r="BA20">
        <v>206</v>
      </c>
      <c r="BB20">
        <v>56</v>
      </c>
      <c r="BC20">
        <v>1</v>
      </c>
      <c r="BD20">
        <f t="shared" si="7"/>
        <v>271</v>
      </c>
      <c r="BL20">
        <v>8</v>
      </c>
      <c r="BM20">
        <v>206</v>
      </c>
      <c r="BN20">
        <v>56</v>
      </c>
      <c r="BO20">
        <v>1</v>
      </c>
      <c r="BP20">
        <f t="shared" si="8"/>
        <v>271</v>
      </c>
    </row>
    <row r="21" spans="1:68">
      <c r="A21">
        <f t="shared" si="1"/>
        <v>1989</v>
      </c>
      <c r="B21" s="29">
        <f t="shared" si="2"/>
        <v>7.8947368421052627E-2</v>
      </c>
      <c r="C21" s="29">
        <f t="shared" si="3"/>
        <v>0.71052631578947367</v>
      </c>
      <c r="D21" s="29">
        <f t="shared" si="4"/>
        <v>0.21052631578947367</v>
      </c>
      <c r="E21" s="29">
        <f t="shared" si="5"/>
        <v>0</v>
      </c>
      <c r="F21">
        <f t="shared" si="14"/>
        <v>38</v>
      </c>
      <c r="G21" s="29">
        <f>AQ21/(AQ21+AR21+AS21+AT21)</f>
        <v>8.4337349397590355E-2</v>
      </c>
      <c r="H21" s="29">
        <f>AR21/(AQ21+AR21+AS21+AT21)</f>
        <v>0.71084337349397586</v>
      </c>
      <c r="I21" s="29">
        <f>AS21/(AQ21+AR21+AS21+AT21)</f>
        <v>0.20481927710843373</v>
      </c>
      <c r="J21" s="29">
        <f>AT21/(AQ21+AR21+AS21+AT21)</f>
        <v>0</v>
      </c>
      <c r="K21">
        <f>SUM(AQ21:AT21)</f>
        <v>83</v>
      </c>
      <c r="L21" s="29"/>
      <c r="M21" s="29"/>
      <c r="N21" s="29"/>
      <c r="O21" s="29"/>
      <c r="P21" s="29"/>
      <c r="Q21" s="29">
        <f t="shared" si="9"/>
        <v>0</v>
      </c>
      <c r="R21" s="29">
        <f t="shared" si="10"/>
        <v>0.31632653061224492</v>
      </c>
      <c r="S21" s="29">
        <f t="shared" si="11"/>
        <v>0.56122448979591832</v>
      </c>
      <c r="T21" s="29">
        <f t="shared" si="12"/>
        <v>0.12244897959183673</v>
      </c>
      <c r="U21" s="29">
        <f t="shared" si="13"/>
        <v>0</v>
      </c>
      <c r="V21">
        <f t="shared" si="6"/>
        <v>98</v>
      </c>
      <c r="W21" s="29"/>
      <c r="X21" s="29"/>
      <c r="Y21" s="29"/>
      <c r="Z21" s="29"/>
      <c r="AA21" s="29"/>
      <c r="AC21" s="29"/>
      <c r="AD21" s="29"/>
      <c r="AE21" s="29"/>
      <c r="AF21" s="29"/>
      <c r="AG21" s="29"/>
      <c r="AH21" t="s">
        <v>63</v>
      </c>
      <c r="AM21" s="42">
        <v>3</v>
      </c>
      <c r="AN21">
        <v>27</v>
      </c>
      <c r="AO21">
        <v>8</v>
      </c>
      <c r="AQ21">
        <v>7</v>
      </c>
      <c r="AR21">
        <v>59</v>
      </c>
      <c r="AS21">
        <v>17</v>
      </c>
      <c r="AZ21">
        <v>31</v>
      </c>
      <c r="BA21">
        <v>55</v>
      </c>
      <c r="BB21">
        <v>12</v>
      </c>
      <c r="BD21">
        <f t="shared" si="7"/>
        <v>98</v>
      </c>
      <c r="BL21">
        <v>31</v>
      </c>
      <c r="BM21">
        <v>55</v>
      </c>
      <c r="BN21">
        <v>12</v>
      </c>
      <c r="BP21">
        <f t="shared" si="8"/>
        <v>98</v>
      </c>
    </row>
    <row r="22" spans="1:68">
      <c r="A22">
        <f t="shared" si="1"/>
        <v>1990</v>
      </c>
      <c r="B22" s="29">
        <f t="shared" si="2"/>
        <v>0.16129032258064516</v>
      </c>
      <c r="C22" s="29">
        <f t="shared" si="3"/>
        <v>0.72043010752688175</v>
      </c>
      <c r="D22" s="29">
        <f t="shared" si="4"/>
        <v>0.11827956989247312</v>
      </c>
      <c r="E22" s="29">
        <f t="shared" si="5"/>
        <v>0</v>
      </c>
      <c r="F22">
        <f t="shared" si="14"/>
        <v>186</v>
      </c>
      <c r="G22" s="29"/>
      <c r="H22" s="29"/>
      <c r="I22" s="29"/>
      <c r="J22" s="29"/>
      <c r="L22" s="29"/>
      <c r="M22" s="29"/>
      <c r="N22" s="29"/>
      <c r="O22" s="29"/>
      <c r="P22" s="29"/>
      <c r="Q22" s="29">
        <f t="shared" si="9"/>
        <v>0</v>
      </c>
      <c r="R22" s="29">
        <f t="shared" si="10"/>
        <v>0.17727272727272728</v>
      </c>
      <c r="S22" s="29">
        <f t="shared" si="11"/>
        <v>0.65</v>
      </c>
      <c r="T22" s="29">
        <f t="shared" si="12"/>
        <v>0.16363636363636364</v>
      </c>
      <c r="U22" s="29">
        <f t="shared" si="13"/>
        <v>9.0909090909090905E-3</v>
      </c>
      <c r="V22">
        <f t="shared" si="6"/>
        <v>220</v>
      </c>
      <c r="W22" s="29"/>
      <c r="X22" s="29"/>
      <c r="Y22" s="29"/>
      <c r="Z22" s="29"/>
      <c r="AA22" s="29"/>
      <c r="AC22" s="29"/>
      <c r="AD22" s="29"/>
      <c r="AE22" s="29"/>
      <c r="AF22" s="29"/>
      <c r="AG22" s="29"/>
      <c r="AH22" t="s">
        <v>62</v>
      </c>
      <c r="AM22" s="42">
        <v>30</v>
      </c>
      <c r="AN22">
        <v>134</v>
      </c>
      <c r="AO22">
        <v>22</v>
      </c>
      <c r="AZ22">
        <v>39</v>
      </c>
      <c r="BA22">
        <v>143</v>
      </c>
      <c r="BB22">
        <v>36</v>
      </c>
      <c r="BC22">
        <v>2</v>
      </c>
      <c r="BD22">
        <f t="shared" si="7"/>
        <v>220</v>
      </c>
      <c r="BL22">
        <v>39</v>
      </c>
      <c r="BM22">
        <v>143</v>
      </c>
      <c r="BN22">
        <v>36</v>
      </c>
      <c r="BO22">
        <v>2</v>
      </c>
      <c r="BP22">
        <f t="shared" si="8"/>
        <v>220</v>
      </c>
    </row>
    <row r="23" spans="1:68">
      <c r="A23">
        <f t="shared" si="1"/>
        <v>1991</v>
      </c>
      <c r="B23" s="40">
        <f t="shared" si="2"/>
        <v>6.3291139240506328E-3</v>
      </c>
      <c r="C23" s="40">
        <f t="shared" si="3"/>
        <v>0.879746835443038</v>
      </c>
      <c r="D23" s="40">
        <f t="shared" si="4"/>
        <v>0.11392405063291139</v>
      </c>
      <c r="E23" s="29">
        <f t="shared" si="5"/>
        <v>0</v>
      </c>
      <c r="F23">
        <f t="shared" si="14"/>
        <v>158</v>
      </c>
      <c r="G23" s="29"/>
      <c r="H23" s="29"/>
      <c r="I23" s="29"/>
      <c r="J23" s="29"/>
      <c r="L23" s="29"/>
      <c r="M23" s="29"/>
      <c r="N23" s="29"/>
      <c r="O23" s="29"/>
      <c r="P23" s="29"/>
      <c r="Q23" s="29">
        <f t="shared" si="9"/>
        <v>0</v>
      </c>
      <c r="R23" s="29">
        <f t="shared" si="10"/>
        <v>0.11221945137157108</v>
      </c>
      <c r="S23" s="29">
        <f t="shared" si="11"/>
        <v>0.78802992518703241</v>
      </c>
      <c r="T23" s="29">
        <f t="shared" si="12"/>
        <v>9.9750623441396513E-2</v>
      </c>
      <c r="U23" s="29">
        <f t="shared" si="13"/>
        <v>0</v>
      </c>
      <c r="V23">
        <f t="shared" si="6"/>
        <v>401</v>
      </c>
      <c r="W23" s="29"/>
      <c r="X23" s="29"/>
      <c r="Y23" s="29"/>
      <c r="Z23" s="29"/>
      <c r="AA23" s="29"/>
      <c r="AC23" s="29"/>
      <c r="AD23" s="29"/>
      <c r="AE23" s="29"/>
      <c r="AF23" s="29"/>
      <c r="AG23" s="29"/>
      <c r="AH23" t="s">
        <v>170</v>
      </c>
      <c r="AM23" s="43">
        <v>1</v>
      </c>
      <c r="AN23" s="38">
        <v>139</v>
      </c>
      <c r="AO23" s="38">
        <v>18</v>
      </c>
      <c r="AZ23">
        <v>45</v>
      </c>
      <c r="BA23">
        <v>316</v>
      </c>
      <c r="BB23">
        <v>40</v>
      </c>
      <c r="BD23">
        <f t="shared" si="7"/>
        <v>401</v>
      </c>
      <c r="BL23">
        <v>45</v>
      </c>
      <c r="BM23">
        <v>316</v>
      </c>
      <c r="BN23">
        <v>40</v>
      </c>
      <c r="BP23">
        <f t="shared" si="8"/>
        <v>401</v>
      </c>
    </row>
    <row r="24" spans="1:68">
      <c r="A24">
        <f t="shared" si="1"/>
        <v>1992</v>
      </c>
      <c r="B24" s="29"/>
      <c r="C24" s="29"/>
      <c r="D24" s="29"/>
      <c r="E24" s="29"/>
      <c r="G24" s="29"/>
      <c r="H24" s="29"/>
      <c r="I24" s="29"/>
      <c r="J24" s="29"/>
      <c r="L24" s="29"/>
      <c r="M24" s="29"/>
      <c r="N24" s="29"/>
      <c r="O24" s="29"/>
      <c r="P24" s="29"/>
      <c r="Q24" s="29">
        <f t="shared" si="9"/>
        <v>0</v>
      </c>
      <c r="R24" s="29">
        <f t="shared" si="10"/>
        <v>1.2987012987012988E-2</v>
      </c>
      <c r="S24" s="29">
        <f t="shared" si="11"/>
        <v>0.72727272727272729</v>
      </c>
      <c r="T24" s="29">
        <f t="shared" si="12"/>
        <v>0.25974025974025972</v>
      </c>
      <c r="U24" s="29">
        <f t="shared" si="13"/>
        <v>0</v>
      </c>
      <c r="V24">
        <f t="shared" si="6"/>
        <v>77</v>
      </c>
      <c r="W24" s="29"/>
      <c r="X24" s="29"/>
      <c r="Y24" s="29"/>
      <c r="Z24" s="29"/>
      <c r="AA24" s="29"/>
      <c r="AC24" s="29"/>
      <c r="AD24" s="29"/>
      <c r="AE24" s="29"/>
      <c r="AF24" s="29"/>
      <c r="AG24" s="29"/>
      <c r="AH24" t="s">
        <v>129</v>
      </c>
      <c r="AM24" s="42"/>
      <c r="AZ24">
        <v>1</v>
      </c>
      <c r="BA24">
        <v>56</v>
      </c>
      <c r="BB24">
        <v>20</v>
      </c>
      <c r="BD24">
        <f t="shared" si="7"/>
        <v>77</v>
      </c>
      <c r="BL24">
        <v>1</v>
      </c>
      <c r="BM24">
        <v>56</v>
      </c>
      <c r="BN24">
        <v>20</v>
      </c>
      <c r="BP24">
        <f t="shared" si="8"/>
        <v>77</v>
      </c>
    </row>
    <row r="25" spans="1:68">
      <c r="A25">
        <f t="shared" si="1"/>
        <v>1993</v>
      </c>
      <c r="B25" s="29">
        <f t="shared" si="2"/>
        <v>0</v>
      </c>
      <c r="C25" s="29">
        <f t="shared" si="3"/>
        <v>0</v>
      </c>
      <c r="D25" s="40">
        <f t="shared" si="4"/>
        <v>1</v>
      </c>
      <c r="E25" s="29">
        <f t="shared" si="5"/>
        <v>0</v>
      </c>
      <c r="F25">
        <f>SUM(AM25:AP25)</f>
        <v>2</v>
      </c>
      <c r="G25" s="29"/>
      <c r="H25" s="29"/>
      <c r="I25" s="29"/>
      <c r="J25" s="29"/>
      <c r="L25" s="29"/>
      <c r="M25" s="29"/>
      <c r="N25" s="29"/>
      <c r="O25" s="29"/>
      <c r="P25" s="29"/>
      <c r="Q25" s="29">
        <f t="shared" si="9"/>
        <v>0</v>
      </c>
      <c r="R25" s="29">
        <f t="shared" si="10"/>
        <v>0</v>
      </c>
      <c r="S25" s="29">
        <f t="shared" si="11"/>
        <v>0.875</v>
      </c>
      <c r="T25" s="29">
        <f t="shared" si="12"/>
        <v>0.125</v>
      </c>
      <c r="U25" s="29">
        <f t="shared" si="13"/>
        <v>0</v>
      </c>
      <c r="V25">
        <f t="shared" si="6"/>
        <v>8</v>
      </c>
      <c r="W25" s="29"/>
      <c r="X25" s="29"/>
      <c r="Y25" s="29"/>
      <c r="Z25" s="29"/>
      <c r="AA25" s="29"/>
      <c r="AC25" s="46"/>
      <c r="AD25" s="46">
        <f>BL42</f>
        <v>6.2618182311531545E-2</v>
      </c>
      <c r="AE25" s="46">
        <f>BM42</f>
        <v>0.66352616164202827</v>
      </c>
      <c r="AF25" s="46">
        <f>BN42</f>
        <v>0.26756814508675325</v>
      </c>
      <c r="AG25" s="46"/>
      <c r="AH25" t="s">
        <v>170</v>
      </c>
      <c r="AM25" s="42"/>
      <c r="AO25" s="38">
        <v>2</v>
      </c>
      <c r="BA25">
        <v>7</v>
      </c>
      <c r="BB25">
        <v>1</v>
      </c>
      <c r="BD25">
        <f t="shared" si="7"/>
        <v>8</v>
      </c>
      <c r="BK25" s="33"/>
      <c r="BL25" s="33"/>
      <c r="BM25" s="33"/>
      <c r="BN25" s="33"/>
      <c r="BO25" s="33"/>
    </row>
    <row r="26" spans="1:68">
      <c r="A26">
        <f t="shared" si="1"/>
        <v>1994</v>
      </c>
      <c r="B26" s="29"/>
      <c r="C26" s="29"/>
      <c r="D26" s="29"/>
      <c r="E26" s="29"/>
      <c r="G26" s="29"/>
      <c r="H26" s="29"/>
      <c r="I26" s="29"/>
      <c r="J26" s="29"/>
      <c r="L26" s="29"/>
      <c r="M26" s="29"/>
      <c r="N26" s="29"/>
      <c r="O26" s="29"/>
      <c r="P26" s="29"/>
      <c r="Q26" s="29"/>
      <c r="R26" s="29"/>
      <c r="S26" s="29"/>
      <c r="T26" s="29"/>
      <c r="U26" s="29"/>
      <c r="W26" s="29"/>
      <c r="X26" s="29"/>
      <c r="Y26" s="29"/>
      <c r="Z26" s="29"/>
      <c r="AA26" s="29"/>
      <c r="AC26" s="46"/>
      <c r="AD26" s="46">
        <f>BL42</f>
        <v>6.2618182311531545E-2</v>
      </c>
      <c r="AE26" s="46">
        <f>BM42</f>
        <v>0.66352616164202827</v>
      </c>
      <c r="AF26" s="46">
        <f>BN42</f>
        <v>0.26756814508675325</v>
      </c>
      <c r="AG26" s="46"/>
      <c r="AM26" s="42"/>
      <c r="BK26" s="33"/>
      <c r="BL26" s="33"/>
      <c r="BM26" s="33"/>
      <c r="BN26" s="33"/>
      <c r="BO26" s="33"/>
    </row>
    <row r="27" spans="1:68">
      <c r="A27">
        <f t="shared" si="1"/>
        <v>1995</v>
      </c>
      <c r="B27" s="29"/>
      <c r="C27" s="29"/>
      <c r="D27" s="29"/>
      <c r="E27" s="29"/>
      <c r="G27" s="29"/>
      <c r="H27" s="29"/>
      <c r="I27" s="29"/>
      <c r="J27" s="29"/>
      <c r="L27" s="29"/>
      <c r="M27" s="29"/>
      <c r="N27" s="29"/>
      <c r="O27" s="29"/>
      <c r="P27" s="29"/>
      <c r="Q27" s="29"/>
      <c r="R27" s="29"/>
      <c r="S27" s="29"/>
      <c r="T27" s="29"/>
      <c r="U27" s="29"/>
      <c r="W27" s="29"/>
      <c r="X27" s="29"/>
      <c r="Y27" s="29"/>
      <c r="Z27" s="29"/>
      <c r="AA27" s="29"/>
      <c r="AC27" s="46"/>
      <c r="AD27" s="46">
        <f>BL42</f>
        <v>6.2618182311531545E-2</v>
      </c>
      <c r="AE27" s="46">
        <f>BM42</f>
        <v>0.66352616164202827</v>
      </c>
      <c r="AF27" s="46">
        <f>BN42</f>
        <v>0.26756814508675325</v>
      </c>
      <c r="AG27" s="46"/>
      <c r="AM27" s="42"/>
      <c r="BK27" s="33"/>
      <c r="BL27" s="33"/>
      <c r="BM27" s="33"/>
      <c r="BN27" s="33"/>
      <c r="BO27" s="33"/>
    </row>
    <row r="28" spans="1:68">
      <c r="A28">
        <f t="shared" si="1"/>
        <v>1996</v>
      </c>
      <c r="B28" s="29">
        <f t="shared" si="2"/>
        <v>0</v>
      </c>
      <c r="C28" s="29">
        <f t="shared" si="3"/>
        <v>0.83333333333333337</v>
      </c>
      <c r="D28" s="29">
        <f t="shared" si="4"/>
        <v>0</v>
      </c>
      <c r="E28" s="29">
        <f t="shared" si="5"/>
        <v>0.16666666666666666</v>
      </c>
      <c r="F28">
        <f>SUM(AM28:AP28)</f>
        <v>6</v>
      </c>
      <c r="G28" s="29"/>
      <c r="H28" s="29"/>
      <c r="I28" s="29"/>
      <c r="J28" s="29"/>
      <c r="L28" s="29"/>
      <c r="M28" s="29"/>
      <c r="N28" s="29"/>
      <c r="O28" s="29"/>
      <c r="P28" s="29"/>
      <c r="Q28" s="29"/>
      <c r="R28" s="29"/>
      <c r="S28" s="29"/>
      <c r="T28" s="29"/>
      <c r="U28" s="29"/>
      <c r="W28" s="29"/>
      <c r="X28" s="29"/>
      <c r="Y28" s="29"/>
      <c r="Z28" s="29"/>
      <c r="AA28" s="29"/>
      <c r="AC28" s="46"/>
      <c r="AD28" s="46">
        <f>BL42</f>
        <v>6.2618182311531545E-2</v>
      </c>
      <c r="AE28" s="46">
        <f>BM42</f>
        <v>0.66352616164202827</v>
      </c>
      <c r="AF28" s="46">
        <f>BN42</f>
        <v>0.26756814508675325</v>
      </c>
      <c r="AG28" s="46"/>
      <c r="AH28" t="s">
        <v>172</v>
      </c>
      <c r="AM28" s="42"/>
      <c r="AN28">
        <v>5</v>
      </c>
      <c r="AP28">
        <v>1</v>
      </c>
      <c r="BK28" s="33"/>
      <c r="BL28" s="33"/>
      <c r="BM28" s="33"/>
      <c r="BN28" s="33"/>
      <c r="BO28" s="33"/>
    </row>
    <row r="29" spans="1:68">
      <c r="A29">
        <f t="shared" si="1"/>
        <v>1997</v>
      </c>
      <c r="B29" s="29"/>
      <c r="C29" s="29"/>
      <c r="D29" s="29"/>
      <c r="E29" s="29"/>
      <c r="G29" s="29"/>
      <c r="H29" s="29"/>
      <c r="I29" s="29"/>
      <c r="J29" s="29"/>
      <c r="L29" s="29"/>
      <c r="M29" s="29"/>
      <c r="N29" s="29"/>
      <c r="O29" s="29"/>
      <c r="P29" s="29"/>
      <c r="Q29" s="29">
        <f t="shared" si="9"/>
        <v>0</v>
      </c>
      <c r="R29" s="29">
        <f t="shared" si="10"/>
        <v>9.0909090909090912E-2</v>
      </c>
      <c r="S29" s="29">
        <f t="shared" si="11"/>
        <v>0.54545454545454541</v>
      </c>
      <c r="T29" s="29">
        <f t="shared" si="12"/>
        <v>0.36363636363636365</v>
      </c>
      <c r="U29" s="29">
        <f t="shared" si="13"/>
        <v>0</v>
      </c>
      <c r="V29">
        <f>SUM(AY29:BC29)</f>
        <v>11</v>
      </c>
      <c r="W29" s="29">
        <f>BE29/(BE29+BF29+BG29+BH29+BI29)</f>
        <v>2.8571428571428571E-2</v>
      </c>
      <c r="X29" s="29">
        <f>BF29/(BE29+BF29+BG29+BH29+BI29)</f>
        <v>0.35714285714285715</v>
      </c>
      <c r="Y29" s="29">
        <f>BG29/(BE29+BF29+BG29+BH29+BI29)</f>
        <v>0.48571428571428571</v>
      </c>
      <c r="Z29" s="29">
        <f>BH29/(BE29+BF29+BG29+BH29+BI29)</f>
        <v>0.12857142857142856</v>
      </c>
      <c r="AA29" s="29">
        <f>BI29/(BE29+BF29+BG29+BH29+BI29)</f>
        <v>0</v>
      </c>
      <c r="AB29">
        <f>SUM(BE29:BI29)</f>
        <v>140</v>
      </c>
      <c r="AC29" s="29"/>
      <c r="AD29" s="29"/>
      <c r="AE29" s="29"/>
      <c r="AF29" s="29"/>
      <c r="AG29" s="29"/>
      <c r="AH29" t="s">
        <v>129</v>
      </c>
      <c r="AM29" s="42"/>
      <c r="AZ29">
        <v>1</v>
      </c>
      <c r="BA29">
        <v>6</v>
      </c>
      <c r="BB29">
        <v>4</v>
      </c>
      <c r="BD29">
        <f>SUM(AY29:BC29)</f>
        <v>11</v>
      </c>
      <c r="BE29">
        <v>4</v>
      </c>
      <c r="BF29">
        <v>50</v>
      </c>
      <c r="BG29">
        <v>68</v>
      </c>
      <c r="BH29">
        <v>18</v>
      </c>
      <c r="BJ29">
        <f>SUM(BE29:BI29)</f>
        <v>140</v>
      </c>
      <c r="BK29">
        <v>4</v>
      </c>
      <c r="BL29">
        <v>50</v>
      </c>
      <c r="BM29">
        <v>68</v>
      </c>
      <c r="BN29">
        <v>18</v>
      </c>
      <c r="BP29">
        <f>SUM(BK29:BO29)</f>
        <v>140</v>
      </c>
    </row>
    <row r="30" spans="1:68">
      <c r="A30">
        <f t="shared" si="1"/>
        <v>1998</v>
      </c>
      <c r="B30" s="40">
        <f t="shared" si="2"/>
        <v>0.05</v>
      </c>
      <c r="C30" s="40">
        <f t="shared" si="3"/>
        <v>0.45</v>
      </c>
      <c r="D30" s="40">
        <f t="shared" si="4"/>
        <v>0.45</v>
      </c>
      <c r="E30" s="40">
        <f t="shared" si="5"/>
        <v>0.05</v>
      </c>
      <c r="F30">
        <f>SUM(AM30:AP30)</f>
        <v>20</v>
      </c>
      <c r="G30" s="29"/>
      <c r="H30" s="29"/>
      <c r="I30" s="29"/>
      <c r="J30" s="29"/>
      <c r="L30" s="29"/>
      <c r="M30" s="29"/>
      <c r="N30" s="29"/>
      <c r="O30" s="29"/>
      <c r="P30" s="29"/>
      <c r="Q30" s="29">
        <f t="shared" si="9"/>
        <v>0</v>
      </c>
      <c r="R30" s="29">
        <f t="shared" si="10"/>
        <v>0.21052631578947367</v>
      </c>
      <c r="S30" s="29">
        <f t="shared" si="11"/>
        <v>0.36842105263157893</v>
      </c>
      <c r="T30" s="29">
        <f t="shared" si="12"/>
        <v>0.42105263157894735</v>
      </c>
      <c r="U30" s="29">
        <f t="shared" si="13"/>
        <v>0</v>
      </c>
      <c r="V30">
        <f>SUM(AY30:BC30)</f>
        <v>19</v>
      </c>
      <c r="W30" s="29"/>
      <c r="X30" s="29"/>
      <c r="Y30" s="29"/>
      <c r="Z30" s="29"/>
      <c r="AA30" s="29"/>
      <c r="AC30" s="46"/>
      <c r="AD30" s="46">
        <f>BL42</f>
        <v>6.2618182311531545E-2</v>
      </c>
      <c r="AE30" s="46">
        <f>BM42</f>
        <v>0.66352616164202827</v>
      </c>
      <c r="AF30" s="46">
        <f>BN42</f>
        <v>0.26756814508675325</v>
      </c>
      <c r="AG30" s="46"/>
      <c r="AH30" t="s">
        <v>170</v>
      </c>
      <c r="AM30" s="43">
        <v>1</v>
      </c>
      <c r="AN30" s="38">
        <v>9</v>
      </c>
      <c r="AO30" s="38">
        <v>9</v>
      </c>
      <c r="AP30" s="38">
        <v>1</v>
      </c>
      <c r="AZ30">
        <v>4</v>
      </c>
      <c r="BA30">
        <v>7</v>
      </c>
      <c r="BB30">
        <v>8</v>
      </c>
      <c r="BD30">
        <f t="shared" ref="BD30:BD38" si="15">SUM(AY30:BC30)</f>
        <v>19</v>
      </c>
      <c r="BK30" s="33"/>
      <c r="BL30" s="33"/>
      <c r="BM30" s="33"/>
      <c r="BN30" s="33"/>
      <c r="BO30" s="33"/>
    </row>
    <row r="31" spans="1:68">
      <c r="A31">
        <f t="shared" si="1"/>
        <v>1999</v>
      </c>
      <c r="B31" s="29"/>
      <c r="C31" s="29"/>
      <c r="D31" s="29"/>
      <c r="E31" s="29"/>
      <c r="G31" s="29"/>
      <c r="H31" s="29"/>
      <c r="I31" s="29"/>
      <c r="J31" s="29"/>
      <c r="L31" s="29"/>
      <c r="M31" s="29"/>
      <c r="N31" s="29"/>
      <c r="O31" s="29"/>
      <c r="P31" s="29"/>
      <c r="Q31" s="29">
        <f t="shared" si="9"/>
        <v>0</v>
      </c>
      <c r="R31" s="29">
        <f t="shared" si="10"/>
        <v>0.25233644859813081</v>
      </c>
      <c r="S31" s="29">
        <f t="shared" si="11"/>
        <v>0.58878504672897192</v>
      </c>
      <c r="T31" s="29">
        <f t="shared" si="12"/>
        <v>0.15887850467289719</v>
      </c>
      <c r="U31" s="29">
        <f t="shared" si="13"/>
        <v>0</v>
      </c>
      <c r="V31">
        <f>SUM(AY31:BC31)</f>
        <v>107</v>
      </c>
      <c r="W31" s="29"/>
      <c r="X31" s="29"/>
      <c r="Y31" s="29"/>
      <c r="Z31" s="29"/>
      <c r="AA31" s="29"/>
      <c r="AC31" s="29"/>
      <c r="AD31" s="29"/>
      <c r="AE31" s="29"/>
      <c r="AF31" s="29"/>
      <c r="AG31" s="29"/>
      <c r="AH31" t="s">
        <v>129</v>
      </c>
      <c r="AM31" s="42"/>
      <c r="AZ31">
        <v>27</v>
      </c>
      <c r="BA31">
        <v>63</v>
      </c>
      <c r="BB31">
        <v>17</v>
      </c>
      <c r="BD31">
        <f t="shared" si="15"/>
        <v>107</v>
      </c>
      <c r="BL31">
        <v>27</v>
      </c>
      <c r="BM31">
        <v>63</v>
      </c>
      <c r="BN31">
        <v>17</v>
      </c>
      <c r="BP31">
        <f>SUM(BK31:BO31)</f>
        <v>107</v>
      </c>
    </row>
    <row r="32" spans="1:68">
      <c r="A32">
        <f t="shared" si="1"/>
        <v>2000</v>
      </c>
      <c r="B32" s="29">
        <f t="shared" si="2"/>
        <v>0</v>
      </c>
      <c r="C32" s="29">
        <f t="shared" si="3"/>
        <v>0.70731707317073167</v>
      </c>
      <c r="D32" s="29">
        <f t="shared" si="4"/>
        <v>0.21951219512195122</v>
      </c>
      <c r="E32" s="29">
        <f t="shared" si="5"/>
        <v>7.3170731707317069E-2</v>
      </c>
      <c r="F32">
        <f>SUM(AM32:AP32)</f>
        <v>41</v>
      </c>
      <c r="G32" s="29"/>
      <c r="H32" s="29"/>
      <c r="I32" s="29"/>
      <c r="J32" s="29"/>
      <c r="L32" s="29"/>
      <c r="M32" s="29"/>
      <c r="N32" s="29"/>
      <c r="O32" s="29"/>
      <c r="P32" s="29"/>
      <c r="Q32" s="29"/>
      <c r="R32" s="29"/>
      <c r="S32" s="29"/>
      <c r="T32" s="29"/>
      <c r="U32" s="29"/>
      <c r="W32" s="29"/>
      <c r="X32" s="29"/>
      <c r="Y32" s="29"/>
      <c r="Z32" s="29"/>
      <c r="AA32" s="29"/>
      <c r="AC32" s="46"/>
      <c r="AD32" s="46">
        <f>BL42</f>
        <v>6.2618182311531545E-2</v>
      </c>
      <c r="AE32" s="46">
        <f>BM42</f>
        <v>0.66352616164202827</v>
      </c>
      <c r="AF32" s="46">
        <f>BN42</f>
        <v>0.26756814508675325</v>
      </c>
      <c r="AG32" s="46"/>
      <c r="AH32" t="s">
        <v>170</v>
      </c>
      <c r="AM32" s="42"/>
      <c r="AN32">
        <v>29</v>
      </c>
      <c r="AO32">
        <v>9</v>
      </c>
      <c r="AP32">
        <v>3</v>
      </c>
      <c r="BK32" s="33"/>
      <c r="BL32" s="33"/>
      <c r="BM32" s="33"/>
      <c r="BN32" s="33"/>
      <c r="BO32" s="33"/>
    </row>
    <row r="33" spans="1:68">
      <c r="A33">
        <f t="shared" si="1"/>
        <v>2001</v>
      </c>
      <c r="B33" s="29"/>
      <c r="C33" s="29"/>
      <c r="D33" s="29"/>
      <c r="E33" s="29"/>
      <c r="G33" s="29"/>
      <c r="H33" s="29"/>
      <c r="I33" s="29"/>
      <c r="J33" s="29"/>
      <c r="L33" s="29"/>
      <c r="M33" s="29"/>
      <c r="N33" s="29"/>
      <c r="O33" s="29"/>
      <c r="P33" s="29"/>
      <c r="Q33" s="29"/>
      <c r="R33" s="29"/>
      <c r="S33" s="29"/>
      <c r="T33" s="29"/>
      <c r="U33" s="29"/>
      <c r="W33" s="29"/>
      <c r="X33" s="29"/>
      <c r="Y33" s="29"/>
      <c r="Z33" s="29"/>
      <c r="AA33" s="29"/>
      <c r="AC33" s="46"/>
      <c r="AD33" s="46">
        <f>BL42</f>
        <v>6.2618182311531545E-2</v>
      </c>
      <c r="AE33" s="46">
        <f>BM42</f>
        <v>0.66352616164202827</v>
      </c>
      <c r="AF33" s="46">
        <f>BN42</f>
        <v>0.26756814508675325</v>
      </c>
      <c r="AG33" s="46"/>
      <c r="AM33" s="42"/>
      <c r="BK33" s="33"/>
      <c r="BL33" s="33"/>
      <c r="BM33" s="33"/>
      <c r="BN33" s="33"/>
      <c r="BO33" s="33"/>
    </row>
    <row r="34" spans="1:68">
      <c r="A34">
        <f t="shared" si="1"/>
        <v>2002</v>
      </c>
      <c r="B34" s="29"/>
      <c r="C34" s="29"/>
      <c r="D34" s="29"/>
      <c r="E34" s="29"/>
      <c r="G34" s="29"/>
      <c r="H34" s="29"/>
      <c r="I34" s="29"/>
      <c r="J34" s="29"/>
      <c r="L34" s="29"/>
      <c r="M34" s="29"/>
      <c r="N34" s="29"/>
      <c r="O34" s="29"/>
      <c r="P34" s="29"/>
      <c r="Q34" s="29"/>
      <c r="R34" s="29"/>
      <c r="S34" s="29"/>
      <c r="T34" s="29"/>
      <c r="U34" s="29"/>
      <c r="W34" s="29"/>
      <c r="X34" s="29"/>
      <c r="Y34" s="29"/>
      <c r="Z34" s="29"/>
      <c r="AA34" s="29"/>
      <c r="AC34" s="46"/>
      <c r="AD34" s="46">
        <f>BL42</f>
        <v>6.2618182311531545E-2</v>
      </c>
      <c r="AE34" s="46">
        <f>BM42</f>
        <v>0.66352616164202827</v>
      </c>
      <c r="AF34" s="46">
        <f>BN42</f>
        <v>0.26756814508675325</v>
      </c>
      <c r="AG34" s="46"/>
      <c r="AM34" s="42"/>
      <c r="BK34" s="33"/>
      <c r="BL34" s="33"/>
      <c r="BM34" s="33"/>
      <c r="BN34" s="33"/>
      <c r="BO34" s="33"/>
    </row>
    <row r="35" spans="1:68">
      <c r="A35">
        <f t="shared" si="1"/>
        <v>2003</v>
      </c>
      <c r="B35" s="29"/>
      <c r="C35" s="29"/>
      <c r="D35" s="29"/>
      <c r="E35" s="29"/>
      <c r="G35" s="29"/>
      <c r="H35" s="29"/>
      <c r="I35" s="29"/>
      <c r="J35" s="29"/>
      <c r="L35" s="29"/>
      <c r="M35" s="29"/>
      <c r="N35" s="29"/>
      <c r="O35" s="29"/>
      <c r="P35" s="29"/>
      <c r="Q35" s="29">
        <f t="shared" si="9"/>
        <v>0</v>
      </c>
      <c r="R35" s="29">
        <f t="shared" si="10"/>
        <v>6.5326633165829151E-2</v>
      </c>
      <c r="S35" s="29">
        <f t="shared" si="11"/>
        <v>0.59296482412060303</v>
      </c>
      <c r="T35" s="29">
        <f t="shared" si="12"/>
        <v>0.33165829145728642</v>
      </c>
      <c r="U35" s="29">
        <f t="shared" si="13"/>
        <v>1.0050251256281407E-2</v>
      </c>
      <c r="V35">
        <f>SUM(AY35:BC35)</f>
        <v>199</v>
      </c>
      <c r="W35" s="29"/>
      <c r="X35" s="29"/>
      <c r="Y35" s="29"/>
      <c r="Z35" s="29"/>
      <c r="AA35" s="29"/>
      <c r="AC35" s="29"/>
      <c r="AD35" s="29"/>
      <c r="AE35" s="29"/>
      <c r="AF35" s="29"/>
      <c r="AG35" s="29"/>
      <c r="AH35" t="s">
        <v>129</v>
      </c>
      <c r="AM35" s="42"/>
      <c r="AZ35">
        <v>13</v>
      </c>
      <c r="BA35">
        <v>118</v>
      </c>
      <c r="BB35">
        <v>66</v>
      </c>
      <c r="BC35">
        <v>2</v>
      </c>
      <c r="BD35">
        <f t="shared" si="15"/>
        <v>199</v>
      </c>
      <c r="BL35">
        <v>13</v>
      </c>
      <c r="BM35">
        <v>118</v>
      </c>
      <c r="BN35">
        <v>66</v>
      </c>
      <c r="BO35">
        <v>2</v>
      </c>
      <c r="BP35">
        <f>SUM(BK35:BO35)</f>
        <v>199</v>
      </c>
    </row>
    <row r="36" spans="1:68">
      <c r="A36">
        <f t="shared" si="1"/>
        <v>2004</v>
      </c>
      <c r="B36" s="29"/>
      <c r="C36" s="29"/>
      <c r="D36" s="29"/>
      <c r="E36" s="29"/>
      <c r="G36" s="29"/>
      <c r="H36" s="29"/>
      <c r="I36" s="29"/>
      <c r="J36" s="29"/>
      <c r="L36" s="29"/>
      <c r="M36" s="29"/>
      <c r="N36" s="29"/>
      <c r="O36" s="29"/>
      <c r="P36" s="29"/>
      <c r="Q36" s="29"/>
      <c r="R36" s="29"/>
      <c r="S36" s="29"/>
      <c r="T36" s="29"/>
      <c r="U36" s="29"/>
      <c r="W36" s="29"/>
      <c r="X36" s="29"/>
      <c r="Y36" s="29"/>
      <c r="Z36" s="29"/>
      <c r="AA36" s="29"/>
      <c r="AC36" s="46"/>
      <c r="AD36" s="46">
        <f>BL$42</f>
        <v>6.2618182311531545E-2</v>
      </c>
      <c r="AE36" s="46">
        <f>BM$42</f>
        <v>0.66352616164202827</v>
      </c>
      <c r="AF36" s="46">
        <f>BN$42</f>
        <v>0.26756814508675325</v>
      </c>
      <c r="AG36" s="46"/>
      <c r="AH36" t="s">
        <v>128</v>
      </c>
      <c r="AM36" s="42"/>
      <c r="BK36" s="33"/>
      <c r="BL36" s="33"/>
      <c r="BM36" s="33"/>
      <c r="BN36" s="33"/>
      <c r="BO36" s="33"/>
    </row>
    <row r="37" spans="1:68">
      <c r="A37">
        <f t="shared" si="1"/>
        <v>2005</v>
      </c>
      <c r="B37" s="29"/>
      <c r="C37" s="29"/>
      <c r="D37" s="29"/>
      <c r="E37" s="29"/>
      <c r="G37" s="29"/>
      <c r="H37" s="29"/>
      <c r="I37" s="29"/>
      <c r="J37" s="29"/>
      <c r="L37" s="29"/>
      <c r="M37" s="29"/>
      <c r="N37" s="29"/>
      <c r="O37" s="29"/>
      <c r="P37" s="29"/>
      <c r="Q37" s="29">
        <f t="shared" si="9"/>
        <v>1.1976047904191617E-2</v>
      </c>
      <c r="R37" s="29">
        <f t="shared" si="10"/>
        <v>7.1856287425149698E-2</v>
      </c>
      <c r="S37" s="29">
        <f t="shared" si="11"/>
        <v>0.49700598802395207</v>
      </c>
      <c r="T37" s="29">
        <f t="shared" si="12"/>
        <v>0.3772455089820359</v>
      </c>
      <c r="U37" s="29">
        <f t="shared" si="13"/>
        <v>4.1916167664670656E-2</v>
      </c>
      <c r="V37">
        <f>SUM(AY37:BC37)</f>
        <v>167</v>
      </c>
      <c r="W37" s="110">
        <v>0.11</v>
      </c>
      <c r="X37" s="110">
        <v>0.14000000000000001</v>
      </c>
      <c r="Y37" s="111" t="s">
        <v>270</v>
      </c>
      <c r="Z37" s="111" t="s">
        <v>271</v>
      </c>
      <c r="AA37" s="111" t="s">
        <v>272</v>
      </c>
      <c r="AB37" s="111">
        <v>36</v>
      </c>
      <c r="AC37" s="29"/>
      <c r="AD37" s="29"/>
      <c r="AE37" s="29"/>
      <c r="AF37" s="29"/>
      <c r="AG37" s="29"/>
      <c r="AH37" t="s">
        <v>129</v>
      </c>
      <c r="AM37" s="42"/>
      <c r="AY37">
        <v>2</v>
      </c>
      <c r="AZ37">
        <v>12</v>
      </c>
      <c r="BA37">
        <v>83</v>
      </c>
      <c r="BB37">
        <v>63</v>
      </c>
      <c r="BC37">
        <v>7</v>
      </c>
      <c r="BD37">
        <f t="shared" si="15"/>
        <v>167</v>
      </c>
      <c r="BK37">
        <v>2</v>
      </c>
      <c r="BL37">
        <v>12</v>
      </c>
      <c r="BM37">
        <v>83</v>
      </c>
      <c r="BN37">
        <v>63</v>
      </c>
      <c r="BO37">
        <v>7</v>
      </c>
      <c r="BP37">
        <f>SUM(BK37:BO37)</f>
        <v>167</v>
      </c>
    </row>
    <row r="38" spans="1:68">
      <c r="A38">
        <f t="shared" si="1"/>
        <v>2006</v>
      </c>
      <c r="B38" s="29"/>
      <c r="C38" s="29"/>
      <c r="D38" s="29"/>
      <c r="E38" s="29"/>
      <c r="G38" s="29"/>
      <c r="H38" s="29"/>
      <c r="I38" s="29"/>
      <c r="J38" s="29"/>
      <c r="L38" s="29"/>
      <c r="M38" s="29"/>
      <c r="N38" s="29"/>
      <c r="O38" s="29"/>
      <c r="P38" s="29"/>
      <c r="Q38" s="29">
        <f t="shared" si="9"/>
        <v>0</v>
      </c>
      <c r="R38" s="29">
        <f t="shared" si="10"/>
        <v>1.7543859649122806E-2</v>
      </c>
      <c r="S38" s="29">
        <f t="shared" si="11"/>
        <v>0.77192982456140347</v>
      </c>
      <c r="T38" s="29">
        <f t="shared" si="12"/>
        <v>0.19298245614035087</v>
      </c>
      <c r="U38" s="29">
        <f t="shared" si="13"/>
        <v>1.7543859649122806E-2</v>
      </c>
      <c r="V38">
        <f>SUM(AY38:BC38)</f>
        <v>57</v>
      </c>
      <c r="W38" s="112"/>
      <c r="X38" s="112"/>
      <c r="Y38" s="112"/>
      <c r="Z38" s="112"/>
      <c r="AA38" s="112"/>
      <c r="AB38" s="112"/>
      <c r="AC38" s="29"/>
      <c r="AD38" s="29"/>
      <c r="AE38" s="29"/>
      <c r="AF38" s="29"/>
      <c r="AG38" s="29"/>
      <c r="AH38" t="s">
        <v>129</v>
      </c>
      <c r="AM38" s="42"/>
      <c r="AZ38">
        <v>1</v>
      </c>
      <c r="BA38">
        <v>44</v>
      </c>
      <c r="BB38">
        <v>11</v>
      </c>
      <c r="BC38">
        <v>1</v>
      </c>
      <c r="BD38">
        <f t="shared" si="15"/>
        <v>57</v>
      </c>
      <c r="BL38">
        <v>1</v>
      </c>
      <c r="BM38">
        <v>44</v>
      </c>
      <c r="BN38">
        <v>11</v>
      </c>
      <c r="BO38">
        <v>1</v>
      </c>
      <c r="BP38">
        <f>SUM(BK38:BO38)</f>
        <v>57</v>
      </c>
    </row>
    <row r="39" spans="1:68">
      <c r="A39">
        <v>2007</v>
      </c>
      <c r="R39" s="29">
        <v>0.15</v>
      </c>
      <c r="S39" s="29">
        <v>0.45</v>
      </c>
      <c r="T39" s="29">
        <v>0.43</v>
      </c>
      <c r="U39" s="29">
        <v>0.02</v>
      </c>
      <c r="W39" s="111" t="s">
        <v>273</v>
      </c>
      <c r="X39" s="111" t="s">
        <v>274</v>
      </c>
      <c r="Y39" s="111" t="s">
        <v>275</v>
      </c>
      <c r="Z39" s="111" t="s">
        <v>276</v>
      </c>
      <c r="AA39" s="111" t="s">
        <v>277</v>
      </c>
      <c r="AB39" s="111">
        <v>112</v>
      </c>
      <c r="AC39" s="46"/>
      <c r="AD39" s="46">
        <f>BL$42</f>
        <v>6.2618182311531545E-2</v>
      </c>
      <c r="AE39" s="46">
        <f>BM$42</f>
        <v>0.66352616164202827</v>
      </c>
      <c r="AF39" s="46">
        <f>BN$42</f>
        <v>0.26756814508675325</v>
      </c>
      <c r="AG39" s="46"/>
      <c r="AH39" s="44" t="s">
        <v>251</v>
      </c>
    </row>
    <row r="40" spans="1:68">
      <c r="A40">
        <v>2008</v>
      </c>
      <c r="Q40" s="112" t="s">
        <v>299</v>
      </c>
      <c r="R40" s="112" t="s">
        <v>300</v>
      </c>
      <c r="S40" s="112" t="s">
        <v>301</v>
      </c>
      <c r="T40" s="112" t="s">
        <v>300</v>
      </c>
      <c r="U40" s="112" t="s">
        <v>281</v>
      </c>
      <c r="V40" s="115">
        <v>39</v>
      </c>
      <c r="W40" s="112" t="s">
        <v>278</v>
      </c>
      <c r="X40" s="112" t="s">
        <v>279</v>
      </c>
      <c r="Y40" s="112" t="s">
        <v>280</v>
      </c>
      <c r="Z40" s="112" t="s">
        <v>273</v>
      </c>
      <c r="AA40" s="112" t="s">
        <v>281</v>
      </c>
      <c r="AB40" s="113">
        <v>157</v>
      </c>
      <c r="AC40" s="46"/>
      <c r="AD40" s="46">
        <f t="shared" ref="AD40:AD46" si="16">BL$42</f>
        <v>6.2618182311531545E-2</v>
      </c>
      <c r="AE40" s="46">
        <f t="shared" ref="AE40:AE46" si="17">BM$42</f>
        <v>0.66352616164202827</v>
      </c>
      <c r="AF40" s="46">
        <f t="shared" ref="AF40:AF46" si="18">BN$42</f>
        <v>0.26756814508675325</v>
      </c>
      <c r="AG40" s="46"/>
      <c r="AH40" s="44" t="s">
        <v>251</v>
      </c>
    </row>
    <row r="41" spans="1:68">
      <c r="A41">
        <v>2009</v>
      </c>
      <c r="Q41" s="112" t="s">
        <v>302</v>
      </c>
      <c r="R41" s="112" t="s">
        <v>303</v>
      </c>
      <c r="S41" s="112" t="s">
        <v>304</v>
      </c>
      <c r="T41" s="112" t="s">
        <v>294</v>
      </c>
      <c r="U41" s="112" t="s">
        <v>281</v>
      </c>
      <c r="V41" s="112" t="s">
        <v>305</v>
      </c>
      <c r="W41" s="112" t="s">
        <v>282</v>
      </c>
      <c r="X41" s="112" t="s">
        <v>283</v>
      </c>
      <c r="Y41" s="112" t="s">
        <v>284</v>
      </c>
      <c r="Z41" s="112" t="s">
        <v>285</v>
      </c>
      <c r="AA41" s="112" t="s">
        <v>282</v>
      </c>
      <c r="AB41" s="113">
        <v>178</v>
      </c>
      <c r="AC41" s="46"/>
      <c r="AD41" s="46">
        <f t="shared" si="16"/>
        <v>6.2618182311531545E-2</v>
      </c>
      <c r="AE41" s="46">
        <f t="shared" si="17"/>
        <v>0.66352616164202827</v>
      </c>
      <c r="AF41" s="46">
        <f t="shared" si="18"/>
        <v>0.26756814508675325</v>
      </c>
      <c r="AG41" s="46"/>
      <c r="AH41" s="44" t="s">
        <v>251</v>
      </c>
      <c r="BK41">
        <f>SUMPRODUCT(BK6:BK38,BP6:BP38)/SUM(BP6:BP38)</f>
        <v>0.19991055456171736</v>
      </c>
      <c r="BL41">
        <f>SUMPRODUCT(BL6:BL38,BP6:BP38)/SUM(BP6:BP38)</f>
        <v>16.513193202146692</v>
      </c>
      <c r="BM41">
        <f>SUMPRODUCT(BM6:BM38,BP6:BP38)/SUM(BP6:BP38)</f>
        <v>174.98009838998212</v>
      </c>
      <c r="BN41">
        <f>SUMPRODUCT(BN6:BN38,BP6:BP38)/SUM(BP6:BP38)</f>
        <v>70.561046511627907</v>
      </c>
      <c r="BO41">
        <f>SUMPRODUCT(BO6:BO38,BP6:BP38)/SUM(BP6:BP38)</f>
        <v>1.4581842576028623</v>
      </c>
      <c r="BP41">
        <f>SUM(BK41:BO41)</f>
        <v>263.71243291592128</v>
      </c>
    </row>
    <row r="42" spans="1:68">
      <c r="A42">
        <v>2010</v>
      </c>
      <c r="Q42" s="116">
        <v>0.11</v>
      </c>
      <c r="R42" s="116">
        <v>0.04</v>
      </c>
      <c r="S42" s="116">
        <v>0.73</v>
      </c>
      <c r="T42" s="116">
        <v>0.12</v>
      </c>
      <c r="U42" s="117">
        <v>0</v>
      </c>
      <c r="V42" s="118">
        <v>64</v>
      </c>
      <c r="W42" s="112" t="s">
        <v>281</v>
      </c>
      <c r="X42" s="112" t="s">
        <v>278</v>
      </c>
      <c r="Y42" s="112" t="s">
        <v>286</v>
      </c>
      <c r="Z42" s="112" t="s">
        <v>287</v>
      </c>
      <c r="AA42" s="112" t="s">
        <v>288</v>
      </c>
      <c r="AB42" s="113">
        <v>54</v>
      </c>
      <c r="AC42" s="46"/>
      <c r="AD42" s="46">
        <f t="shared" si="16"/>
        <v>6.2618182311531545E-2</v>
      </c>
      <c r="AE42" s="46">
        <f t="shared" si="17"/>
        <v>0.66352616164202827</v>
      </c>
      <c r="AF42" s="46">
        <f t="shared" si="18"/>
        <v>0.26756814508675325</v>
      </c>
      <c r="AG42" s="46"/>
      <c r="AH42" s="44" t="s">
        <v>251</v>
      </c>
      <c r="BK42" s="29">
        <f>BK41/BP41</f>
        <v>7.5806268347406391E-4</v>
      </c>
      <c r="BL42" s="29">
        <f>BL41/BP41</f>
        <v>6.2618182311531545E-2</v>
      </c>
      <c r="BM42" s="29">
        <f>BM41/BP41</f>
        <v>0.66352616164202827</v>
      </c>
      <c r="BN42" s="29">
        <f>BN41/BP41</f>
        <v>0.26756814508675325</v>
      </c>
      <c r="BO42" s="29">
        <f>BO41/BP41</f>
        <v>5.5294482762129433E-3</v>
      </c>
    </row>
    <row r="43" spans="1:68">
      <c r="A43">
        <v>2011</v>
      </c>
      <c r="Q43" s="119"/>
      <c r="R43" s="119"/>
      <c r="S43" s="112" t="s">
        <v>306</v>
      </c>
      <c r="T43" s="112" t="s">
        <v>307</v>
      </c>
      <c r="U43" s="115"/>
      <c r="V43" s="112" t="s">
        <v>308</v>
      </c>
      <c r="W43" s="112" t="s">
        <v>281</v>
      </c>
      <c r="X43" s="112" t="s">
        <v>273</v>
      </c>
      <c r="Y43" s="112" t="s">
        <v>289</v>
      </c>
      <c r="Z43" s="112" t="s">
        <v>290</v>
      </c>
      <c r="AA43" s="112" t="s">
        <v>281</v>
      </c>
      <c r="AB43" s="113">
        <v>56</v>
      </c>
      <c r="AC43" s="46"/>
      <c r="AD43" s="46">
        <f t="shared" si="16"/>
        <v>6.2618182311531545E-2</v>
      </c>
      <c r="AE43" s="46">
        <f t="shared" si="17"/>
        <v>0.66352616164202827</v>
      </c>
      <c r="AF43" s="46">
        <f t="shared" si="18"/>
        <v>0.26756814508675325</v>
      </c>
      <c r="AG43" s="46"/>
      <c r="AH43" s="44" t="s">
        <v>251</v>
      </c>
    </row>
    <row r="44" spans="1:68">
      <c r="A44">
        <v>2012</v>
      </c>
      <c r="Q44" s="112" t="s">
        <v>281</v>
      </c>
      <c r="R44" s="112" t="s">
        <v>278</v>
      </c>
      <c r="S44" s="112" t="s">
        <v>309</v>
      </c>
      <c r="T44" s="112" t="s">
        <v>294</v>
      </c>
      <c r="U44" s="112" t="s">
        <v>281</v>
      </c>
      <c r="V44" s="112" t="s">
        <v>310</v>
      </c>
      <c r="W44" s="111">
        <v>0</v>
      </c>
      <c r="X44" s="111" t="s">
        <v>283</v>
      </c>
      <c r="Y44" s="111" t="s">
        <v>291</v>
      </c>
      <c r="Z44" s="111" t="s">
        <v>271</v>
      </c>
      <c r="AA44" s="111" t="s">
        <v>282</v>
      </c>
      <c r="AB44" s="111">
        <v>263</v>
      </c>
      <c r="AC44" s="46"/>
      <c r="AD44" s="46">
        <f t="shared" si="16"/>
        <v>6.2618182311531545E-2</v>
      </c>
      <c r="AE44" s="46">
        <f t="shared" si="17"/>
        <v>0.66352616164202827</v>
      </c>
      <c r="AF44" s="46">
        <f t="shared" si="18"/>
        <v>0.26756814508675325</v>
      </c>
      <c r="AG44" s="46"/>
      <c r="AH44" s="44" t="s">
        <v>251</v>
      </c>
    </row>
    <row r="45" spans="1:68">
      <c r="A45">
        <v>2013</v>
      </c>
      <c r="Q45" s="120"/>
      <c r="R45" s="120"/>
      <c r="S45" s="120"/>
      <c r="T45" s="120"/>
      <c r="U45" s="120"/>
      <c r="V45" s="120"/>
      <c r="W45" s="111">
        <v>0</v>
      </c>
      <c r="X45" s="111" t="s">
        <v>292</v>
      </c>
      <c r="Y45" s="111" t="s">
        <v>293</v>
      </c>
      <c r="Z45" s="111" t="s">
        <v>287</v>
      </c>
      <c r="AA45" s="111" t="s">
        <v>288</v>
      </c>
      <c r="AB45" s="111">
        <v>305</v>
      </c>
      <c r="AC45" s="46"/>
      <c r="AD45" s="46">
        <f t="shared" si="16"/>
        <v>6.2618182311531545E-2</v>
      </c>
      <c r="AE45" s="46">
        <f t="shared" si="17"/>
        <v>0.66352616164202827</v>
      </c>
      <c r="AF45" s="46">
        <f t="shared" si="18"/>
        <v>0.26756814508675325</v>
      </c>
      <c r="AG45" s="46"/>
      <c r="AH45" s="44" t="s">
        <v>251</v>
      </c>
      <c r="AM45" s="44"/>
    </row>
    <row r="46" spans="1:68">
      <c r="A46">
        <v>2014</v>
      </c>
      <c r="Q46" s="116">
        <v>7.0000000000000007E-2</v>
      </c>
      <c r="R46" s="116">
        <v>0.31</v>
      </c>
      <c r="S46" s="116">
        <v>0.55000000000000004</v>
      </c>
      <c r="T46" s="116">
        <v>7.0000000000000007E-2</v>
      </c>
      <c r="U46" s="117">
        <v>0</v>
      </c>
      <c r="V46" s="118">
        <v>29</v>
      </c>
      <c r="W46" s="110">
        <v>0</v>
      </c>
      <c r="X46" s="110">
        <v>0.51</v>
      </c>
      <c r="Y46" s="111" t="s">
        <v>294</v>
      </c>
      <c r="Z46" s="111" t="s">
        <v>295</v>
      </c>
      <c r="AA46" s="111" t="s">
        <v>272</v>
      </c>
      <c r="AB46" s="114">
        <v>33</v>
      </c>
      <c r="AC46" s="46"/>
      <c r="AD46" s="46">
        <f t="shared" si="16"/>
        <v>6.2618182311531545E-2</v>
      </c>
      <c r="AE46" s="46">
        <f t="shared" si="17"/>
        <v>0.66352616164202827</v>
      </c>
      <c r="AF46" s="46">
        <f t="shared" si="18"/>
        <v>0.26756814508675325</v>
      </c>
      <c r="AG46" s="46"/>
      <c r="AH46" s="44" t="s">
        <v>251</v>
      </c>
    </row>
    <row r="47" spans="1:68">
      <c r="A47">
        <v>2015</v>
      </c>
      <c r="Q47" s="44"/>
      <c r="R47" s="44"/>
      <c r="S47" s="44"/>
      <c r="T47" s="44"/>
      <c r="U47" s="44"/>
      <c r="V47" s="44"/>
      <c r="W47" s="112" t="s">
        <v>272</v>
      </c>
      <c r="X47" s="112" t="s">
        <v>288</v>
      </c>
      <c r="Y47" s="112" t="s">
        <v>296</v>
      </c>
      <c r="Z47" s="112" t="s">
        <v>297</v>
      </c>
      <c r="AA47" s="112">
        <v>0</v>
      </c>
      <c r="AB47" s="112">
        <v>100</v>
      </c>
    </row>
    <row r="48" spans="1:68">
      <c r="Q48" s="117">
        <v>0</v>
      </c>
      <c r="R48" s="116">
        <v>0.04</v>
      </c>
      <c r="S48" s="116">
        <v>0.52</v>
      </c>
      <c r="T48" s="116">
        <v>0.44</v>
      </c>
      <c r="U48" s="117">
        <v>0</v>
      </c>
      <c r="V48" s="118">
        <v>23</v>
      </c>
      <c r="W48" s="110">
        <v>0</v>
      </c>
      <c r="X48" s="110">
        <v>0.05</v>
      </c>
      <c r="Y48" s="111" t="s">
        <v>298</v>
      </c>
      <c r="Z48" s="111" t="s">
        <v>290</v>
      </c>
      <c r="AA48" s="111">
        <v>0</v>
      </c>
      <c r="AB48" s="114">
        <v>244</v>
      </c>
    </row>
    <row r="50" spans="2:3">
      <c r="B50" s="7"/>
      <c r="C50" t="s">
        <v>165</v>
      </c>
    </row>
    <row r="51" spans="2:3">
      <c r="B51" s="4"/>
      <c r="C51" t="s">
        <v>166</v>
      </c>
    </row>
    <row r="52" spans="2:3">
      <c r="B52" s="34"/>
      <c r="C52" t="s">
        <v>167</v>
      </c>
    </row>
    <row r="53" spans="2:3">
      <c r="B53" s="39"/>
      <c r="C53" t="s">
        <v>171</v>
      </c>
    </row>
    <row r="54" spans="2:3">
      <c r="B54" s="33"/>
      <c r="C54" t="s">
        <v>188</v>
      </c>
    </row>
  </sheetData>
  <phoneticPr fontId="3" type="noConversion"/>
  <pageMargins left="0.75" right="0.75" top="1" bottom="1" header="0.5" footer="0.5"/>
  <headerFooter alignWithMargins="0"/>
  <ignoredErrors>
    <ignoredError sqref="V9" formulaRange="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8"/>
  <sheetViews>
    <sheetView zoomScale="75" workbookViewId="0">
      <selection activeCell="D32" sqref="D32"/>
    </sheetView>
  </sheetViews>
  <sheetFormatPr defaultColWidth="8" defaultRowHeight="13.2"/>
  <cols>
    <col min="1" max="1" width="14.88671875" style="13" customWidth="1"/>
    <col min="2" max="2" width="4.88671875" style="13" bestFit="1" customWidth="1"/>
    <col min="3" max="3" width="4.109375" style="13" bestFit="1" customWidth="1"/>
    <col min="4" max="4" width="4.88671875" style="13" customWidth="1"/>
    <col min="5" max="5" width="8.109375" style="13" customWidth="1"/>
    <col min="6" max="6" width="4" style="13" bestFit="1" customWidth="1"/>
    <col min="7" max="16384" width="8" style="13"/>
  </cols>
  <sheetData>
    <row r="1" spans="1:7">
      <c r="A1" s="11" t="s">
        <v>78</v>
      </c>
      <c r="B1" s="12"/>
      <c r="C1" s="12"/>
      <c r="D1" s="12"/>
      <c r="E1" s="12"/>
    </row>
    <row r="2" spans="1:7">
      <c r="A2" s="11" t="s">
        <v>79</v>
      </c>
      <c r="B2" s="12"/>
      <c r="C2" s="12"/>
      <c r="D2" s="12"/>
      <c r="E2" s="12"/>
    </row>
    <row r="3" spans="1:7">
      <c r="A3" s="11"/>
      <c r="B3" s="12"/>
      <c r="C3" s="12"/>
      <c r="D3" s="12"/>
      <c r="E3" s="12"/>
    </row>
    <row r="4" spans="1:7">
      <c r="A4" s="11" t="s">
        <v>7</v>
      </c>
      <c r="B4" s="130">
        <v>2003</v>
      </c>
      <c r="C4" s="130"/>
      <c r="D4" s="130">
        <v>2003</v>
      </c>
      <c r="E4" s="130"/>
      <c r="F4" s="130">
        <v>2003</v>
      </c>
      <c r="G4" s="130"/>
    </row>
    <row r="5" spans="1:7">
      <c r="A5" s="11" t="s">
        <v>80</v>
      </c>
      <c r="B5" s="131" t="s">
        <v>81</v>
      </c>
      <c r="C5" s="131"/>
      <c r="D5" s="131" t="s">
        <v>82</v>
      </c>
      <c r="E5" s="131"/>
      <c r="F5" s="131" t="s">
        <v>83</v>
      </c>
      <c r="G5" s="131"/>
    </row>
    <row r="6" spans="1:7">
      <c r="A6" s="14" t="s">
        <v>84</v>
      </c>
      <c r="B6" s="132" t="s">
        <v>85</v>
      </c>
      <c r="C6" s="132"/>
      <c r="D6" s="132" t="s">
        <v>85</v>
      </c>
      <c r="E6" s="132"/>
      <c r="F6" s="132" t="s">
        <v>85</v>
      </c>
      <c r="G6" s="132"/>
    </row>
    <row r="7" spans="1:7">
      <c r="A7" s="12" t="s">
        <v>86</v>
      </c>
      <c r="B7" s="130">
        <v>64</v>
      </c>
      <c r="C7" s="130"/>
      <c r="D7" s="130">
        <v>14</v>
      </c>
      <c r="E7" s="130"/>
      <c r="F7" s="130">
        <v>16</v>
      </c>
      <c r="G7" s="130"/>
    </row>
    <row r="8" spans="1:7">
      <c r="A8" s="12" t="s">
        <v>87</v>
      </c>
      <c r="B8" s="15">
        <v>0.06</v>
      </c>
      <c r="C8" s="16">
        <v>0.35</v>
      </c>
      <c r="D8" s="15">
        <v>0.22</v>
      </c>
      <c r="E8" s="16">
        <v>1.21</v>
      </c>
      <c r="F8" s="15">
        <v>0.2</v>
      </c>
      <c r="G8" s="16">
        <v>1.01</v>
      </c>
    </row>
    <row r="9" spans="1:7">
      <c r="A9" s="12" t="s">
        <v>88</v>
      </c>
      <c r="B9" s="15">
        <v>1.77</v>
      </c>
      <c r="C9" s="16">
        <v>2.95</v>
      </c>
      <c r="D9" s="15">
        <v>0.48</v>
      </c>
      <c r="E9" s="16">
        <v>1.68</v>
      </c>
      <c r="F9" s="15">
        <v>0.42</v>
      </c>
      <c r="G9" s="16">
        <v>1.55</v>
      </c>
    </row>
    <row r="10" spans="1:7">
      <c r="A10" s="12" t="s">
        <v>89</v>
      </c>
      <c r="B10" s="15">
        <v>0.28000000000000003</v>
      </c>
      <c r="C10" s="16">
        <v>0.82</v>
      </c>
      <c r="D10" s="15">
        <v>0.53</v>
      </c>
      <c r="E10" s="16">
        <v>1.87</v>
      </c>
      <c r="F10" s="15">
        <v>0.52</v>
      </c>
      <c r="G10" s="16">
        <v>1.82</v>
      </c>
    </row>
    <row r="11" spans="1:7">
      <c r="A11" s="12" t="s">
        <v>90</v>
      </c>
      <c r="B11" s="15">
        <v>0.1</v>
      </c>
      <c r="C11" s="16">
        <v>0.42</v>
      </c>
      <c r="D11" s="15">
        <v>0.39</v>
      </c>
      <c r="E11" s="16">
        <v>1.53</v>
      </c>
      <c r="F11" s="15">
        <v>0.34</v>
      </c>
      <c r="G11" s="16">
        <v>1.37</v>
      </c>
    </row>
    <row r="12" spans="1:7">
      <c r="A12" s="12" t="s">
        <v>91</v>
      </c>
      <c r="B12" s="15">
        <v>0.02</v>
      </c>
      <c r="C12" s="16">
        <v>0.18</v>
      </c>
      <c r="D12" s="15">
        <v>0.12</v>
      </c>
      <c r="E12" s="16">
        <v>0.99</v>
      </c>
      <c r="F12" s="15">
        <v>0.15</v>
      </c>
      <c r="G12" s="16">
        <v>1.07</v>
      </c>
    </row>
    <row r="13" spans="1:7">
      <c r="A13" s="12" t="s">
        <v>92</v>
      </c>
      <c r="B13" s="15">
        <v>0.03</v>
      </c>
      <c r="C13" s="16">
        <v>0.23</v>
      </c>
      <c r="D13" s="15">
        <v>0.13</v>
      </c>
      <c r="E13" s="16">
        <v>0.92</v>
      </c>
      <c r="F13" s="15">
        <v>0.13</v>
      </c>
      <c r="G13" s="16">
        <v>0.93</v>
      </c>
    </row>
    <row r="14" spans="1:7">
      <c r="A14" s="12" t="s">
        <v>93</v>
      </c>
      <c r="B14" s="15">
        <v>1.58</v>
      </c>
      <c r="C14" s="16">
        <v>1.63</v>
      </c>
      <c r="D14" s="15">
        <v>0.61</v>
      </c>
      <c r="E14" s="16">
        <v>1.98</v>
      </c>
      <c r="F14" s="15">
        <v>0.53</v>
      </c>
      <c r="G14" s="16">
        <v>1.75</v>
      </c>
    </row>
    <row r="15" spans="1:7">
      <c r="A15" s="12" t="s">
        <v>94</v>
      </c>
      <c r="B15" s="15">
        <v>1.44</v>
      </c>
      <c r="C15" s="16">
        <v>2.71</v>
      </c>
      <c r="D15" s="15">
        <v>0.1</v>
      </c>
      <c r="E15" s="16">
        <v>0.76</v>
      </c>
      <c r="F15" s="15">
        <v>1.66</v>
      </c>
      <c r="G15" s="16">
        <v>6.09</v>
      </c>
    </row>
    <row r="16" spans="1:7">
      <c r="A16" s="12" t="s">
        <v>95</v>
      </c>
      <c r="B16" s="15">
        <v>1.24</v>
      </c>
      <c r="C16" s="16">
        <v>1.53</v>
      </c>
      <c r="D16" s="15">
        <v>5.07</v>
      </c>
      <c r="E16" s="16">
        <v>6.57</v>
      </c>
      <c r="F16" s="15">
        <v>0.39</v>
      </c>
      <c r="G16" s="16">
        <v>1.59</v>
      </c>
    </row>
    <row r="17" spans="1:7">
      <c r="A17" s="12" t="s">
        <v>96</v>
      </c>
      <c r="B17" s="15">
        <v>0.45</v>
      </c>
      <c r="C17" s="16">
        <v>1.07</v>
      </c>
      <c r="D17" s="15">
        <v>0.2</v>
      </c>
      <c r="E17" s="16">
        <v>1.04</v>
      </c>
      <c r="F17" s="15">
        <v>0.21</v>
      </c>
      <c r="G17" s="16">
        <v>1.1100000000000001</v>
      </c>
    </row>
    <row r="18" spans="1:7">
      <c r="A18" s="12" t="s">
        <v>97</v>
      </c>
      <c r="B18" s="15">
        <v>0.03</v>
      </c>
      <c r="C18" s="16">
        <v>0.21</v>
      </c>
      <c r="D18" s="15">
        <v>0.13</v>
      </c>
      <c r="E18" s="16">
        <v>0.89</v>
      </c>
      <c r="F18" s="15">
        <v>0.11</v>
      </c>
      <c r="G18" s="16">
        <v>0.79</v>
      </c>
    </row>
    <row r="19" spans="1:7">
      <c r="A19" s="12" t="s">
        <v>98</v>
      </c>
      <c r="B19" s="15">
        <v>0.01</v>
      </c>
      <c r="C19" s="16">
        <v>0.1</v>
      </c>
      <c r="D19" s="15">
        <v>0.03</v>
      </c>
      <c r="E19" s="16">
        <v>0.46</v>
      </c>
      <c r="F19" s="15">
        <v>0.03</v>
      </c>
      <c r="G19" s="16">
        <v>0.41</v>
      </c>
    </row>
    <row r="20" spans="1:7">
      <c r="A20" s="12" t="s">
        <v>99</v>
      </c>
      <c r="B20" s="15">
        <v>1.63</v>
      </c>
      <c r="C20" s="16">
        <v>1.57</v>
      </c>
      <c r="D20" s="15">
        <v>0.31</v>
      </c>
      <c r="E20" s="16">
        <v>1.3</v>
      </c>
      <c r="F20" s="15">
        <v>11.35</v>
      </c>
      <c r="G20" s="16">
        <v>7.94</v>
      </c>
    </row>
    <row r="21" spans="1:7">
      <c r="A21" s="12" t="s">
        <v>100</v>
      </c>
      <c r="B21" s="15">
        <v>0.19</v>
      </c>
      <c r="C21" s="16">
        <v>0.66</v>
      </c>
      <c r="D21" s="15">
        <v>0.64</v>
      </c>
      <c r="E21" s="16">
        <v>2.1</v>
      </c>
      <c r="F21" s="15">
        <v>1.19</v>
      </c>
      <c r="G21" s="16">
        <v>3.65</v>
      </c>
    </row>
    <row r="22" spans="1:7">
      <c r="A22" s="12" t="s">
        <v>101</v>
      </c>
      <c r="B22" s="15">
        <v>84.92</v>
      </c>
      <c r="C22" s="16">
        <v>5.46</v>
      </c>
      <c r="D22" s="15">
        <v>86.59</v>
      </c>
      <c r="E22" s="16">
        <v>9.7899999999999991</v>
      </c>
      <c r="F22" s="15">
        <v>67.98</v>
      </c>
      <c r="G22" s="16">
        <v>13.45</v>
      </c>
    </row>
    <row r="23" spans="1:7">
      <c r="A23" s="12" t="s">
        <v>102</v>
      </c>
      <c r="B23" s="15">
        <v>0.08</v>
      </c>
      <c r="C23" s="16">
        <v>0.37</v>
      </c>
      <c r="D23" s="15">
        <v>2.42</v>
      </c>
      <c r="E23" s="16">
        <v>4.88</v>
      </c>
      <c r="F23" s="15">
        <v>10.47</v>
      </c>
      <c r="G23" s="16">
        <v>11.52</v>
      </c>
    </row>
    <row r="24" spans="1:7">
      <c r="A24" s="12" t="s">
        <v>103</v>
      </c>
      <c r="B24" s="15">
        <v>0.12</v>
      </c>
      <c r="C24" s="16">
        <v>0.43</v>
      </c>
      <c r="D24" s="15">
        <v>0.87</v>
      </c>
      <c r="E24" s="16">
        <v>2.85</v>
      </c>
      <c r="F24" s="15">
        <v>0.9</v>
      </c>
      <c r="G24" s="16">
        <v>2.91</v>
      </c>
    </row>
    <row r="25" spans="1:7">
      <c r="A25" s="12" t="s">
        <v>104</v>
      </c>
      <c r="B25" s="15">
        <v>4.55</v>
      </c>
      <c r="C25" s="16">
        <v>2.99</v>
      </c>
      <c r="D25" s="15">
        <v>0.39</v>
      </c>
      <c r="E25" s="16">
        <v>1.74</v>
      </c>
      <c r="F25" s="15">
        <v>2.4500000000000002</v>
      </c>
      <c r="G25" s="16">
        <v>4.84</v>
      </c>
    </row>
    <row r="26" spans="1:7">
      <c r="A26" s="12" t="s">
        <v>105</v>
      </c>
      <c r="B26" s="15">
        <v>1.08</v>
      </c>
      <c r="C26" s="16">
        <v>1.6</v>
      </c>
      <c r="D26" s="15">
        <v>0.15</v>
      </c>
      <c r="E26" s="16">
        <v>0.91</v>
      </c>
      <c r="F26" s="15">
        <v>0.17</v>
      </c>
      <c r="G26" s="16">
        <v>1.01</v>
      </c>
    </row>
    <row r="27" spans="1:7">
      <c r="A27" s="12" t="s">
        <v>106</v>
      </c>
      <c r="B27" s="15">
        <v>0.4</v>
      </c>
      <c r="C27" s="16">
        <v>1.01</v>
      </c>
      <c r="D27" s="15">
        <v>0.62</v>
      </c>
      <c r="E27" s="16">
        <v>1.97</v>
      </c>
      <c r="F27" s="15">
        <v>0.82</v>
      </c>
      <c r="G27" s="16">
        <v>2.4900000000000002</v>
      </c>
    </row>
    <row r="28" spans="1:7">
      <c r="B28" s="17"/>
    </row>
  </sheetData>
  <mergeCells count="12">
    <mergeCell ref="F4:G4"/>
    <mergeCell ref="F5:G5"/>
    <mergeCell ref="F6:G6"/>
    <mergeCell ref="F7:G7"/>
    <mergeCell ref="B6:C6"/>
    <mergeCell ref="D6:E6"/>
    <mergeCell ref="B7:C7"/>
    <mergeCell ref="D7:E7"/>
    <mergeCell ref="B4:C4"/>
    <mergeCell ref="D4:E4"/>
    <mergeCell ref="B5:C5"/>
    <mergeCell ref="D5:E5"/>
  </mergeCells>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73"/>
  <sheetViews>
    <sheetView topLeftCell="A19" zoomScale="75" workbookViewId="0">
      <selection activeCell="A53" sqref="A53"/>
    </sheetView>
  </sheetViews>
  <sheetFormatPr defaultColWidth="8" defaultRowHeight="13.2"/>
  <cols>
    <col min="1" max="1" width="2.6640625" style="13" bestFit="1" customWidth="1"/>
    <col min="2" max="2" width="4.44140625" style="13" bestFit="1" customWidth="1"/>
    <col min="3" max="3" width="12.109375" style="13" bestFit="1" customWidth="1"/>
    <col min="4" max="4" width="2.6640625" style="13" bestFit="1" customWidth="1"/>
    <col min="5" max="5" width="8" style="13" customWidth="1"/>
    <col min="6" max="6" width="12.109375" style="13" bestFit="1" customWidth="1"/>
    <col min="7" max="7" width="7.109375" style="13" customWidth="1"/>
    <col min="8" max="9" width="8" style="13" customWidth="1"/>
    <col min="10" max="10" width="12.109375" style="13" bestFit="1" customWidth="1"/>
    <col min="11" max="11" width="9.6640625" style="13" customWidth="1"/>
    <col min="12" max="16384" width="8" style="13"/>
  </cols>
  <sheetData>
    <row r="1" spans="1:14">
      <c r="A1" s="133">
        <v>2003</v>
      </c>
      <c r="B1" s="133"/>
      <c r="C1" s="133"/>
      <c r="D1" s="133"/>
      <c r="E1" s="133">
        <v>2003</v>
      </c>
      <c r="F1" s="133"/>
      <c r="G1" s="133"/>
      <c r="H1" s="133"/>
      <c r="I1" s="133">
        <v>2003</v>
      </c>
      <c r="J1" s="133"/>
      <c r="K1" s="133"/>
      <c r="L1" s="133"/>
    </row>
    <row r="2" spans="1:14">
      <c r="A2" s="134" t="s">
        <v>107</v>
      </c>
      <c r="B2" s="134"/>
      <c r="C2" s="134"/>
      <c r="D2" s="134"/>
      <c r="E2" s="134" t="s">
        <v>82</v>
      </c>
      <c r="F2" s="134"/>
      <c r="G2" s="134"/>
      <c r="H2" s="134"/>
      <c r="I2" s="134" t="s">
        <v>83</v>
      </c>
      <c r="J2" s="134"/>
      <c r="K2" s="134"/>
      <c r="L2" s="134"/>
    </row>
    <row r="3" spans="1:14">
      <c r="A3" s="133" t="s">
        <v>85</v>
      </c>
      <c r="B3" s="133"/>
      <c r="C3" s="133"/>
      <c r="D3" s="133"/>
      <c r="E3" s="133" t="s">
        <v>85</v>
      </c>
      <c r="F3" s="133"/>
      <c r="G3" s="133"/>
      <c r="H3" s="133"/>
      <c r="I3" s="133" t="s">
        <v>85</v>
      </c>
      <c r="J3" s="133"/>
      <c r="K3" s="133"/>
      <c r="L3" s="133"/>
    </row>
    <row r="4" spans="1:14">
      <c r="A4" s="133">
        <v>64</v>
      </c>
      <c r="B4" s="133"/>
      <c r="C4" s="133"/>
      <c r="D4" s="133"/>
      <c r="E4" s="133">
        <v>14</v>
      </c>
      <c r="F4" s="133"/>
      <c r="G4" s="133"/>
      <c r="H4" s="133"/>
      <c r="I4" s="133">
        <v>16</v>
      </c>
      <c r="J4" s="133"/>
      <c r="K4" s="133"/>
      <c r="L4" s="133"/>
    </row>
    <row r="5" spans="1:14">
      <c r="A5" s="18" t="s">
        <v>108</v>
      </c>
      <c r="B5" s="18" t="s">
        <v>109</v>
      </c>
      <c r="C5" s="18" t="s">
        <v>10</v>
      </c>
      <c r="D5" s="18"/>
      <c r="E5" s="18" t="s">
        <v>108</v>
      </c>
      <c r="F5" s="18" t="s">
        <v>109</v>
      </c>
      <c r="G5" s="18" t="s">
        <v>10</v>
      </c>
      <c r="H5" s="18"/>
      <c r="I5" s="18" t="s">
        <v>108</v>
      </c>
      <c r="J5" s="18" t="s">
        <v>109</v>
      </c>
      <c r="K5" s="18" t="s">
        <v>10</v>
      </c>
      <c r="L5" s="18"/>
    </row>
    <row r="6" spans="1:14">
      <c r="A6" s="13">
        <v>1</v>
      </c>
      <c r="B6" s="13">
        <v>1</v>
      </c>
      <c r="C6" s="13" t="s">
        <v>110</v>
      </c>
      <c r="D6" s="13">
        <v>15</v>
      </c>
      <c r="E6" s="13">
        <v>1</v>
      </c>
      <c r="F6" s="11">
        <v>0.75</v>
      </c>
      <c r="G6" s="11" t="s">
        <v>111</v>
      </c>
      <c r="H6" s="13">
        <v>15</v>
      </c>
      <c r="I6" s="13">
        <v>1</v>
      </c>
      <c r="J6" s="13">
        <v>1</v>
      </c>
      <c r="K6" s="13" t="s">
        <v>112</v>
      </c>
      <c r="L6" s="13">
        <v>15</v>
      </c>
    </row>
    <row r="7" spans="1:14">
      <c r="A7" s="13">
        <v>2</v>
      </c>
      <c r="B7" s="13">
        <v>1</v>
      </c>
      <c r="C7" s="13" t="s">
        <v>113</v>
      </c>
      <c r="D7" s="13">
        <v>15</v>
      </c>
      <c r="E7" s="13">
        <v>2</v>
      </c>
      <c r="F7" s="13">
        <v>0.99</v>
      </c>
      <c r="G7" s="13" t="s">
        <v>110</v>
      </c>
      <c r="H7" s="13">
        <v>15</v>
      </c>
      <c r="I7" s="13">
        <v>2</v>
      </c>
      <c r="J7" s="13">
        <v>1</v>
      </c>
      <c r="K7" s="13" t="s">
        <v>112</v>
      </c>
      <c r="L7" s="13">
        <v>15</v>
      </c>
    </row>
    <row r="8" spans="1:14">
      <c r="A8" s="13">
        <v>3</v>
      </c>
      <c r="B8" s="13">
        <v>0.96</v>
      </c>
      <c r="C8" s="13" t="s">
        <v>110</v>
      </c>
      <c r="D8" s="13">
        <v>15</v>
      </c>
      <c r="E8" s="13">
        <v>3</v>
      </c>
      <c r="F8" s="13">
        <v>1</v>
      </c>
      <c r="G8" s="13" t="s">
        <v>113</v>
      </c>
      <c r="H8" s="13">
        <v>15</v>
      </c>
      <c r="I8" s="13">
        <v>3</v>
      </c>
      <c r="J8" s="13">
        <v>0.59</v>
      </c>
      <c r="K8" s="13" t="s">
        <v>114</v>
      </c>
      <c r="L8" s="13">
        <v>16</v>
      </c>
    </row>
    <row r="9" spans="1:14">
      <c r="A9" s="13">
        <v>4</v>
      </c>
      <c r="B9" s="13">
        <v>1</v>
      </c>
      <c r="C9" s="13" t="s">
        <v>110</v>
      </c>
      <c r="D9" s="13">
        <v>15</v>
      </c>
      <c r="E9" s="13">
        <v>4</v>
      </c>
      <c r="F9" s="13">
        <v>1</v>
      </c>
      <c r="G9" s="13" t="s">
        <v>110</v>
      </c>
      <c r="H9" s="13">
        <v>15</v>
      </c>
      <c r="I9" s="13">
        <v>4</v>
      </c>
      <c r="J9" s="13">
        <v>1</v>
      </c>
      <c r="K9" s="13" t="s">
        <v>112</v>
      </c>
      <c r="L9" s="13">
        <v>15</v>
      </c>
    </row>
    <row r="10" spans="1:14">
      <c r="A10" s="13">
        <v>5</v>
      </c>
      <c r="B10" s="13">
        <v>1</v>
      </c>
      <c r="C10" s="13" t="s">
        <v>110</v>
      </c>
      <c r="D10" s="13">
        <v>15</v>
      </c>
      <c r="E10" s="13">
        <v>5</v>
      </c>
      <c r="F10" s="11">
        <v>0.9</v>
      </c>
      <c r="G10" s="11" t="s">
        <v>111</v>
      </c>
      <c r="H10" s="13">
        <v>15</v>
      </c>
      <c r="I10" s="13">
        <v>5</v>
      </c>
      <c r="J10" s="13">
        <v>0.96</v>
      </c>
      <c r="K10" s="13" t="s">
        <v>112</v>
      </c>
      <c r="L10" s="13">
        <v>15</v>
      </c>
    </row>
    <row r="11" spans="1:14">
      <c r="A11" s="13">
        <v>6</v>
      </c>
      <c r="B11" s="13">
        <v>1</v>
      </c>
      <c r="C11" s="13" t="s">
        <v>113</v>
      </c>
      <c r="D11" s="13">
        <v>15</v>
      </c>
      <c r="E11" s="13">
        <v>6</v>
      </c>
      <c r="F11" s="11">
        <v>0.98</v>
      </c>
      <c r="G11" s="11" t="s">
        <v>111</v>
      </c>
      <c r="H11" s="13">
        <v>15</v>
      </c>
      <c r="I11" s="13">
        <v>6</v>
      </c>
      <c r="J11" s="13">
        <v>0.43</v>
      </c>
      <c r="K11" s="13" t="s">
        <v>110</v>
      </c>
      <c r="L11" s="13">
        <v>15</v>
      </c>
    </row>
    <row r="12" spans="1:14">
      <c r="A12" s="13">
        <v>7</v>
      </c>
      <c r="B12" s="13">
        <v>1</v>
      </c>
      <c r="C12" s="13" t="s">
        <v>110</v>
      </c>
      <c r="D12" s="13">
        <v>15</v>
      </c>
      <c r="E12" s="13">
        <v>7</v>
      </c>
      <c r="F12" s="13">
        <v>0.99</v>
      </c>
      <c r="G12" s="13" t="s">
        <v>110</v>
      </c>
      <c r="H12" s="13">
        <v>15</v>
      </c>
      <c r="I12" s="13">
        <v>7</v>
      </c>
      <c r="J12" s="11">
        <v>0.94</v>
      </c>
      <c r="K12" s="11" t="s">
        <v>111</v>
      </c>
      <c r="L12" s="13">
        <v>15</v>
      </c>
    </row>
    <row r="13" spans="1:14">
      <c r="A13" s="13">
        <v>8</v>
      </c>
      <c r="B13" s="13">
        <v>1</v>
      </c>
      <c r="C13" s="13" t="s">
        <v>113</v>
      </c>
      <c r="D13" s="13">
        <v>15</v>
      </c>
      <c r="E13" s="13">
        <v>8</v>
      </c>
      <c r="F13" s="13">
        <v>0.82</v>
      </c>
      <c r="G13" s="13" t="s">
        <v>115</v>
      </c>
      <c r="H13" s="13">
        <v>15</v>
      </c>
      <c r="I13" s="13">
        <v>8</v>
      </c>
      <c r="J13" s="13">
        <v>1</v>
      </c>
      <c r="K13" s="13" t="s">
        <v>113</v>
      </c>
      <c r="L13" s="13">
        <v>15</v>
      </c>
    </row>
    <row r="14" spans="1:14">
      <c r="A14" s="13">
        <v>9</v>
      </c>
      <c r="B14" s="13">
        <v>1</v>
      </c>
      <c r="C14" s="13" t="s">
        <v>110</v>
      </c>
      <c r="D14" s="13">
        <v>15</v>
      </c>
      <c r="E14" s="13">
        <v>9</v>
      </c>
      <c r="F14" s="13">
        <v>1</v>
      </c>
      <c r="G14" s="13" t="s">
        <v>113</v>
      </c>
      <c r="H14" s="13">
        <v>15</v>
      </c>
      <c r="I14" s="13">
        <v>9</v>
      </c>
      <c r="J14" s="13">
        <v>0.39</v>
      </c>
      <c r="K14" s="13" t="s">
        <v>116</v>
      </c>
      <c r="L14" s="13">
        <v>13</v>
      </c>
    </row>
    <row r="15" spans="1:14">
      <c r="A15" s="13">
        <v>10</v>
      </c>
      <c r="B15" s="13">
        <v>0.25</v>
      </c>
      <c r="C15" s="13" t="s">
        <v>112</v>
      </c>
      <c r="D15" s="13">
        <v>15</v>
      </c>
      <c r="E15" s="13">
        <v>10</v>
      </c>
      <c r="F15" s="13">
        <v>1</v>
      </c>
      <c r="G15" s="13" t="s">
        <v>113</v>
      </c>
      <c r="H15" s="13">
        <v>15</v>
      </c>
      <c r="I15" s="13">
        <v>10</v>
      </c>
      <c r="J15" s="13">
        <v>0.5</v>
      </c>
      <c r="K15" s="13" t="s">
        <v>114</v>
      </c>
      <c r="L15" s="13">
        <v>16</v>
      </c>
    </row>
    <row r="16" spans="1:14">
      <c r="A16" s="13">
        <v>11</v>
      </c>
      <c r="B16" s="11">
        <v>0.96</v>
      </c>
      <c r="C16" s="11" t="s">
        <v>111</v>
      </c>
      <c r="D16" s="13">
        <v>15</v>
      </c>
      <c r="E16" s="13">
        <v>11</v>
      </c>
      <c r="F16" s="13">
        <v>0.46</v>
      </c>
      <c r="G16" s="13" t="s">
        <v>117</v>
      </c>
      <c r="H16" s="13">
        <v>15</v>
      </c>
      <c r="I16" s="13">
        <v>11</v>
      </c>
      <c r="J16" s="13">
        <v>0.44</v>
      </c>
      <c r="K16" s="13" t="s">
        <v>116</v>
      </c>
      <c r="L16" s="13">
        <v>13</v>
      </c>
      <c r="N16" s="11"/>
    </row>
    <row r="17" spans="1:12">
      <c r="A17" s="13">
        <v>12</v>
      </c>
      <c r="B17" s="13">
        <v>1</v>
      </c>
      <c r="C17" s="13" t="s">
        <v>110</v>
      </c>
      <c r="D17" s="13">
        <v>15</v>
      </c>
      <c r="E17" s="13">
        <v>12</v>
      </c>
      <c r="F17" s="13">
        <v>1</v>
      </c>
      <c r="G17" s="13" t="s">
        <v>113</v>
      </c>
      <c r="H17" s="13">
        <v>15</v>
      </c>
      <c r="I17" s="13">
        <v>12</v>
      </c>
      <c r="J17" s="13">
        <v>0.75</v>
      </c>
      <c r="K17" s="13" t="s">
        <v>110</v>
      </c>
      <c r="L17" s="13">
        <v>15</v>
      </c>
    </row>
    <row r="18" spans="1:12">
      <c r="A18" s="13">
        <v>13</v>
      </c>
      <c r="B18" s="13">
        <v>1</v>
      </c>
      <c r="C18" s="13" t="s">
        <v>110</v>
      </c>
      <c r="D18" s="13">
        <v>15</v>
      </c>
      <c r="E18" s="13">
        <v>13</v>
      </c>
      <c r="F18" s="13">
        <v>1</v>
      </c>
      <c r="G18" s="13" t="s">
        <v>113</v>
      </c>
      <c r="H18" s="13">
        <v>15</v>
      </c>
      <c r="I18" s="13">
        <v>13</v>
      </c>
      <c r="J18" s="13">
        <v>1</v>
      </c>
      <c r="K18" s="13" t="s">
        <v>112</v>
      </c>
      <c r="L18" s="13">
        <v>15</v>
      </c>
    </row>
    <row r="19" spans="1:12">
      <c r="A19" s="13">
        <v>14</v>
      </c>
      <c r="B19" s="13">
        <v>1</v>
      </c>
      <c r="C19" s="13" t="s">
        <v>115</v>
      </c>
      <c r="D19" s="13">
        <v>15</v>
      </c>
      <c r="E19" s="13">
        <v>14</v>
      </c>
      <c r="F19" s="13">
        <v>0.65</v>
      </c>
      <c r="G19" s="13" t="s">
        <v>118</v>
      </c>
      <c r="H19" s="13">
        <v>9</v>
      </c>
      <c r="I19" s="13">
        <v>14</v>
      </c>
      <c r="J19" s="13">
        <v>0.97</v>
      </c>
      <c r="K19" s="13" t="s">
        <v>119</v>
      </c>
      <c r="L19" s="13">
        <v>15</v>
      </c>
    </row>
    <row r="20" spans="1:12">
      <c r="A20" s="13">
        <v>15</v>
      </c>
      <c r="B20" s="13">
        <v>1</v>
      </c>
      <c r="C20" s="13" t="s">
        <v>113</v>
      </c>
      <c r="D20" s="13">
        <v>15</v>
      </c>
      <c r="I20" s="13">
        <v>15</v>
      </c>
      <c r="J20" s="13">
        <v>0.77</v>
      </c>
      <c r="K20" s="13" t="s">
        <v>110</v>
      </c>
      <c r="L20" s="13">
        <v>15</v>
      </c>
    </row>
    <row r="21" spans="1:12">
      <c r="A21" s="13">
        <v>16</v>
      </c>
      <c r="B21" s="11">
        <v>0.98</v>
      </c>
      <c r="C21" s="11" t="s">
        <v>111</v>
      </c>
      <c r="D21" s="13">
        <v>15</v>
      </c>
      <c r="I21" s="13">
        <v>16</v>
      </c>
      <c r="J21" s="13">
        <v>0.69</v>
      </c>
      <c r="K21" s="13" t="s">
        <v>119</v>
      </c>
      <c r="L21" s="13">
        <v>15</v>
      </c>
    </row>
    <row r="22" spans="1:12">
      <c r="A22" s="13">
        <v>17</v>
      </c>
      <c r="B22" s="13">
        <v>0.98</v>
      </c>
      <c r="C22" s="13" t="s">
        <v>110</v>
      </c>
      <c r="D22" s="13">
        <v>15</v>
      </c>
    </row>
    <row r="23" spans="1:12">
      <c r="A23" s="13">
        <v>18</v>
      </c>
      <c r="B23" s="13">
        <v>1</v>
      </c>
      <c r="C23" s="13" t="s">
        <v>110</v>
      </c>
      <c r="D23" s="13">
        <v>15</v>
      </c>
    </row>
    <row r="24" spans="1:12">
      <c r="A24" s="13">
        <v>19</v>
      </c>
      <c r="B24" s="13">
        <v>1</v>
      </c>
      <c r="C24" s="13" t="s">
        <v>113</v>
      </c>
      <c r="D24" s="13">
        <v>15</v>
      </c>
      <c r="F24" s="19" t="s">
        <v>120</v>
      </c>
      <c r="G24" s="20"/>
      <c r="J24" s="19" t="s">
        <v>120</v>
      </c>
      <c r="K24" s="20"/>
    </row>
    <row r="25" spans="1:12">
      <c r="A25" s="13">
        <v>20</v>
      </c>
      <c r="B25" s="13">
        <v>0.32</v>
      </c>
      <c r="C25" s="13" t="s">
        <v>116</v>
      </c>
      <c r="D25" s="13">
        <v>13</v>
      </c>
      <c r="F25" s="19" t="s">
        <v>10</v>
      </c>
      <c r="G25" s="20" t="s">
        <v>4</v>
      </c>
      <c r="H25" s="13" t="s">
        <v>121</v>
      </c>
      <c r="J25" s="19" t="s">
        <v>10</v>
      </c>
      <c r="K25" s="20" t="s">
        <v>4</v>
      </c>
      <c r="L25" s="13" t="s">
        <v>121</v>
      </c>
    </row>
    <row r="26" spans="1:12">
      <c r="A26" s="13">
        <v>21</v>
      </c>
      <c r="B26" s="13">
        <v>1</v>
      </c>
      <c r="C26" s="13" t="s">
        <v>113</v>
      </c>
      <c r="D26" s="13">
        <v>15</v>
      </c>
      <c r="F26" s="21" t="s">
        <v>118</v>
      </c>
      <c r="G26" s="20">
        <v>1</v>
      </c>
      <c r="H26" s="22">
        <f>1/14</f>
        <v>7.1428571428571425E-2</v>
      </c>
      <c r="J26" s="21" t="s">
        <v>116</v>
      </c>
      <c r="K26" s="20">
        <v>2</v>
      </c>
      <c r="L26" s="22">
        <f>2/16</f>
        <v>0.125</v>
      </c>
    </row>
    <row r="27" spans="1:12">
      <c r="A27" s="13">
        <v>22</v>
      </c>
      <c r="B27" s="13">
        <v>0.99</v>
      </c>
      <c r="C27" s="13" t="s">
        <v>119</v>
      </c>
      <c r="D27" s="13">
        <v>15</v>
      </c>
      <c r="F27" s="23" t="s">
        <v>117</v>
      </c>
      <c r="G27" s="24">
        <v>1</v>
      </c>
      <c r="H27" s="22">
        <f>1/14</f>
        <v>7.1428571428571425E-2</v>
      </c>
      <c r="J27" s="23" t="s">
        <v>112</v>
      </c>
      <c r="K27" s="24">
        <v>5</v>
      </c>
      <c r="L27" s="22">
        <f>5/16</f>
        <v>0.3125</v>
      </c>
    </row>
    <row r="28" spans="1:12">
      <c r="A28" s="13">
        <v>23</v>
      </c>
      <c r="B28" s="13">
        <v>1</v>
      </c>
      <c r="C28" s="13" t="s">
        <v>110</v>
      </c>
      <c r="D28" s="13">
        <v>15</v>
      </c>
      <c r="F28" s="23" t="s">
        <v>113</v>
      </c>
      <c r="G28" s="24">
        <v>5</v>
      </c>
      <c r="H28" s="22">
        <f>5/14</f>
        <v>0.35714285714285715</v>
      </c>
      <c r="J28" s="23" t="s">
        <v>119</v>
      </c>
      <c r="K28" s="24">
        <v>2</v>
      </c>
      <c r="L28" s="22">
        <f>2/16</f>
        <v>0.125</v>
      </c>
    </row>
    <row r="29" spans="1:12">
      <c r="A29" s="13">
        <v>24</v>
      </c>
      <c r="B29" s="13">
        <v>1</v>
      </c>
      <c r="C29" s="13" t="s">
        <v>113</v>
      </c>
      <c r="D29" s="13">
        <v>15</v>
      </c>
      <c r="F29" s="27" t="s">
        <v>111</v>
      </c>
      <c r="G29" s="24">
        <v>3</v>
      </c>
      <c r="H29" s="28">
        <f>3/14</f>
        <v>0.21428571428571427</v>
      </c>
      <c r="J29" s="23" t="s">
        <v>113</v>
      </c>
      <c r="K29" s="24">
        <v>1</v>
      </c>
      <c r="L29" s="22">
        <f>1/16</f>
        <v>6.25E-2</v>
      </c>
    </row>
    <row r="30" spans="1:12">
      <c r="A30" s="13">
        <v>25</v>
      </c>
      <c r="B30" s="13">
        <v>0.42</v>
      </c>
      <c r="C30" s="13" t="s">
        <v>122</v>
      </c>
      <c r="D30" s="13">
        <v>19</v>
      </c>
      <c r="F30" s="23" t="s">
        <v>110</v>
      </c>
      <c r="G30" s="24">
        <v>3</v>
      </c>
      <c r="H30" s="22">
        <f>3/14</f>
        <v>0.21428571428571427</v>
      </c>
      <c r="J30" s="27" t="s">
        <v>111</v>
      </c>
      <c r="K30" s="24">
        <v>1</v>
      </c>
      <c r="L30" s="28">
        <f>1/16</f>
        <v>6.25E-2</v>
      </c>
    </row>
    <row r="31" spans="1:12">
      <c r="A31" s="13">
        <v>26</v>
      </c>
      <c r="B31" s="13">
        <v>0.51</v>
      </c>
      <c r="C31" s="13" t="s">
        <v>115</v>
      </c>
      <c r="D31" s="13">
        <v>15</v>
      </c>
      <c r="F31" s="23" t="s">
        <v>115</v>
      </c>
      <c r="G31" s="24">
        <v>1</v>
      </c>
      <c r="H31" s="22">
        <f>1/14</f>
        <v>7.1428571428571425E-2</v>
      </c>
      <c r="J31" s="23" t="s">
        <v>110</v>
      </c>
      <c r="K31" s="24">
        <v>3</v>
      </c>
      <c r="L31" s="22">
        <f>3/16</f>
        <v>0.1875</v>
      </c>
    </row>
    <row r="32" spans="1:12">
      <c r="A32" s="13">
        <v>27</v>
      </c>
      <c r="B32" s="13">
        <v>1</v>
      </c>
      <c r="C32" s="13" t="s">
        <v>113</v>
      </c>
      <c r="D32" s="13">
        <v>15</v>
      </c>
      <c r="F32" s="25" t="s">
        <v>123</v>
      </c>
      <c r="G32" s="26">
        <v>14</v>
      </c>
      <c r="H32" s="22">
        <f>SUM(H26:H31)</f>
        <v>1</v>
      </c>
      <c r="J32" s="23" t="s">
        <v>114</v>
      </c>
      <c r="K32" s="24">
        <v>2</v>
      </c>
      <c r="L32" s="22">
        <f>2/16</f>
        <v>0.125</v>
      </c>
    </row>
    <row r="33" spans="1:15">
      <c r="A33" s="13">
        <v>28</v>
      </c>
      <c r="B33" s="13">
        <v>1</v>
      </c>
      <c r="C33" s="13" t="s">
        <v>110</v>
      </c>
      <c r="D33" s="13">
        <v>15</v>
      </c>
      <c r="J33" s="25" t="s">
        <v>123</v>
      </c>
      <c r="K33" s="26">
        <v>16</v>
      </c>
      <c r="L33" s="22">
        <f>SUM(L26:L32)</f>
        <v>1</v>
      </c>
    </row>
    <row r="34" spans="1:15">
      <c r="A34" s="13">
        <v>29</v>
      </c>
      <c r="B34" s="13">
        <v>1</v>
      </c>
      <c r="C34" s="13" t="s">
        <v>110</v>
      </c>
      <c r="D34" s="13">
        <v>15</v>
      </c>
      <c r="F34" s="13" t="s">
        <v>208</v>
      </c>
    </row>
    <row r="35" spans="1:15">
      <c r="A35" s="13">
        <v>30</v>
      </c>
      <c r="B35" s="13">
        <v>1</v>
      </c>
      <c r="C35" s="13" t="s">
        <v>110</v>
      </c>
      <c r="D35" s="13">
        <v>15</v>
      </c>
    </row>
    <row r="36" spans="1:15">
      <c r="A36" s="13">
        <v>31</v>
      </c>
      <c r="B36" s="13">
        <v>1</v>
      </c>
      <c r="C36" s="13" t="s">
        <v>115</v>
      </c>
      <c r="D36" s="13">
        <v>15</v>
      </c>
    </row>
    <row r="37" spans="1:15">
      <c r="A37" s="13">
        <v>32</v>
      </c>
      <c r="B37" s="13">
        <v>0.63</v>
      </c>
      <c r="C37" s="13" t="s">
        <v>115</v>
      </c>
      <c r="D37" s="13">
        <v>15</v>
      </c>
    </row>
    <row r="38" spans="1:15">
      <c r="A38" s="13">
        <v>33</v>
      </c>
      <c r="B38" s="13">
        <v>0.48</v>
      </c>
      <c r="C38" s="13" t="s">
        <v>124</v>
      </c>
      <c r="D38" s="13">
        <v>18</v>
      </c>
    </row>
    <row r="39" spans="1:15">
      <c r="A39" s="13">
        <v>34</v>
      </c>
      <c r="B39" s="11">
        <v>0.97</v>
      </c>
      <c r="C39" s="11" t="s">
        <v>111</v>
      </c>
      <c r="D39" s="13">
        <v>15</v>
      </c>
    </row>
    <row r="40" spans="1:15">
      <c r="A40" s="13">
        <v>35</v>
      </c>
      <c r="B40" s="13">
        <v>0.99</v>
      </c>
      <c r="C40" s="13" t="s">
        <v>119</v>
      </c>
      <c r="D40" s="13">
        <v>15</v>
      </c>
    </row>
    <row r="41" spans="1:15">
      <c r="A41" s="13">
        <v>36</v>
      </c>
      <c r="B41" s="13">
        <v>0.57999999999999996</v>
      </c>
      <c r="C41" s="13" t="s">
        <v>124</v>
      </c>
      <c r="D41" s="13">
        <v>18</v>
      </c>
    </row>
    <row r="42" spans="1:15">
      <c r="A42" s="13">
        <v>37</v>
      </c>
      <c r="B42" s="13">
        <v>1</v>
      </c>
      <c r="C42" s="13" t="s">
        <v>113</v>
      </c>
      <c r="D42" s="13">
        <v>15</v>
      </c>
    </row>
    <row r="43" spans="1:15" ht="13.8" thickBot="1">
      <c r="A43" s="13">
        <v>38</v>
      </c>
      <c r="B43" s="13">
        <v>0.5</v>
      </c>
      <c r="C43" s="13" t="s">
        <v>125</v>
      </c>
      <c r="D43" s="13">
        <v>15</v>
      </c>
      <c r="G43" s="13" t="s">
        <v>207</v>
      </c>
    </row>
    <row r="44" spans="1:15" ht="13.8" thickTop="1">
      <c r="A44" s="13">
        <v>39</v>
      </c>
      <c r="B44" s="13">
        <v>1</v>
      </c>
      <c r="C44" s="13" t="s">
        <v>110</v>
      </c>
      <c r="D44" s="13">
        <v>15</v>
      </c>
      <c r="G44" s="48"/>
      <c r="H44" s="49"/>
      <c r="I44" s="49"/>
      <c r="J44" s="49"/>
      <c r="K44" s="49"/>
      <c r="L44" s="49"/>
      <c r="M44" s="49"/>
      <c r="N44" s="49"/>
      <c r="O44" s="50"/>
    </row>
    <row r="45" spans="1:15">
      <c r="A45" s="13">
        <v>40</v>
      </c>
      <c r="B45" s="13">
        <v>1</v>
      </c>
      <c r="C45" s="13" t="s">
        <v>112</v>
      </c>
      <c r="D45" s="13">
        <v>15</v>
      </c>
      <c r="G45" s="51"/>
      <c r="H45" s="13" t="s">
        <v>205</v>
      </c>
      <c r="N45" s="13">
        <f>(7+3)/(64+14)</f>
        <v>0.12820512820512819</v>
      </c>
      <c r="O45" s="52"/>
    </row>
    <row r="46" spans="1:15">
      <c r="A46" s="13">
        <v>41</v>
      </c>
      <c r="B46" s="13">
        <v>1</v>
      </c>
      <c r="C46" s="13" t="s">
        <v>110</v>
      </c>
      <c r="D46" s="13">
        <v>15</v>
      </c>
      <c r="G46" s="51"/>
      <c r="H46" s="13" t="s">
        <v>206</v>
      </c>
      <c r="N46" s="13">
        <f>1/16</f>
        <v>6.25E-2</v>
      </c>
      <c r="O46" s="52"/>
    </row>
    <row r="47" spans="1:15" ht="13.8" thickBot="1">
      <c r="A47" s="13">
        <v>42</v>
      </c>
      <c r="B47" s="13">
        <v>1</v>
      </c>
      <c r="C47" s="13" t="s">
        <v>110</v>
      </c>
      <c r="D47" s="13">
        <v>15</v>
      </c>
      <c r="G47" s="53"/>
      <c r="H47" s="54"/>
      <c r="I47" s="54"/>
      <c r="J47" s="54"/>
      <c r="K47" s="54"/>
      <c r="L47" s="54"/>
      <c r="M47" s="54"/>
      <c r="N47" s="54"/>
      <c r="O47" s="55"/>
    </row>
    <row r="48" spans="1:15" ht="13.8" thickTop="1">
      <c r="A48" s="13">
        <v>43</v>
      </c>
      <c r="B48" s="11">
        <v>0.83</v>
      </c>
      <c r="C48" s="11" t="s">
        <v>111</v>
      </c>
      <c r="D48" s="13">
        <v>15</v>
      </c>
    </row>
    <row r="49" spans="1:8">
      <c r="A49" s="13">
        <v>44</v>
      </c>
      <c r="B49" s="13">
        <v>0.23</v>
      </c>
      <c r="C49" s="13" t="s">
        <v>126</v>
      </c>
      <c r="D49" s="13">
        <v>9</v>
      </c>
    </row>
    <row r="50" spans="1:8">
      <c r="A50" s="13">
        <v>45</v>
      </c>
      <c r="B50" s="11">
        <v>0.97</v>
      </c>
      <c r="C50" s="11" t="s">
        <v>111</v>
      </c>
      <c r="D50" s="13">
        <v>15</v>
      </c>
    </row>
    <row r="51" spans="1:8">
      <c r="A51" s="13">
        <v>46</v>
      </c>
      <c r="B51" s="13">
        <v>1</v>
      </c>
      <c r="C51" s="13" t="s">
        <v>112</v>
      </c>
      <c r="D51" s="13">
        <v>15</v>
      </c>
    </row>
    <row r="52" spans="1:8">
      <c r="A52" s="13">
        <v>47</v>
      </c>
      <c r="B52" s="13">
        <v>0.31</v>
      </c>
      <c r="C52" s="13" t="s">
        <v>127</v>
      </c>
      <c r="D52" s="13">
        <v>7</v>
      </c>
    </row>
    <row r="53" spans="1:8">
      <c r="A53" s="13">
        <v>48</v>
      </c>
      <c r="B53" s="13">
        <v>1</v>
      </c>
      <c r="C53" s="13" t="s">
        <v>112</v>
      </c>
      <c r="D53" s="13">
        <v>15</v>
      </c>
    </row>
    <row r="54" spans="1:8">
      <c r="A54" s="13">
        <v>49</v>
      </c>
      <c r="B54" s="13">
        <v>0.8</v>
      </c>
      <c r="C54" s="13" t="s">
        <v>115</v>
      </c>
      <c r="D54" s="13">
        <v>15</v>
      </c>
    </row>
    <row r="55" spans="1:8">
      <c r="A55" s="13">
        <v>50</v>
      </c>
      <c r="B55" s="13">
        <v>1</v>
      </c>
      <c r="C55" s="13" t="s">
        <v>112</v>
      </c>
      <c r="D55" s="13">
        <v>15</v>
      </c>
    </row>
    <row r="56" spans="1:8">
      <c r="A56" s="13">
        <v>51</v>
      </c>
      <c r="B56" s="13">
        <v>1</v>
      </c>
      <c r="C56" s="13" t="s">
        <v>112</v>
      </c>
      <c r="D56" s="13">
        <v>15</v>
      </c>
    </row>
    <row r="57" spans="1:8">
      <c r="A57" s="13">
        <v>52</v>
      </c>
      <c r="B57" s="13">
        <v>0.57999999999999996</v>
      </c>
      <c r="C57" s="13" t="s">
        <v>119</v>
      </c>
      <c r="D57" s="13">
        <v>15</v>
      </c>
    </row>
    <row r="58" spans="1:8">
      <c r="A58" s="13">
        <v>53</v>
      </c>
      <c r="B58" s="11">
        <v>0.83</v>
      </c>
      <c r="C58" s="11" t="s">
        <v>111</v>
      </c>
      <c r="D58" s="13">
        <v>15</v>
      </c>
    </row>
    <row r="59" spans="1:8">
      <c r="A59" s="13">
        <v>54</v>
      </c>
      <c r="B59" s="13">
        <v>1</v>
      </c>
      <c r="C59" s="13" t="s">
        <v>112</v>
      </c>
      <c r="D59" s="13">
        <v>15</v>
      </c>
      <c r="F59" s="19" t="s">
        <v>120</v>
      </c>
      <c r="G59" s="20"/>
    </row>
    <row r="60" spans="1:8">
      <c r="A60" s="13">
        <v>55</v>
      </c>
      <c r="B60" s="13">
        <v>0.53</v>
      </c>
      <c r="C60" s="13" t="s">
        <v>124</v>
      </c>
      <c r="D60" s="13">
        <v>18</v>
      </c>
      <c r="F60" s="19" t="s">
        <v>10</v>
      </c>
      <c r="G60" s="20" t="s">
        <v>4</v>
      </c>
      <c r="H60" s="13" t="s">
        <v>121</v>
      </c>
    </row>
    <row r="61" spans="1:8">
      <c r="A61" s="13">
        <v>56</v>
      </c>
      <c r="B61" s="11">
        <v>0.96</v>
      </c>
      <c r="C61" s="11" t="s">
        <v>111</v>
      </c>
      <c r="D61" s="13">
        <v>15</v>
      </c>
      <c r="F61" s="21" t="s">
        <v>116</v>
      </c>
      <c r="G61" s="20">
        <v>1</v>
      </c>
      <c r="H61" s="22">
        <f>1/64</f>
        <v>1.5625E-2</v>
      </c>
    </row>
    <row r="62" spans="1:8">
      <c r="A62" s="13">
        <v>57</v>
      </c>
      <c r="B62" s="13">
        <v>1</v>
      </c>
      <c r="C62" s="13" t="s">
        <v>119</v>
      </c>
      <c r="D62" s="13">
        <v>15</v>
      </c>
      <c r="F62" s="23" t="s">
        <v>127</v>
      </c>
      <c r="G62" s="24">
        <v>1</v>
      </c>
      <c r="H62" s="22">
        <f>1/64</f>
        <v>1.5625E-2</v>
      </c>
    </row>
    <row r="63" spans="1:8">
      <c r="A63" s="13">
        <v>58</v>
      </c>
      <c r="B63" s="13">
        <v>1</v>
      </c>
      <c r="C63" s="13" t="s">
        <v>112</v>
      </c>
      <c r="D63" s="13">
        <v>15</v>
      </c>
      <c r="F63" s="23" t="s">
        <v>126</v>
      </c>
      <c r="G63" s="24">
        <v>1</v>
      </c>
      <c r="H63" s="22">
        <f>1/64</f>
        <v>1.5625E-2</v>
      </c>
    </row>
    <row r="64" spans="1:8">
      <c r="A64" s="13">
        <v>59</v>
      </c>
      <c r="B64" s="13">
        <v>1</v>
      </c>
      <c r="C64" s="13" t="s">
        <v>112</v>
      </c>
      <c r="D64" s="13">
        <v>15</v>
      </c>
      <c r="F64" s="23" t="s">
        <v>112</v>
      </c>
      <c r="G64" s="24">
        <v>10</v>
      </c>
      <c r="H64" s="22">
        <f>10/64</f>
        <v>0.15625</v>
      </c>
    </row>
    <row r="65" spans="1:8">
      <c r="A65" s="13">
        <v>60</v>
      </c>
      <c r="B65" s="13">
        <v>1</v>
      </c>
      <c r="C65" s="13" t="s">
        <v>112</v>
      </c>
      <c r="D65" s="13">
        <v>15</v>
      </c>
      <c r="F65" s="23" t="s">
        <v>119</v>
      </c>
      <c r="G65" s="24">
        <v>5</v>
      </c>
      <c r="H65" s="22">
        <f>5/64</f>
        <v>7.8125E-2</v>
      </c>
    </row>
    <row r="66" spans="1:8">
      <c r="A66" s="13">
        <v>61</v>
      </c>
      <c r="B66" s="13">
        <v>0.5</v>
      </c>
      <c r="C66" s="13" t="s">
        <v>125</v>
      </c>
      <c r="D66" s="13">
        <v>15</v>
      </c>
      <c r="F66" s="23" t="s">
        <v>113</v>
      </c>
      <c r="G66" s="24">
        <v>9</v>
      </c>
      <c r="H66" s="22">
        <f>9/64</f>
        <v>0.140625</v>
      </c>
    </row>
    <row r="67" spans="1:8">
      <c r="A67" s="13">
        <v>62</v>
      </c>
      <c r="B67" s="13">
        <v>0.49</v>
      </c>
      <c r="C67" s="13" t="s">
        <v>125</v>
      </c>
      <c r="D67" s="13">
        <v>15</v>
      </c>
      <c r="F67" s="27" t="s">
        <v>111</v>
      </c>
      <c r="G67" s="24">
        <v>7</v>
      </c>
      <c r="H67" s="28">
        <f>7/64</f>
        <v>0.109375</v>
      </c>
    </row>
    <row r="68" spans="1:8">
      <c r="A68" s="13">
        <v>63</v>
      </c>
      <c r="B68" s="13">
        <v>0.23</v>
      </c>
      <c r="C68" s="13" t="s">
        <v>110</v>
      </c>
      <c r="D68" s="13">
        <v>15</v>
      </c>
      <c r="F68" s="23" t="s">
        <v>124</v>
      </c>
      <c r="G68" s="24">
        <v>3</v>
      </c>
      <c r="H68" s="22">
        <f>3/64</f>
        <v>4.6875E-2</v>
      </c>
    </row>
    <row r="69" spans="1:8">
      <c r="A69" s="13">
        <v>64</v>
      </c>
      <c r="B69" s="13">
        <v>0.83</v>
      </c>
      <c r="C69" s="13" t="s">
        <v>119</v>
      </c>
      <c r="D69" s="13">
        <v>15</v>
      </c>
      <c r="F69" s="23" t="s">
        <v>125</v>
      </c>
      <c r="G69" s="24">
        <v>3</v>
      </c>
      <c r="H69" s="22">
        <f>3/64</f>
        <v>4.6875E-2</v>
      </c>
    </row>
    <row r="70" spans="1:8">
      <c r="F70" s="23" t="s">
        <v>122</v>
      </c>
      <c r="G70" s="24">
        <v>1</v>
      </c>
      <c r="H70" s="22">
        <f>1/64</f>
        <v>1.5625E-2</v>
      </c>
    </row>
    <row r="71" spans="1:8">
      <c r="F71" s="23" t="s">
        <v>110</v>
      </c>
      <c r="G71" s="24">
        <v>18</v>
      </c>
      <c r="H71" s="22">
        <f>18/64</f>
        <v>0.28125</v>
      </c>
    </row>
    <row r="72" spans="1:8">
      <c r="F72" s="23" t="s">
        <v>115</v>
      </c>
      <c r="G72" s="24">
        <v>5</v>
      </c>
      <c r="H72" s="22">
        <f>5/64</f>
        <v>7.8125E-2</v>
      </c>
    </row>
    <row r="73" spans="1:8">
      <c r="F73" s="25" t="s">
        <v>123</v>
      </c>
      <c r="G73" s="26">
        <v>64</v>
      </c>
      <c r="H73" s="22">
        <f>SUM(H61:H72)</f>
        <v>1</v>
      </c>
    </row>
  </sheetData>
  <mergeCells count="12">
    <mergeCell ref="A1:D1"/>
    <mergeCell ref="A2:D2"/>
    <mergeCell ref="A3:D3"/>
    <mergeCell ref="A4:D4"/>
    <mergeCell ref="I1:L1"/>
    <mergeCell ref="I2:L2"/>
    <mergeCell ref="I3:L3"/>
    <mergeCell ref="I4:L4"/>
    <mergeCell ref="E1:H1"/>
    <mergeCell ref="E2:H2"/>
    <mergeCell ref="E3:H3"/>
    <mergeCell ref="E4:H4"/>
  </mergeCells>
  <phoneticPr fontId="6"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Production File</vt:lpstr>
      <vt:lpstr>Combined Catch</vt:lpstr>
      <vt:lpstr>Commercial Catch</vt:lpstr>
      <vt:lpstr>FSC Catch</vt:lpstr>
      <vt:lpstr>Sport Catch</vt:lpstr>
      <vt:lpstr>Escapement</vt:lpstr>
      <vt:lpstr>Age</vt:lpstr>
      <vt:lpstr>DNA- Regional</vt:lpstr>
      <vt:lpstr>DNA- Individual</vt:lpstr>
      <vt:lpstr>LBC FSC Catch Timing</vt:lpstr>
      <vt:lpstr>Age- Sub 1,2</vt:lpstr>
      <vt:lpstr>Comm Catch- RMS Only</vt:lpstr>
      <vt:lpstr>Denis Rutherford file</vt:lpstr>
    </vt:vector>
  </TitlesOfParts>
  <Company>Fisheries &amp; Oceans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Mortimer</dc:creator>
  <cp:lastModifiedBy>Will Atlas</cp:lastModifiedBy>
  <cp:lastPrinted>2007-02-06T22:30:51Z</cp:lastPrinted>
  <dcterms:created xsi:type="dcterms:W3CDTF">2007-01-22T20:46:48Z</dcterms:created>
  <dcterms:modified xsi:type="dcterms:W3CDTF">2022-10-20T20:59:43Z</dcterms:modified>
</cp:coreProperties>
</file>