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chinAvailability\data\run_size\"/>
    </mc:Choice>
  </mc:AlternateContent>
  <xr:revisionPtr revIDLastSave="0" documentId="8_{187F0C3A-A3C7-4E71-BB04-4D16EF478378}" xr6:coauthVersionLast="47" xr6:coauthVersionMax="47" xr10:uidLastSave="{00000000-0000-0000-0000-000000000000}"/>
  <bookViews>
    <workbookView xWindow="22932" yWindow="-1776" windowWidth="23256" windowHeight="12576" firstSheet="3" activeTab="3" xr2:uid="{00000000-000D-0000-FFFF-FFFF00000000}"/>
  </bookViews>
  <sheets>
    <sheet name="readme" sheetId="19" r:id="rId1"/>
    <sheet name="Sheet2" sheetId="27" r:id="rId2"/>
    <sheet name="chinook junk" sheetId="28" r:id="rId3"/>
    <sheet name="WCVI Esc" sheetId="1" r:id="rId4"/>
    <sheet name="Sheet1" sheetId="26" r:id="rId5"/>
    <sheet name="CU_lookup" sheetId="22" r:id="rId6"/>
    <sheet name="Assess_LU" sheetId="23" r:id="rId7"/>
    <sheet name="Enhancement_LU" sheetId="24" r:id="rId8"/>
    <sheet name="PSC Indicators" sheetId="25" r:id="rId9"/>
    <sheet name="Area 20" sheetId="7" r:id="rId10"/>
    <sheet name="Area 21" sheetId="17" r:id="rId11"/>
    <sheet name="Area 22" sheetId="9" r:id="rId12"/>
    <sheet name="Area 23" sheetId="10" r:id="rId13"/>
    <sheet name="Area 24" sheetId="11" r:id="rId14"/>
    <sheet name="Area 25" sheetId="16" r:id="rId15"/>
    <sheet name="Area 26" sheetId="12" r:id="rId16"/>
    <sheet name="Area 27" sheetId="8" r:id="rId17"/>
    <sheet name="CH" sheetId="18" r:id="rId18"/>
    <sheet name="Escapement Codes" sheetId="5" r:id="rId19"/>
  </sheets>
  <definedNames>
    <definedName name="_xlnm._FilterDatabase" localSheetId="9" hidden="1">'Area 20'!$A$5:$E$9</definedName>
    <definedName name="_xlnm._FilterDatabase" localSheetId="10" hidden="1">'Area 21'!$A$5:$E$7</definedName>
    <definedName name="_xlnm._FilterDatabase" localSheetId="11" hidden="1">'Area 22'!$A$5:$E$8</definedName>
    <definedName name="_xlnm._FilterDatabase" localSheetId="12" hidden="1">'Area 23'!$A$5:$E$12</definedName>
    <definedName name="_xlnm._FilterDatabase" localSheetId="13" hidden="1">'Area 24'!$A$5:$E$19</definedName>
    <definedName name="_xlnm._FilterDatabase" localSheetId="14" hidden="1">'Area 25'!$A$5:$I$5</definedName>
    <definedName name="_xlnm._FilterDatabase" localSheetId="15" hidden="1">'Area 26'!$A$5:$E$13</definedName>
    <definedName name="_xlnm._FilterDatabase" localSheetId="16" hidden="1">'Area 27'!$A$5:$E$7</definedName>
    <definedName name="_xlnm._FilterDatabase" localSheetId="17" hidden="1">CH!$A$4:$BT$91</definedName>
    <definedName name="_xlnm._FilterDatabase" localSheetId="2" hidden="1">'chinook junk'!$A$4:$AS$90</definedName>
    <definedName name="_xlnm._FilterDatabase" localSheetId="5" hidden="1">CU_lookup!$A$2:$H$544</definedName>
    <definedName name="_xlnm._FilterDatabase" localSheetId="3" hidden="1">'WCVI Esc'!$A$4:$DP$547</definedName>
    <definedName name="CU">CU_lookup!$A$2:$H$544</definedName>
    <definedName name="_xlnm.Print_Area" localSheetId="14">'Area 25'!$A$1:$I$150</definedName>
    <definedName name="_xlnm.Print_Area" localSheetId="17">CH!$F$90:$O$100</definedName>
    <definedName name="_xlnm.Print_Area" localSheetId="2">'chinook junk'!$A$1:$S$89</definedName>
    <definedName name="_xlnm.Print_Area" localSheetId="3">'WCVI Esc'!$A$1:$AR$468</definedName>
    <definedName name="_xlnm.Print_Titles" localSheetId="9">'Area 20'!$1:$3</definedName>
    <definedName name="_xlnm.Print_Titles" localSheetId="10">'Area 21'!$1:$3</definedName>
    <definedName name="_xlnm.Print_Titles" localSheetId="11">'Area 22'!$1:$3</definedName>
    <definedName name="_xlnm.Print_Titles" localSheetId="12">'Area 23'!$1:$3</definedName>
    <definedName name="_xlnm.Print_Titles" localSheetId="13">'Area 24'!$1:$3</definedName>
    <definedName name="_xlnm.Print_Titles" localSheetId="14">'Area 25'!$1:$3</definedName>
    <definedName name="_xlnm.Print_Titles" localSheetId="15">'Area 26'!$1:$3</definedName>
    <definedName name="_xlnm.Print_Titles" localSheetId="16">'Area 27'!$1:$3</definedName>
    <definedName name="_xlnm.Print_Titles" localSheetId="2">'chinook junk'!$1:$4</definedName>
    <definedName name="_xlnm.Print_Titles" localSheetId="3">'WCVI Esc'!$1:$4</definedName>
  </definedNames>
  <calcPr calcId="191029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0" i="28" l="1"/>
  <c r="W90" i="28"/>
  <c r="P14" i="28"/>
  <c r="O14" i="28"/>
  <c r="N14" i="28"/>
  <c r="C14" i="28"/>
  <c r="B14" i="28" s="1"/>
  <c r="P22" i="28"/>
  <c r="O22" i="28"/>
  <c r="N22" i="28"/>
  <c r="C22" i="28"/>
  <c r="B22" i="28" s="1"/>
  <c r="P87" i="28"/>
  <c r="O87" i="28"/>
  <c r="N87" i="28"/>
  <c r="C87" i="28"/>
  <c r="B87" i="28" s="1"/>
  <c r="P19" i="28"/>
  <c r="O19" i="28"/>
  <c r="N19" i="28"/>
  <c r="C19" i="28"/>
  <c r="B19" i="28" s="1"/>
  <c r="P41" i="28"/>
  <c r="O41" i="28"/>
  <c r="N41" i="28"/>
  <c r="C41" i="28"/>
  <c r="P66" i="28"/>
  <c r="O66" i="28"/>
  <c r="N66" i="28"/>
  <c r="C66" i="28"/>
  <c r="B66" i="28" s="1"/>
  <c r="C57" i="28"/>
  <c r="B57" i="28" s="1"/>
  <c r="P52" i="28"/>
  <c r="O52" i="28"/>
  <c r="N52" i="28"/>
  <c r="C52" i="28"/>
  <c r="B52" i="28" s="1"/>
  <c r="P42" i="28"/>
  <c r="O42" i="28"/>
  <c r="N42" i="28"/>
  <c r="C42" i="28"/>
  <c r="B42" i="28" s="1"/>
  <c r="P9" i="28"/>
  <c r="O9" i="28"/>
  <c r="N9" i="28"/>
  <c r="C9" i="28"/>
  <c r="B9" i="28" s="1"/>
  <c r="P26" i="28"/>
  <c r="O26" i="28"/>
  <c r="N26" i="28"/>
  <c r="C26" i="28"/>
  <c r="B26" i="28" s="1"/>
  <c r="P8" i="28"/>
  <c r="O8" i="28"/>
  <c r="N8" i="28"/>
  <c r="C8" i="28"/>
  <c r="B8" i="28" s="1"/>
  <c r="P28" i="28"/>
  <c r="O28" i="28"/>
  <c r="N28" i="28"/>
  <c r="C28" i="28"/>
  <c r="A28" i="28" s="1"/>
  <c r="P71" i="28"/>
  <c r="O71" i="28"/>
  <c r="N71" i="28"/>
  <c r="C71" i="28"/>
  <c r="A71" i="28" s="1"/>
  <c r="P30" i="28"/>
  <c r="O30" i="28"/>
  <c r="N30" i="28"/>
  <c r="C30" i="28"/>
  <c r="P58" i="28"/>
  <c r="O58" i="28"/>
  <c r="N58" i="28"/>
  <c r="C58" i="28"/>
  <c r="P39" i="28"/>
  <c r="O39" i="28"/>
  <c r="N39" i="28"/>
  <c r="C39" i="28"/>
  <c r="P24" i="28"/>
  <c r="O24" i="28"/>
  <c r="N24" i="28"/>
  <c r="C24" i="28"/>
  <c r="P34" i="28"/>
  <c r="O34" i="28"/>
  <c r="N34" i="28"/>
  <c r="C34" i="28"/>
  <c r="P46" i="28"/>
  <c r="O46" i="28"/>
  <c r="N46" i="28"/>
  <c r="C46" i="28"/>
  <c r="P37" i="28"/>
  <c r="O37" i="28"/>
  <c r="N37" i="28"/>
  <c r="C37" i="28"/>
  <c r="A37" i="28" s="1"/>
  <c r="P48" i="28"/>
  <c r="O48" i="28"/>
  <c r="N48" i="28"/>
  <c r="C48" i="28"/>
  <c r="B48" i="28" s="1"/>
  <c r="P33" i="28"/>
  <c r="O33" i="28"/>
  <c r="N33" i="28"/>
  <c r="C33" i="28"/>
  <c r="B33" i="28" s="1"/>
  <c r="P44" i="28"/>
  <c r="O44" i="28"/>
  <c r="N44" i="28"/>
  <c r="C44" i="28"/>
  <c r="A44" i="28" s="1"/>
  <c r="P80" i="28"/>
  <c r="O80" i="28"/>
  <c r="N80" i="28"/>
  <c r="C80" i="28"/>
  <c r="P51" i="28"/>
  <c r="O51" i="28"/>
  <c r="N51" i="28"/>
  <c r="C51" i="28"/>
  <c r="A51" i="28" s="1"/>
  <c r="P54" i="28"/>
  <c r="O54" i="28"/>
  <c r="N54" i="28"/>
  <c r="C54" i="28"/>
  <c r="P27" i="28"/>
  <c r="O27" i="28"/>
  <c r="N27" i="28"/>
  <c r="C27" i="28"/>
  <c r="P47" i="28"/>
  <c r="O47" i="28"/>
  <c r="N47" i="28"/>
  <c r="C47" i="28"/>
  <c r="P88" i="28"/>
  <c r="O88" i="28"/>
  <c r="N88" i="28"/>
  <c r="C88" i="28"/>
  <c r="P75" i="28"/>
  <c r="O75" i="28"/>
  <c r="N75" i="28"/>
  <c r="C75" i="28"/>
  <c r="P83" i="28"/>
  <c r="O83" i="28"/>
  <c r="N83" i="28"/>
  <c r="C83" i="28"/>
  <c r="P13" i="28"/>
  <c r="O13" i="28"/>
  <c r="N13" i="28"/>
  <c r="C13" i="28"/>
  <c r="P60" i="28"/>
  <c r="O60" i="28"/>
  <c r="N60" i="28"/>
  <c r="C60" i="28"/>
  <c r="A60" i="28" s="1"/>
  <c r="P40" i="28"/>
  <c r="O40" i="28"/>
  <c r="N40" i="28"/>
  <c r="C40" i="28"/>
  <c r="B40" i="28" s="1"/>
  <c r="P12" i="28"/>
  <c r="O12" i="28"/>
  <c r="N12" i="28"/>
  <c r="C12" i="28"/>
  <c r="B12" i="28" s="1"/>
  <c r="P72" i="28"/>
  <c r="O72" i="28"/>
  <c r="N72" i="28"/>
  <c r="C72" i="28"/>
  <c r="A72" i="28" s="1"/>
  <c r="P25" i="28"/>
  <c r="O25" i="28"/>
  <c r="N25" i="28"/>
  <c r="C25" i="28"/>
  <c r="P15" i="28"/>
  <c r="O15" i="28"/>
  <c r="N15" i="28"/>
  <c r="C15" i="28"/>
  <c r="P7" i="28"/>
  <c r="O7" i="28"/>
  <c r="N7" i="28"/>
  <c r="C7" i="28"/>
  <c r="P59" i="28"/>
  <c r="O59" i="28"/>
  <c r="N59" i="28"/>
  <c r="C59" i="28"/>
  <c r="P74" i="28"/>
  <c r="O74" i="28"/>
  <c r="N74" i="28"/>
  <c r="C74" i="28"/>
  <c r="A74" i="28" s="1"/>
  <c r="P29" i="28"/>
  <c r="O29" i="28"/>
  <c r="N29" i="28"/>
  <c r="C29" i="28"/>
  <c r="P50" i="28"/>
  <c r="O50" i="28"/>
  <c r="N50" i="28"/>
  <c r="C50" i="28"/>
  <c r="B50" i="28" s="1"/>
  <c r="P49" i="28"/>
  <c r="O49" i="28"/>
  <c r="N49" i="28"/>
  <c r="C49" i="28"/>
  <c r="B49" i="28" s="1"/>
  <c r="P85" i="28"/>
  <c r="O85" i="28"/>
  <c r="N85" i="28"/>
  <c r="C85" i="28"/>
  <c r="P31" i="28"/>
  <c r="O31" i="28"/>
  <c r="N31" i="28"/>
  <c r="C31" i="28"/>
  <c r="B31" i="28" s="1"/>
  <c r="P36" i="28"/>
  <c r="O36" i="28"/>
  <c r="N36" i="28"/>
  <c r="C36" i="28"/>
  <c r="B36" i="28" s="1"/>
  <c r="P73" i="28"/>
  <c r="O73" i="28"/>
  <c r="N73" i="28"/>
  <c r="C73" i="28"/>
  <c r="P21" i="28"/>
  <c r="O21" i="28"/>
  <c r="N21" i="28"/>
  <c r="C21" i="28"/>
  <c r="P45" i="28"/>
  <c r="O45" i="28"/>
  <c r="N45" i="28"/>
  <c r="C45" i="28"/>
  <c r="P32" i="28"/>
  <c r="O32" i="28"/>
  <c r="N32" i="28"/>
  <c r="C32" i="28"/>
  <c r="B32" i="28" s="1"/>
  <c r="P82" i="28"/>
  <c r="O82" i="28"/>
  <c r="N82" i="28"/>
  <c r="C82" i="28"/>
  <c r="A82" i="28" s="1"/>
  <c r="P6" i="28"/>
  <c r="O6" i="28"/>
  <c r="N6" i="28"/>
  <c r="C6" i="28"/>
  <c r="P62" i="28"/>
  <c r="O62" i="28"/>
  <c r="N62" i="28"/>
  <c r="C62" i="28"/>
  <c r="A62" i="28" s="1"/>
  <c r="P61" i="28"/>
  <c r="O61" i="28"/>
  <c r="N61" i="28"/>
  <c r="C61" i="28"/>
  <c r="A61" i="28" s="1"/>
  <c r="P35" i="28"/>
  <c r="O35" i="28"/>
  <c r="N35" i="28"/>
  <c r="C35" i="28"/>
  <c r="A35" i="28" s="1"/>
  <c r="P16" i="28"/>
  <c r="O16" i="28"/>
  <c r="N16" i="28"/>
  <c r="C16" i="28"/>
  <c r="P86" i="28"/>
  <c r="O86" i="28"/>
  <c r="N86" i="28"/>
  <c r="C86" i="28"/>
  <c r="A86" i="28" s="1"/>
  <c r="P10" i="28"/>
  <c r="O10" i="28"/>
  <c r="N10" i="28"/>
  <c r="C10" i="28"/>
  <c r="A10" i="28" s="1"/>
  <c r="P78" i="28"/>
  <c r="O78" i="28"/>
  <c r="N78" i="28"/>
  <c r="C78" i="28"/>
  <c r="B78" i="28" s="1"/>
  <c r="P18" i="28"/>
  <c r="O18" i="28"/>
  <c r="N18" i="28"/>
  <c r="C18" i="28"/>
  <c r="P20" i="28"/>
  <c r="O20" i="28"/>
  <c r="N20" i="28"/>
  <c r="C20" i="28"/>
  <c r="A20" i="28" s="1"/>
  <c r="P63" i="28"/>
  <c r="O63" i="28"/>
  <c r="N63" i="28"/>
  <c r="C63" i="28"/>
  <c r="B63" i="28" s="1"/>
  <c r="P81" i="28"/>
  <c r="O81" i="28"/>
  <c r="N81" i="28"/>
  <c r="C81" i="28"/>
  <c r="A81" i="28" s="1"/>
  <c r="P23" i="28"/>
  <c r="O23" i="28"/>
  <c r="N23" i="28"/>
  <c r="C23" i="28"/>
  <c r="B23" i="28" s="1"/>
  <c r="P67" i="28"/>
  <c r="O67" i="28"/>
  <c r="N67" i="28"/>
  <c r="C67" i="28"/>
  <c r="B67" i="28" s="1"/>
  <c r="P64" i="28"/>
  <c r="O64" i="28"/>
  <c r="N64" i="28"/>
  <c r="C64" i="28"/>
  <c r="A64" i="28" s="1"/>
  <c r="P69" i="28"/>
  <c r="O69" i="28"/>
  <c r="N69" i="28"/>
  <c r="C69" i="28"/>
  <c r="B69" i="28" s="1"/>
  <c r="P84" i="28"/>
  <c r="O84" i="28"/>
  <c r="N84" i="28"/>
  <c r="C84" i="28"/>
  <c r="B84" i="28" s="1"/>
  <c r="P68" i="28"/>
  <c r="O68" i="28"/>
  <c r="N68" i="28"/>
  <c r="C68" i="28"/>
  <c r="B68" i="28" s="1"/>
  <c r="P53" i="28"/>
  <c r="O53" i="28"/>
  <c r="N53" i="28"/>
  <c r="C53" i="28"/>
  <c r="B53" i="28" s="1"/>
  <c r="A52" i="28"/>
  <c r="BF69" i="28"/>
  <c r="BE69" i="28"/>
  <c r="BF68" i="28"/>
  <c r="BE68" i="28"/>
  <c r="BF67" i="28"/>
  <c r="BE67" i="28"/>
  <c r="BF66" i="28"/>
  <c r="BE66" i="28"/>
  <c r="BF65" i="28"/>
  <c r="BE65" i="28"/>
  <c r="P11" i="28"/>
  <c r="O11" i="28"/>
  <c r="N11" i="28"/>
  <c r="C11" i="28"/>
  <c r="P89" i="28"/>
  <c r="O89" i="28"/>
  <c r="N89" i="28"/>
  <c r="C89" i="28"/>
  <c r="B89" i="28" s="1"/>
  <c r="P55" i="28"/>
  <c r="O55" i="28"/>
  <c r="N55" i="28"/>
  <c r="C55" i="28"/>
  <c r="B55" i="28" s="1"/>
  <c r="P43" i="28"/>
  <c r="O43" i="28"/>
  <c r="N43" i="28"/>
  <c r="C43" i="28"/>
  <c r="B43" i="28" s="1"/>
  <c r="P79" i="28"/>
  <c r="O79" i="28"/>
  <c r="N79" i="28"/>
  <c r="C79" i="28"/>
  <c r="B79" i="28" s="1"/>
  <c r="P5" i="28"/>
  <c r="O5" i="28"/>
  <c r="N5" i="28"/>
  <c r="C5" i="28"/>
  <c r="B5" i="28" s="1"/>
  <c r="P17" i="28"/>
  <c r="O17" i="28"/>
  <c r="N17" i="28"/>
  <c r="C17" i="28"/>
  <c r="B17" i="28" s="1"/>
  <c r="P76" i="28"/>
  <c r="O76" i="28"/>
  <c r="N76" i="28"/>
  <c r="C76" i="28"/>
  <c r="B76" i="28" s="1"/>
  <c r="P70" i="28"/>
  <c r="O70" i="28"/>
  <c r="N70" i="28"/>
  <c r="C70" i="28"/>
  <c r="A67" i="28"/>
  <c r="P56" i="28"/>
  <c r="O56" i="28"/>
  <c r="N56" i="28"/>
  <c r="C56" i="28"/>
  <c r="B56" i="28" s="1"/>
  <c r="P38" i="28"/>
  <c r="O38" i="28"/>
  <c r="N38" i="28"/>
  <c r="C38" i="28"/>
  <c r="B38" i="28" s="1"/>
  <c r="A43" i="28"/>
  <c r="P77" i="28"/>
  <c r="O77" i="28"/>
  <c r="N77" i="28"/>
  <c r="C77" i="28"/>
  <c r="B77" i="28" s="1"/>
  <c r="BC9" i="28"/>
  <c r="BB9" i="28"/>
  <c r="BA9" i="28"/>
  <c r="AZ9" i="28"/>
  <c r="AY9" i="28"/>
  <c r="AX9" i="28"/>
  <c r="AW9" i="28"/>
  <c r="AV9" i="28"/>
  <c r="AU9" i="28"/>
  <c r="P65" i="28"/>
  <c r="O65" i="28"/>
  <c r="N65" i="28"/>
  <c r="C65" i="28"/>
  <c r="B65" i="28" s="1"/>
  <c r="V67" i="1"/>
  <c r="U67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425" i="1"/>
  <c r="DP426" i="1"/>
  <c r="DP427" i="1"/>
  <c r="DP428" i="1"/>
  <c r="DP429" i="1"/>
  <c r="DP430" i="1"/>
  <c r="DP431" i="1"/>
  <c r="DP432" i="1"/>
  <c r="DP433" i="1"/>
  <c r="DP434" i="1"/>
  <c r="DP435" i="1"/>
  <c r="DP436" i="1"/>
  <c r="DP437" i="1"/>
  <c r="DP438" i="1"/>
  <c r="DP439" i="1"/>
  <c r="DP440" i="1"/>
  <c r="DP441" i="1"/>
  <c r="DP442" i="1"/>
  <c r="DP443" i="1"/>
  <c r="DP444" i="1"/>
  <c r="DP445" i="1"/>
  <c r="DP446" i="1"/>
  <c r="DP447" i="1"/>
  <c r="DP448" i="1"/>
  <c r="DP449" i="1"/>
  <c r="DP450" i="1"/>
  <c r="DP451" i="1"/>
  <c r="DP452" i="1"/>
  <c r="DP453" i="1"/>
  <c r="DP454" i="1"/>
  <c r="DP455" i="1"/>
  <c r="DP456" i="1"/>
  <c r="DP457" i="1"/>
  <c r="DP458" i="1"/>
  <c r="DP459" i="1"/>
  <c r="DP460" i="1"/>
  <c r="DP461" i="1"/>
  <c r="DP462" i="1"/>
  <c r="DP463" i="1"/>
  <c r="DP464" i="1"/>
  <c r="DP465" i="1"/>
  <c r="DP466" i="1"/>
  <c r="DP467" i="1"/>
  <c r="DP468" i="1"/>
  <c r="DP469" i="1"/>
  <c r="DP470" i="1"/>
  <c r="DP471" i="1"/>
  <c r="DP472" i="1"/>
  <c r="DP473" i="1"/>
  <c r="DP474" i="1"/>
  <c r="DP475" i="1"/>
  <c r="DP476" i="1"/>
  <c r="DP477" i="1"/>
  <c r="DP478" i="1"/>
  <c r="DP479" i="1"/>
  <c r="DP480" i="1"/>
  <c r="DP481" i="1"/>
  <c r="DP482" i="1"/>
  <c r="DP483" i="1"/>
  <c r="DP484" i="1"/>
  <c r="DP485" i="1"/>
  <c r="DP486" i="1"/>
  <c r="DP487" i="1"/>
  <c r="DP488" i="1"/>
  <c r="DP489" i="1"/>
  <c r="DP490" i="1"/>
  <c r="DP491" i="1"/>
  <c r="DP492" i="1"/>
  <c r="DP493" i="1"/>
  <c r="DP494" i="1"/>
  <c r="DP495" i="1"/>
  <c r="DP496" i="1"/>
  <c r="DP497" i="1"/>
  <c r="DP498" i="1"/>
  <c r="DP499" i="1"/>
  <c r="DP500" i="1"/>
  <c r="DP501" i="1"/>
  <c r="DP502" i="1"/>
  <c r="DP503" i="1"/>
  <c r="DP504" i="1"/>
  <c r="DP505" i="1"/>
  <c r="DP506" i="1"/>
  <c r="DP507" i="1"/>
  <c r="DP508" i="1"/>
  <c r="DP509" i="1"/>
  <c r="DP510" i="1"/>
  <c r="DP511" i="1"/>
  <c r="DP512" i="1"/>
  <c r="DP513" i="1"/>
  <c r="DP514" i="1"/>
  <c r="DP515" i="1"/>
  <c r="DP516" i="1"/>
  <c r="DP517" i="1"/>
  <c r="DP518" i="1"/>
  <c r="DP519" i="1"/>
  <c r="DP520" i="1"/>
  <c r="DP521" i="1"/>
  <c r="DP522" i="1"/>
  <c r="DP523" i="1"/>
  <c r="DP524" i="1"/>
  <c r="DP525" i="1"/>
  <c r="DP526" i="1"/>
  <c r="DP527" i="1"/>
  <c r="DP528" i="1"/>
  <c r="DP529" i="1"/>
  <c r="DP530" i="1"/>
  <c r="DP531" i="1"/>
  <c r="DP532" i="1"/>
  <c r="DP533" i="1"/>
  <c r="DP534" i="1"/>
  <c r="DP535" i="1"/>
  <c r="DP536" i="1"/>
  <c r="DP537" i="1"/>
  <c r="DP538" i="1"/>
  <c r="DP539" i="1"/>
  <c r="DP540" i="1"/>
  <c r="DP541" i="1"/>
  <c r="DP542" i="1"/>
  <c r="DP543" i="1"/>
  <c r="DP544" i="1"/>
  <c r="DP545" i="1"/>
  <c r="DP546" i="1"/>
  <c r="DP547" i="1"/>
  <c r="DP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425" i="1"/>
  <c r="DO426" i="1"/>
  <c r="DO427" i="1"/>
  <c r="DO428" i="1"/>
  <c r="DO429" i="1"/>
  <c r="DO430" i="1"/>
  <c r="DO431" i="1"/>
  <c r="DO432" i="1"/>
  <c r="DO433" i="1"/>
  <c r="DO434" i="1"/>
  <c r="DO435" i="1"/>
  <c r="DO436" i="1"/>
  <c r="DO437" i="1"/>
  <c r="DO438" i="1"/>
  <c r="DO439" i="1"/>
  <c r="DO440" i="1"/>
  <c r="DO441" i="1"/>
  <c r="DO442" i="1"/>
  <c r="DO443" i="1"/>
  <c r="DO444" i="1"/>
  <c r="DO445" i="1"/>
  <c r="DO446" i="1"/>
  <c r="DO447" i="1"/>
  <c r="DO448" i="1"/>
  <c r="DO449" i="1"/>
  <c r="DO450" i="1"/>
  <c r="DO451" i="1"/>
  <c r="DO452" i="1"/>
  <c r="DO453" i="1"/>
  <c r="DO454" i="1"/>
  <c r="DO455" i="1"/>
  <c r="DO456" i="1"/>
  <c r="DO457" i="1"/>
  <c r="DO458" i="1"/>
  <c r="DO459" i="1"/>
  <c r="DO460" i="1"/>
  <c r="DO461" i="1"/>
  <c r="DO462" i="1"/>
  <c r="DO463" i="1"/>
  <c r="DO464" i="1"/>
  <c r="DO465" i="1"/>
  <c r="DO466" i="1"/>
  <c r="DO467" i="1"/>
  <c r="DO468" i="1"/>
  <c r="DO469" i="1"/>
  <c r="DO470" i="1"/>
  <c r="DO471" i="1"/>
  <c r="DO472" i="1"/>
  <c r="DO473" i="1"/>
  <c r="DO474" i="1"/>
  <c r="DO475" i="1"/>
  <c r="DO476" i="1"/>
  <c r="DO477" i="1"/>
  <c r="DO478" i="1"/>
  <c r="DO479" i="1"/>
  <c r="DO480" i="1"/>
  <c r="DO481" i="1"/>
  <c r="DO482" i="1"/>
  <c r="DO483" i="1"/>
  <c r="DO484" i="1"/>
  <c r="DO485" i="1"/>
  <c r="DO486" i="1"/>
  <c r="DO487" i="1"/>
  <c r="DO488" i="1"/>
  <c r="DO489" i="1"/>
  <c r="DO490" i="1"/>
  <c r="DO491" i="1"/>
  <c r="DO492" i="1"/>
  <c r="DO493" i="1"/>
  <c r="DO494" i="1"/>
  <c r="DO495" i="1"/>
  <c r="DO496" i="1"/>
  <c r="DO497" i="1"/>
  <c r="DO498" i="1"/>
  <c r="DO499" i="1"/>
  <c r="DO500" i="1"/>
  <c r="DO501" i="1"/>
  <c r="DO502" i="1"/>
  <c r="DO503" i="1"/>
  <c r="DO504" i="1"/>
  <c r="DO505" i="1"/>
  <c r="DO506" i="1"/>
  <c r="DO507" i="1"/>
  <c r="DO508" i="1"/>
  <c r="DO509" i="1"/>
  <c r="DO510" i="1"/>
  <c r="DO511" i="1"/>
  <c r="DO512" i="1"/>
  <c r="DO513" i="1"/>
  <c r="DO514" i="1"/>
  <c r="DO515" i="1"/>
  <c r="DO516" i="1"/>
  <c r="DO517" i="1"/>
  <c r="DO518" i="1"/>
  <c r="DO519" i="1"/>
  <c r="DO520" i="1"/>
  <c r="DO521" i="1"/>
  <c r="DO522" i="1"/>
  <c r="DO523" i="1"/>
  <c r="DO524" i="1"/>
  <c r="DO525" i="1"/>
  <c r="DO526" i="1"/>
  <c r="DO527" i="1"/>
  <c r="DO528" i="1"/>
  <c r="DO529" i="1"/>
  <c r="DO530" i="1"/>
  <c r="DO531" i="1"/>
  <c r="DO532" i="1"/>
  <c r="DO533" i="1"/>
  <c r="DO534" i="1"/>
  <c r="DO535" i="1"/>
  <c r="DO536" i="1"/>
  <c r="DO537" i="1"/>
  <c r="DO538" i="1"/>
  <c r="DO539" i="1"/>
  <c r="DO540" i="1"/>
  <c r="DO541" i="1"/>
  <c r="DO542" i="1"/>
  <c r="DO543" i="1"/>
  <c r="DO544" i="1"/>
  <c r="DO545" i="1"/>
  <c r="DO546" i="1"/>
  <c r="DO547" i="1"/>
  <c r="DO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425" i="1"/>
  <c r="DN426" i="1"/>
  <c r="DN427" i="1"/>
  <c r="DN428" i="1"/>
  <c r="DN429" i="1"/>
  <c r="DN430" i="1"/>
  <c r="DN431" i="1"/>
  <c r="DN432" i="1"/>
  <c r="DN433" i="1"/>
  <c r="DN434" i="1"/>
  <c r="DN435" i="1"/>
  <c r="DN436" i="1"/>
  <c r="DN437" i="1"/>
  <c r="DN438" i="1"/>
  <c r="DN439" i="1"/>
  <c r="DN440" i="1"/>
  <c r="DN441" i="1"/>
  <c r="DN442" i="1"/>
  <c r="DN443" i="1"/>
  <c r="DN444" i="1"/>
  <c r="DN445" i="1"/>
  <c r="DN446" i="1"/>
  <c r="DN447" i="1"/>
  <c r="DN448" i="1"/>
  <c r="DN449" i="1"/>
  <c r="DN450" i="1"/>
  <c r="DN451" i="1"/>
  <c r="DN452" i="1"/>
  <c r="DN453" i="1"/>
  <c r="DN454" i="1"/>
  <c r="DN455" i="1"/>
  <c r="DN456" i="1"/>
  <c r="DN457" i="1"/>
  <c r="DN458" i="1"/>
  <c r="DN459" i="1"/>
  <c r="DN460" i="1"/>
  <c r="DN461" i="1"/>
  <c r="DN462" i="1"/>
  <c r="DN463" i="1"/>
  <c r="DN464" i="1"/>
  <c r="DN465" i="1"/>
  <c r="DN466" i="1"/>
  <c r="DN467" i="1"/>
  <c r="DN468" i="1"/>
  <c r="DN469" i="1"/>
  <c r="DN470" i="1"/>
  <c r="DN471" i="1"/>
  <c r="DN472" i="1"/>
  <c r="DN473" i="1"/>
  <c r="DN474" i="1"/>
  <c r="DN475" i="1"/>
  <c r="DN476" i="1"/>
  <c r="DN477" i="1"/>
  <c r="DN478" i="1"/>
  <c r="DN479" i="1"/>
  <c r="DN480" i="1"/>
  <c r="DN481" i="1"/>
  <c r="DN482" i="1"/>
  <c r="DN483" i="1"/>
  <c r="DN484" i="1"/>
  <c r="DN485" i="1"/>
  <c r="DN486" i="1"/>
  <c r="DN487" i="1"/>
  <c r="DN488" i="1"/>
  <c r="DN489" i="1"/>
  <c r="DN490" i="1"/>
  <c r="DN491" i="1"/>
  <c r="DN492" i="1"/>
  <c r="DN493" i="1"/>
  <c r="DN494" i="1"/>
  <c r="DN495" i="1"/>
  <c r="DN496" i="1"/>
  <c r="DN497" i="1"/>
  <c r="DN498" i="1"/>
  <c r="DN499" i="1"/>
  <c r="DN500" i="1"/>
  <c r="DN501" i="1"/>
  <c r="DN502" i="1"/>
  <c r="DN503" i="1"/>
  <c r="DN504" i="1"/>
  <c r="DN505" i="1"/>
  <c r="DN506" i="1"/>
  <c r="DN507" i="1"/>
  <c r="DN508" i="1"/>
  <c r="DN509" i="1"/>
  <c r="DN510" i="1"/>
  <c r="DN511" i="1"/>
  <c r="DN512" i="1"/>
  <c r="DN513" i="1"/>
  <c r="DN514" i="1"/>
  <c r="DN515" i="1"/>
  <c r="DN516" i="1"/>
  <c r="DN517" i="1"/>
  <c r="DN518" i="1"/>
  <c r="DN519" i="1"/>
  <c r="DN520" i="1"/>
  <c r="DN521" i="1"/>
  <c r="DN522" i="1"/>
  <c r="DN523" i="1"/>
  <c r="DN524" i="1"/>
  <c r="DN525" i="1"/>
  <c r="DN526" i="1"/>
  <c r="DN527" i="1"/>
  <c r="DN528" i="1"/>
  <c r="DN529" i="1"/>
  <c r="DN530" i="1"/>
  <c r="DN531" i="1"/>
  <c r="DN532" i="1"/>
  <c r="DN533" i="1"/>
  <c r="DN534" i="1"/>
  <c r="DN535" i="1"/>
  <c r="DN536" i="1"/>
  <c r="DN537" i="1"/>
  <c r="DN538" i="1"/>
  <c r="DN539" i="1"/>
  <c r="DN540" i="1"/>
  <c r="DN541" i="1"/>
  <c r="DN542" i="1"/>
  <c r="DN543" i="1"/>
  <c r="DN544" i="1"/>
  <c r="DN545" i="1"/>
  <c r="DN546" i="1"/>
  <c r="DN547" i="1"/>
  <c r="DN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425" i="1"/>
  <c r="DM426" i="1"/>
  <c r="DM427" i="1"/>
  <c r="DM428" i="1"/>
  <c r="DM429" i="1"/>
  <c r="DM430" i="1"/>
  <c r="DM431" i="1"/>
  <c r="DM432" i="1"/>
  <c r="DM433" i="1"/>
  <c r="DM434" i="1"/>
  <c r="DM435" i="1"/>
  <c r="DM436" i="1"/>
  <c r="DM437" i="1"/>
  <c r="DM438" i="1"/>
  <c r="DM439" i="1"/>
  <c r="DM440" i="1"/>
  <c r="DM441" i="1"/>
  <c r="DM442" i="1"/>
  <c r="DM443" i="1"/>
  <c r="DM444" i="1"/>
  <c r="DM445" i="1"/>
  <c r="DM446" i="1"/>
  <c r="DM447" i="1"/>
  <c r="DM448" i="1"/>
  <c r="DM449" i="1"/>
  <c r="DM450" i="1"/>
  <c r="DM451" i="1"/>
  <c r="DM452" i="1"/>
  <c r="DM453" i="1"/>
  <c r="DM454" i="1"/>
  <c r="DM455" i="1"/>
  <c r="DM456" i="1"/>
  <c r="DM457" i="1"/>
  <c r="DM458" i="1"/>
  <c r="DM459" i="1"/>
  <c r="DM460" i="1"/>
  <c r="DM461" i="1"/>
  <c r="DM462" i="1"/>
  <c r="DM463" i="1"/>
  <c r="DM464" i="1"/>
  <c r="DM465" i="1"/>
  <c r="DM466" i="1"/>
  <c r="DM467" i="1"/>
  <c r="DM468" i="1"/>
  <c r="DM469" i="1"/>
  <c r="DM470" i="1"/>
  <c r="DM471" i="1"/>
  <c r="DM472" i="1"/>
  <c r="DM473" i="1"/>
  <c r="DM474" i="1"/>
  <c r="DM475" i="1"/>
  <c r="DM476" i="1"/>
  <c r="DM477" i="1"/>
  <c r="DM478" i="1"/>
  <c r="DM479" i="1"/>
  <c r="DM480" i="1"/>
  <c r="DM481" i="1"/>
  <c r="DM482" i="1"/>
  <c r="DM483" i="1"/>
  <c r="DM484" i="1"/>
  <c r="DM485" i="1"/>
  <c r="DM486" i="1"/>
  <c r="DM487" i="1"/>
  <c r="DM488" i="1"/>
  <c r="DM489" i="1"/>
  <c r="DM490" i="1"/>
  <c r="DM491" i="1"/>
  <c r="DM492" i="1"/>
  <c r="DM493" i="1"/>
  <c r="DM494" i="1"/>
  <c r="DM495" i="1"/>
  <c r="DM496" i="1"/>
  <c r="DM497" i="1"/>
  <c r="DM498" i="1"/>
  <c r="DM499" i="1"/>
  <c r="DM500" i="1"/>
  <c r="DM501" i="1"/>
  <c r="DM502" i="1"/>
  <c r="DM503" i="1"/>
  <c r="DM504" i="1"/>
  <c r="DM505" i="1"/>
  <c r="DM506" i="1"/>
  <c r="DM507" i="1"/>
  <c r="DM508" i="1"/>
  <c r="DM509" i="1"/>
  <c r="DM510" i="1"/>
  <c r="DM511" i="1"/>
  <c r="DM512" i="1"/>
  <c r="DM513" i="1"/>
  <c r="DM514" i="1"/>
  <c r="DM515" i="1"/>
  <c r="DM516" i="1"/>
  <c r="DM517" i="1"/>
  <c r="DM518" i="1"/>
  <c r="DM519" i="1"/>
  <c r="DM520" i="1"/>
  <c r="DM521" i="1"/>
  <c r="DM522" i="1"/>
  <c r="DM523" i="1"/>
  <c r="DM524" i="1"/>
  <c r="DM525" i="1"/>
  <c r="DM526" i="1"/>
  <c r="DM527" i="1"/>
  <c r="DM528" i="1"/>
  <c r="DM529" i="1"/>
  <c r="DM530" i="1"/>
  <c r="DM531" i="1"/>
  <c r="DM532" i="1"/>
  <c r="DM533" i="1"/>
  <c r="DM534" i="1"/>
  <c r="DM535" i="1"/>
  <c r="DM536" i="1"/>
  <c r="DM537" i="1"/>
  <c r="DM538" i="1"/>
  <c r="DM539" i="1"/>
  <c r="DM540" i="1"/>
  <c r="DM541" i="1"/>
  <c r="DM542" i="1"/>
  <c r="DM543" i="1"/>
  <c r="DM544" i="1"/>
  <c r="DM545" i="1"/>
  <c r="DM546" i="1"/>
  <c r="DM547" i="1"/>
  <c r="DM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425" i="1"/>
  <c r="DL426" i="1"/>
  <c r="DL427" i="1"/>
  <c r="DL428" i="1"/>
  <c r="DL429" i="1"/>
  <c r="DL430" i="1"/>
  <c r="DL431" i="1"/>
  <c r="DL432" i="1"/>
  <c r="DL433" i="1"/>
  <c r="DL434" i="1"/>
  <c r="DL435" i="1"/>
  <c r="DL436" i="1"/>
  <c r="DL437" i="1"/>
  <c r="DL438" i="1"/>
  <c r="DL439" i="1"/>
  <c r="DL440" i="1"/>
  <c r="DL441" i="1"/>
  <c r="DL442" i="1"/>
  <c r="DL443" i="1"/>
  <c r="DL444" i="1"/>
  <c r="DL445" i="1"/>
  <c r="DL446" i="1"/>
  <c r="DL447" i="1"/>
  <c r="DL448" i="1"/>
  <c r="DL449" i="1"/>
  <c r="DL450" i="1"/>
  <c r="DL451" i="1"/>
  <c r="DL452" i="1"/>
  <c r="DL453" i="1"/>
  <c r="DL454" i="1"/>
  <c r="DL455" i="1"/>
  <c r="DL456" i="1"/>
  <c r="DL457" i="1"/>
  <c r="DL458" i="1"/>
  <c r="DL459" i="1"/>
  <c r="DL460" i="1"/>
  <c r="DL461" i="1"/>
  <c r="DL462" i="1"/>
  <c r="DL463" i="1"/>
  <c r="DL464" i="1"/>
  <c r="DL465" i="1"/>
  <c r="DL466" i="1"/>
  <c r="DL467" i="1"/>
  <c r="DL468" i="1"/>
  <c r="DL469" i="1"/>
  <c r="DL470" i="1"/>
  <c r="DL471" i="1"/>
  <c r="DL472" i="1"/>
  <c r="DL473" i="1"/>
  <c r="DL474" i="1"/>
  <c r="DL475" i="1"/>
  <c r="DL476" i="1"/>
  <c r="DL477" i="1"/>
  <c r="DL478" i="1"/>
  <c r="DL479" i="1"/>
  <c r="DL480" i="1"/>
  <c r="DL481" i="1"/>
  <c r="DL482" i="1"/>
  <c r="DL483" i="1"/>
  <c r="DL484" i="1"/>
  <c r="DL485" i="1"/>
  <c r="DL486" i="1"/>
  <c r="DL487" i="1"/>
  <c r="DL488" i="1"/>
  <c r="DL489" i="1"/>
  <c r="DL490" i="1"/>
  <c r="DL491" i="1"/>
  <c r="DL492" i="1"/>
  <c r="DL493" i="1"/>
  <c r="DL494" i="1"/>
  <c r="DL495" i="1"/>
  <c r="DL496" i="1"/>
  <c r="DL497" i="1"/>
  <c r="DL498" i="1"/>
  <c r="DL499" i="1"/>
  <c r="DL500" i="1"/>
  <c r="DL501" i="1"/>
  <c r="DL502" i="1"/>
  <c r="DL503" i="1"/>
  <c r="DL504" i="1"/>
  <c r="DL505" i="1"/>
  <c r="DL506" i="1"/>
  <c r="DL507" i="1"/>
  <c r="DL508" i="1"/>
  <c r="DL509" i="1"/>
  <c r="DL510" i="1"/>
  <c r="DL511" i="1"/>
  <c r="DL512" i="1"/>
  <c r="DL513" i="1"/>
  <c r="DL514" i="1"/>
  <c r="DL515" i="1"/>
  <c r="DL516" i="1"/>
  <c r="DL517" i="1"/>
  <c r="DL518" i="1"/>
  <c r="DL519" i="1"/>
  <c r="DL520" i="1"/>
  <c r="DL521" i="1"/>
  <c r="DL522" i="1"/>
  <c r="DL523" i="1"/>
  <c r="DL524" i="1"/>
  <c r="DL525" i="1"/>
  <c r="DL526" i="1"/>
  <c r="DL527" i="1"/>
  <c r="DL528" i="1"/>
  <c r="DL529" i="1"/>
  <c r="DL530" i="1"/>
  <c r="DL531" i="1"/>
  <c r="DL532" i="1"/>
  <c r="DL533" i="1"/>
  <c r="DL534" i="1"/>
  <c r="DL535" i="1"/>
  <c r="DL536" i="1"/>
  <c r="DL537" i="1"/>
  <c r="DL538" i="1"/>
  <c r="DL539" i="1"/>
  <c r="DL540" i="1"/>
  <c r="DL541" i="1"/>
  <c r="DL542" i="1"/>
  <c r="DL543" i="1"/>
  <c r="DL544" i="1"/>
  <c r="DL545" i="1"/>
  <c r="DL546" i="1"/>
  <c r="DL547" i="1"/>
  <c r="DL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425" i="1"/>
  <c r="DJ426" i="1"/>
  <c r="DJ427" i="1"/>
  <c r="DJ428" i="1"/>
  <c r="DJ429" i="1"/>
  <c r="DJ430" i="1"/>
  <c r="DJ431" i="1"/>
  <c r="DJ432" i="1"/>
  <c r="DJ433" i="1"/>
  <c r="DJ434" i="1"/>
  <c r="DJ435" i="1"/>
  <c r="DJ436" i="1"/>
  <c r="DJ437" i="1"/>
  <c r="DJ438" i="1"/>
  <c r="DJ439" i="1"/>
  <c r="DJ440" i="1"/>
  <c r="DJ441" i="1"/>
  <c r="DJ442" i="1"/>
  <c r="DJ443" i="1"/>
  <c r="DJ444" i="1"/>
  <c r="DJ445" i="1"/>
  <c r="DJ446" i="1"/>
  <c r="DJ447" i="1"/>
  <c r="DJ448" i="1"/>
  <c r="DJ449" i="1"/>
  <c r="DJ450" i="1"/>
  <c r="DJ451" i="1"/>
  <c r="DJ452" i="1"/>
  <c r="DJ453" i="1"/>
  <c r="DJ454" i="1"/>
  <c r="DJ455" i="1"/>
  <c r="DJ456" i="1"/>
  <c r="DJ457" i="1"/>
  <c r="DJ458" i="1"/>
  <c r="DJ459" i="1"/>
  <c r="DJ460" i="1"/>
  <c r="DJ461" i="1"/>
  <c r="DJ462" i="1"/>
  <c r="DJ463" i="1"/>
  <c r="DJ464" i="1"/>
  <c r="DJ465" i="1"/>
  <c r="DJ466" i="1"/>
  <c r="DJ467" i="1"/>
  <c r="DJ468" i="1"/>
  <c r="DJ469" i="1"/>
  <c r="DJ470" i="1"/>
  <c r="DJ471" i="1"/>
  <c r="DJ472" i="1"/>
  <c r="DJ473" i="1"/>
  <c r="DJ474" i="1"/>
  <c r="DJ475" i="1"/>
  <c r="DJ476" i="1"/>
  <c r="DJ477" i="1"/>
  <c r="DJ478" i="1"/>
  <c r="DJ479" i="1"/>
  <c r="DJ480" i="1"/>
  <c r="DJ481" i="1"/>
  <c r="DJ482" i="1"/>
  <c r="DJ483" i="1"/>
  <c r="DJ484" i="1"/>
  <c r="DJ485" i="1"/>
  <c r="DJ486" i="1"/>
  <c r="DJ487" i="1"/>
  <c r="DJ488" i="1"/>
  <c r="DJ489" i="1"/>
  <c r="DJ490" i="1"/>
  <c r="DJ491" i="1"/>
  <c r="DJ492" i="1"/>
  <c r="DJ493" i="1"/>
  <c r="DJ494" i="1"/>
  <c r="DJ495" i="1"/>
  <c r="DJ496" i="1"/>
  <c r="DJ497" i="1"/>
  <c r="DJ498" i="1"/>
  <c r="DJ499" i="1"/>
  <c r="DJ500" i="1"/>
  <c r="DJ501" i="1"/>
  <c r="DJ502" i="1"/>
  <c r="DJ503" i="1"/>
  <c r="DJ504" i="1"/>
  <c r="DJ505" i="1"/>
  <c r="DJ506" i="1"/>
  <c r="DJ507" i="1"/>
  <c r="DJ508" i="1"/>
  <c r="DJ509" i="1"/>
  <c r="DJ510" i="1"/>
  <c r="DJ511" i="1"/>
  <c r="DJ512" i="1"/>
  <c r="DJ513" i="1"/>
  <c r="DJ514" i="1"/>
  <c r="DJ515" i="1"/>
  <c r="DJ516" i="1"/>
  <c r="DJ517" i="1"/>
  <c r="DJ518" i="1"/>
  <c r="DJ519" i="1"/>
  <c r="DJ520" i="1"/>
  <c r="DJ521" i="1"/>
  <c r="DJ522" i="1"/>
  <c r="DJ523" i="1"/>
  <c r="DJ524" i="1"/>
  <c r="DJ525" i="1"/>
  <c r="DJ526" i="1"/>
  <c r="DJ527" i="1"/>
  <c r="DJ528" i="1"/>
  <c r="DJ529" i="1"/>
  <c r="DJ530" i="1"/>
  <c r="DJ531" i="1"/>
  <c r="DJ532" i="1"/>
  <c r="DJ533" i="1"/>
  <c r="DJ534" i="1"/>
  <c r="DJ535" i="1"/>
  <c r="DJ536" i="1"/>
  <c r="DJ537" i="1"/>
  <c r="DJ538" i="1"/>
  <c r="DJ539" i="1"/>
  <c r="DJ540" i="1"/>
  <c r="DJ541" i="1"/>
  <c r="DJ542" i="1"/>
  <c r="DJ543" i="1"/>
  <c r="DJ544" i="1"/>
  <c r="DJ545" i="1"/>
  <c r="DJ546" i="1"/>
  <c r="DJ547" i="1"/>
  <c r="DJ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425" i="1"/>
  <c r="DI426" i="1"/>
  <c r="DI427" i="1"/>
  <c r="DI428" i="1"/>
  <c r="DI429" i="1"/>
  <c r="DI430" i="1"/>
  <c r="DI431" i="1"/>
  <c r="DI432" i="1"/>
  <c r="DI433" i="1"/>
  <c r="DI434" i="1"/>
  <c r="DI435" i="1"/>
  <c r="DI436" i="1"/>
  <c r="DI437" i="1"/>
  <c r="DI438" i="1"/>
  <c r="DI439" i="1"/>
  <c r="DI440" i="1"/>
  <c r="DI441" i="1"/>
  <c r="DI442" i="1"/>
  <c r="DI443" i="1"/>
  <c r="DI444" i="1"/>
  <c r="DI445" i="1"/>
  <c r="DI446" i="1"/>
  <c r="DI447" i="1"/>
  <c r="DI448" i="1"/>
  <c r="DI449" i="1"/>
  <c r="DI450" i="1"/>
  <c r="DI451" i="1"/>
  <c r="DI452" i="1"/>
  <c r="DI453" i="1"/>
  <c r="DI454" i="1"/>
  <c r="DI455" i="1"/>
  <c r="DI456" i="1"/>
  <c r="DI457" i="1"/>
  <c r="DI458" i="1"/>
  <c r="DI459" i="1"/>
  <c r="DI460" i="1"/>
  <c r="DI461" i="1"/>
  <c r="DI462" i="1"/>
  <c r="DI463" i="1"/>
  <c r="DI464" i="1"/>
  <c r="DI465" i="1"/>
  <c r="DI466" i="1"/>
  <c r="DI467" i="1"/>
  <c r="DI468" i="1"/>
  <c r="DI469" i="1"/>
  <c r="DI470" i="1"/>
  <c r="DI471" i="1"/>
  <c r="DI472" i="1"/>
  <c r="DI473" i="1"/>
  <c r="DI474" i="1"/>
  <c r="DI475" i="1"/>
  <c r="DI476" i="1"/>
  <c r="DI477" i="1"/>
  <c r="DI478" i="1"/>
  <c r="DI479" i="1"/>
  <c r="DI480" i="1"/>
  <c r="DI481" i="1"/>
  <c r="DI482" i="1"/>
  <c r="DI483" i="1"/>
  <c r="DI484" i="1"/>
  <c r="DI485" i="1"/>
  <c r="DI486" i="1"/>
  <c r="DI487" i="1"/>
  <c r="DI488" i="1"/>
  <c r="DI489" i="1"/>
  <c r="DI490" i="1"/>
  <c r="DI491" i="1"/>
  <c r="DI492" i="1"/>
  <c r="DI493" i="1"/>
  <c r="DI494" i="1"/>
  <c r="DI495" i="1"/>
  <c r="DI496" i="1"/>
  <c r="DI497" i="1"/>
  <c r="DI498" i="1"/>
  <c r="DI499" i="1"/>
  <c r="DI500" i="1"/>
  <c r="DI501" i="1"/>
  <c r="DI502" i="1"/>
  <c r="DI503" i="1"/>
  <c r="DI504" i="1"/>
  <c r="DI505" i="1"/>
  <c r="DI506" i="1"/>
  <c r="DI507" i="1"/>
  <c r="DI508" i="1"/>
  <c r="DI509" i="1"/>
  <c r="DI510" i="1"/>
  <c r="DI511" i="1"/>
  <c r="DI512" i="1"/>
  <c r="DI513" i="1"/>
  <c r="DI514" i="1"/>
  <c r="DI515" i="1"/>
  <c r="DI516" i="1"/>
  <c r="DI517" i="1"/>
  <c r="DI518" i="1"/>
  <c r="DI519" i="1"/>
  <c r="DI520" i="1"/>
  <c r="DI521" i="1"/>
  <c r="DI522" i="1"/>
  <c r="DI523" i="1"/>
  <c r="DI524" i="1"/>
  <c r="DI525" i="1"/>
  <c r="DI526" i="1"/>
  <c r="DI527" i="1"/>
  <c r="DI528" i="1"/>
  <c r="DI529" i="1"/>
  <c r="DI530" i="1"/>
  <c r="DI531" i="1"/>
  <c r="DI532" i="1"/>
  <c r="DI533" i="1"/>
  <c r="DI534" i="1"/>
  <c r="DI535" i="1"/>
  <c r="DI536" i="1"/>
  <c r="DI537" i="1"/>
  <c r="DI538" i="1"/>
  <c r="DI539" i="1"/>
  <c r="DI540" i="1"/>
  <c r="DI541" i="1"/>
  <c r="DI542" i="1"/>
  <c r="DI543" i="1"/>
  <c r="DI544" i="1"/>
  <c r="DI545" i="1"/>
  <c r="DI546" i="1"/>
  <c r="DI547" i="1"/>
  <c r="DI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425" i="1"/>
  <c r="DF426" i="1"/>
  <c r="DF427" i="1"/>
  <c r="DF428" i="1"/>
  <c r="DF429" i="1"/>
  <c r="DF430" i="1"/>
  <c r="DF431" i="1"/>
  <c r="DF432" i="1"/>
  <c r="DF433" i="1"/>
  <c r="DF434" i="1"/>
  <c r="DF435" i="1"/>
  <c r="DF436" i="1"/>
  <c r="DF437" i="1"/>
  <c r="DF438" i="1"/>
  <c r="DF439" i="1"/>
  <c r="DF440" i="1"/>
  <c r="DF441" i="1"/>
  <c r="DF442" i="1"/>
  <c r="DF443" i="1"/>
  <c r="DF444" i="1"/>
  <c r="DF445" i="1"/>
  <c r="DF446" i="1"/>
  <c r="DF447" i="1"/>
  <c r="DF448" i="1"/>
  <c r="DF449" i="1"/>
  <c r="DF450" i="1"/>
  <c r="DF451" i="1"/>
  <c r="DF452" i="1"/>
  <c r="DF453" i="1"/>
  <c r="DF454" i="1"/>
  <c r="DF455" i="1"/>
  <c r="DF456" i="1"/>
  <c r="DF457" i="1"/>
  <c r="DF458" i="1"/>
  <c r="DF459" i="1"/>
  <c r="DF460" i="1"/>
  <c r="DF461" i="1"/>
  <c r="DF462" i="1"/>
  <c r="DF463" i="1"/>
  <c r="DF464" i="1"/>
  <c r="DF465" i="1"/>
  <c r="DF466" i="1"/>
  <c r="DF467" i="1"/>
  <c r="DF468" i="1"/>
  <c r="DF469" i="1"/>
  <c r="DF470" i="1"/>
  <c r="DF471" i="1"/>
  <c r="DF472" i="1"/>
  <c r="DF473" i="1"/>
  <c r="DF474" i="1"/>
  <c r="DF475" i="1"/>
  <c r="DF476" i="1"/>
  <c r="DF477" i="1"/>
  <c r="DF478" i="1"/>
  <c r="DF479" i="1"/>
  <c r="DF480" i="1"/>
  <c r="DF481" i="1"/>
  <c r="DF482" i="1"/>
  <c r="DF483" i="1"/>
  <c r="DF484" i="1"/>
  <c r="DF485" i="1"/>
  <c r="DF486" i="1"/>
  <c r="DF487" i="1"/>
  <c r="DF488" i="1"/>
  <c r="DF489" i="1"/>
  <c r="DF490" i="1"/>
  <c r="DF491" i="1"/>
  <c r="DF492" i="1"/>
  <c r="DF493" i="1"/>
  <c r="DF494" i="1"/>
  <c r="DF495" i="1"/>
  <c r="DF496" i="1"/>
  <c r="DF497" i="1"/>
  <c r="DF498" i="1"/>
  <c r="DF499" i="1"/>
  <c r="DF500" i="1"/>
  <c r="DF501" i="1"/>
  <c r="DF502" i="1"/>
  <c r="DF503" i="1"/>
  <c r="DF504" i="1"/>
  <c r="DF505" i="1"/>
  <c r="DF506" i="1"/>
  <c r="DF507" i="1"/>
  <c r="DF508" i="1"/>
  <c r="DF509" i="1"/>
  <c r="DF510" i="1"/>
  <c r="DF511" i="1"/>
  <c r="DF512" i="1"/>
  <c r="DF513" i="1"/>
  <c r="DF514" i="1"/>
  <c r="DF515" i="1"/>
  <c r="DF516" i="1"/>
  <c r="DF517" i="1"/>
  <c r="DF518" i="1"/>
  <c r="DF519" i="1"/>
  <c r="DF520" i="1"/>
  <c r="DF521" i="1"/>
  <c r="DF522" i="1"/>
  <c r="DF523" i="1"/>
  <c r="DF524" i="1"/>
  <c r="DF525" i="1"/>
  <c r="DF526" i="1"/>
  <c r="DF527" i="1"/>
  <c r="DF528" i="1"/>
  <c r="DF529" i="1"/>
  <c r="DF530" i="1"/>
  <c r="DF531" i="1"/>
  <c r="DF532" i="1"/>
  <c r="DF533" i="1"/>
  <c r="DF534" i="1"/>
  <c r="DF535" i="1"/>
  <c r="DF536" i="1"/>
  <c r="DF537" i="1"/>
  <c r="DF538" i="1"/>
  <c r="DF539" i="1"/>
  <c r="DF540" i="1"/>
  <c r="DF541" i="1"/>
  <c r="DF542" i="1"/>
  <c r="DF543" i="1"/>
  <c r="DF544" i="1"/>
  <c r="DF545" i="1"/>
  <c r="DF546" i="1"/>
  <c r="DF547" i="1"/>
  <c r="DF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425" i="1"/>
  <c r="DE426" i="1"/>
  <c r="DE427" i="1"/>
  <c r="DE428" i="1"/>
  <c r="DE429" i="1"/>
  <c r="DE430" i="1"/>
  <c r="DE431" i="1"/>
  <c r="DE432" i="1"/>
  <c r="DE433" i="1"/>
  <c r="DE434" i="1"/>
  <c r="DE435" i="1"/>
  <c r="DE436" i="1"/>
  <c r="DE437" i="1"/>
  <c r="DE438" i="1"/>
  <c r="DE439" i="1"/>
  <c r="DE440" i="1"/>
  <c r="DE441" i="1"/>
  <c r="DE442" i="1"/>
  <c r="DE443" i="1"/>
  <c r="DE444" i="1"/>
  <c r="DE445" i="1"/>
  <c r="DE446" i="1"/>
  <c r="DE447" i="1"/>
  <c r="DE448" i="1"/>
  <c r="DE449" i="1"/>
  <c r="DE450" i="1"/>
  <c r="DE451" i="1"/>
  <c r="DE452" i="1"/>
  <c r="DE453" i="1"/>
  <c r="DE454" i="1"/>
  <c r="DE455" i="1"/>
  <c r="DE456" i="1"/>
  <c r="DE457" i="1"/>
  <c r="DE458" i="1"/>
  <c r="DE459" i="1"/>
  <c r="DE460" i="1"/>
  <c r="DE461" i="1"/>
  <c r="DE462" i="1"/>
  <c r="DE463" i="1"/>
  <c r="DE464" i="1"/>
  <c r="DE465" i="1"/>
  <c r="DE466" i="1"/>
  <c r="DE467" i="1"/>
  <c r="DE468" i="1"/>
  <c r="DE469" i="1"/>
  <c r="DE470" i="1"/>
  <c r="DE471" i="1"/>
  <c r="DE472" i="1"/>
  <c r="DE473" i="1"/>
  <c r="DE474" i="1"/>
  <c r="DE475" i="1"/>
  <c r="DE476" i="1"/>
  <c r="DE477" i="1"/>
  <c r="DE478" i="1"/>
  <c r="DE479" i="1"/>
  <c r="DE480" i="1"/>
  <c r="DE481" i="1"/>
  <c r="DE482" i="1"/>
  <c r="DE483" i="1"/>
  <c r="DE484" i="1"/>
  <c r="DE485" i="1"/>
  <c r="DE486" i="1"/>
  <c r="DE487" i="1"/>
  <c r="DE488" i="1"/>
  <c r="DE489" i="1"/>
  <c r="DE490" i="1"/>
  <c r="DE491" i="1"/>
  <c r="DE492" i="1"/>
  <c r="DE493" i="1"/>
  <c r="DE494" i="1"/>
  <c r="DE495" i="1"/>
  <c r="DE496" i="1"/>
  <c r="DE497" i="1"/>
  <c r="DE498" i="1"/>
  <c r="DE499" i="1"/>
  <c r="DE500" i="1"/>
  <c r="DE501" i="1"/>
  <c r="DE502" i="1"/>
  <c r="DE503" i="1"/>
  <c r="DE504" i="1"/>
  <c r="DE505" i="1"/>
  <c r="DE506" i="1"/>
  <c r="DE507" i="1"/>
  <c r="DE508" i="1"/>
  <c r="DE509" i="1"/>
  <c r="DE510" i="1"/>
  <c r="DE511" i="1"/>
  <c r="DE512" i="1"/>
  <c r="DE513" i="1"/>
  <c r="DE514" i="1"/>
  <c r="DE515" i="1"/>
  <c r="DE516" i="1"/>
  <c r="DE517" i="1"/>
  <c r="DE518" i="1"/>
  <c r="DE519" i="1"/>
  <c r="DE520" i="1"/>
  <c r="DE521" i="1"/>
  <c r="DE522" i="1"/>
  <c r="DE523" i="1"/>
  <c r="DE524" i="1"/>
  <c r="DE525" i="1"/>
  <c r="DE526" i="1"/>
  <c r="DE527" i="1"/>
  <c r="DE528" i="1"/>
  <c r="DE529" i="1"/>
  <c r="DE530" i="1"/>
  <c r="DE531" i="1"/>
  <c r="DE532" i="1"/>
  <c r="DE533" i="1"/>
  <c r="DE534" i="1"/>
  <c r="DE535" i="1"/>
  <c r="DE536" i="1"/>
  <c r="DE537" i="1"/>
  <c r="DE538" i="1"/>
  <c r="DE539" i="1"/>
  <c r="DE540" i="1"/>
  <c r="DE541" i="1"/>
  <c r="DE542" i="1"/>
  <c r="DE543" i="1"/>
  <c r="DE544" i="1"/>
  <c r="DE545" i="1"/>
  <c r="DE546" i="1"/>
  <c r="DE547" i="1"/>
  <c r="DE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425" i="1"/>
  <c r="DD426" i="1"/>
  <c r="DD427" i="1"/>
  <c r="DD428" i="1"/>
  <c r="DD429" i="1"/>
  <c r="DD430" i="1"/>
  <c r="DD431" i="1"/>
  <c r="DD432" i="1"/>
  <c r="DD433" i="1"/>
  <c r="DD434" i="1"/>
  <c r="DD435" i="1"/>
  <c r="DD436" i="1"/>
  <c r="DD437" i="1"/>
  <c r="DD438" i="1"/>
  <c r="DD439" i="1"/>
  <c r="DD440" i="1"/>
  <c r="DD441" i="1"/>
  <c r="DD442" i="1"/>
  <c r="DD443" i="1"/>
  <c r="DD444" i="1"/>
  <c r="DD445" i="1"/>
  <c r="DD446" i="1"/>
  <c r="DD447" i="1"/>
  <c r="DD448" i="1"/>
  <c r="DD449" i="1"/>
  <c r="DD450" i="1"/>
  <c r="DD451" i="1"/>
  <c r="DD452" i="1"/>
  <c r="DD453" i="1"/>
  <c r="DD454" i="1"/>
  <c r="DD455" i="1"/>
  <c r="DD456" i="1"/>
  <c r="DD457" i="1"/>
  <c r="DD458" i="1"/>
  <c r="DD459" i="1"/>
  <c r="DD460" i="1"/>
  <c r="DD461" i="1"/>
  <c r="DD462" i="1"/>
  <c r="DD463" i="1"/>
  <c r="DD464" i="1"/>
  <c r="DD465" i="1"/>
  <c r="DD466" i="1"/>
  <c r="DD467" i="1"/>
  <c r="DD468" i="1"/>
  <c r="DD469" i="1"/>
  <c r="DD470" i="1"/>
  <c r="DD471" i="1"/>
  <c r="DD472" i="1"/>
  <c r="DD473" i="1"/>
  <c r="DD474" i="1"/>
  <c r="DD475" i="1"/>
  <c r="DD476" i="1"/>
  <c r="DD477" i="1"/>
  <c r="DD478" i="1"/>
  <c r="DD479" i="1"/>
  <c r="DD480" i="1"/>
  <c r="DD481" i="1"/>
  <c r="DD482" i="1"/>
  <c r="DD483" i="1"/>
  <c r="DD484" i="1"/>
  <c r="DD485" i="1"/>
  <c r="DD486" i="1"/>
  <c r="DD487" i="1"/>
  <c r="DD488" i="1"/>
  <c r="DD489" i="1"/>
  <c r="DD490" i="1"/>
  <c r="DD491" i="1"/>
  <c r="DD492" i="1"/>
  <c r="DD493" i="1"/>
  <c r="DD494" i="1"/>
  <c r="DD495" i="1"/>
  <c r="DD496" i="1"/>
  <c r="DD497" i="1"/>
  <c r="DD498" i="1"/>
  <c r="DD499" i="1"/>
  <c r="DD500" i="1"/>
  <c r="DD501" i="1"/>
  <c r="DD502" i="1"/>
  <c r="DD503" i="1"/>
  <c r="DD504" i="1"/>
  <c r="DD505" i="1"/>
  <c r="DD506" i="1"/>
  <c r="DD507" i="1"/>
  <c r="DD508" i="1"/>
  <c r="DD509" i="1"/>
  <c r="DD510" i="1"/>
  <c r="DD511" i="1"/>
  <c r="DD512" i="1"/>
  <c r="DD513" i="1"/>
  <c r="DD514" i="1"/>
  <c r="DD515" i="1"/>
  <c r="DD516" i="1"/>
  <c r="DD517" i="1"/>
  <c r="DD518" i="1"/>
  <c r="DD519" i="1"/>
  <c r="DD520" i="1"/>
  <c r="DD521" i="1"/>
  <c r="DD522" i="1"/>
  <c r="DD523" i="1"/>
  <c r="DD524" i="1"/>
  <c r="DD525" i="1"/>
  <c r="DD526" i="1"/>
  <c r="DD527" i="1"/>
  <c r="DD528" i="1"/>
  <c r="DD529" i="1"/>
  <c r="DD530" i="1"/>
  <c r="DD531" i="1"/>
  <c r="DD532" i="1"/>
  <c r="DD533" i="1"/>
  <c r="DD534" i="1"/>
  <c r="DD535" i="1"/>
  <c r="DD536" i="1"/>
  <c r="DD537" i="1"/>
  <c r="DD538" i="1"/>
  <c r="DD539" i="1"/>
  <c r="DD540" i="1"/>
  <c r="DD541" i="1"/>
  <c r="DD542" i="1"/>
  <c r="DD543" i="1"/>
  <c r="DD544" i="1"/>
  <c r="DD545" i="1"/>
  <c r="DD546" i="1"/>
  <c r="DD547" i="1"/>
  <c r="DD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425" i="1"/>
  <c r="DB426" i="1"/>
  <c r="DB427" i="1"/>
  <c r="DB428" i="1"/>
  <c r="DB429" i="1"/>
  <c r="DB430" i="1"/>
  <c r="DB431" i="1"/>
  <c r="DB432" i="1"/>
  <c r="DB433" i="1"/>
  <c r="DB434" i="1"/>
  <c r="DB435" i="1"/>
  <c r="DB436" i="1"/>
  <c r="DB437" i="1"/>
  <c r="DB438" i="1"/>
  <c r="DB439" i="1"/>
  <c r="DB440" i="1"/>
  <c r="DB441" i="1"/>
  <c r="DB442" i="1"/>
  <c r="DB443" i="1"/>
  <c r="DB444" i="1"/>
  <c r="DB445" i="1"/>
  <c r="DB446" i="1"/>
  <c r="DB447" i="1"/>
  <c r="DB448" i="1"/>
  <c r="DB449" i="1"/>
  <c r="DB450" i="1"/>
  <c r="DB451" i="1"/>
  <c r="DB452" i="1"/>
  <c r="DB453" i="1"/>
  <c r="DB454" i="1"/>
  <c r="DB455" i="1"/>
  <c r="DB456" i="1"/>
  <c r="DB457" i="1"/>
  <c r="DB458" i="1"/>
  <c r="DB459" i="1"/>
  <c r="DB460" i="1"/>
  <c r="DB461" i="1"/>
  <c r="DB462" i="1"/>
  <c r="DB463" i="1"/>
  <c r="DB464" i="1"/>
  <c r="DB465" i="1"/>
  <c r="DB466" i="1"/>
  <c r="DB467" i="1"/>
  <c r="DB468" i="1"/>
  <c r="DB469" i="1"/>
  <c r="DB470" i="1"/>
  <c r="DB471" i="1"/>
  <c r="DB472" i="1"/>
  <c r="DB473" i="1"/>
  <c r="DB474" i="1"/>
  <c r="DB475" i="1"/>
  <c r="DB476" i="1"/>
  <c r="DB477" i="1"/>
  <c r="DB478" i="1"/>
  <c r="DB479" i="1"/>
  <c r="DB480" i="1"/>
  <c r="DB481" i="1"/>
  <c r="DB482" i="1"/>
  <c r="DB483" i="1"/>
  <c r="DB484" i="1"/>
  <c r="DB485" i="1"/>
  <c r="DB486" i="1"/>
  <c r="DB487" i="1"/>
  <c r="DB488" i="1"/>
  <c r="DB489" i="1"/>
  <c r="DB490" i="1"/>
  <c r="DB491" i="1"/>
  <c r="DB492" i="1"/>
  <c r="DB493" i="1"/>
  <c r="DB494" i="1"/>
  <c r="DB495" i="1"/>
  <c r="DB496" i="1"/>
  <c r="DB497" i="1"/>
  <c r="DB498" i="1"/>
  <c r="DB499" i="1"/>
  <c r="DB500" i="1"/>
  <c r="DB501" i="1"/>
  <c r="DB502" i="1"/>
  <c r="DB503" i="1"/>
  <c r="DB504" i="1"/>
  <c r="DB505" i="1"/>
  <c r="DB506" i="1"/>
  <c r="DB507" i="1"/>
  <c r="DB508" i="1"/>
  <c r="DB509" i="1"/>
  <c r="DB510" i="1"/>
  <c r="DB511" i="1"/>
  <c r="DB512" i="1"/>
  <c r="DB513" i="1"/>
  <c r="DB514" i="1"/>
  <c r="DB515" i="1"/>
  <c r="DB516" i="1"/>
  <c r="DB517" i="1"/>
  <c r="DB518" i="1"/>
  <c r="DB519" i="1"/>
  <c r="DB520" i="1"/>
  <c r="DB521" i="1"/>
  <c r="DB522" i="1"/>
  <c r="DB523" i="1"/>
  <c r="DB524" i="1"/>
  <c r="DB525" i="1"/>
  <c r="DB526" i="1"/>
  <c r="DB527" i="1"/>
  <c r="DB528" i="1"/>
  <c r="DB529" i="1"/>
  <c r="DB530" i="1"/>
  <c r="DB531" i="1"/>
  <c r="DB532" i="1"/>
  <c r="DB533" i="1"/>
  <c r="DB534" i="1"/>
  <c r="DB535" i="1"/>
  <c r="DB536" i="1"/>
  <c r="DB537" i="1"/>
  <c r="DB538" i="1"/>
  <c r="DB539" i="1"/>
  <c r="DB540" i="1"/>
  <c r="DB541" i="1"/>
  <c r="DB542" i="1"/>
  <c r="DB543" i="1"/>
  <c r="DB544" i="1"/>
  <c r="DB545" i="1"/>
  <c r="DB546" i="1"/>
  <c r="DB547" i="1"/>
  <c r="DB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425" i="1"/>
  <c r="DA426" i="1"/>
  <c r="DA427" i="1"/>
  <c r="DA428" i="1"/>
  <c r="DA429" i="1"/>
  <c r="DA430" i="1"/>
  <c r="DA431" i="1"/>
  <c r="DA432" i="1"/>
  <c r="DA433" i="1"/>
  <c r="DA434" i="1"/>
  <c r="DA435" i="1"/>
  <c r="DA436" i="1"/>
  <c r="DA437" i="1"/>
  <c r="DA438" i="1"/>
  <c r="DA439" i="1"/>
  <c r="DA440" i="1"/>
  <c r="DA441" i="1"/>
  <c r="DA442" i="1"/>
  <c r="DA443" i="1"/>
  <c r="DA444" i="1"/>
  <c r="DA445" i="1"/>
  <c r="DA446" i="1"/>
  <c r="DA447" i="1"/>
  <c r="DA448" i="1"/>
  <c r="DA449" i="1"/>
  <c r="DA450" i="1"/>
  <c r="DA451" i="1"/>
  <c r="DA452" i="1"/>
  <c r="DA453" i="1"/>
  <c r="DA454" i="1"/>
  <c r="DA455" i="1"/>
  <c r="DA456" i="1"/>
  <c r="DA457" i="1"/>
  <c r="DA458" i="1"/>
  <c r="DA459" i="1"/>
  <c r="DA460" i="1"/>
  <c r="DA461" i="1"/>
  <c r="DA462" i="1"/>
  <c r="DA463" i="1"/>
  <c r="DA464" i="1"/>
  <c r="DA465" i="1"/>
  <c r="DA466" i="1"/>
  <c r="DA467" i="1"/>
  <c r="DA468" i="1"/>
  <c r="DA469" i="1"/>
  <c r="DA470" i="1"/>
  <c r="DA471" i="1"/>
  <c r="DA472" i="1"/>
  <c r="DA473" i="1"/>
  <c r="DA474" i="1"/>
  <c r="DA475" i="1"/>
  <c r="DA476" i="1"/>
  <c r="DA477" i="1"/>
  <c r="DA478" i="1"/>
  <c r="DA479" i="1"/>
  <c r="DA480" i="1"/>
  <c r="DA481" i="1"/>
  <c r="DA482" i="1"/>
  <c r="DA483" i="1"/>
  <c r="DA484" i="1"/>
  <c r="DA485" i="1"/>
  <c r="DA486" i="1"/>
  <c r="DA487" i="1"/>
  <c r="DA488" i="1"/>
  <c r="DA489" i="1"/>
  <c r="DA490" i="1"/>
  <c r="DA491" i="1"/>
  <c r="DA492" i="1"/>
  <c r="DA493" i="1"/>
  <c r="DA494" i="1"/>
  <c r="DA495" i="1"/>
  <c r="DA496" i="1"/>
  <c r="DA497" i="1"/>
  <c r="DA498" i="1"/>
  <c r="DA499" i="1"/>
  <c r="DA500" i="1"/>
  <c r="DA501" i="1"/>
  <c r="DA502" i="1"/>
  <c r="DA503" i="1"/>
  <c r="DA504" i="1"/>
  <c r="DA505" i="1"/>
  <c r="DA506" i="1"/>
  <c r="DA507" i="1"/>
  <c r="DA508" i="1"/>
  <c r="DA509" i="1"/>
  <c r="DA510" i="1"/>
  <c r="DA511" i="1"/>
  <c r="DA512" i="1"/>
  <c r="DA513" i="1"/>
  <c r="DA514" i="1"/>
  <c r="DA515" i="1"/>
  <c r="DA516" i="1"/>
  <c r="DA517" i="1"/>
  <c r="DA518" i="1"/>
  <c r="DA519" i="1"/>
  <c r="DA520" i="1"/>
  <c r="DA521" i="1"/>
  <c r="DA522" i="1"/>
  <c r="DA523" i="1"/>
  <c r="DA524" i="1"/>
  <c r="DA525" i="1"/>
  <c r="DA526" i="1"/>
  <c r="DA527" i="1"/>
  <c r="DA528" i="1"/>
  <c r="DA529" i="1"/>
  <c r="DA530" i="1"/>
  <c r="DA531" i="1"/>
  <c r="DA532" i="1"/>
  <c r="DA533" i="1"/>
  <c r="DA534" i="1"/>
  <c r="DA535" i="1"/>
  <c r="DA536" i="1"/>
  <c r="DA537" i="1"/>
  <c r="DA538" i="1"/>
  <c r="DA539" i="1"/>
  <c r="DA540" i="1"/>
  <c r="DA541" i="1"/>
  <c r="DA542" i="1"/>
  <c r="DA543" i="1"/>
  <c r="DA544" i="1"/>
  <c r="DA545" i="1"/>
  <c r="DA546" i="1"/>
  <c r="DA547" i="1"/>
  <c r="DA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497" i="1"/>
  <c r="CZ498" i="1"/>
  <c r="CZ499" i="1"/>
  <c r="CZ500" i="1"/>
  <c r="CZ501" i="1"/>
  <c r="CZ502" i="1"/>
  <c r="CZ503" i="1"/>
  <c r="CZ504" i="1"/>
  <c r="CZ505" i="1"/>
  <c r="CZ506" i="1"/>
  <c r="CZ507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425" i="1"/>
  <c r="CV426" i="1"/>
  <c r="CV427" i="1"/>
  <c r="CV428" i="1"/>
  <c r="CV429" i="1"/>
  <c r="CV430" i="1"/>
  <c r="CV431" i="1"/>
  <c r="CV432" i="1"/>
  <c r="CV433" i="1"/>
  <c r="CV434" i="1"/>
  <c r="CV435" i="1"/>
  <c r="CV436" i="1"/>
  <c r="CV437" i="1"/>
  <c r="CV438" i="1"/>
  <c r="CV439" i="1"/>
  <c r="CV440" i="1"/>
  <c r="CV441" i="1"/>
  <c r="CV442" i="1"/>
  <c r="CV443" i="1"/>
  <c r="CV444" i="1"/>
  <c r="CV445" i="1"/>
  <c r="CV446" i="1"/>
  <c r="CV447" i="1"/>
  <c r="CV448" i="1"/>
  <c r="CV449" i="1"/>
  <c r="CV450" i="1"/>
  <c r="CV451" i="1"/>
  <c r="CV452" i="1"/>
  <c r="CV453" i="1"/>
  <c r="CV454" i="1"/>
  <c r="CV455" i="1"/>
  <c r="CV456" i="1"/>
  <c r="CV457" i="1"/>
  <c r="CV458" i="1"/>
  <c r="CV459" i="1"/>
  <c r="CV460" i="1"/>
  <c r="CV461" i="1"/>
  <c r="CV462" i="1"/>
  <c r="CV463" i="1"/>
  <c r="CV464" i="1"/>
  <c r="CV465" i="1"/>
  <c r="CV466" i="1"/>
  <c r="CV467" i="1"/>
  <c r="CV468" i="1"/>
  <c r="CV469" i="1"/>
  <c r="CV470" i="1"/>
  <c r="CV471" i="1"/>
  <c r="CV472" i="1"/>
  <c r="CV473" i="1"/>
  <c r="CV474" i="1"/>
  <c r="CV475" i="1"/>
  <c r="CV476" i="1"/>
  <c r="CV477" i="1"/>
  <c r="CV478" i="1"/>
  <c r="CV479" i="1"/>
  <c r="CV480" i="1"/>
  <c r="CV481" i="1"/>
  <c r="CV482" i="1"/>
  <c r="CV483" i="1"/>
  <c r="CV484" i="1"/>
  <c r="CV485" i="1"/>
  <c r="CV486" i="1"/>
  <c r="CV487" i="1"/>
  <c r="CV488" i="1"/>
  <c r="CV489" i="1"/>
  <c r="CV490" i="1"/>
  <c r="CV491" i="1"/>
  <c r="CV492" i="1"/>
  <c r="CV493" i="1"/>
  <c r="CV494" i="1"/>
  <c r="CV495" i="1"/>
  <c r="CV496" i="1"/>
  <c r="CV497" i="1"/>
  <c r="CV498" i="1"/>
  <c r="CV499" i="1"/>
  <c r="CV500" i="1"/>
  <c r="CV501" i="1"/>
  <c r="CV502" i="1"/>
  <c r="CV503" i="1"/>
  <c r="CV504" i="1"/>
  <c r="CV505" i="1"/>
  <c r="CV506" i="1"/>
  <c r="CV507" i="1"/>
  <c r="CV508" i="1"/>
  <c r="CV509" i="1"/>
  <c r="CV510" i="1"/>
  <c r="CV511" i="1"/>
  <c r="CV512" i="1"/>
  <c r="CV513" i="1"/>
  <c r="CV514" i="1"/>
  <c r="CV515" i="1"/>
  <c r="CV516" i="1"/>
  <c r="CV517" i="1"/>
  <c r="CV518" i="1"/>
  <c r="CV519" i="1"/>
  <c r="CV520" i="1"/>
  <c r="CV521" i="1"/>
  <c r="CV522" i="1"/>
  <c r="CV523" i="1"/>
  <c r="CV524" i="1"/>
  <c r="CV525" i="1"/>
  <c r="CV526" i="1"/>
  <c r="CV527" i="1"/>
  <c r="CV528" i="1"/>
  <c r="CV529" i="1"/>
  <c r="CV530" i="1"/>
  <c r="CV531" i="1"/>
  <c r="CV532" i="1"/>
  <c r="CV533" i="1"/>
  <c r="CV534" i="1"/>
  <c r="CV535" i="1"/>
  <c r="CV536" i="1"/>
  <c r="CV537" i="1"/>
  <c r="CV538" i="1"/>
  <c r="CV539" i="1"/>
  <c r="CV540" i="1"/>
  <c r="CV541" i="1"/>
  <c r="CV542" i="1"/>
  <c r="CV543" i="1"/>
  <c r="CV544" i="1"/>
  <c r="CV545" i="1"/>
  <c r="CV546" i="1"/>
  <c r="CV547" i="1"/>
  <c r="CV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531" i="1"/>
  <c r="CU532" i="1"/>
  <c r="CU533" i="1"/>
  <c r="CU534" i="1"/>
  <c r="CU535" i="1"/>
  <c r="CU536" i="1"/>
  <c r="CU537" i="1"/>
  <c r="CU538" i="1"/>
  <c r="CU539" i="1"/>
  <c r="CU540" i="1"/>
  <c r="CU541" i="1"/>
  <c r="CU542" i="1"/>
  <c r="CU543" i="1"/>
  <c r="CU544" i="1"/>
  <c r="CU545" i="1"/>
  <c r="CU546" i="1"/>
  <c r="CU547" i="1"/>
  <c r="CU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514" i="1"/>
  <c r="CT515" i="1"/>
  <c r="CT516" i="1"/>
  <c r="CT517" i="1"/>
  <c r="CT518" i="1"/>
  <c r="CT519" i="1"/>
  <c r="CT520" i="1"/>
  <c r="CT521" i="1"/>
  <c r="CT522" i="1"/>
  <c r="CT523" i="1"/>
  <c r="CT524" i="1"/>
  <c r="CT525" i="1"/>
  <c r="CT526" i="1"/>
  <c r="CT527" i="1"/>
  <c r="CT528" i="1"/>
  <c r="CT529" i="1"/>
  <c r="CT530" i="1"/>
  <c r="CT531" i="1"/>
  <c r="CT532" i="1"/>
  <c r="CT533" i="1"/>
  <c r="CT534" i="1"/>
  <c r="CT535" i="1"/>
  <c r="CT536" i="1"/>
  <c r="CT537" i="1"/>
  <c r="CT538" i="1"/>
  <c r="CT539" i="1"/>
  <c r="CT540" i="1"/>
  <c r="CT541" i="1"/>
  <c r="CT542" i="1"/>
  <c r="CT543" i="1"/>
  <c r="CT544" i="1"/>
  <c r="CT545" i="1"/>
  <c r="CT546" i="1"/>
  <c r="CT547" i="1"/>
  <c r="CT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425" i="1"/>
  <c r="CS426" i="1"/>
  <c r="CS427" i="1"/>
  <c r="CS428" i="1"/>
  <c r="CS429" i="1"/>
  <c r="CS430" i="1"/>
  <c r="CS431" i="1"/>
  <c r="CS432" i="1"/>
  <c r="CS433" i="1"/>
  <c r="CS434" i="1"/>
  <c r="CS435" i="1"/>
  <c r="CS436" i="1"/>
  <c r="CS437" i="1"/>
  <c r="CS438" i="1"/>
  <c r="CS439" i="1"/>
  <c r="CS440" i="1"/>
  <c r="CS441" i="1"/>
  <c r="CS442" i="1"/>
  <c r="CS443" i="1"/>
  <c r="CS444" i="1"/>
  <c r="CS445" i="1"/>
  <c r="CS446" i="1"/>
  <c r="CS447" i="1"/>
  <c r="CS448" i="1"/>
  <c r="CS449" i="1"/>
  <c r="CS450" i="1"/>
  <c r="CS451" i="1"/>
  <c r="CS452" i="1"/>
  <c r="CS453" i="1"/>
  <c r="CS454" i="1"/>
  <c r="CS455" i="1"/>
  <c r="CS456" i="1"/>
  <c r="CS457" i="1"/>
  <c r="CS458" i="1"/>
  <c r="CS459" i="1"/>
  <c r="CS460" i="1"/>
  <c r="CS461" i="1"/>
  <c r="CS462" i="1"/>
  <c r="CS463" i="1"/>
  <c r="CS464" i="1"/>
  <c r="CS465" i="1"/>
  <c r="CS466" i="1"/>
  <c r="CS467" i="1"/>
  <c r="CS468" i="1"/>
  <c r="CS469" i="1"/>
  <c r="CS470" i="1"/>
  <c r="CS471" i="1"/>
  <c r="CS472" i="1"/>
  <c r="CS473" i="1"/>
  <c r="CS474" i="1"/>
  <c r="CS475" i="1"/>
  <c r="CS476" i="1"/>
  <c r="CS477" i="1"/>
  <c r="CS478" i="1"/>
  <c r="CS479" i="1"/>
  <c r="CS480" i="1"/>
  <c r="CS481" i="1"/>
  <c r="CS482" i="1"/>
  <c r="CS483" i="1"/>
  <c r="CS484" i="1"/>
  <c r="CS485" i="1"/>
  <c r="CS486" i="1"/>
  <c r="CS487" i="1"/>
  <c r="CS488" i="1"/>
  <c r="CS489" i="1"/>
  <c r="CS490" i="1"/>
  <c r="CS491" i="1"/>
  <c r="CS492" i="1"/>
  <c r="CS493" i="1"/>
  <c r="CS494" i="1"/>
  <c r="CS495" i="1"/>
  <c r="CS496" i="1"/>
  <c r="CS497" i="1"/>
  <c r="CS498" i="1"/>
  <c r="CS499" i="1"/>
  <c r="CS500" i="1"/>
  <c r="CS501" i="1"/>
  <c r="CS502" i="1"/>
  <c r="CS503" i="1"/>
  <c r="CS504" i="1"/>
  <c r="CS505" i="1"/>
  <c r="CS506" i="1"/>
  <c r="CS507" i="1"/>
  <c r="CS508" i="1"/>
  <c r="CS509" i="1"/>
  <c r="CS510" i="1"/>
  <c r="CS511" i="1"/>
  <c r="CS512" i="1"/>
  <c r="CS513" i="1"/>
  <c r="CS514" i="1"/>
  <c r="CS515" i="1"/>
  <c r="CS516" i="1"/>
  <c r="CS517" i="1"/>
  <c r="CS518" i="1"/>
  <c r="CS519" i="1"/>
  <c r="CS520" i="1"/>
  <c r="CS521" i="1"/>
  <c r="CS522" i="1"/>
  <c r="CS523" i="1"/>
  <c r="CS524" i="1"/>
  <c r="CS525" i="1"/>
  <c r="CS526" i="1"/>
  <c r="CS527" i="1"/>
  <c r="CS528" i="1"/>
  <c r="CS529" i="1"/>
  <c r="CS530" i="1"/>
  <c r="CS531" i="1"/>
  <c r="CS532" i="1"/>
  <c r="CS533" i="1"/>
  <c r="CS534" i="1"/>
  <c r="CS535" i="1"/>
  <c r="CS536" i="1"/>
  <c r="CS537" i="1"/>
  <c r="CS538" i="1"/>
  <c r="CS539" i="1"/>
  <c r="CS540" i="1"/>
  <c r="CS541" i="1"/>
  <c r="CS542" i="1"/>
  <c r="CS543" i="1"/>
  <c r="CS544" i="1"/>
  <c r="CS545" i="1"/>
  <c r="CS546" i="1"/>
  <c r="CS547" i="1"/>
  <c r="CS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" i="1"/>
  <c r="A78" i="28" l="1"/>
  <c r="A40" i="28"/>
  <c r="A68" i="28"/>
  <c r="A57" i="28"/>
  <c r="A17" i="28"/>
  <c r="A53" i="28"/>
  <c r="A80" i="28"/>
  <c r="A8" i="28"/>
  <c r="A48" i="28"/>
  <c r="A9" i="28"/>
  <c r="A77" i="28"/>
  <c r="A63" i="28"/>
  <c r="A87" i="28"/>
  <c r="A22" i="28"/>
  <c r="A66" i="28"/>
  <c r="A19" i="28"/>
  <c r="A36" i="28"/>
  <c r="B80" i="28"/>
  <c r="B37" i="28"/>
  <c r="B11" i="28"/>
  <c r="B46" i="28"/>
  <c r="B71" i="28"/>
  <c r="A69" i="28"/>
  <c r="B44" i="28"/>
  <c r="B34" i="28"/>
  <c r="B70" i="28"/>
  <c r="B25" i="28"/>
  <c r="B41" i="28"/>
  <c r="B24" i="28"/>
  <c r="A45" i="28"/>
  <c r="A15" i="28"/>
  <c r="A83" i="28"/>
  <c r="B7" i="28"/>
  <c r="B54" i="28"/>
  <c r="A55" i="28"/>
  <c r="A31" i="28"/>
  <c r="A7" i="28"/>
  <c r="A41" i="28"/>
  <c r="A14" i="28"/>
  <c r="B51" i="28"/>
  <c r="A84" i="28"/>
  <c r="A23" i="28"/>
  <c r="A18" i="28"/>
  <c r="A16" i="28"/>
  <c r="A49" i="28"/>
  <c r="B16" i="28"/>
  <c r="B28" i="28"/>
  <c r="A65" i="28"/>
  <c r="A5" i="28"/>
  <c r="A21" i="28"/>
  <c r="A29" i="28"/>
  <c r="B86" i="28"/>
  <c r="B82" i="28"/>
  <c r="B72" i="28"/>
  <c r="B83" i="28"/>
  <c r="B6" i="28"/>
  <c r="A32" i="28"/>
  <c r="A50" i="28"/>
  <c r="A12" i="28"/>
  <c r="A42" i="28"/>
  <c r="B45" i="28"/>
  <c r="A6" i="28"/>
  <c r="A85" i="28"/>
  <c r="A25" i="28"/>
  <c r="B29" i="28"/>
  <c r="A26" i="28"/>
  <c r="A75" i="28"/>
  <c r="A88" i="28"/>
  <c r="A47" i="28"/>
  <c r="A27" i="28"/>
  <c r="A54" i="28"/>
  <c r="A76" i="28"/>
  <c r="A79" i="28"/>
  <c r="A73" i="28"/>
  <c r="A59" i="28"/>
  <c r="A13" i="28"/>
  <c r="B18" i="28"/>
  <c r="B21" i="28"/>
  <c r="B73" i="28"/>
  <c r="B81" i="28"/>
  <c r="B20" i="28"/>
  <c r="B59" i="28"/>
  <c r="B15" i="28"/>
  <c r="B75" i="28"/>
  <c r="B74" i="28"/>
  <c r="B27" i="28"/>
  <c r="B10" i="28"/>
  <c r="B61" i="28"/>
  <c r="B64" i="28"/>
  <c r="A89" i="28"/>
  <c r="A70" i="28"/>
  <c r="A11" i="28"/>
  <c r="A33" i="28"/>
  <c r="A46" i="28"/>
  <c r="A34" i="28"/>
  <c r="A24" i="28"/>
  <c r="A39" i="28"/>
  <c r="A58" i="28"/>
  <c r="A30" i="28"/>
  <c r="B62" i="28"/>
  <c r="B35" i="28"/>
  <c r="B85" i="28"/>
  <c r="B88" i="28"/>
  <c r="B58" i="28"/>
  <c r="B30" i="28"/>
  <c r="B47" i="28"/>
  <c r="B39" i="28"/>
  <c r="B13" i="28"/>
  <c r="B60" i="28"/>
  <c r="EB170" i="1"/>
  <c r="EC170" i="1"/>
  <c r="EB171" i="1"/>
  <c r="EC171" i="1"/>
  <c r="EB172" i="1"/>
  <c r="EC172" i="1"/>
  <c r="EB173" i="1"/>
  <c r="EC173" i="1"/>
  <c r="EC169" i="1"/>
  <c r="EB169" i="1"/>
  <c r="EB66" i="1"/>
  <c r="EB67" i="1"/>
  <c r="EB68" i="1"/>
  <c r="EB69" i="1"/>
  <c r="EC66" i="1"/>
  <c r="EC67" i="1"/>
  <c r="EC68" i="1"/>
  <c r="EC69" i="1"/>
  <c r="EC65" i="1"/>
  <c r="EB65" i="1"/>
  <c r="EB356" i="1"/>
  <c r="EC356" i="1"/>
  <c r="EB357" i="1"/>
  <c r="EC357" i="1"/>
  <c r="EB358" i="1"/>
  <c r="EC358" i="1"/>
  <c r="EB359" i="1"/>
  <c r="EC359" i="1"/>
  <c r="EC355" i="1"/>
  <c r="EB355" i="1"/>
  <c r="A56" i="28" l="1"/>
  <c r="A38" i="28"/>
  <c r="CN179" i="1"/>
  <c r="CN166" i="1"/>
  <c r="CN164" i="1"/>
  <c r="CN154" i="1"/>
  <c r="CN106" i="1"/>
  <c r="CN101" i="1"/>
  <c r="CN82" i="1"/>
  <c r="CN78" i="1"/>
  <c r="CN63" i="1"/>
  <c r="CN58" i="1"/>
  <c r="CN34" i="1"/>
  <c r="CN16" i="1"/>
  <c r="CN15" i="1"/>
  <c r="CN14" i="1"/>
  <c r="CN13" i="1"/>
  <c r="CN11" i="1"/>
  <c r="CN10" i="1"/>
  <c r="CN9" i="1"/>
  <c r="CN8" i="1"/>
  <c r="CN7" i="1"/>
  <c r="CN6" i="1"/>
  <c r="CN17" i="1"/>
  <c r="CN66" i="1"/>
  <c r="CN75" i="1"/>
  <c r="CN109" i="1"/>
  <c r="CN122" i="1"/>
  <c r="CN159" i="1"/>
  <c r="CN170" i="1"/>
  <c r="CN186" i="1"/>
  <c r="CN5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C3" i="1"/>
  <c r="AA3" i="1"/>
  <c r="Z3" i="1"/>
  <c r="G5" i="18"/>
  <c r="J5" i="18"/>
  <c r="K5" i="18"/>
  <c r="L5" i="18"/>
  <c r="G6" i="18"/>
  <c r="J6" i="18"/>
  <c r="K6" i="18"/>
  <c r="L6" i="18"/>
  <c r="G7" i="18"/>
  <c r="J7" i="18"/>
  <c r="K7" i="18"/>
  <c r="L7" i="18"/>
  <c r="G8" i="18"/>
  <c r="J8" i="18"/>
  <c r="K8" i="18"/>
  <c r="L8" i="18"/>
  <c r="G9" i="18"/>
  <c r="J9" i="18"/>
  <c r="K9" i="18"/>
  <c r="L9" i="18"/>
  <c r="G10" i="18"/>
  <c r="J10" i="18"/>
  <c r="K10" i="18"/>
  <c r="L10" i="18"/>
  <c r="G11" i="18"/>
  <c r="J11" i="18"/>
  <c r="K11" i="18"/>
  <c r="L11" i="18"/>
  <c r="J12" i="18"/>
  <c r="L12" i="18"/>
  <c r="G13" i="18"/>
  <c r="J13" i="18"/>
  <c r="K13" i="18"/>
  <c r="L13" i="18"/>
  <c r="G14" i="18"/>
  <c r="J14" i="18"/>
  <c r="K14" i="18"/>
  <c r="L14" i="18"/>
  <c r="G15" i="18"/>
  <c r="J15" i="18"/>
  <c r="K15" i="18"/>
  <c r="L15" i="18"/>
  <c r="G16" i="18"/>
  <c r="J16" i="18"/>
  <c r="L16" i="18"/>
  <c r="G17" i="18"/>
  <c r="K17" i="18"/>
  <c r="L95" i="18" s="1"/>
  <c r="G18" i="18"/>
  <c r="J18" i="18"/>
  <c r="L18" i="18"/>
  <c r="G19" i="18"/>
  <c r="J19" i="18"/>
  <c r="K19" i="18"/>
  <c r="L19" i="18"/>
  <c r="G20" i="18"/>
  <c r="J20" i="18"/>
  <c r="L20" i="18"/>
  <c r="G21" i="18"/>
  <c r="J21" i="18"/>
  <c r="K21" i="18"/>
  <c r="L21" i="18"/>
  <c r="G22" i="18"/>
  <c r="J22" i="18"/>
  <c r="K22" i="18"/>
  <c r="L22" i="18"/>
  <c r="G23" i="18"/>
  <c r="J23" i="18"/>
  <c r="K23" i="18"/>
  <c r="L23" i="18"/>
  <c r="G24" i="18"/>
  <c r="J24" i="18"/>
  <c r="K24" i="18"/>
  <c r="L24" i="18"/>
  <c r="G25" i="18"/>
  <c r="J25" i="18"/>
  <c r="L25" i="18"/>
  <c r="G26" i="18"/>
  <c r="J26" i="18"/>
  <c r="K26" i="18"/>
  <c r="L26" i="18"/>
  <c r="G27" i="18"/>
  <c r="J27" i="18"/>
  <c r="K27" i="18"/>
  <c r="L27" i="18"/>
  <c r="G28" i="18"/>
  <c r="J28" i="18"/>
  <c r="K28" i="18"/>
  <c r="L28" i="18"/>
  <c r="G29" i="18"/>
  <c r="J29" i="18"/>
  <c r="L29" i="18"/>
  <c r="G30" i="18"/>
  <c r="J30" i="18"/>
  <c r="K30" i="18"/>
  <c r="L93" i="18" s="1"/>
  <c r="L30" i="18"/>
  <c r="G31" i="18"/>
  <c r="J31" i="18"/>
  <c r="L31" i="18"/>
  <c r="G32" i="18"/>
  <c r="J32" i="18"/>
  <c r="K32" i="18"/>
  <c r="L32" i="18"/>
  <c r="G33" i="18"/>
  <c r="J33" i="18"/>
  <c r="K33" i="18"/>
  <c r="L33" i="18"/>
  <c r="G34" i="18"/>
  <c r="J34" i="18"/>
  <c r="L34" i="18"/>
  <c r="G35" i="18"/>
  <c r="J35" i="18"/>
  <c r="L35" i="18"/>
  <c r="G36" i="18"/>
  <c r="J36" i="18"/>
  <c r="L36" i="18"/>
  <c r="G37" i="18"/>
  <c r="J37" i="18"/>
  <c r="L37" i="18"/>
  <c r="G38" i="18"/>
  <c r="J38" i="18"/>
  <c r="K38" i="18"/>
  <c r="L38" i="18"/>
  <c r="G39" i="18"/>
  <c r="J39" i="18"/>
  <c r="K39" i="18"/>
  <c r="L39" i="18"/>
  <c r="G40" i="18"/>
  <c r="J40" i="18"/>
  <c r="K40" i="18"/>
  <c r="L40" i="18"/>
  <c r="G41" i="18"/>
  <c r="J41" i="18"/>
  <c r="K41" i="18"/>
  <c r="L41" i="18"/>
  <c r="G42" i="18"/>
  <c r="J42" i="18"/>
  <c r="K42" i="18"/>
  <c r="L42" i="18"/>
  <c r="G43" i="18"/>
  <c r="J43" i="18"/>
  <c r="K43" i="18"/>
  <c r="L43" i="18"/>
  <c r="G44" i="18"/>
  <c r="J44" i="18"/>
  <c r="L44" i="18"/>
  <c r="G45" i="18"/>
  <c r="J45" i="18"/>
  <c r="K45" i="18"/>
  <c r="L45" i="18"/>
  <c r="G46" i="18"/>
  <c r="J46" i="18"/>
  <c r="K46" i="18"/>
  <c r="L46" i="18"/>
  <c r="G47" i="18"/>
  <c r="J47" i="18"/>
  <c r="K47" i="18"/>
  <c r="L47" i="18"/>
  <c r="G48" i="18"/>
  <c r="J48" i="18"/>
  <c r="K48" i="18"/>
  <c r="L48" i="18"/>
  <c r="G49" i="18"/>
  <c r="J49" i="18"/>
  <c r="K49" i="18"/>
  <c r="L49" i="18"/>
  <c r="J50" i="18"/>
  <c r="L50" i="18"/>
  <c r="G51" i="18"/>
  <c r="J51" i="18"/>
  <c r="K51" i="18"/>
  <c r="L51" i="18"/>
  <c r="G52" i="18"/>
  <c r="J52" i="18"/>
  <c r="K52" i="18"/>
  <c r="L52" i="18"/>
  <c r="G53" i="18"/>
  <c r="J53" i="18"/>
  <c r="K53" i="18"/>
  <c r="L53" i="18"/>
  <c r="G54" i="18"/>
  <c r="G94" i="18" s="1"/>
  <c r="K54" i="18"/>
  <c r="L94" i="18" s="1"/>
  <c r="G55" i="18"/>
  <c r="J55" i="18"/>
  <c r="K55" i="18"/>
  <c r="L55" i="18"/>
  <c r="G56" i="18"/>
  <c r="J56" i="18"/>
  <c r="K56" i="18"/>
  <c r="L56" i="18"/>
  <c r="G57" i="18"/>
  <c r="J57" i="18"/>
  <c r="K57" i="18"/>
  <c r="L57" i="18"/>
  <c r="G58" i="18"/>
  <c r="J58" i="18"/>
  <c r="K58" i="18"/>
  <c r="L58" i="18"/>
  <c r="G59" i="18"/>
  <c r="J59" i="18"/>
  <c r="K59" i="18"/>
  <c r="L59" i="18"/>
  <c r="G60" i="18"/>
  <c r="J60" i="18"/>
  <c r="K60" i="18"/>
  <c r="L60" i="18"/>
  <c r="G61" i="18"/>
  <c r="J61" i="18"/>
  <c r="K61" i="18"/>
  <c r="L61" i="18"/>
  <c r="G62" i="18"/>
  <c r="J62" i="18"/>
  <c r="K62" i="18"/>
  <c r="L62" i="18"/>
  <c r="G63" i="18"/>
  <c r="J63" i="18"/>
  <c r="K63" i="18"/>
  <c r="L63" i="18"/>
  <c r="G64" i="18"/>
  <c r="J64" i="18"/>
  <c r="K64" i="18"/>
  <c r="L64" i="18"/>
  <c r="G65" i="18"/>
  <c r="J65" i="18"/>
  <c r="L65" i="18"/>
  <c r="G66" i="18"/>
  <c r="J66" i="18"/>
  <c r="K66" i="18"/>
  <c r="L66" i="18"/>
  <c r="G67" i="18"/>
  <c r="J67" i="18"/>
  <c r="K67" i="18"/>
  <c r="L67" i="18"/>
  <c r="G68" i="18"/>
  <c r="J68" i="18"/>
  <c r="K68" i="18"/>
  <c r="L68" i="18"/>
  <c r="G69" i="18"/>
  <c r="J69" i="18"/>
  <c r="K69" i="18"/>
  <c r="L69" i="18"/>
  <c r="G70" i="18"/>
  <c r="J70" i="18"/>
  <c r="K70" i="18"/>
  <c r="L70" i="18"/>
  <c r="G71" i="18"/>
  <c r="J71" i="18"/>
  <c r="K71" i="18"/>
  <c r="L71" i="18"/>
  <c r="G72" i="18"/>
  <c r="J72" i="18"/>
  <c r="K72" i="18"/>
  <c r="L72" i="18"/>
  <c r="G73" i="18"/>
  <c r="J73" i="18"/>
  <c r="K73" i="18"/>
  <c r="L73" i="18"/>
  <c r="G74" i="18"/>
  <c r="J74" i="18"/>
  <c r="K74" i="18"/>
  <c r="L74" i="18"/>
  <c r="G75" i="18"/>
  <c r="J75" i="18"/>
  <c r="K75" i="18"/>
  <c r="L75" i="18"/>
  <c r="G76" i="18"/>
  <c r="J76" i="18"/>
  <c r="K76" i="18"/>
  <c r="L76" i="18"/>
  <c r="G77" i="18"/>
  <c r="J77" i="18"/>
  <c r="K77" i="18"/>
  <c r="L77" i="18"/>
  <c r="G78" i="18"/>
  <c r="J78" i="18"/>
  <c r="K78" i="18"/>
  <c r="L78" i="18"/>
  <c r="G79" i="18"/>
  <c r="J79" i="18"/>
  <c r="K79" i="18"/>
  <c r="L79" i="18"/>
  <c r="G80" i="18"/>
  <c r="J80" i="18"/>
  <c r="K80" i="18"/>
  <c r="L80" i="18"/>
  <c r="G81" i="18"/>
  <c r="J81" i="18"/>
  <c r="K81" i="18"/>
  <c r="L81" i="18"/>
  <c r="G82" i="18"/>
  <c r="J82" i="18"/>
  <c r="K82" i="18"/>
  <c r="L82" i="18"/>
  <c r="G83" i="18"/>
  <c r="J83" i="18"/>
  <c r="K83" i="18"/>
  <c r="L83" i="18"/>
  <c r="G84" i="18"/>
  <c r="J84" i="18"/>
  <c r="K84" i="18"/>
  <c r="L84" i="18"/>
  <c r="G85" i="18"/>
  <c r="J85" i="18"/>
  <c r="K85" i="18"/>
  <c r="L85" i="18"/>
  <c r="G86" i="18"/>
  <c r="J86" i="18"/>
  <c r="L86" i="18"/>
  <c r="G87" i="18"/>
  <c r="J87" i="18"/>
  <c r="L87" i="18"/>
  <c r="G88" i="18"/>
  <c r="J88" i="18"/>
  <c r="K88" i="18"/>
  <c r="L88" i="18"/>
  <c r="K89" i="18"/>
  <c r="I90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S91" i="18"/>
  <c r="AT91" i="18"/>
  <c r="AU91" i="18"/>
  <c r="AV91" i="18"/>
  <c r="AW91" i="18"/>
  <c r="AX91" i="18"/>
  <c r="AY91" i="18"/>
  <c r="AZ91" i="18"/>
  <c r="BA91" i="18"/>
  <c r="BB91" i="18"/>
  <c r="BC91" i="18"/>
  <c r="BD91" i="18"/>
  <c r="BE91" i="18"/>
  <c r="BF91" i="18"/>
  <c r="BG91" i="18"/>
  <c r="BH91" i="18"/>
  <c r="BI91" i="18"/>
  <c r="BJ91" i="18"/>
  <c r="BK91" i="18"/>
  <c r="BL91" i="18"/>
  <c r="BM91" i="18"/>
  <c r="BN91" i="18"/>
  <c r="BO91" i="18"/>
  <c r="BP91" i="18"/>
  <c r="BQ91" i="18"/>
  <c r="BR91" i="18"/>
  <c r="BS91" i="18"/>
  <c r="BT91" i="18"/>
  <c r="BU91" i="18"/>
  <c r="BV91" i="18"/>
  <c r="G93" i="18"/>
  <c r="I93" i="18"/>
  <c r="O93" i="18" s="1"/>
  <c r="I94" i="18"/>
  <c r="G95" i="18"/>
  <c r="I95" i="18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7" i="22"/>
  <c r="A408" i="22"/>
  <c r="A409" i="22"/>
  <c r="A410" i="22"/>
  <c r="A411" i="22"/>
  <c r="A412" i="22"/>
  <c r="A413" i="22"/>
  <c r="A414" i="22"/>
  <c r="A415" i="22"/>
  <c r="A416" i="22"/>
  <c r="A417" i="22"/>
  <c r="A418" i="22"/>
  <c r="A419" i="22"/>
  <c r="A420" i="22"/>
  <c r="A421" i="22"/>
  <c r="A422" i="22"/>
  <c r="A423" i="22"/>
  <c r="A424" i="22"/>
  <c r="A425" i="22"/>
  <c r="A426" i="22"/>
  <c r="A427" i="22"/>
  <c r="A428" i="22"/>
  <c r="A429" i="22"/>
  <c r="A430" i="22"/>
  <c r="A431" i="22"/>
  <c r="A432" i="22"/>
  <c r="A433" i="22"/>
  <c r="A434" i="22"/>
  <c r="A435" i="22"/>
  <c r="A436" i="22"/>
  <c r="A437" i="22"/>
  <c r="A438" i="22"/>
  <c r="A439" i="22"/>
  <c r="A440" i="22"/>
  <c r="A441" i="22"/>
  <c r="A442" i="22"/>
  <c r="A443" i="22"/>
  <c r="A444" i="22"/>
  <c r="A445" i="22"/>
  <c r="A446" i="22"/>
  <c r="A447" i="22"/>
  <c r="A448" i="22"/>
  <c r="A449" i="22"/>
  <c r="A450" i="22"/>
  <c r="A451" i="22"/>
  <c r="A452" i="22"/>
  <c r="A453" i="22"/>
  <c r="A454" i="22"/>
  <c r="A455" i="22"/>
  <c r="A456" i="22"/>
  <c r="A457" i="22"/>
  <c r="A458" i="22"/>
  <c r="A459" i="22"/>
  <c r="A460" i="22"/>
  <c r="A461" i="22"/>
  <c r="A462" i="22"/>
  <c r="A463" i="22"/>
  <c r="A464" i="22"/>
  <c r="A465" i="22"/>
  <c r="A466" i="22"/>
  <c r="A467" i="22"/>
  <c r="A468" i="22"/>
  <c r="A469" i="22"/>
  <c r="A470" i="22"/>
  <c r="A471" i="22"/>
  <c r="A472" i="22"/>
  <c r="A473" i="22"/>
  <c r="A474" i="22"/>
  <c r="A475" i="22"/>
  <c r="A476" i="22"/>
  <c r="A477" i="22"/>
  <c r="A478" i="22"/>
  <c r="A479" i="22"/>
  <c r="A480" i="22"/>
  <c r="A481" i="22"/>
  <c r="A482" i="22"/>
  <c r="A483" i="22"/>
  <c r="A484" i="22"/>
  <c r="A485" i="22"/>
  <c r="A486" i="22"/>
  <c r="A487" i="22"/>
  <c r="A488" i="22"/>
  <c r="A489" i="22"/>
  <c r="A490" i="22"/>
  <c r="A491" i="22"/>
  <c r="A492" i="22"/>
  <c r="A493" i="22"/>
  <c r="A494" i="22"/>
  <c r="A495" i="22"/>
  <c r="A496" i="22"/>
  <c r="A497" i="22"/>
  <c r="A498" i="22"/>
  <c r="A499" i="22"/>
  <c r="A500" i="22"/>
  <c r="A501" i="22"/>
  <c r="A502" i="22"/>
  <c r="A503" i="22"/>
  <c r="A504" i="22"/>
  <c r="A505" i="22"/>
  <c r="A506" i="22"/>
  <c r="A507" i="22"/>
  <c r="A508" i="22"/>
  <c r="A509" i="22"/>
  <c r="A510" i="22"/>
  <c r="A511" i="22"/>
  <c r="A512" i="22"/>
  <c r="A513" i="22"/>
  <c r="A514" i="22"/>
  <c r="A515" i="22"/>
  <c r="A516" i="22"/>
  <c r="A517" i="22"/>
  <c r="A518" i="22"/>
  <c r="A519" i="22"/>
  <c r="A520" i="22"/>
  <c r="A521" i="22"/>
  <c r="A522" i="22"/>
  <c r="A523" i="22"/>
  <c r="F523" i="22"/>
  <c r="A524" i="22"/>
  <c r="F524" i="22"/>
  <c r="A525" i="22"/>
  <c r="F525" i="22"/>
  <c r="A526" i="22"/>
  <c r="F526" i="22"/>
  <c r="A527" i="22"/>
  <c r="F527" i="22"/>
  <c r="A528" i="22"/>
  <c r="F528" i="22"/>
  <c r="A529" i="22"/>
  <c r="F529" i="22"/>
  <c r="A530" i="22"/>
  <c r="F530" i="22"/>
  <c r="A531" i="22"/>
  <c r="F531" i="22"/>
  <c r="A532" i="22"/>
  <c r="F532" i="22"/>
  <c r="A533" i="22"/>
  <c r="F533" i="22"/>
  <c r="A534" i="22"/>
  <c r="F534" i="22"/>
  <c r="A535" i="22"/>
  <c r="F535" i="22"/>
  <c r="A536" i="22"/>
  <c r="F536" i="22"/>
  <c r="A537" i="22"/>
  <c r="F537" i="22"/>
  <c r="A538" i="22"/>
  <c r="F538" i="22"/>
  <c r="A539" i="22"/>
  <c r="F539" i="22"/>
  <c r="A540" i="22"/>
  <c r="F540" i="22"/>
  <c r="A541" i="22"/>
  <c r="F541" i="22"/>
  <c r="A542" i="22"/>
  <c r="F542" i="22"/>
  <c r="A543" i="22"/>
  <c r="F543" i="22"/>
  <c r="A544" i="22"/>
  <c r="F544" i="22"/>
  <c r="H9" i="26"/>
  <c r="S9" i="26"/>
  <c r="H25" i="26"/>
  <c r="S25" i="26"/>
  <c r="G42" i="26"/>
  <c r="C6" i="1"/>
  <c r="N6" i="1"/>
  <c r="O6" i="1"/>
  <c r="P6" i="1"/>
  <c r="C5" i="1"/>
  <c r="N5" i="1"/>
  <c r="O5" i="1"/>
  <c r="P5" i="1"/>
  <c r="C8" i="1"/>
  <c r="N8" i="1"/>
  <c r="O8" i="1"/>
  <c r="P8" i="1"/>
  <c r="C7" i="1"/>
  <c r="N7" i="1"/>
  <c r="O7" i="1"/>
  <c r="P7" i="1"/>
  <c r="C11" i="1"/>
  <c r="N11" i="1"/>
  <c r="O11" i="1"/>
  <c r="P11" i="1"/>
  <c r="C10" i="1"/>
  <c r="N10" i="1"/>
  <c r="O10" i="1"/>
  <c r="P10" i="1"/>
  <c r="C9" i="1"/>
  <c r="N9" i="1"/>
  <c r="O9" i="1"/>
  <c r="P9" i="1"/>
  <c r="C14" i="1"/>
  <c r="A14" i="1" s="1"/>
  <c r="N14" i="1"/>
  <c r="O14" i="1"/>
  <c r="P14" i="1"/>
  <c r="C13" i="1"/>
  <c r="N13" i="1"/>
  <c r="O13" i="1"/>
  <c r="P13" i="1"/>
  <c r="C12" i="1"/>
  <c r="N12" i="1"/>
  <c r="O12" i="1"/>
  <c r="P12" i="1"/>
  <c r="C15" i="1"/>
  <c r="N15" i="1"/>
  <c r="O15" i="1"/>
  <c r="P15" i="1"/>
  <c r="C20" i="1"/>
  <c r="N20" i="1"/>
  <c r="O20" i="1"/>
  <c r="P20" i="1"/>
  <c r="C18" i="1"/>
  <c r="N18" i="1"/>
  <c r="O18" i="1"/>
  <c r="P18" i="1"/>
  <c r="C19" i="1"/>
  <c r="B19" i="1" s="1"/>
  <c r="N19" i="1"/>
  <c r="O19" i="1"/>
  <c r="P19" i="1"/>
  <c r="C17" i="1"/>
  <c r="N17" i="1"/>
  <c r="O17" i="1"/>
  <c r="P17" i="1"/>
  <c r="C16" i="1"/>
  <c r="N16" i="1"/>
  <c r="O16" i="1"/>
  <c r="P16" i="1"/>
  <c r="C23" i="1"/>
  <c r="N23" i="1"/>
  <c r="O23" i="1"/>
  <c r="P23" i="1"/>
  <c r="C22" i="1"/>
  <c r="N22" i="1"/>
  <c r="O22" i="1"/>
  <c r="P22" i="1"/>
  <c r="C21" i="1"/>
  <c r="N21" i="1"/>
  <c r="O21" i="1"/>
  <c r="P21" i="1"/>
  <c r="C25" i="1"/>
  <c r="N25" i="1"/>
  <c r="O25" i="1"/>
  <c r="P25" i="1"/>
  <c r="C24" i="1"/>
  <c r="N24" i="1"/>
  <c r="O24" i="1"/>
  <c r="P24" i="1"/>
  <c r="C28" i="1"/>
  <c r="N28" i="1"/>
  <c r="O28" i="1"/>
  <c r="P28" i="1"/>
  <c r="C27" i="1"/>
  <c r="N27" i="1"/>
  <c r="O27" i="1"/>
  <c r="P27" i="1"/>
  <c r="C26" i="1"/>
  <c r="N26" i="1"/>
  <c r="O26" i="1"/>
  <c r="P26" i="1"/>
  <c r="C30" i="1"/>
  <c r="N30" i="1"/>
  <c r="O30" i="1"/>
  <c r="P30" i="1"/>
  <c r="C29" i="1"/>
  <c r="N29" i="1"/>
  <c r="O29" i="1"/>
  <c r="P29" i="1"/>
  <c r="C32" i="1"/>
  <c r="N32" i="1"/>
  <c r="O32" i="1"/>
  <c r="P32" i="1"/>
  <c r="C31" i="1"/>
  <c r="N31" i="1"/>
  <c r="O31" i="1"/>
  <c r="P31" i="1"/>
  <c r="C36" i="1"/>
  <c r="N36" i="1"/>
  <c r="O36" i="1"/>
  <c r="P36" i="1"/>
  <c r="C35" i="1"/>
  <c r="N35" i="1"/>
  <c r="O35" i="1"/>
  <c r="P35" i="1"/>
  <c r="C34" i="1"/>
  <c r="N34" i="1"/>
  <c r="O34" i="1"/>
  <c r="P34" i="1"/>
  <c r="C33" i="1"/>
  <c r="N33" i="1"/>
  <c r="O33" i="1"/>
  <c r="P33" i="1"/>
  <c r="C41" i="1"/>
  <c r="N41" i="1"/>
  <c r="O41" i="1"/>
  <c r="P41" i="1"/>
  <c r="C39" i="1"/>
  <c r="N39" i="1"/>
  <c r="O39" i="1"/>
  <c r="P39" i="1"/>
  <c r="C40" i="1"/>
  <c r="N40" i="1"/>
  <c r="O40" i="1"/>
  <c r="P40" i="1"/>
  <c r="C38" i="1"/>
  <c r="N38" i="1"/>
  <c r="O38" i="1"/>
  <c r="P38" i="1"/>
  <c r="C37" i="1"/>
  <c r="N37" i="1"/>
  <c r="O37" i="1"/>
  <c r="P37" i="1"/>
  <c r="DR9" i="1"/>
  <c r="DS9" i="1"/>
  <c r="DT9" i="1"/>
  <c r="DU9" i="1"/>
  <c r="DV9" i="1"/>
  <c r="DW9" i="1"/>
  <c r="DX9" i="1"/>
  <c r="DY9" i="1"/>
  <c r="DZ9" i="1"/>
  <c r="C44" i="1"/>
  <c r="A44" i="1" s="1"/>
  <c r="N44" i="1"/>
  <c r="O44" i="1"/>
  <c r="P44" i="1"/>
  <c r="C43" i="1"/>
  <c r="N43" i="1"/>
  <c r="O43" i="1"/>
  <c r="P43" i="1"/>
  <c r="C42" i="1"/>
  <c r="A42" i="1" s="1"/>
  <c r="N42" i="1"/>
  <c r="O42" i="1"/>
  <c r="P42" i="1"/>
  <c r="C47" i="1"/>
  <c r="N47" i="1"/>
  <c r="O47" i="1"/>
  <c r="P47" i="1"/>
  <c r="C46" i="1"/>
  <c r="N46" i="1"/>
  <c r="O46" i="1"/>
  <c r="P46" i="1"/>
  <c r="C45" i="1"/>
  <c r="N45" i="1"/>
  <c r="O45" i="1"/>
  <c r="P45" i="1"/>
  <c r="C51" i="1"/>
  <c r="A51" i="1" s="1"/>
  <c r="N51" i="1"/>
  <c r="O51" i="1"/>
  <c r="P51" i="1"/>
  <c r="C50" i="1"/>
  <c r="N50" i="1"/>
  <c r="O50" i="1"/>
  <c r="P50" i="1"/>
  <c r="C49" i="1"/>
  <c r="A49" i="1" s="1"/>
  <c r="N49" i="1"/>
  <c r="O49" i="1"/>
  <c r="P49" i="1"/>
  <c r="C48" i="1"/>
  <c r="N48" i="1"/>
  <c r="O48" i="1"/>
  <c r="P48" i="1"/>
  <c r="C54" i="1"/>
  <c r="A54" i="1" s="1"/>
  <c r="N54" i="1"/>
  <c r="O54" i="1"/>
  <c r="P54" i="1"/>
  <c r="C53" i="1"/>
  <c r="N53" i="1"/>
  <c r="O53" i="1"/>
  <c r="P53" i="1"/>
  <c r="C52" i="1"/>
  <c r="B52" i="1" s="1"/>
  <c r="N52" i="1"/>
  <c r="O52" i="1"/>
  <c r="P52" i="1"/>
  <c r="C58" i="1"/>
  <c r="N58" i="1"/>
  <c r="O58" i="1"/>
  <c r="P58" i="1"/>
  <c r="C57" i="1"/>
  <c r="A57" i="1" s="1"/>
  <c r="N57" i="1"/>
  <c r="O57" i="1"/>
  <c r="P57" i="1"/>
  <c r="C56" i="1"/>
  <c r="N56" i="1"/>
  <c r="O56" i="1"/>
  <c r="P56" i="1"/>
  <c r="C55" i="1"/>
  <c r="A55" i="1" s="1"/>
  <c r="N55" i="1"/>
  <c r="O55" i="1"/>
  <c r="P55" i="1"/>
  <c r="C61" i="1"/>
  <c r="N61" i="1"/>
  <c r="O61" i="1"/>
  <c r="P61" i="1"/>
  <c r="C60" i="1"/>
  <c r="N60" i="1"/>
  <c r="O60" i="1"/>
  <c r="P60" i="1"/>
  <c r="C59" i="1"/>
  <c r="N59" i="1"/>
  <c r="O59" i="1"/>
  <c r="P59" i="1"/>
  <c r="C64" i="1"/>
  <c r="A64" i="1" s="1"/>
  <c r="N64" i="1"/>
  <c r="O64" i="1"/>
  <c r="P64" i="1"/>
  <c r="C63" i="1"/>
  <c r="N63" i="1"/>
  <c r="O63" i="1"/>
  <c r="P63" i="1"/>
  <c r="C62" i="1"/>
  <c r="B62" i="1" s="1"/>
  <c r="N62" i="1"/>
  <c r="O62" i="1"/>
  <c r="P62" i="1"/>
  <c r="C69" i="1"/>
  <c r="N69" i="1"/>
  <c r="O69" i="1"/>
  <c r="P69" i="1"/>
  <c r="C67" i="1"/>
  <c r="B67" i="1" s="1"/>
  <c r="N67" i="1"/>
  <c r="O67" i="1"/>
  <c r="P67" i="1"/>
  <c r="C68" i="1"/>
  <c r="A68" i="1" s="1"/>
  <c r="N68" i="1"/>
  <c r="O68" i="1"/>
  <c r="P68" i="1"/>
  <c r="C66" i="1"/>
  <c r="B66" i="1" s="1"/>
  <c r="N66" i="1"/>
  <c r="O66" i="1"/>
  <c r="P66" i="1"/>
  <c r="C65" i="1"/>
  <c r="N65" i="1"/>
  <c r="O65" i="1"/>
  <c r="P65" i="1"/>
  <c r="C71" i="1"/>
  <c r="A71" i="1" s="1"/>
  <c r="N71" i="1"/>
  <c r="O71" i="1"/>
  <c r="P71" i="1"/>
  <c r="C70" i="1"/>
  <c r="N70" i="1"/>
  <c r="O70" i="1"/>
  <c r="P70" i="1"/>
  <c r="C73" i="1"/>
  <c r="A73" i="1" s="1"/>
  <c r="N73" i="1"/>
  <c r="O73" i="1"/>
  <c r="P73" i="1"/>
  <c r="C72" i="1"/>
  <c r="N72" i="1"/>
  <c r="O72" i="1"/>
  <c r="P72" i="1"/>
  <c r="C75" i="1"/>
  <c r="B75" i="1" s="1"/>
  <c r="N75" i="1"/>
  <c r="O75" i="1"/>
  <c r="P75" i="1"/>
  <c r="C74" i="1"/>
  <c r="N74" i="1"/>
  <c r="O74" i="1"/>
  <c r="P74" i="1"/>
  <c r="C77" i="1"/>
  <c r="B77" i="1" s="1"/>
  <c r="N77" i="1"/>
  <c r="O77" i="1"/>
  <c r="P77" i="1"/>
  <c r="C76" i="1"/>
  <c r="N76" i="1"/>
  <c r="O76" i="1"/>
  <c r="P76" i="1"/>
  <c r="C79" i="1"/>
  <c r="A79" i="1" s="1"/>
  <c r="N79" i="1"/>
  <c r="O79" i="1"/>
  <c r="P79" i="1"/>
  <c r="C78" i="1"/>
  <c r="N78" i="1"/>
  <c r="O78" i="1"/>
  <c r="P78" i="1"/>
  <c r="C81" i="1"/>
  <c r="B81" i="1" s="1"/>
  <c r="N81" i="1"/>
  <c r="O81" i="1"/>
  <c r="P81" i="1"/>
  <c r="C80" i="1"/>
  <c r="N80" i="1"/>
  <c r="O80" i="1"/>
  <c r="P80" i="1"/>
  <c r="C83" i="1"/>
  <c r="B83" i="1" s="1"/>
  <c r="N83" i="1"/>
  <c r="O83" i="1"/>
  <c r="P83" i="1"/>
  <c r="C82" i="1"/>
  <c r="N82" i="1"/>
  <c r="O82" i="1"/>
  <c r="P82" i="1"/>
  <c r="C85" i="1"/>
  <c r="N85" i="1"/>
  <c r="O85" i="1"/>
  <c r="P85" i="1"/>
  <c r="C84" i="1"/>
  <c r="N84" i="1"/>
  <c r="O84" i="1"/>
  <c r="P84" i="1"/>
  <c r="C89" i="1"/>
  <c r="N89" i="1"/>
  <c r="O89" i="1"/>
  <c r="P89" i="1"/>
  <c r="C88" i="1"/>
  <c r="N88" i="1"/>
  <c r="O88" i="1"/>
  <c r="P88" i="1"/>
  <c r="C87" i="1"/>
  <c r="B87" i="1" s="1"/>
  <c r="N87" i="1"/>
  <c r="O87" i="1"/>
  <c r="P87" i="1"/>
  <c r="C86" i="1"/>
  <c r="N86" i="1"/>
  <c r="O86" i="1"/>
  <c r="P86" i="1"/>
  <c r="C92" i="1"/>
  <c r="B92" i="1" s="1"/>
  <c r="N92" i="1"/>
  <c r="O92" i="1"/>
  <c r="P92" i="1"/>
  <c r="C91" i="1"/>
  <c r="N91" i="1"/>
  <c r="O91" i="1"/>
  <c r="P91" i="1"/>
  <c r="C90" i="1"/>
  <c r="B90" i="1" s="1"/>
  <c r="N90" i="1"/>
  <c r="O90" i="1"/>
  <c r="P90" i="1"/>
  <c r="C94" i="1"/>
  <c r="N94" i="1"/>
  <c r="O94" i="1"/>
  <c r="P94" i="1"/>
  <c r="C93" i="1"/>
  <c r="B93" i="1" s="1"/>
  <c r="N93" i="1"/>
  <c r="O93" i="1"/>
  <c r="P93" i="1"/>
  <c r="C97" i="1"/>
  <c r="N97" i="1"/>
  <c r="O97" i="1"/>
  <c r="P97" i="1"/>
  <c r="C96" i="1"/>
  <c r="N96" i="1"/>
  <c r="O96" i="1"/>
  <c r="P96" i="1"/>
  <c r="C95" i="1"/>
  <c r="N95" i="1"/>
  <c r="O95" i="1"/>
  <c r="P95" i="1"/>
  <c r="C100" i="1"/>
  <c r="A100" i="1" s="1"/>
  <c r="N100" i="1"/>
  <c r="O100" i="1"/>
  <c r="P100" i="1"/>
  <c r="C99" i="1"/>
  <c r="N99" i="1"/>
  <c r="O99" i="1"/>
  <c r="P99" i="1"/>
  <c r="C98" i="1"/>
  <c r="B98" i="1" s="1"/>
  <c r="N98" i="1"/>
  <c r="O98" i="1"/>
  <c r="P98" i="1"/>
  <c r="C102" i="1"/>
  <c r="N102" i="1"/>
  <c r="O102" i="1"/>
  <c r="P102" i="1"/>
  <c r="C101" i="1"/>
  <c r="A101" i="1" s="1"/>
  <c r="N101" i="1"/>
  <c r="O101" i="1"/>
  <c r="P101" i="1"/>
  <c r="C104" i="1"/>
  <c r="N104" i="1"/>
  <c r="O104" i="1"/>
  <c r="P104" i="1"/>
  <c r="C103" i="1"/>
  <c r="A103" i="1" s="1"/>
  <c r="N103" i="1"/>
  <c r="O103" i="1"/>
  <c r="P103" i="1"/>
  <c r="C106" i="1"/>
  <c r="N106" i="1"/>
  <c r="O106" i="1"/>
  <c r="P106" i="1"/>
  <c r="C105" i="1"/>
  <c r="N105" i="1"/>
  <c r="O105" i="1"/>
  <c r="P105" i="1"/>
  <c r="C109" i="1"/>
  <c r="N109" i="1"/>
  <c r="O109" i="1"/>
  <c r="P109" i="1"/>
  <c r="C108" i="1"/>
  <c r="B108" i="1" s="1"/>
  <c r="N108" i="1"/>
  <c r="O108" i="1"/>
  <c r="P108" i="1"/>
  <c r="C107" i="1"/>
  <c r="N107" i="1"/>
  <c r="O107" i="1"/>
  <c r="P107" i="1"/>
  <c r="C112" i="1"/>
  <c r="B112" i="1" s="1"/>
  <c r="N112" i="1"/>
  <c r="O112" i="1"/>
  <c r="P112" i="1"/>
  <c r="C111" i="1"/>
  <c r="N111" i="1"/>
  <c r="O111" i="1"/>
  <c r="P111" i="1"/>
  <c r="C110" i="1"/>
  <c r="N110" i="1"/>
  <c r="O110" i="1"/>
  <c r="P110" i="1"/>
  <c r="C114" i="1"/>
  <c r="N114" i="1"/>
  <c r="O114" i="1"/>
  <c r="P114" i="1"/>
  <c r="C113" i="1"/>
  <c r="N113" i="1"/>
  <c r="O113" i="1"/>
  <c r="P113" i="1"/>
  <c r="C118" i="1"/>
  <c r="N118" i="1"/>
  <c r="O118" i="1"/>
  <c r="P118" i="1"/>
  <c r="C117" i="1"/>
  <c r="N117" i="1"/>
  <c r="O117" i="1"/>
  <c r="P117" i="1"/>
  <c r="C116" i="1"/>
  <c r="N116" i="1"/>
  <c r="O116" i="1"/>
  <c r="P116" i="1"/>
  <c r="C115" i="1"/>
  <c r="N115" i="1"/>
  <c r="O115" i="1"/>
  <c r="P115" i="1"/>
  <c r="C120" i="1"/>
  <c r="N120" i="1"/>
  <c r="O120" i="1"/>
  <c r="P120" i="1"/>
  <c r="C119" i="1"/>
  <c r="N119" i="1"/>
  <c r="O119" i="1"/>
  <c r="P119" i="1"/>
  <c r="C122" i="1"/>
  <c r="N122" i="1"/>
  <c r="O122" i="1"/>
  <c r="P122" i="1"/>
  <c r="C121" i="1"/>
  <c r="N121" i="1"/>
  <c r="O121" i="1"/>
  <c r="P121" i="1"/>
  <c r="C125" i="1"/>
  <c r="N125" i="1"/>
  <c r="O125" i="1"/>
  <c r="P125" i="1"/>
  <c r="C124" i="1"/>
  <c r="N124" i="1"/>
  <c r="O124" i="1"/>
  <c r="P124" i="1"/>
  <c r="C123" i="1"/>
  <c r="N123" i="1"/>
  <c r="O123" i="1"/>
  <c r="P123" i="1"/>
  <c r="C127" i="1"/>
  <c r="N127" i="1"/>
  <c r="O127" i="1"/>
  <c r="P127" i="1"/>
  <c r="C126" i="1"/>
  <c r="N126" i="1"/>
  <c r="O126" i="1"/>
  <c r="P126" i="1"/>
  <c r="C129" i="1"/>
  <c r="N129" i="1"/>
  <c r="O129" i="1"/>
  <c r="P129" i="1"/>
  <c r="C128" i="1"/>
  <c r="N128" i="1"/>
  <c r="O128" i="1"/>
  <c r="P128" i="1"/>
  <c r="C131" i="1"/>
  <c r="N131" i="1"/>
  <c r="O131" i="1"/>
  <c r="P131" i="1"/>
  <c r="C130" i="1"/>
  <c r="N130" i="1"/>
  <c r="O130" i="1"/>
  <c r="P130" i="1"/>
  <c r="C133" i="1"/>
  <c r="N133" i="1"/>
  <c r="O133" i="1"/>
  <c r="P133" i="1"/>
  <c r="C132" i="1"/>
  <c r="N132" i="1"/>
  <c r="O132" i="1"/>
  <c r="P132" i="1"/>
  <c r="C136" i="1"/>
  <c r="N136" i="1"/>
  <c r="O136" i="1"/>
  <c r="P136" i="1"/>
  <c r="C135" i="1"/>
  <c r="N135" i="1"/>
  <c r="O135" i="1"/>
  <c r="P135" i="1"/>
  <c r="C134" i="1"/>
  <c r="B134" i="1" s="1"/>
  <c r="N134" i="1"/>
  <c r="O134" i="1"/>
  <c r="P134" i="1"/>
  <c r="C138" i="1"/>
  <c r="N138" i="1"/>
  <c r="O138" i="1"/>
  <c r="P138" i="1"/>
  <c r="C137" i="1"/>
  <c r="N137" i="1"/>
  <c r="O137" i="1"/>
  <c r="P137" i="1"/>
  <c r="C141" i="1"/>
  <c r="N141" i="1"/>
  <c r="O141" i="1"/>
  <c r="P141" i="1"/>
  <c r="C140" i="1"/>
  <c r="N140" i="1"/>
  <c r="O140" i="1"/>
  <c r="P140" i="1"/>
  <c r="C139" i="1"/>
  <c r="N139" i="1"/>
  <c r="O139" i="1"/>
  <c r="P139" i="1"/>
  <c r="C146" i="1"/>
  <c r="N146" i="1"/>
  <c r="O146" i="1"/>
  <c r="P146" i="1"/>
  <c r="C144" i="1"/>
  <c r="N144" i="1"/>
  <c r="O144" i="1"/>
  <c r="P144" i="1"/>
  <c r="C145" i="1"/>
  <c r="A145" i="1" s="1"/>
  <c r="N145" i="1"/>
  <c r="O145" i="1"/>
  <c r="P145" i="1"/>
  <c r="C143" i="1"/>
  <c r="N143" i="1"/>
  <c r="O143" i="1"/>
  <c r="P143" i="1"/>
  <c r="C142" i="1"/>
  <c r="N142" i="1"/>
  <c r="O142" i="1"/>
  <c r="P142" i="1"/>
  <c r="DR109" i="1"/>
  <c r="DS109" i="1"/>
  <c r="DT109" i="1"/>
  <c r="DU109" i="1"/>
  <c r="DV109" i="1"/>
  <c r="DW109" i="1"/>
  <c r="DX109" i="1"/>
  <c r="DY109" i="1"/>
  <c r="DZ109" i="1"/>
  <c r="C148" i="1"/>
  <c r="N148" i="1"/>
  <c r="O148" i="1"/>
  <c r="P148" i="1"/>
  <c r="C147" i="1"/>
  <c r="N147" i="1"/>
  <c r="O147" i="1"/>
  <c r="P147" i="1"/>
  <c r="C150" i="1"/>
  <c r="N150" i="1"/>
  <c r="O150" i="1"/>
  <c r="P150" i="1"/>
  <c r="C149" i="1"/>
  <c r="N149" i="1"/>
  <c r="O149" i="1"/>
  <c r="P149" i="1"/>
  <c r="C152" i="1"/>
  <c r="N152" i="1"/>
  <c r="O152" i="1"/>
  <c r="P152" i="1"/>
  <c r="C151" i="1"/>
  <c r="N151" i="1"/>
  <c r="O151" i="1"/>
  <c r="P151" i="1"/>
  <c r="C154" i="1"/>
  <c r="N154" i="1"/>
  <c r="O154" i="1"/>
  <c r="P154" i="1"/>
  <c r="C153" i="1"/>
  <c r="N153" i="1"/>
  <c r="O153" i="1"/>
  <c r="P153" i="1"/>
  <c r="C156" i="1"/>
  <c r="N156" i="1"/>
  <c r="O156" i="1"/>
  <c r="P156" i="1"/>
  <c r="C155" i="1"/>
  <c r="N155" i="1"/>
  <c r="O155" i="1"/>
  <c r="P155" i="1"/>
  <c r="C161" i="1"/>
  <c r="N161" i="1"/>
  <c r="O161" i="1"/>
  <c r="P161" i="1"/>
  <c r="C159" i="1"/>
  <c r="N159" i="1"/>
  <c r="O159" i="1"/>
  <c r="P159" i="1"/>
  <c r="C160" i="1"/>
  <c r="N160" i="1"/>
  <c r="O160" i="1"/>
  <c r="P160" i="1"/>
  <c r="C158" i="1"/>
  <c r="N158" i="1"/>
  <c r="O158" i="1"/>
  <c r="P158" i="1"/>
  <c r="C157" i="1"/>
  <c r="N157" i="1"/>
  <c r="O157" i="1"/>
  <c r="P157" i="1"/>
  <c r="DR122" i="1"/>
  <c r="DS122" i="1"/>
  <c r="DT122" i="1"/>
  <c r="DU122" i="1"/>
  <c r="DV122" i="1"/>
  <c r="DW122" i="1"/>
  <c r="DX122" i="1"/>
  <c r="DY122" i="1"/>
  <c r="DZ122" i="1"/>
  <c r="C163" i="1"/>
  <c r="N163" i="1"/>
  <c r="O163" i="1"/>
  <c r="P163" i="1"/>
  <c r="C162" i="1"/>
  <c r="A162" i="1" s="1"/>
  <c r="N162" i="1"/>
  <c r="O162" i="1"/>
  <c r="P162" i="1"/>
  <c r="C166" i="1"/>
  <c r="N166" i="1"/>
  <c r="O166" i="1"/>
  <c r="P166" i="1"/>
  <c r="C165" i="1"/>
  <c r="N165" i="1"/>
  <c r="O165" i="1"/>
  <c r="P165" i="1"/>
  <c r="C164" i="1"/>
  <c r="N164" i="1"/>
  <c r="O164" i="1"/>
  <c r="P164" i="1"/>
  <c r="C168" i="1"/>
  <c r="A168" i="1" s="1"/>
  <c r="N168" i="1"/>
  <c r="O168" i="1"/>
  <c r="P168" i="1"/>
  <c r="C167" i="1"/>
  <c r="N167" i="1"/>
  <c r="O167" i="1"/>
  <c r="P167" i="1"/>
  <c r="C173" i="1"/>
  <c r="N173" i="1"/>
  <c r="O173" i="1"/>
  <c r="P173" i="1"/>
  <c r="C171" i="1"/>
  <c r="N171" i="1"/>
  <c r="O171" i="1"/>
  <c r="P171" i="1"/>
  <c r="AB171" i="1"/>
  <c r="AC171" i="1"/>
  <c r="AD171" i="1"/>
  <c r="AE171" i="1"/>
  <c r="C172" i="1"/>
  <c r="N172" i="1"/>
  <c r="O172" i="1"/>
  <c r="P172" i="1"/>
  <c r="AB172" i="1"/>
  <c r="AC172" i="1"/>
  <c r="AD172" i="1"/>
  <c r="AE172" i="1"/>
  <c r="C170" i="1"/>
  <c r="N170" i="1"/>
  <c r="O170" i="1"/>
  <c r="P170" i="1"/>
  <c r="AB170" i="1"/>
  <c r="AC170" i="1"/>
  <c r="AD170" i="1"/>
  <c r="AE170" i="1"/>
  <c r="C169" i="1"/>
  <c r="N169" i="1"/>
  <c r="O169" i="1"/>
  <c r="P169" i="1"/>
  <c r="AD3" i="1"/>
  <c r="C176" i="1"/>
  <c r="N176" i="1"/>
  <c r="O176" i="1"/>
  <c r="P176" i="1"/>
  <c r="C175" i="1"/>
  <c r="N175" i="1"/>
  <c r="O175" i="1"/>
  <c r="P175" i="1"/>
  <c r="C174" i="1"/>
  <c r="N174" i="1"/>
  <c r="O174" i="1"/>
  <c r="P174" i="1"/>
  <c r="C179" i="1"/>
  <c r="N179" i="1"/>
  <c r="O179" i="1"/>
  <c r="P179" i="1"/>
  <c r="C180" i="1"/>
  <c r="N180" i="1"/>
  <c r="O180" i="1"/>
  <c r="P180" i="1"/>
  <c r="C178" i="1"/>
  <c r="N178" i="1"/>
  <c r="O178" i="1"/>
  <c r="P178" i="1"/>
  <c r="C177" i="1"/>
  <c r="N177" i="1"/>
  <c r="O177" i="1"/>
  <c r="P177" i="1"/>
  <c r="C185" i="1"/>
  <c r="N185" i="1"/>
  <c r="O185" i="1"/>
  <c r="P185" i="1"/>
  <c r="C183" i="1"/>
  <c r="N183" i="1"/>
  <c r="O183" i="1"/>
  <c r="P183" i="1"/>
  <c r="C184" i="1"/>
  <c r="N184" i="1"/>
  <c r="O184" i="1"/>
  <c r="P184" i="1"/>
  <c r="C182" i="1"/>
  <c r="N182" i="1"/>
  <c r="O182" i="1"/>
  <c r="P182" i="1"/>
  <c r="C181" i="1"/>
  <c r="N181" i="1"/>
  <c r="O181" i="1"/>
  <c r="P181" i="1"/>
  <c r="C187" i="1"/>
  <c r="N187" i="1"/>
  <c r="O187" i="1"/>
  <c r="P187" i="1"/>
  <c r="C186" i="1"/>
  <c r="N186" i="1"/>
  <c r="O186" i="1"/>
  <c r="P186" i="1"/>
  <c r="C189" i="1"/>
  <c r="N189" i="1"/>
  <c r="O189" i="1"/>
  <c r="P189" i="1"/>
  <c r="C188" i="1"/>
  <c r="N188" i="1"/>
  <c r="O188" i="1"/>
  <c r="P188" i="1"/>
  <c r="C192" i="1"/>
  <c r="N192" i="1"/>
  <c r="O192" i="1"/>
  <c r="P192" i="1"/>
  <c r="C191" i="1"/>
  <c r="N191" i="1"/>
  <c r="O191" i="1"/>
  <c r="P191" i="1"/>
  <c r="C190" i="1"/>
  <c r="N190" i="1"/>
  <c r="O190" i="1"/>
  <c r="P190" i="1"/>
  <c r="C194" i="1"/>
  <c r="N194" i="1"/>
  <c r="O194" i="1"/>
  <c r="P194" i="1"/>
  <c r="C193" i="1"/>
  <c r="N193" i="1"/>
  <c r="O193" i="1"/>
  <c r="P193" i="1"/>
  <c r="C196" i="1"/>
  <c r="N196" i="1"/>
  <c r="O196" i="1"/>
  <c r="P196" i="1"/>
  <c r="C195" i="1"/>
  <c r="N195" i="1"/>
  <c r="O195" i="1"/>
  <c r="P195" i="1"/>
  <c r="C199" i="1"/>
  <c r="N199" i="1"/>
  <c r="O199" i="1"/>
  <c r="P199" i="1"/>
  <c r="C198" i="1"/>
  <c r="N198" i="1"/>
  <c r="O198" i="1"/>
  <c r="P198" i="1"/>
  <c r="C197" i="1"/>
  <c r="N197" i="1"/>
  <c r="O197" i="1"/>
  <c r="P197" i="1"/>
  <c r="C201" i="1"/>
  <c r="N201" i="1"/>
  <c r="O201" i="1"/>
  <c r="P201" i="1"/>
  <c r="C200" i="1"/>
  <c r="N200" i="1"/>
  <c r="O200" i="1"/>
  <c r="P200" i="1"/>
  <c r="C203" i="1"/>
  <c r="N203" i="1"/>
  <c r="O203" i="1"/>
  <c r="P203" i="1"/>
  <c r="C202" i="1"/>
  <c r="N202" i="1"/>
  <c r="O202" i="1"/>
  <c r="P202" i="1"/>
  <c r="C205" i="1"/>
  <c r="N205" i="1"/>
  <c r="O205" i="1"/>
  <c r="P205" i="1"/>
  <c r="C204" i="1"/>
  <c r="N204" i="1"/>
  <c r="O204" i="1"/>
  <c r="P204" i="1"/>
  <c r="C207" i="1"/>
  <c r="N207" i="1"/>
  <c r="O207" i="1"/>
  <c r="P207" i="1"/>
  <c r="C206" i="1"/>
  <c r="N206" i="1"/>
  <c r="O206" i="1"/>
  <c r="P206" i="1"/>
  <c r="C212" i="1"/>
  <c r="N212" i="1"/>
  <c r="O212" i="1"/>
  <c r="P212" i="1"/>
  <c r="X212" i="1"/>
  <c r="Y212" i="1"/>
  <c r="C210" i="1"/>
  <c r="N210" i="1"/>
  <c r="O210" i="1"/>
  <c r="P210" i="1"/>
  <c r="X210" i="1"/>
  <c r="Y210" i="1"/>
  <c r="C211" i="1"/>
  <c r="N211" i="1"/>
  <c r="O211" i="1"/>
  <c r="P211" i="1"/>
  <c r="X211" i="1"/>
  <c r="C209" i="1"/>
  <c r="N209" i="1"/>
  <c r="O209" i="1"/>
  <c r="P209" i="1"/>
  <c r="X209" i="1"/>
  <c r="Y209" i="1"/>
  <c r="C208" i="1"/>
  <c r="N208" i="1"/>
  <c r="O208" i="1"/>
  <c r="P208" i="1"/>
  <c r="X208" i="1"/>
  <c r="Y208" i="1"/>
  <c r="DS200" i="1"/>
  <c r="C214" i="1"/>
  <c r="N214" i="1"/>
  <c r="O214" i="1"/>
  <c r="P214" i="1"/>
  <c r="C213" i="1"/>
  <c r="N213" i="1"/>
  <c r="O213" i="1"/>
  <c r="P213" i="1"/>
  <c r="C216" i="1"/>
  <c r="N216" i="1"/>
  <c r="O216" i="1"/>
  <c r="P216" i="1"/>
  <c r="C215" i="1"/>
  <c r="N215" i="1"/>
  <c r="O215" i="1"/>
  <c r="P215" i="1"/>
  <c r="C220" i="1"/>
  <c r="N220" i="1"/>
  <c r="O220" i="1"/>
  <c r="P220" i="1"/>
  <c r="AH220" i="1"/>
  <c r="C219" i="1"/>
  <c r="N219" i="1"/>
  <c r="O219" i="1"/>
  <c r="P219" i="1"/>
  <c r="C218" i="1"/>
  <c r="N218" i="1"/>
  <c r="O218" i="1"/>
  <c r="P218" i="1"/>
  <c r="C217" i="1"/>
  <c r="N217" i="1"/>
  <c r="O217" i="1"/>
  <c r="P217" i="1"/>
  <c r="C222" i="1"/>
  <c r="N222" i="1"/>
  <c r="O222" i="1"/>
  <c r="P222" i="1"/>
  <c r="C221" i="1"/>
  <c r="N221" i="1"/>
  <c r="O221" i="1"/>
  <c r="P221" i="1"/>
  <c r="C224" i="1"/>
  <c r="C223" i="1"/>
  <c r="C227" i="1"/>
  <c r="N227" i="1"/>
  <c r="O227" i="1"/>
  <c r="P227" i="1"/>
  <c r="C226" i="1"/>
  <c r="N226" i="1"/>
  <c r="O226" i="1"/>
  <c r="P226" i="1"/>
  <c r="C225" i="1"/>
  <c r="A225" i="1" s="1"/>
  <c r="N225" i="1"/>
  <c r="O225" i="1"/>
  <c r="P225" i="1"/>
  <c r="C229" i="1"/>
  <c r="N229" i="1"/>
  <c r="O229" i="1"/>
  <c r="P229" i="1"/>
  <c r="C228" i="1"/>
  <c r="B228" i="1" s="1"/>
  <c r="N228" i="1"/>
  <c r="O228" i="1"/>
  <c r="P228" i="1"/>
  <c r="C231" i="1"/>
  <c r="N231" i="1"/>
  <c r="O231" i="1"/>
  <c r="P231" i="1"/>
  <c r="C230" i="1"/>
  <c r="A230" i="1" s="1"/>
  <c r="N230" i="1"/>
  <c r="O230" i="1"/>
  <c r="P230" i="1"/>
  <c r="C236" i="1"/>
  <c r="N236" i="1"/>
  <c r="O236" i="1"/>
  <c r="P236" i="1"/>
  <c r="C234" i="1"/>
  <c r="N234" i="1"/>
  <c r="O234" i="1"/>
  <c r="P234" i="1"/>
  <c r="C235" i="1"/>
  <c r="N235" i="1"/>
  <c r="O235" i="1"/>
  <c r="P235" i="1"/>
  <c r="C233" i="1"/>
  <c r="B233" i="1" s="1"/>
  <c r="N233" i="1"/>
  <c r="O233" i="1"/>
  <c r="P233" i="1"/>
  <c r="C232" i="1"/>
  <c r="N232" i="1"/>
  <c r="O232" i="1"/>
  <c r="P232" i="1"/>
  <c r="DR236" i="1"/>
  <c r="DS236" i="1"/>
  <c r="DT236" i="1"/>
  <c r="DU236" i="1"/>
  <c r="DV236" i="1"/>
  <c r="DW236" i="1"/>
  <c r="DX236" i="1"/>
  <c r="DY236" i="1"/>
  <c r="DZ236" i="1"/>
  <c r="C238" i="1"/>
  <c r="C237" i="1"/>
  <c r="C240" i="1"/>
  <c r="N240" i="1"/>
  <c r="O240" i="1"/>
  <c r="P240" i="1"/>
  <c r="C239" i="1"/>
  <c r="N239" i="1"/>
  <c r="O239" i="1"/>
  <c r="P239" i="1"/>
  <c r="C242" i="1"/>
  <c r="N242" i="1"/>
  <c r="O242" i="1"/>
  <c r="P242" i="1"/>
  <c r="C241" i="1"/>
  <c r="N241" i="1"/>
  <c r="O241" i="1"/>
  <c r="P241" i="1"/>
  <c r="C244" i="1"/>
  <c r="N244" i="1"/>
  <c r="O244" i="1"/>
  <c r="P244" i="1"/>
  <c r="C243" i="1"/>
  <c r="B243" i="1" s="1"/>
  <c r="N243" i="1"/>
  <c r="O243" i="1"/>
  <c r="P243" i="1"/>
  <c r="C246" i="1"/>
  <c r="N246" i="1"/>
  <c r="O246" i="1"/>
  <c r="P246" i="1"/>
  <c r="C245" i="1"/>
  <c r="N245" i="1"/>
  <c r="O245" i="1"/>
  <c r="P245" i="1"/>
  <c r="C248" i="1"/>
  <c r="N248" i="1"/>
  <c r="O248" i="1"/>
  <c r="P248" i="1"/>
  <c r="C247" i="1"/>
  <c r="N247" i="1"/>
  <c r="O247" i="1"/>
  <c r="P247" i="1"/>
  <c r="C250" i="1"/>
  <c r="N250" i="1"/>
  <c r="O250" i="1"/>
  <c r="P250" i="1"/>
  <c r="C249" i="1"/>
  <c r="N249" i="1"/>
  <c r="O249" i="1"/>
  <c r="P249" i="1"/>
  <c r="C252" i="1"/>
  <c r="N252" i="1"/>
  <c r="O252" i="1"/>
  <c r="P252" i="1"/>
  <c r="C251" i="1"/>
  <c r="N251" i="1"/>
  <c r="O251" i="1"/>
  <c r="P251" i="1"/>
  <c r="C254" i="1"/>
  <c r="N254" i="1"/>
  <c r="O254" i="1"/>
  <c r="P254" i="1"/>
  <c r="C253" i="1"/>
  <c r="N253" i="1"/>
  <c r="O253" i="1"/>
  <c r="P253" i="1"/>
  <c r="C256" i="1"/>
  <c r="N256" i="1"/>
  <c r="O256" i="1"/>
  <c r="P256" i="1"/>
  <c r="C255" i="1"/>
  <c r="N255" i="1"/>
  <c r="O255" i="1"/>
  <c r="P255" i="1"/>
  <c r="C260" i="1"/>
  <c r="B260" i="1" s="1"/>
  <c r="N260" i="1"/>
  <c r="O260" i="1"/>
  <c r="P260" i="1"/>
  <c r="C259" i="1"/>
  <c r="N259" i="1"/>
  <c r="O259" i="1"/>
  <c r="P259" i="1"/>
  <c r="C258" i="1"/>
  <c r="N258" i="1"/>
  <c r="O258" i="1"/>
  <c r="P258" i="1"/>
  <c r="C257" i="1"/>
  <c r="N257" i="1"/>
  <c r="O257" i="1"/>
  <c r="P257" i="1"/>
  <c r="C263" i="1"/>
  <c r="N263" i="1"/>
  <c r="O263" i="1"/>
  <c r="P263" i="1"/>
  <c r="C262" i="1"/>
  <c r="N262" i="1"/>
  <c r="O262" i="1"/>
  <c r="P262" i="1"/>
  <c r="C261" i="1"/>
  <c r="N261" i="1"/>
  <c r="O261" i="1"/>
  <c r="P261" i="1"/>
  <c r="C266" i="1"/>
  <c r="N266" i="1"/>
  <c r="O266" i="1"/>
  <c r="P266" i="1"/>
  <c r="C265" i="1"/>
  <c r="N265" i="1"/>
  <c r="O265" i="1"/>
  <c r="P265" i="1"/>
  <c r="C264" i="1"/>
  <c r="N264" i="1"/>
  <c r="O264" i="1"/>
  <c r="P264" i="1"/>
  <c r="C270" i="1"/>
  <c r="N270" i="1"/>
  <c r="O270" i="1"/>
  <c r="P270" i="1"/>
  <c r="C269" i="1"/>
  <c r="N269" i="1"/>
  <c r="O269" i="1"/>
  <c r="P269" i="1"/>
  <c r="C268" i="1"/>
  <c r="B268" i="1" s="1"/>
  <c r="N268" i="1"/>
  <c r="O268" i="1"/>
  <c r="P268" i="1"/>
  <c r="C267" i="1"/>
  <c r="N267" i="1"/>
  <c r="O267" i="1"/>
  <c r="P267" i="1"/>
  <c r="C274" i="1"/>
  <c r="N274" i="1"/>
  <c r="O274" i="1"/>
  <c r="P274" i="1"/>
  <c r="C273" i="1"/>
  <c r="N273" i="1"/>
  <c r="O273" i="1"/>
  <c r="P273" i="1"/>
  <c r="C272" i="1"/>
  <c r="A272" i="1" s="1"/>
  <c r="N272" i="1"/>
  <c r="O272" i="1"/>
  <c r="P272" i="1"/>
  <c r="C271" i="1"/>
  <c r="N271" i="1"/>
  <c r="O271" i="1"/>
  <c r="P271" i="1"/>
  <c r="C276" i="1"/>
  <c r="N276" i="1"/>
  <c r="O276" i="1"/>
  <c r="P276" i="1"/>
  <c r="C275" i="1"/>
  <c r="N275" i="1"/>
  <c r="O275" i="1"/>
  <c r="P275" i="1"/>
  <c r="C278" i="1"/>
  <c r="N278" i="1"/>
  <c r="O278" i="1"/>
  <c r="P278" i="1"/>
  <c r="C277" i="1"/>
  <c r="N277" i="1"/>
  <c r="O277" i="1"/>
  <c r="P277" i="1"/>
  <c r="C280" i="1"/>
  <c r="N280" i="1"/>
  <c r="O280" i="1"/>
  <c r="P280" i="1"/>
  <c r="C279" i="1"/>
  <c r="N279" i="1"/>
  <c r="O279" i="1"/>
  <c r="P279" i="1"/>
  <c r="C282" i="1"/>
  <c r="C281" i="1"/>
  <c r="C287" i="1"/>
  <c r="N287" i="1"/>
  <c r="O287" i="1"/>
  <c r="P287" i="1"/>
  <c r="C285" i="1"/>
  <c r="N285" i="1"/>
  <c r="O285" i="1"/>
  <c r="P285" i="1"/>
  <c r="C286" i="1"/>
  <c r="N286" i="1"/>
  <c r="O286" i="1"/>
  <c r="P286" i="1"/>
  <c r="C284" i="1"/>
  <c r="N284" i="1"/>
  <c r="O284" i="1"/>
  <c r="P284" i="1"/>
  <c r="C283" i="1"/>
  <c r="N283" i="1"/>
  <c r="O283" i="1"/>
  <c r="P283" i="1"/>
  <c r="DR287" i="1"/>
  <c r="DS287" i="1"/>
  <c r="DT287" i="1"/>
  <c r="DU287" i="1"/>
  <c r="DV287" i="1"/>
  <c r="DW287" i="1"/>
  <c r="DX287" i="1"/>
  <c r="DY287" i="1"/>
  <c r="DZ287" i="1"/>
  <c r="C292" i="1"/>
  <c r="N292" i="1"/>
  <c r="O292" i="1"/>
  <c r="P292" i="1"/>
  <c r="C290" i="1"/>
  <c r="N290" i="1"/>
  <c r="O290" i="1"/>
  <c r="P290" i="1"/>
  <c r="C291" i="1"/>
  <c r="N291" i="1"/>
  <c r="O291" i="1"/>
  <c r="P291" i="1"/>
  <c r="C289" i="1"/>
  <c r="N289" i="1"/>
  <c r="O289" i="1"/>
  <c r="P289" i="1"/>
  <c r="C288" i="1"/>
  <c r="N288" i="1"/>
  <c r="O288" i="1"/>
  <c r="P288" i="1"/>
  <c r="DR292" i="1"/>
  <c r="DS292" i="1"/>
  <c r="DT292" i="1"/>
  <c r="DU292" i="1"/>
  <c r="DV292" i="1"/>
  <c r="DW292" i="1"/>
  <c r="DX292" i="1"/>
  <c r="DY292" i="1"/>
  <c r="DZ292" i="1"/>
  <c r="C293" i="1"/>
  <c r="C295" i="1"/>
  <c r="C294" i="1"/>
  <c r="C297" i="1"/>
  <c r="C296" i="1"/>
  <c r="C299" i="1"/>
  <c r="C298" i="1"/>
  <c r="C301" i="1"/>
  <c r="B301" i="1" s="1"/>
  <c r="N301" i="1"/>
  <c r="O301" i="1"/>
  <c r="P301" i="1"/>
  <c r="C300" i="1"/>
  <c r="N300" i="1"/>
  <c r="O300" i="1"/>
  <c r="P300" i="1"/>
  <c r="C305" i="1"/>
  <c r="B305" i="1" s="1"/>
  <c r="N305" i="1"/>
  <c r="O305" i="1"/>
  <c r="P305" i="1"/>
  <c r="C304" i="1"/>
  <c r="N304" i="1"/>
  <c r="O304" i="1"/>
  <c r="P304" i="1"/>
  <c r="C303" i="1"/>
  <c r="A303" i="1" s="1"/>
  <c r="N303" i="1"/>
  <c r="O303" i="1"/>
  <c r="P303" i="1"/>
  <c r="C302" i="1"/>
  <c r="N302" i="1"/>
  <c r="O302" i="1"/>
  <c r="P302" i="1"/>
  <c r="C307" i="1"/>
  <c r="A307" i="1" s="1"/>
  <c r="N307" i="1"/>
  <c r="O307" i="1"/>
  <c r="P307" i="1"/>
  <c r="C306" i="1"/>
  <c r="N306" i="1"/>
  <c r="O306" i="1"/>
  <c r="P306" i="1"/>
  <c r="C309" i="1"/>
  <c r="C308" i="1"/>
  <c r="C311" i="1"/>
  <c r="C310" i="1"/>
  <c r="C313" i="1"/>
  <c r="N313" i="1"/>
  <c r="O313" i="1"/>
  <c r="P313" i="1"/>
  <c r="C312" i="1"/>
  <c r="N312" i="1"/>
  <c r="O312" i="1"/>
  <c r="P312" i="1"/>
  <c r="C317" i="1"/>
  <c r="B317" i="1" s="1"/>
  <c r="N317" i="1"/>
  <c r="O317" i="1"/>
  <c r="P317" i="1"/>
  <c r="C316" i="1"/>
  <c r="N316" i="1"/>
  <c r="O316" i="1"/>
  <c r="P316" i="1"/>
  <c r="C315" i="1"/>
  <c r="N315" i="1"/>
  <c r="O315" i="1"/>
  <c r="P315" i="1"/>
  <c r="C314" i="1"/>
  <c r="N314" i="1"/>
  <c r="O314" i="1"/>
  <c r="P314" i="1"/>
  <c r="C320" i="1"/>
  <c r="A320" i="1" s="1"/>
  <c r="N320" i="1"/>
  <c r="O320" i="1"/>
  <c r="P320" i="1"/>
  <c r="C319" i="1"/>
  <c r="N319" i="1"/>
  <c r="O319" i="1"/>
  <c r="P319" i="1"/>
  <c r="C318" i="1"/>
  <c r="A318" i="1" s="1"/>
  <c r="N318" i="1"/>
  <c r="O318" i="1"/>
  <c r="P318" i="1"/>
  <c r="C324" i="1"/>
  <c r="N324" i="1"/>
  <c r="O324" i="1"/>
  <c r="P324" i="1"/>
  <c r="C323" i="1"/>
  <c r="N323" i="1"/>
  <c r="O323" i="1"/>
  <c r="P323" i="1"/>
  <c r="C322" i="1"/>
  <c r="N322" i="1"/>
  <c r="O322" i="1"/>
  <c r="P322" i="1"/>
  <c r="C321" i="1"/>
  <c r="B321" i="1" s="1"/>
  <c r="N321" i="1"/>
  <c r="O321" i="1"/>
  <c r="P321" i="1"/>
  <c r="DR324" i="1"/>
  <c r="DS324" i="1"/>
  <c r="DT324" i="1"/>
  <c r="DU324" i="1"/>
  <c r="DV324" i="1"/>
  <c r="DW324" i="1"/>
  <c r="DX324" i="1"/>
  <c r="DY324" i="1"/>
  <c r="DZ324" i="1"/>
  <c r="C327" i="1"/>
  <c r="N327" i="1"/>
  <c r="O327" i="1"/>
  <c r="P327" i="1"/>
  <c r="C326" i="1"/>
  <c r="N326" i="1"/>
  <c r="O326" i="1"/>
  <c r="P326" i="1"/>
  <c r="C325" i="1"/>
  <c r="N325" i="1"/>
  <c r="O325" i="1"/>
  <c r="P325" i="1"/>
  <c r="C330" i="1"/>
  <c r="N330" i="1"/>
  <c r="O330" i="1"/>
  <c r="P330" i="1"/>
  <c r="C329" i="1"/>
  <c r="N329" i="1"/>
  <c r="O329" i="1"/>
  <c r="P329" i="1"/>
  <c r="C328" i="1"/>
  <c r="N328" i="1"/>
  <c r="O328" i="1"/>
  <c r="P328" i="1"/>
  <c r="C333" i="1"/>
  <c r="N333" i="1"/>
  <c r="O333" i="1"/>
  <c r="P333" i="1"/>
  <c r="C332" i="1"/>
  <c r="N332" i="1"/>
  <c r="O332" i="1"/>
  <c r="P332" i="1"/>
  <c r="C331" i="1"/>
  <c r="N331" i="1"/>
  <c r="O331" i="1"/>
  <c r="P331" i="1"/>
  <c r="C336" i="1"/>
  <c r="N336" i="1"/>
  <c r="O336" i="1"/>
  <c r="P336" i="1"/>
  <c r="C335" i="1"/>
  <c r="N335" i="1"/>
  <c r="O335" i="1"/>
  <c r="P335" i="1"/>
  <c r="C334" i="1"/>
  <c r="N334" i="1"/>
  <c r="O334" i="1"/>
  <c r="P334" i="1"/>
  <c r="C338" i="1"/>
  <c r="N338" i="1"/>
  <c r="O338" i="1"/>
  <c r="P338" i="1"/>
  <c r="C337" i="1"/>
  <c r="N337" i="1"/>
  <c r="O337" i="1"/>
  <c r="P337" i="1"/>
  <c r="C341" i="1"/>
  <c r="N341" i="1"/>
  <c r="O341" i="1"/>
  <c r="P341" i="1"/>
  <c r="C340" i="1"/>
  <c r="N340" i="1"/>
  <c r="O340" i="1"/>
  <c r="P340" i="1"/>
  <c r="C339" i="1"/>
  <c r="N339" i="1"/>
  <c r="O339" i="1"/>
  <c r="P339" i="1"/>
  <c r="C346" i="1"/>
  <c r="N346" i="1"/>
  <c r="O346" i="1"/>
  <c r="P346" i="1"/>
  <c r="C344" i="1"/>
  <c r="N344" i="1"/>
  <c r="O344" i="1"/>
  <c r="P344" i="1"/>
  <c r="C345" i="1"/>
  <c r="N345" i="1"/>
  <c r="O345" i="1"/>
  <c r="P345" i="1"/>
  <c r="C343" i="1"/>
  <c r="N343" i="1"/>
  <c r="O343" i="1"/>
  <c r="P343" i="1"/>
  <c r="C342" i="1"/>
  <c r="N342" i="1"/>
  <c r="O342" i="1"/>
  <c r="P342" i="1"/>
  <c r="DR346" i="1"/>
  <c r="DS346" i="1"/>
  <c r="DT346" i="1"/>
  <c r="DU346" i="1"/>
  <c r="DV346" i="1"/>
  <c r="DW346" i="1"/>
  <c r="DX346" i="1"/>
  <c r="DY346" i="1"/>
  <c r="DZ346" i="1"/>
  <c r="C350" i="1"/>
  <c r="N350" i="1"/>
  <c r="O350" i="1"/>
  <c r="P350" i="1"/>
  <c r="C349" i="1"/>
  <c r="N349" i="1"/>
  <c r="O349" i="1"/>
  <c r="P349" i="1"/>
  <c r="C348" i="1"/>
  <c r="N348" i="1"/>
  <c r="O348" i="1"/>
  <c r="P348" i="1"/>
  <c r="C347" i="1"/>
  <c r="N347" i="1"/>
  <c r="O347" i="1"/>
  <c r="P347" i="1"/>
  <c r="C354" i="1"/>
  <c r="N354" i="1"/>
  <c r="O354" i="1"/>
  <c r="P354" i="1"/>
  <c r="C353" i="1"/>
  <c r="N353" i="1"/>
  <c r="O353" i="1"/>
  <c r="P353" i="1"/>
  <c r="C352" i="1"/>
  <c r="N352" i="1"/>
  <c r="O352" i="1"/>
  <c r="P352" i="1"/>
  <c r="C351" i="1"/>
  <c r="N351" i="1"/>
  <c r="O351" i="1"/>
  <c r="P351" i="1"/>
  <c r="C359" i="1"/>
  <c r="A359" i="1" s="1"/>
  <c r="N359" i="1"/>
  <c r="O359" i="1"/>
  <c r="P359" i="1"/>
  <c r="C357" i="1"/>
  <c r="N357" i="1"/>
  <c r="O357" i="1"/>
  <c r="P357" i="1"/>
  <c r="C358" i="1"/>
  <c r="N358" i="1"/>
  <c r="O358" i="1"/>
  <c r="P358" i="1"/>
  <c r="C356" i="1"/>
  <c r="N356" i="1"/>
  <c r="O356" i="1"/>
  <c r="P356" i="1"/>
  <c r="C355" i="1"/>
  <c r="B355" i="1" s="1"/>
  <c r="N355" i="1"/>
  <c r="O355" i="1"/>
  <c r="P355" i="1"/>
  <c r="C361" i="1"/>
  <c r="N361" i="1"/>
  <c r="O361" i="1"/>
  <c r="P361" i="1"/>
  <c r="C360" i="1"/>
  <c r="N360" i="1"/>
  <c r="O360" i="1"/>
  <c r="P360" i="1"/>
  <c r="C365" i="1"/>
  <c r="N365" i="1"/>
  <c r="O365" i="1"/>
  <c r="P365" i="1"/>
  <c r="C364" i="1"/>
  <c r="N364" i="1"/>
  <c r="O364" i="1"/>
  <c r="P364" i="1"/>
  <c r="C363" i="1"/>
  <c r="N363" i="1"/>
  <c r="O363" i="1"/>
  <c r="P363" i="1"/>
  <c r="C362" i="1"/>
  <c r="N362" i="1"/>
  <c r="O362" i="1"/>
  <c r="P362" i="1"/>
  <c r="C367" i="1"/>
  <c r="N367" i="1"/>
  <c r="O367" i="1"/>
  <c r="P367" i="1"/>
  <c r="C366" i="1"/>
  <c r="N366" i="1"/>
  <c r="O366" i="1"/>
  <c r="P366" i="1"/>
  <c r="C369" i="1"/>
  <c r="C368" i="1"/>
  <c r="C374" i="1"/>
  <c r="A374" i="1" s="1"/>
  <c r="N374" i="1"/>
  <c r="O374" i="1"/>
  <c r="P374" i="1"/>
  <c r="C372" i="1"/>
  <c r="N372" i="1"/>
  <c r="O372" i="1"/>
  <c r="P372" i="1"/>
  <c r="C373" i="1"/>
  <c r="B373" i="1" s="1"/>
  <c r="N373" i="1"/>
  <c r="O373" i="1"/>
  <c r="P373" i="1"/>
  <c r="C371" i="1"/>
  <c r="B371" i="1" s="1"/>
  <c r="N371" i="1"/>
  <c r="O371" i="1"/>
  <c r="P371" i="1"/>
  <c r="C370" i="1"/>
  <c r="A370" i="1" s="1"/>
  <c r="N370" i="1"/>
  <c r="O370" i="1"/>
  <c r="P370" i="1"/>
  <c r="C378" i="1"/>
  <c r="N378" i="1"/>
  <c r="O378" i="1"/>
  <c r="P378" i="1"/>
  <c r="C377" i="1"/>
  <c r="A377" i="1" s="1"/>
  <c r="N377" i="1"/>
  <c r="O377" i="1"/>
  <c r="P377" i="1"/>
  <c r="C376" i="1"/>
  <c r="N376" i="1"/>
  <c r="O376" i="1"/>
  <c r="P376" i="1"/>
  <c r="C375" i="1"/>
  <c r="A375" i="1" s="1"/>
  <c r="N375" i="1"/>
  <c r="O375" i="1"/>
  <c r="P375" i="1"/>
  <c r="DR378" i="1"/>
  <c r="DS378" i="1"/>
  <c r="DT378" i="1"/>
  <c r="DU378" i="1"/>
  <c r="DV378" i="1"/>
  <c r="DW378" i="1"/>
  <c r="DX378" i="1"/>
  <c r="DY378" i="1"/>
  <c r="DZ378" i="1"/>
  <c r="C380" i="1"/>
  <c r="N380" i="1"/>
  <c r="O380" i="1"/>
  <c r="P380" i="1"/>
  <c r="C379" i="1"/>
  <c r="N379" i="1"/>
  <c r="O379" i="1"/>
  <c r="P379" i="1"/>
  <c r="C384" i="1"/>
  <c r="N384" i="1"/>
  <c r="O384" i="1"/>
  <c r="P384" i="1"/>
  <c r="C383" i="1"/>
  <c r="N383" i="1"/>
  <c r="O383" i="1"/>
  <c r="P383" i="1"/>
  <c r="C382" i="1"/>
  <c r="N382" i="1"/>
  <c r="O382" i="1"/>
  <c r="P382" i="1"/>
  <c r="C381" i="1"/>
  <c r="N381" i="1"/>
  <c r="O381" i="1"/>
  <c r="P381" i="1"/>
  <c r="C388" i="1"/>
  <c r="N388" i="1"/>
  <c r="O388" i="1"/>
  <c r="P388" i="1"/>
  <c r="C387" i="1"/>
  <c r="N387" i="1"/>
  <c r="O387" i="1"/>
  <c r="P387" i="1"/>
  <c r="C386" i="1"/>
  <c r="N386" i="1"/>
  <c r="O386" i="1"/>
  <c r="P386" i="1"/>
  <c r="C385" i="1"/>
  <c r="N385" i="1"/>
  <c r="O385" i="1"/>
  <c r="P385" i="1"/>
  <c r="C391" i="1"/>
  <c r="N391" i="1"/>
  <c r="O391" i="1"/>
  <c r="P391" i="1"/>
  <c r="C390" i="1"/>
  <c r="N390" i="1"/>
  <c r="O390" i="1"/>
  <c r="P390" i="1"/>
  <c r="C389" i="1"/>
  <c r="N389" i="1"/>
  <c r="O389" i="1"/>
  <c r="P389" i="1"/>
  <c r="C395" i="1"/>
  <c r="N395" i="1"/>
  <c r="O395" i="1"/>
  <c r="P395" i="1"/>
  <c r="C394" i="1"/>
  <c r="N394" i="1"/>
  <c r="O394" i="1"/>
  <c r="P394" i="1"/>
  <c r="C393" i="1"/>
  <c r="N393" i="1"/>
  <c r="O393" i="1"/>
  <c r="P393" i="1"/>
  <c r="C392" i="1"/>
  <c r="N392" i="1"/>
  <c r="O392" i="1"/>
  <c r="P392" i="1"/>
  <c r="C397" i="1"/>
  <c r="N397" i="1"/>
  <c r="O397" i="1"/>
  <c r="P397" i="1"/>
  <c r="C396" i="1"/>
  <c r="N396" i="1"/>
  <c r="O396" i="1"/>
  <c r="P396" i="1"/>
  <c r="C401" i="1"/>
  <c r="N401" i="1"/>
  <c r="O401" i="1"/>
  <c r="P401" i="1"/>
  <c r="C400" i="1"/>
  <c r="N400" i="1"/>
  <c r="O400" i="1"/>
  <c r="P400" i="1"/>
  <c r="C399" i="1"/>
  <c r="N399" i="1"/>
  <c r="O399" i="1"/>
  <c r="P399" i="1"/>
  <c r="C398" i="1"/>
  <c r="N398" i="1"/>
  <c r="O398" i="1"/>
  <c r="P398" i="1"/>
  <c r="C406" i="1"/>
  <c r="N406" i="1"/>
  <c r="O406" i="1"/>
  <c r="P406" i="1"/>
  <c r="C404" i="1"/>
  <c r="N404" i="1"/>
  <c r="O404" i="1"/>
  <c r="P404" i="1"/>
  <c r="C405" i="1"/>
  <c r="N405" i="1"/>
  <c r="O405" i="1"/>
  <c r="P405" i="1"/>
  <c r="C403" i="1"/>
  <c r="N403" i="1"/>
  <c r="O403" i="1"/>
  <c r="P403" i="1"/>
  <c r="C402" i="1"/>
  <c r="N402" i="1"/>
  <c r="O402" i="1"/>
  <c r="P402" i="1"/>
  <c r="DR406" i="1"/>
  <c r="DS406" i="1"/>
  <c r="DT406" i="1"/>
  <c r="DU406" i="1"/>
  <c r="DV406" i="1"/>
  <c r="DW406" i="1"/>
  <c r="DX406" i="1"/>
  <c r="DY406" i="1"/>
  <c r="DZ406" i="1"/>
  <c r="C410" i="1"/>
  <c r="N410" i="1"/>
  <c r="O410" i="1"/>
  <c r="P410" i="1"/>
  <c r="C409" i="1"/>
  <c r="N409" i="1"/>
  <c r="O409" i="1"/>
  <c r="P409" i="1"/>
  <c r="C408" i="1"/>
  <c r="N408" i="1"/>
  <c r="O408" i="1"/>
  <c r="P408" i="1"/>
  <c r="C407" i="1"/>
  <c r="N407" i="1"/>
  <c r="O407" i="1"/>
  <c r="P407" i="1"/>
  <c r="C413" i="1"/>
  <c r="N413" i="1"/>
  <c r="O413" i="1"/>
  <c r="P413" i="1"/>
  <c r="C412" i="1"/>
  <c r="N412" i="1"/>
  <c r="O412" i="1"/>
  <c r="P412" i="1"/>
  <c r="C411" i="1"/>
  <c r="N411" i="1"/>
  <c r="O411" i="1"/>
  <c r="P411" i="1"/>
  <c r="C416" i="1"/>
  <c r="N416" i="1"/>
  <c r="O416" i="1"/>
  <c r="P416" i="1"/>
  <c r="C415" i="1"/>
  <c r="N415" i="1"/>
  <c r="O415" i="1"/>
  <c r="P415" i="1"/>
  <c r="C414" i="1"/>
  <c r="N414" i="1"/>
  <c r="O414" i="1"/>
  <c r="P414" i="1"/>
  <c r="C420" i="1"/>
  <c r="N420" i="1"/>
  <c r="O420" i="1"/>
  <c r="P420" i="1"/>
  <c r="C419" i="1"/>
  <c r="N419" i="1"/>
  <c r="O419" i="1"/>
  <c r="P419" i="1"/>
  <c r="C418" i="1"/>
  <c r="N418" i="1"/>
  <c r="O418" i="1"/>
  <c r="P418" i="1"/>
  <c r="C417" i="1"/>
  <c r="N417" i="1"/>
  <c r="O417" i="1"/>
  <c r="P417" i="1"/>
  <c r="C422" i="1"/>
  <c r="A422" i="1" s="1"/>
  <c r="N422" i="1"/>
  <c r="O422" i="1"/>
  <c r="P422" i="1"/>
  <c r="C421" i="1"/>
  <c r="N421" i="1"/>
  <c r="O421" i="1"/>
  <c r="P421" i="1"/>
  <c r="C424" i="1"/>
  <c r="N424" i="1"/>
  <c r="O424" i="1"/>
  <c r="P424" i="1"/>
  <c r="C423" i="1"/>
  <c r="N423" i="1"/>
  <c r="O423" i="1"/>
  <c r="P423" i="1"/>
  <c r="C428" i="1"/>
  <c r="N428" i="1"/>
  <c r="O428" i="1"/>
  <c r="P428" i="1"/>
  <c r="C427" i="1"/>
  <c r="N427" i="1"/>
  <c r="O427" i="1"/>
  <c r="P427" i="1"/>
  <c r="C426" i="1"/>
  <c r="N426" i="1"/>
  <c r="O426" i="1"/>
  <c r="P426" i="1"/>
  <c r="C425" i="1"/>
  <c r="N425" i="1"/>
  <c r="O425" i="1"/>
  <c r="P425" i="1"/>
  <c r="C432" i="1"/>
  <c r="N432" i="1"/>
  <c r="O432" i="1"/>
  <c r="P432" i="1"/>
  <c r="C431" i="1"/>
  <c r="N431" i="1"/>
  <c r="O431" i="1"/>
  <c r="P431" i="1"/>
  <c r="C430" i="1"/>
  <c r="N430" i="1"/>
  <c r="O430" i="1"/>
  <c r="P430" i="1"/>
  <c r="C429" i="1"/>
  <c r="N429" i="1"/>
  <c r="O429" i="1"/>
  <c r="P429" i="1"/>
  <c r="C436" i="1"/>
  <c r="N436" i="1"/>
  <c r="O436" i="1"/>
  <c r="P436" i="1"/>
  <c r="C435" i="1"/>
  <c r="N435" i="1"/>
  <c r="O435" i="1"/>
  <c r="P435" i="1"/>
  <c r="C434" i="1"/>
  <c r="N434" i="1"/>
  <c r="O434" i="1"/>
  <c r="P434" i="1"/>
  <c r="C433" i="1"/>
  <c r="N433" i="1"/>
  <c r="O433" i="1"/>
  <c r="P433" i="1"/>
  <c r="C440" i="1"/>
  <c r="N440" i="1"/>
  <c r="O440" i="1"/>
  <c r="P440" i="1"/>
  <c r="C439" i="1"/>
  <c r="N439" i="1"/>
  <c r="O439" i="1"/>
  <c r="P439" i="1"/>
  <c r="C438" i="1"/>
  <c r="N438" i="1"/>
  <c r="O438" i="1"/>
  <c r="P438" i="1"/>
  <c r="C437" i="1"/>
  <c r="N437" i="1"/>
  <c r="O437" i="1"/>
  <c r="P437" i="1"/>
  <c r="C444" i="1"/>
  <c r="N444" i="1"/>
  <c r="O444" i="1"/>
  <c r="P444" i="1"/>
  <c r="C443" i="1"/>
  <c r="N443" i="1"/>
  <c r="O443" i="1"/>
  <c r="P443" i="1"/>
  <c r="C442" i="1"/>
  <c r="N442" i="1"/>
  <c r="O442" i="1"/>
  <c r="P442" i="1"/>
  <c r="C441" i="1"/>
  <c r="N441" i="1"/>
  <c r="O441" i="1"/>
  <c r="P441" i="1"/>
  <c r="C449" i="1"/>
  <c r="N449" i="1"/>
  <c r="O449" i="1"/>
  <c r="P449" i="1"/>
  <c r="C447" i="1"/>
  <c r="N447" i="1"/>
  <c r="O447" i="1"/>
  <c r="P447" i="1"/>
  <c r="C448" i="1"/>
  <c r="N448" i="1"/>
  <c r="O448" i="1"/>
  <c r="P448" i="1"/>
  <c r="C446" i="1"/>
  <c r="N446" i="1"/>
  <c r="O446" i="1"/>
  <c r="P446" i="1"/>
  <c r="C445" i="1"/>
  <c r="B445" i="1" s="1"/>
  <c r="N445" i="1"/>
  <c r="O445" i="1"/>
  <c r="P445" i="1"/>
  <c r="C454" i="1"/>
  <c r="N454" i="1"/>
  <c r="O454" i="1"/>
  <c r="P454" i="1"/>
  <c r="C452" i="1"/>
  <c r="B452" i="1" s="1"/>
  <c r="N452" i="1"/>
  <c r="O452" i="1"/>
  <c r="P452" i="1"/>
  <c r="C453" i="1"/>
  <c r="N453" i="1"/>
  <c r="O453" i="1"/>
  <c r="P453" i="1"/>
  <c r="C451" i="1"/>
  <c r="A451" i="1" s="1"/>
  <c r="N451" i="1"/>
  <c r="O451" i="1"/>
  <c r="P451" i="1"/>
  <c r="C450" i="1"/>
  <c r="N450" i="1"/>
  <c r="O450" i="1"/>
  <c r="P450" i="1"/>
  <c r="DR454" i="1"/>
  <c r="DS454" i="1"/>
  <c r="DT454" i="1"/>
  <c r="DU454" i="1"/>
  <c r="DV454" i="1"/>
  <c r="DW454" i="1"/>
  <c r="DX454" i="1"/>
  <c r="DY454" i="1"/>
  <c r="DZ454" i="1"/>
  <c r="C459" i="1"/>
  <c r="N459" i="1"/>
  <c r="O459" i="1"/>
  <c r="P459" i="1"/>
  <c r="C457" i="1"/>
  <c r="N457" i="1"/>
  <c r="O457" i="1"/>
  <c r="P457" i="1"/>
  <c r="C458" i="1"/>
  <c r="N458" i="1"/>
  <c r="O458" i="1"/>
  <c r="P458" i="1"/>
  <c r="C456" i="1"/>
  <c r="N456" i="1"/>
  <c r="O456" i="1"/>
  <c r="P456" i="1"/>
  <c r="C455" i="1"/>
  <c r="N455" i="1"/>
  <c r="O455" i="1"/>
  <c r="P455" i="1"/>
  <c r="C463" i="1"/>
  <c r="N463" i="1"/>
  <c r="O463" i="1"/>
  <c r="P463" i="1"/>
  <c r="C462" i="1"/>
  <c r="N462" i="1"/>
  <c r="O462" i="1"/>
  <c r="P462" i="1"/>
  <c r="C461" i="1"/>
  <c r="N461" i="1"/>
  <c r="O461" i="1"/>
  <c r="P461" i="1"/>
  <c r="C460" i="1"/>
  <c r="N460" i="1"/>
  <c r="O460" i="1"/>
  <c r="P460" i="1"/>
  <c r="C468" i="1"/>
  <c r="N468" i="1"/>
  <c r="O468" i="1"/>
  <c r="P468" i="1"/>
  <c r="C466" i="1"/>
  <c r="N466" i="1"/>
  <c r="O466" i="1"/>
  <c r="P466" i="1"/>
  <c r="C467" i="1"/>
  <c r="N467" i="1"/>
  <c r="O467" i="1"/>
  <c r="P467" i="1"/>
  <c r="C465" i="1"/>
  <c r="N465" i="1"/>
  <c r="O465" i="1"/>
  <c r="P465" i="1"/>
  <c r="C464" i="1"/>
  <c r="N464" i="1"/>
  <c r="O464" i="1"/>
  <c r="P464" i="1"/>
  <c r="DR468" i="1"/>
  <c r="DS468" i="1"/>
  <c r="DT468" i="1"/>
  <c r="DU468" i="1"/>
  <c r="DV468" i="1"/>
  <c r="DW468" i="1"/>
  <c r="DX468" i="1"/>
  <c r="DY468" i="1"/>
  <c r="DZ468" i="1"/>
  <c r="C472" i="1"/>
  <c r="B472" i="1" s="1"/>
  <c r="N472" i="1"/>
  <c r="O472" i="1"/>
  <c r="P472" i="1"/>
  <c r="C471" i="1"/>
  <c r="N471" i="1"/>
  <c r="O471" i="1"/>
  <c r="P471" i="1"/>
  <c r="C470" i="1"/>
  <c r="B470" i="1" s="1"/>
  <c r="N470" i="1"/>
  <c r="O470" i="1"/>
  <c r="P470" i="1"/>
  <c r="C469" i="1"/>
  <c r="N469" i="1"/>
  <c r="O469" i="1"/>
  <c r="P469" i="1"/>
  <c r="C476" i="1"/>
  <c r="A476" i="1" s="1"/>
  <c r="N476" i="1"/>
  <c r="O476" i="1"/>
  <c r="P476" i="1"/>
  <c r="C475" i="1"/>
  <c r="N475" i="1"/>
  <c r="O475" i="1"/>
  <c r="P475" i="1"/>
  <c r="C474" i="1"/>
  <c r="A474" i="1" s="1"/>
  <c r="N474" i="1"/>
  <c r="O474" i="1"/>
  <c r="P474" i="1"/>
  <c r="C473" i="1"/>
  <c r="N473" i="1"/>
  <c r="O473" i="1"/>
  <c r="P473" i="1"/>
  <c r="DR473" i="1"/>
  <c r="DS473" i="1"/>
  <c r="DT473" i="1"/>
  <c r="DU473" i="1"/>
  <c r="DV473" i="1"/>
  <c r="DW473" i="1"/>
  <c r="DX473" i="1"/>
  <c r="DY473" i="1"/>
  <c r="DZ473" i="1"/>
  <c r="C478" i="1"/>
  <c r="C477" i="1"/>
  <c r="A477" i="1" s="1"/>
  <c r="C480" i="1"/>
  <c r="N480" i="1"/>
  <c r="O480" i="1"/>
  <c r="P480" i="1"/>
  <c r="C479" i="1"/>
  <c r="N479" i="1"/>
  <c r="O479" i="1"/>
  <c r="P479" i="1"/>
  <c r="C482" i="1"/>
  <c r="N482" i="1"/>
  <c r="O482" i="1"/>
  <c r="P482" i="1"/>
  <c r="C481" i="1"/>
  <c r="N481" i="1"/>
  <c r="O481" i="1"/>
  <c r="P481" i="1"/>
  <c r="C484" i="1"/>
  <c r="N484" i="1"/>
  <c r="O484" i="1"/>
  <c r="P484" i="1"/>
  <c r="C483" i="1"/>
  <c r="N483" i="1"/>
  <c r="O483" i="1"/>
  <c r="P483" i="1"/>
  <c r="C487" i="1"/>
  <c r="N487" i="1"/>
  <c r="O487" i="1"/>
  <c r="P487" i="1"/>
  <c r="C486" i="1"/>
  <c r="N486" i="1"/>
  <c r="O486" i="1"/>
  <c r="P486" i="1"/>
  <c r="C485" i="1"/>
  <c r="N485" i="1"/>
  <c r="O485" i="1"/>
  <c r="P485" i="1"/>
  <c r="C489" i="1"/>
  <c r="N489" i="1"/>
  <c r="O489" i="1"/>
  <c r="P489" i="1"/>
  <c r="C488" i="1"/>
  <c r="N488" i="1"/>
  <c r="O488" i="1"/>
  <c r="P488" i="1"/>
  <c r="C492" i="1"/>
  <c r="N492" i="1"/>
  <c r="O492" i="1"/>
  <c r="P492" i="1"/>
  <c r="C491" i="1"/>
  <c r="N491" i="1"/>
  <c r="O491" i="1"/>
  <c r="P491" i="1"/>
  <c r="C490" i="1"/>
  <c r="N490" i="1"/>
  <c r="O490" i="1"/>
  <c r="P490" i="1"/>
  <c r="C497" i="1"/>
  <c r="N497" i="1"/>
  <c r="O497" i="1"/>
  <c r="P497" i="1"/>
  <c r="C495" i="1"/>
  <c r="N495" i="1"/>
  <c r="O495" i="1"/>
  <c r="P495" i="1"/>
  <c r="C496" i="1"/>
  <c r="N496" i="1"/>
  <c r="O496" i="1"/>
  <c r="P496" i="1"/>
  <c r="C494" i="1"/>
  <c r="N494" i="1"/>
  <c r="O494" i="1"/>
  <c r="P494" i="1"/>
  <c r="C493" i="1"/>
  <c r="N493" i="1"/>
  <c r="O493" i="1"/>
  <c r="P493" i="1"/>
  <c r="DR498" i="1"/>
  <c r="DS498" i="1"/>
  <c r="DT498" i="1"/>
  <c r="DU498" i="1"/>
  <c r="DV498" i="1"/>
  <c r="DW498" i="1"/>
  <c r="DX498" i="1"/>
  <c r="DY498" i="1"/>
  <c r="DZ498" i="1"/>
  <c r="C501" i="1"/>
  <c r="N501" i="1"/>
  <c r="O501" i="1"/>
  <c r="P501" i="1"/>
  <c r="C500" i="1"/>
  <c r="A500" i="1" s="1"/>
  <c r="N500" i="1"/>
  <c r="O500" i="1"/>
  <c r="P500" i="1"/>
  <c r="C499" i="1"/>
  <c r="N499" i="1"/>
  <c r="O499" i="1"/>
  <c r="P499" i="1"/>
  <c r="C498" i="1"/>
  <c r="A498" i="1" s="1"/>
  <c r="N498" i="1"/>
  <c r="O498" i="1"/>
  <c r="P498" i="1"/>
  <c r="C505" i="1"/>
  <c r="N505" i="1"/>
  <c r="O505" i="1"/>
  <c r="P505" i="1"/>
  <c r="C504" i="1"/>
  <c r="B504" i="1" s="1"/>
  <c r="N504" i="1"/>
  <c r="O504" i="1"/>
  <c r="P504" i="1"/>
  <c r="C503" i="1"/>
  <c r="N503" i="1"/>
  <c r="O503" i="1"/>
  <c r="P503" i="1"/>
  <c r="C502" i="1"/>
  <c r="B502" i="1" s="1"/>
  <c r="N502" i="1"/>
  <c r="O502" i="1"/>
  <c r="P502" i="1"/>
  <c r="C509" i="1"/>
  <c r="N509" i="1"/>
  <c r="O509" i="1"/>
  <c r="P509" i="1"/>
  <c r="C508" i="1"/>
  <c r="B508" i="1" s="1"/>
  <c r="N508" i="1"/>
  <c r="O508" i="1"/>
  <c r="P508" i="1"/>
  <c r="C507" i="1"/>
  <c r="N507" i="1"/>
  <c r="O507" i="1"/>
  <c r="P507" i="1"/>
  <c r="C506" i="1"/>
  <c r="B506" i="1" s="1"/>
  <c r="N506" i="1"/>
  <c r="O506" i="1"/>
  <c r="P506" i="1"/>
  <c r="C512" i="1"/>
  <c r="C511" i="1"/>
  <c r="C510" i="1"/>
  <c r="C516" i="1"/>
  <c r="N516" i="1"/>
  <c r="O516" i="1"/>
  <c r="P516" i="1"/>
  <c r="C515" i="1"/>
  <c r="N515" i="1"/>
  <c r="O515" i="1"/>
  <c r="P515" i="1"/>
  <c r="C514" i="1"/>
  <c r="N514" i="1"/>
  <c r="O514" i="1"/>
  <c r="P514" i="1"/>
  <c r="C513" i="1"/>
  <c r="N513" i="1"/>
  <c r="O513" i="1"/>
  <c r="P513" i="1"/>
  <c r="C518" i="1"/>
  <c r="C517" i="1"/>
  <c r="B517" i="1" s="1"/>
  <c r="C521" i="1"/>
  <c r="N521" i="1"/>
  <c r="O521" i="1"/>
  <c r="P521" i="1"/>
  <c r="C520" i="1"/>
  <c r="N520" i="1"/>
  <c r="O520" i="1"/>
  <c r="P520" i="1"/>
  <c r="C519" i="1"/>
  <c r="N519" i="1"/>
  <c r="O519" i="1"/>
  <c r="P519" i="1"/>
  <c r="C524" i="1"/>
  <c r="C523" i="1"/>
  <c r="C522" i="1"/>
  <c r="C526" i="1"/>
  <c r="C525" i="1"/>
  <c r="C531" i="1"/>
  <c r="N531" i="1"/>
  <c r="O531" i="1"/>
  <c r="P531" i="1"/>
  <c r="C529" i="1"/>
  <c r="N529" i="1"/>
  <c r="O529" i="1"/>
  <c r="P529" i="1"/>
  <c r="C530" i="1"/>
  <c r="N530" i="1"/>
  <c r="O530" i="1"/>
  <c r="P530" i="1"/>
  <c r="C528" i="1"/>
  <c r="N528" i="1"/>
  <c r="O528" i="1"/>
  <c r="P528" i="1"/>
  <c r="C527" i="1"/>
  <c r="N527" i="1"/>
  <c r="O527" i="1"/>
  <c r="P527" i="1"/>
  <c r="DR543" i="1"/>
  <c r="DS543" i="1"/>
  <c r="DT543" i="1"/>
  <c r="DU543" i="1"/>
  <c r="DV543" i="1"/>
  <c r="DW543" i="1"/>
  <c r="DX543" i="1"/>
  <c r="DY543" i="1"/>
  <c r="DZ543" i="1"/>
  <c r="C533" i="1"/>
  <c r="B533" i="1" s="1"/>
  <c r="C532" i="1"/>
  <c r="C535" i="1"/>
  <c r="A535" i="1" s="1"/>
  <c r="N535" i="1"/>
  <c r="O535" i="1"/>
  <c r="P535" i="1"/>
  <c r="C534" i="1"/>
  <c r="N534" i="1"/>
  <c r="O534" i="1"/>
  <c r="P534" i="1"/>
  <c r="C537" i="1"/>
  <c r="A537" i="1" s="1"/>
  <c r="N537" i="1"/>
  <c r="O537" i="1"/>
  <c r="P537" i="1"/>
  <c r="C536" i="1"/>
  <c r="B536" i="1" s="1"/>
  <c r="N536" i="1"/>
  <c r="O536" i="1"/>
  <c r="P536" i="1"/>
  <c r="C542" i="1"/>
  <c r="N542" i="1"/>
  <c r="O542" i="1"/>
  <c r="P542" i="1"/>
  <c r="C540" i="1"/>
  <c r="A540" i="1" s="1"/>
  <c r="N540" i="1"/>
  <c r="O540" i="1"/>
  <c r="P540" i="1"/>
  <c r="Y540" i="1"/>
  <c r="Z540" i="1"/>
  <c r="AA540" i="1"/>
  <c r="C541" i="1"/>
  <c r="A541" i="1" s="1"/>
  <c r="N541" i="1"/>
  <c r="O541" i="1"/>
  <c r="P541" i="1"/>
  <c r="Y541" i="1"/>
  <c r="Z541" i="1"/>
  <c r="AG541" i="1"/>
  <c r="C539" i="1"/>
  <c r="N539" i="1"/>
  <c r="O539" i="1"/>
  <c r="P539" i="1"/>
  <c r="Y539" i="1"/>
  <c r="Z539" i="1"/>
  <c r="AA539" i="1"/>
  <c r="C538" i="1"/>
  <c r="N538" i="1"/>
  <c r="O538" i="1"/>
  <c r="P538" i="1"/>
  <c r="Y538" i="1"/>
  <c r="DU485" i="1"/>
  <c r="Z538" i="1"/>
  <c r="AA538" i="1"/>
  <c r="DR485" i="1"/>
  <c r="DX485" i="1"/>
  <c r="C547" i="1"/>
  <c r="N547" i="1"/>
  <c r="O547" i="1"/>
  <c r="P547" i="1"/>
  <c r="C545" i="1"/>
  <c r="N545" i="1"/>
  <c r="O545" i="1"/>
  <c r="P545" i="1"/>
  <c r="C546" i="1"/>
  <c r="N546" i="1"/>
  <c r="O546" i="1"/>
  <c r="P546" i="1"/>
  <c r="C544" i="1"/>
  <c r="N544" i="1"/>
  <c r="O544" i="1"/>
  <c r="P544" i="1"/>
  <c r="C543" i="1"/>
  <c r="N543" i="1"/>
  <c r="O543" i="1"/>
  <c r="P543" i="1"/>
  <c r="DR524" i="1"/>
  <c r="DS524" i="1"/>
  <c r="DT524" i="1"/>
  <c r="DU524" i="1"/>
  <c r="DV524" i="1"/>
  <c r="DW524" i="1"/>
  <c r="DX524" i="1"/>
  <c r="DY524" i="1"/>
  <c r="DZ524" i="1"/>
  <c r="DT200" i="1"/>
  <c r="DZ200" i="1"/>
  <c r="DV200" i="1"/>
  <c r="DV485" i="1"/>
  <c r="DW485" i="1"/>
  <c r="DY485" i="1"/>
  <c r="DZ485" i="1"/>
  <c r="DS485" i="1"/>
  <c r="DT485" i="1"/>
  <c r="AE3" i="1"/>
  <c r="DR200" i="1"/>
  <c r="DU200" i="1"/>
  <c r="DY200" i="1"/>
  <c r="Y3" i="1"/>
  <c r="CN200" i="1"/>
  <c r="DW200" i="1"/>
  <c r="DX200" i="1"/>
  <c r="AB3" i="1"/>
  <c r="L90" i="18" l="1"/>
  <c r="A35" i="1"/>
  <c r="A31" i="1"/>
  <c r="B265" i="1"/>
  <c r="G90" i="18"/>
  <c r="B289" i="1"/>
  <c r="B290" i="1"/>
  <c r="A221" i="1"/>
  <c r="A217" i="1"/>
  <c r="B219" i="1"/>
  <c r="A206" i="1"/>
  <c r="A200" i="1"/>
  <c r="A197" i="1"/>
  <c r="A140" i="1"/>
  <c r="B97" i="1"/>
  <c r="L91" i="18"/>
  <c r="G91" i="18"/>
  <c r="B403" i="1"/>
  <c r="A260" i="1"/>
  <c r="A263" i="1"/>
  <c r="A247" i="1"/>
  <c r="B278" i="1"/>
  <c r="B538" i="1"/>
  <c r="B532" i="1"/>
  <c r="B529" i="1"/>
  <c r="B519" i="1"/>
  <c r="A521" i="1"/>
  <c r="B493" i="1"/>
  <c r="B496" i="1"/>
  <c r="B488" i="1"/>
  <c r="B482" i="1"/>
  <c r="B466" i="1"/>
  <c r="B157" i="1"/>
  <c r="A161" i="1"/>
  <c r="A147" i="1"/>
  <c r="A13" i="1"/>
  <c r="B188" i="1"/>
  <c r="A169" i="1"/>
  <c r="A131" i="1"/>
  <c r="B117" i="1"/>
  <c r="A403" i="1"/>
  <c r="A396" i="1"/>
  <c r="B388" i="1"/>
  <c r="A331" i="1"/>
  <c r="B287" i="1"/>
  <c r="B215" i="1"/>
  <c r="B213" i="1"/>
  <c r="A170" i="1"/>
  <c r="A172" i="1"/>
  <c r="B151" i="1"/>
  <c r="A149" i="1"/>
  <c r="A30" i="1"/>
  <c r="B27" i="1"/>
  <c r="B24" i="1"/>
  <c r="B21" i="1"/>
  <c r="A23" i="1"/>
  <c r="A17" i="1"/>
  <c r="B18" i="1"/>
  <c r="A15" i="1"/>
  <c r="B11" i="1"/>
  <c r="G96" i="18"/>
  <c r="I91" i="18"/>
  <c r="A194" i="1"/>
  <c r="A175" i="1"/>
  <c r="B137" i="1"/>
  <c r="B121" i="1"/>
  <c r="A543" i="1"/>
  <c r="A545" i="1"/>
  <c r="B526" i="1"/>
  <c r="A400" i="1"/>
  <c r="B384" i="1"/>
  <c r="B339" i="1"/>
  <c r="B327" i="1"/>
  <c r="B276" i="1"/>
  <c r="B542" i="1"/>
  <c r="B525" i="1"/>
  <c r="B522" i="1"/>
  <c r="A507" i="1"/>
  <c r="A509" i="1"/>
  <c r="B503" i="1"/>
  <c r="B505" i="1"/>
  <c r="A499" i="1"/>
  <c r="A473" i="1"/>
  <c r="A475" i="1"/>
  <c r="B376" i="1"/>
  <c r="A378" i="1"/>
  <c r="A372" i="1"/>
  <c r="B322" i="1"/>
  <c r="B319" i="1"/>
  <c r="A314" i="1"/>
  <c r="B316" i="1"/>
  <c r="A312" i="1"/>
  <c r="B302" i="1"/>
  <c r="B304" i="1"/>
  <c r="B232" i="1"/>
  <c r="A235" i="1"/>
  <c r="B231" i="1"/>
  <c r="B229" i="1"/>
  <c r="B226" i="1"/>
  <c r="B176" i="1"/>
  <c r="A171" i="1"/>
  <c r="A167" i="1"/>
  <c r="B163" i="1"/>
  <c r="A114" i="1"/>
  <c r="B111" i="1"/>
  <c r="B107" i="1"/>
  <c r="A109" i="1"/>
  <c r="B106" i="1"/>
  <c r="A104" i="1"/>
  <c r="A102" i="1"/>
  <c r="A99" i="1"/>
  <c r="A95" i="1"/>
  <c r="A97" i="1"/>
  <c r="A94" i="1"/>
  <c r="A91" i="1"/>
  <c r="B86" i="1"/>
  <c r="B88" i="1"/>
  <c r="A84" i="1"/>
  <c r="A82" i="1"/>
  <c r="B80" i="1"/>
  <c r="A78" i="1"/>
  <c r="A76" i="1"/>
  <c r="B74" i="1"/>
  <c r="B72" i="1"/>
  <c r="A70" i="1"/>
  <c r="B65" i="1"/>
  <c r="B69" i="1"/>
  <c r="B63" i="1"/>
  <c r="A59" i="1"/>
  <c r="B61" i="1"/>
  <c r="B56" i="1"/>
  <c r="B58" i="1"/>
  <c r="A53" i="1"/>
  <c r="B48" i="1"/>
  <c r="B50" i="1"/>
  <c r="A45" i="1"/>
  <c r="A47" i="1"/>
  <c r="B43" i="1"/>
  <c r="A191" i="1"/>
  <c r="A133" i="1"/>
  <c r="A515" i="1"/>
  <c r="A394" i="1"/>
  <c r="A380" i="1"/>
  <c r="B341" i="1"/>
  <c r="A325" i="1"/>
  <c r="B446" i="1"/>
  <c r="B254" i="1"/>
  <c r="A240" i="1"/>
  <c r="A494" i="1"/>
  <c r="A256" i="1"/>
  <c r="B367" i="1"/>
  <c r="B158" i="1"/>
  <c r="B527" i="1"/>
  <c r="B530" i="1"/>
  <c r="A524" i="1"/>
  <c r="A520" i="1"/>
  <c r="B511" i="1"/>
  <c r="B494" i="1"/>
  <c r="B495" i="1"/>
  <c r="A492" i="1"/>
  <c r="B489" i="1"/>
  <c r="A486" i="1"/>
  <c r="B483" i="1"/>
  <c r="B479" i="1"/>
  <c r="B464" i="1"/>
  <c r="A461" i="1"/>
  <c r="A463" i="1"/>
  <c r="A279" i="1"/>
  <c r="B277" i="1"/>
  <c r="A275" i="1"/>
  <c r="B271" i="1"/>
  <c r="A267" i="1"/>
  <c r="B269" i="1"/>
  <c r="A264" i="1"/>
  <c r="A266" i="1"/>
  <c r="A262" i="1"/>
  <c r="B257" i="1"/>
  <c r="A259" i="1"/>
  <c r="A255" i="1"/>
  <c r="A253" i="1"/>
  <c r="A251" i="1"/>
  <c r="A249" i="1"/>
  <c r="B247" i="1"/>
  <c r="B245" i="1"/>
  <c r="A243" i="1"/>
  <c r="B241" i="1"/>
  <c r="A239" i="1"/>
  <c r="B209" i="1"/>
  <c r="A158" i="1"/>
  <c r="A159" i="1"/>
  <c r="A155" i="1"/>
  <c r="A150" i="1"/>
  <c r="A148" i="1"/>
  <c r="B37" i="1"/>
  <c r="A41" i="1"/>
  <c r="B34" i="1"/>
  <c r="A36" i="1"/>
  <c r="A6" i="1"/>
  <c r="A196" i="1"/>
  <c r="B181" i="1"/>
  <c r="B119" i="1"/>
  <c r="A398" i="1"/>
  <c r="B391" i="1"/>
  <c r="B382" i="1"/>
  <c r="A344" i="1"/>
  <c r="A335" i="1"/>
  <c r="B333" i="1"/>
  <c r="B214" i="1"/>
  <c r="B244" i="1"/>
  <c r="B5" i="1"/>
  <c r="B7" i="1" s="1"/>
  <c r="A38" i="1"/>
  <c r="B159" i="1"/>
  <c r="B534" i="1"/>
  <c r="B523" i="1"/>
  <c r="B450" i="1"/>
  <c r="A453" i="1"/>
  <c r="A439" i="1"/>
  <c r="A435" i="1"/>
  <c r="B431" i="1"/>
  <c r="B427" i="1"/>
  <c r="A421" i="1"/>
  <c r="A417" i="1"/>
  <c r="A365" i="1"/>
  <c r="B356" i="1"/>
  <c r="A357" i="1"/>
  <c r="B288" i="1"/>
  <c r="A222" i="1"/>
  <c r="B205" i="1"/>
  <c r="B198" i="1"/>
  <c r="B190" i="1"/>
  <c r="B192" i="1"/>
  <c r="B189" i="1"/>
  <c r="A187" i="1"/>
  <c r="B182" i="1"/>
  <c r="B183" i="1"/>
  <c r="A177" i="1"/>
  <c r="B180" i="1"/>
  <c r="A143" i="1"/>
  <c r="B144" i="1"/>
  <c r="A139" i="1"/>
  <c r="A141" i="1"/>
  <c r="A138" i="1"/>
  <c r="B132" i="1"/>
  <c r="A130" i="1"/>
  <c r="A128" i="1"/>
  <c r="B126" i="1"/>
  <c r="A125" i="1"/>
  <c r="B122" i="1"/>
  <c r="B120" i="1"/>
  <c r="A116" i="1"/>
  <c r="A118" i="1"/>
  <c r="A199" i="1"/>
  <c r="B186" i="1"/>
  <c r="A142" i="1"/>
  <c r="B115" i="1"/>
  <c r="A513" i="1"/>
  <c r="A404" i="1"/>
  <c r="A392" i="1"/>
  <c r="B386" i="1"/>
  <c r="B343" i="1"/>
  <c r="B338" i="1"/>
  <c r="A329" i="1"/>
  <c r="A270" i="1"/>
  <c r="B33" i="1"/>
  <c r="B10" i="1"/>
  <c r="A261" i="1"/>
  <c r="A544" i="1"/>
  <c r="A547" i="1"/>
  <c r="A518" i="1"/>
  <c r="B514" i="1"/>
  <c r="B478" i="1"/>
  <c r="B402" i="1"/>
  <c r="A405" i="1"/>
  <c r="A406" i="1"/>
  <c r="A399" i="1"/>
  <c r="A401" i="1"/>
  <c r="B397" i="1"/>
  <c r="A393" i="1"/>
  <c r="B395" i="1"/>
  <c r="B390" i="1"/>
  <c r="B385" i="1"/>
  <c r="B387" i="1"/>
  <c r="A381" i="1"/>
  <c r="B383" i="1"/>
  <c r="A379" i="1"/>
  <c r="A342" i="1"/>
  <c r="B345" i="1"/>
  <c r="A346" i="1"/>
  <c r="A337" i="1"/>
  <c r="B334" i="1"/>
  <c r="B336" i="1"/>
  <c r="B328" i="1"/>
  <c r="A330" i="1"/>
  <c r="B326" i="1"/>
  <c r="A284" i="1"/>
  <c r="B285" i="1"/>
  <c r="B220" i="1"/>
  <c r="A216" i="1"/>
  <c r="A214" i="1"/>
  <c r="B208" i="1"/>
  <c r="B154" i="1"/>
  <c r="B152" i="1"/>
  <c r="B29" i="1"/>
  <c r="B26" i="1"/>
  <c r="B28" i="1"/>
  <c r="B25" i="1"/>
  <c r="B22" i="1"/>
  <c r="B16" i="1"/>
  <c r="A12" i="1"/>
  <c r="A9" i="1"/>
  <c r="B500" i="1"/>
  <c r="A382" i="1"/>
  <c r="B57" i="1"/>
  <c r="B400" i="1"/>
  <c r="A81" i="1"/>
  <c r="B392" i="1"/>
  <c r="A388" i="1"/>
  <c r="B199" i="1"/>
  <c r="A188" i="1"/>
  <c r="A517" i="1"/>
  <c r="A269" i="1"/>
  <c r="B251" i="1"/>
  <c r="B53" i="1"/>
  <c r="B82" i="1"/>
  <c r="A50" i="1"/>
  <c r="B91" i="1"/>
  <c r="B47" i="1"/>
  <c r="B99" i="1"/>
  <c r="B78" i="1"/>
  <c r="A74" i="1"/>
  <c r="B70" i="1"/>
  <c r="A48" i="1"/>
  <c r="B68" i="1"/>
  <c r="B380" i="1"/>
  <c r="A384" i="1"/>
  <c r="A106" i="1"/>
  <c r="A61" i="1"/>
  <c r="A120" i="1"/>
  <c r="B45" i="1"/>
  <c r="B94" i="1"/>
  <c r="A69" i="1"/>
  <c r="A65" i="1"/>
  <c r="B404" i="1"/>
  <c r="B59" i="1"/>
  <c r="B398" i="1"/>
  <c r="B102" i="1"/>
  <c r="A43" i="1"/>
  <c r="B103" i="1"/>
  <c r="A514" i="1"/>
  <c r="A334" i="1"/>
  <c r="B346" i="1"/>
  <c r="B71" i="1"/>
  <c r="B537" i="1"/>
  <c r="A75" i="1"/>
  <c r="B337" i="1"/>
  <c r="A495" i="1"/>
  <c r="B79" i="1"/>
  <c r="A508" i="1"/>
  <c r="B101" i="1"/>
  <c r="A504" i="1"/>
  <c r="B342" i="1"/>
  <c r="A345" i="1"/>
  <c r="A327" i="1"/>
  <c r="B41" i="1"/>
  <c r="B143" i="1"/>
  <c r="B331" i="1"/>
  <c r="B169" i="1"/>
  <c r="A338" i="1"/>
  <c r="B141" i="1"/>
  <c r="B116" i="1"/>
  <c r="B477" i="1"/>
  <c r="A241" i="1"/>
  <c r="B266" i="1"/>
  <c r="B128" i="1"/>
  <c r="B76" i="1"/>
  <c r="B118" i="1"/>
  <c r="A271" i="1"/>
  <c r="A132" i="1"/>
  <c r="A111" i="1"/>
  <c r="A24" i="1"/>
  <c r="B104" i="1"/>
  <c r="A86" i="1"/>
  <c r="A387" i="1"/>
  <c r="B239" i="1"/>
  <c r="A18" i="1"/>
  <c r="A107" i="1"/>
  <c r="B279" i="1"/>
  <c r="A56" i="1"/>
  <c r="B138" i="1"/>
  <c r="B259" i="1"/>
  <c r="A333" i="1"/>
  <c r="B95" i="1"/>
  <c r="B421" i="1"/>
  <c r="A126" i="1"/>
  <c r="B130" i="1"/>
  <c r="B255" i="1"/>
  <c r="B253" i="1"/>
  <c r="B15" i="1"/>
  <c r="A58" i="1"/>
  <c r="B149" i="1"/>
  <c r="A220" i="1"/>
  <c r="B396" i="1"/>
  <c r="B492" i="1"/>
  <c r="B314" i="1"/>
  <c r="B513" i="1"/>
  <c r="B486" i="1"/>
  <c r="A208" i="1"/>
  <c r="A530" i="1"/>
  <c r="A483" i="1"/>
  <c r="A479" i="1"/>
  <c r="B515" i="1"/>
  <c r="A343" i="1"/>
  <c r="B344" i="1"/>
  <c r="O94" i="18"/>
  <c r="A390" i="1"/>
  <c r="A383" i="1"/>
  <c r="A122" i="1"/>
  <c r="L96" i="18"/>
  <c r="L98" i="18" s="1"/>
  <c r="L99" i="18" s="1"/>
  <c r="B222" i="1"/>
  <c r="A218" i="1"/>
  <c r="I96" i="18"/>
  <c r="A448" i="1"/>
  <c r="A449" i="1"/>
  <c r="A442" i="1"/>
  <c r="A444" i="1"/>
  <c r="A438" i="1"/>
  <c r="A440" i="1"/>
  <c r="B434" i="1"/>
  <c r="A436" i="1"/>
  <c r="B430" i="1"/>
  <c r="A432" i="1"/>
  <c r="B426" i="1"/>
  <c r="B428" i="1"/>
  <c r="A424" i="1"/>
  <c r="B422" i="1"/>
  <c r="B420" i="1"/>
  <c r="A415" i="1"/>
  <c r="B411" i="1"/>
  <c r="B413" i="1"/>
  <c r="A408" i="1"/>
  <c r="B410" i="1"/>
  <c r="A367" i="1"/>
  <c r="B363" i="1"/>
  <c r="B365" i="1"/>
  <c r="B361" i="1"/>
  <c r="A356" i="1"/>
  <c r="B357" i="1"/>
  <c r="B353" i="1"/>
  <c r="B347" i="1"/>
  <c r="A349" i="1"/>
  <c r="A232" i="1"/>
  <c r="B235" i="1"/>
  <c r="B236" i="1"/>
  <c r="A231" i="1"/>
  <c r="A229" i="1"/>
  <c r="A226" i="1"/>
  <c r="B210" i="1"/>
  <c r="B142" i="1"/>
  <c r="B145" i="1"/>
  <c r="A146" i="1"/>
  <c r="B140" i="1"/>
  <c r="A137" i="1"/>
  <c r="A134" i="1"/>
  <c r="A136" i="1"/>
  <c r="B133" i="1"/>
  <c r="B131" i="1"/>
  <c r="B129" i="1"/>
  <c r="B127" i="1"/>
  <c r="A124" i="1"/>
  <c r="A121" i="1"/>
  <c r="A119" i="1"/>
  <c r="A115" i="1"/>
  <c r="A117" i="1"/>
  <c r="B113" i="1"/>
  <c r="A112" i="1"/>
  <c r="A108" i="1"/>
  <c r="A105" i="1"/>
  <c r="A98" i="1"/>
  <c r="B100" i="1"/>
  <c r="A96" i="1"/>
  <c r="A93" i="1"/>
  <c r="A90" i="1"/>
  <c r="A92" i="1"/>
  <c r="A87" i="1"/>
  <c r="B89" i="1"/>
  <c r="A85" i="1"/>
  <c r="A83" i="1"/>
  <c r="A77" i="1"/>
  <c r="B73" i="1"/>
  <c r="A66" i="1"/>
  <c r="A67" i="1"/>
  <c r="A62" i="1"/>
  <c r="B64" i="1"/>
  <c r="B55" i="1"/>
  <c r="A52" i="1"/>
  <c r="B54" i="1"/>
  <c r="B49" i="1"/>
  <c r="B51" i="1"/>
  <c r="A46" i="1"/>
  <c r="B42" i="1"/>
  <c r="B44" i="1"/>
  <c r="O95" i="18"/>
  <c r="B280" i="1"/>
  <c r="A278" i="1"/>
  <c r="A276" i="1"/>
  <c r="B272" i="1"/>
  <c r="B274" i="1"/>
  <c r="A268" i="1"/>
  <c r="B270" i="1"/>
  <c r="A265" i="1"/>
  <c r="B261" i="1"/>
  <c r="B263" i="1"/>
  <c r="A258" i="1"/>
  <c r="B256" i="1"/>
  <c r="A254" i="1"/>
  <c r="A252" i="1"/>
  <c r="B248" i="1"/>
  <c r="A246" i="1"/>
  <c r="A244" i="1"/>
  <c r="B240" i="1"/>
  <c r="A497" i="1"/>
  <c r="B491" i="1"/>
  <c r="A488" i="1"/>
  <c r="B485" i="1"/>
  <c r="A487" i="1"/>
  <c r="A484" i="1"/>
  <c r="A482" i="1"/>
  <c r="A480" i="1"/>
  <c r="B465" i="1"/>
  <c r="A466" i="1"/>
  <c r="B460" i="1"/>
  <c r="B462" i="1"/>
  <c r="A455" i="1"/>
  <c r="A458" i="1"/>
  <c r="A459" i="1"/>
  <c r="A283" i="1"/>
  <c r="A286" i="1"/>
  <c r="A287" i="1"/>
  <c r="B212" i="1"/>
  <c r="B207" i="1"/>
  <c r="A205" i="1"/>
  <c r="B201" i="1"/>
  <c r="A198" i="1"/>
  <c r="A195" i="1"/>
  <c r="B193" i="1"/>
  <c r="A190" i="1"/>
  <c r="A192" i="1"/>
  <c r="A189" i="1"/>
  <c r="B187" i="1"/>
  <c r="A182" i="1"/>
  <c r="A183" i="1"/>
  <c r="B177" i="1"/>
  <c r="A180" i="1"/>
  <c r="B174" i="1"/>
  <c r="A176" i="1"/>
  <c r="B171" i="1"/>
  <c r="B167" i="1"/>
  <c r="A164" i="1"/>
  <c r="B166" i="1"/>
  <c r="A163" i="1"/>
  <c r="CN211" i="1"/>
  <c r="A469" i="1"/>
  <c r="A471" i="1"/>
  <c r="A376" i="1"/>
  <c r="B378" i="1"/>
  <c r="A371" i="1"/>
  <c r="B372" i="1"/>
  <c r="A321" i="1"/>
  <c r="A323" i="1"/>
  <c r="B318" i="1"/>
  <c r="B320" i="1"/>
  <c r="A315" i="1"/>
  <c r="A317" i="1"/>
  <c r="B313" i="1"/>
  <c r="A306" i="1"/>
  <c r="A302" i="1"/>
  <c r="A304" i="1"/>
  <c r="A300" i="1"/>
  <c r="A288" i="1"/>
  <c r="B291" i="1"/>
  <c r="B292" i="1"/>
  <c r="B221" i="1"/>
  <c r="B217" i="1"/>
  <c r="A219" i="1"/>
  <c r="B38" i="1"/>
  <c r="B39" i="1"/>
  <c r="A33" i="1"/>
  <c r="B35" i="1"/>
  <c r="B31" i="1"/>
  <c r="A29" i="1"/>
  <c r="A26" i="1"/>
  <c r="A28" i="1"/>
  <c r="A25" i="1"/>
  <c r="A22" i="1"/>
  <c r="A16" i="1"/>
  <c r="B20" i="1"/>
  <c r="B12" i="1"/>
  <c r="B14" i="1"/>
  <c r="A10" i="1"/>
  <c r="A5" i="1"/>
  <c r="A464" i="1"/>
  <c r="A468" i="1"/>
  <c r="B461" i="1"/>
  <c r="B463" i="1"/>
  <c r="A457" i="1"/>
  <c r="B284" i="1"/>
  <c r="A285" i="1"/>
  <c r="A211" i="1"/>
  <c r="B206" i="1"/>
  <c r="B204" i="1"/>
  <c r="A202" i="1"/>
  <c r="B200" i="1"/>
  <c r="B197" i="1"/>
  <c r="B196" i="1"/>
  <c r="B194" i="1"/>
  <c r="B191" i="1"/>
  <c r="A186" i="1"/>
  <c r="A181" i="1"/>
  <c r="B184" i="1"/>
  <c r="A185" i="1"/>
  <c r="B178" i="1"/>
  <c r="B175" i="1"/>
  <c r="B168" i="1"/>
  <c r="A165" i="1"/>
  <c r="B162" i="1"/>
  <c r="B453" i="1"/>
  <c r="A446" i="1"/>
  <c r="B447" i="1"/>
  <c r="B441" i="1"/>
  <c r="A443" i="1"/>
  <c r="A437" i="1"/>
  <c r="B439" i="1"/>
  <c r="B433" i="1"/>
  <c r="B435" i="1"/>
  <c r="B429" i="1"/>
  <c r="A431" i="1"/>
  <c r="B425" i="1"/>
  <c r="A427" i="1"/>
  <c r="A423" i="1"/>
  <c r="B417" i="1"/>
  <c r="B419" i="1"/>
  <c r="A414" i="1"/>
  <c r="A416" i="1"/>
  <c r="A412" i="1"/>
  <c r="B407" i="1"/>
  <c r="B409" i="1"/>
  <c r="A366" i="1"/>
  <c r="B362" i="1"/>
  <c r="A364" i="1"/>
  <c r="A360" i="1"/>
  <c r="A355" i="1"/>
  <c r="B358" i="1"/>
  <c r="B359" i="1"/>
  <c r="B352" i="1"/>
  <c r="A354" i="1"/>
  <c r="A348" i="1"/>
  <c r="A350" i="1"/>
  <c r="A233" i="1"/>
  <c r="A234" i="1"/>
  <c r="B230" i="1"/>
  <c r="A228" i="1"/>
  <c r="B225" i="1"/>
  <c r="B227" i="1"/>
  <c r="A215" i="1"/>
  <c r="A213" i="1"/>
  <c r="A157" i="1"/>
  <c r="B161" i="1"/>
  <c r="A156" i="1"/>
  <c r="A154" i="1"/>
  <c r="A152" i="1"/>
  <c r="B150" i="1"/>
  <c r="B148" i="1"/>
  <c r="A525" i="1"/>
  <c r="A522" i="1"/>
  <c r="B544" i="1"/>
  <c r="B414" i="1"/>
  <c r="A523" i="1"/>
  <c r="A429" i="1"/>
  <c r="A21" i="1"/>
  <c r="B30" i="1"/>
  <c r="B307" i="1"/>
  <c r="A290" i="1"/>
  <c r="B17" i="1"/>
  <c r="A289" i="1"/>
  <c r="B6" i="1"/>
  <c r="B8" i="1" s="1"/>
  <c r="A34" i="1"/>
  <c r="A305" i="1"/>
  <c r="A11" i="1"/>
  <c r="B507" i="1"/>
  <c r="B170" i="1"/>
  <c r="B474" i="1"/>
  <c r="B303" i="1"/>
  <c r="B13" i="1"/>
  <c r="B23" i="1"/>
  <c r="A470" i="1"/>
  <c r="A505" i="1"/>
  <c r="B9" i="1"/>
  <c r="A27" i="1"/>
  <c r="A472" i="1"/>
  <c r="A503" i="1"/>
  <c r="B312" i="1"/>
  <c r="A37" i="1"/>
  <c r="B509" i="1"/>
  <c r="B521" i="1"/>
  <c r="A542" i="1"/>
  <c r="A341" i="1"/>
  <c r="A385" i="1"/>
  <c r="A397" i="1"/>
  <c r="A445" i="1"/>
  <c r="B329" i="1"/>
  <c r="B275" i="1"/>
  <c r="B401" i="1"/>
  <c r="B436" i="1"/>
  <c r="B393" i="1"/>
  <c r="A395" i="1"/>
  <c r="B379" i="1"/>
  <c r="B405" i="1"/>
  <c r="B399" i="1"/>
  <c r="B545" i="1"/>
  <c r="B498" i="1"/>
  <c r="A339" i="1"/>
  <c r="A452" i="1"/>
  <c r="B451" i="1"/>
  <c r="B448" i="1"/>
  <c r="B416" i="1"/>
  <c r="B423" i="1"/>
  <c r="A363" i="1"/>
  <c r="B440" i="1"/>
  <c r="A526" i="1"/>
  <c r="A347" i="1"/>
  <c r="A358" i="1"/>
  <c r="A420" i="1"/>
  <c r="B283" i="1"/>
  <c r="B286" i="1"/>
  <c r="B147" i="1"/>
  <c r="A496" i="1"/>
  <c r="B211" i="1"/>
  <c r="B408" i="1"/>
  <c r="B497" i="1"/>
  <c r="A410" i="1"/>
  <c r="B354" i="1"/>
  <c r="B348" i="1"/>
  <c r="A80" i="1"/>
  <c r="B473" i="1"/>
  <c r="A411" i="1"/>
  <c r="B540" i="1"/>
  <c r="B377" i="1"/>
  <c r="B484" i="1"/>
  <c r="B202" i="1"/>
  <c r="B350" i="1"/>
  <c r="B468" i="1"/>
  <c r="B541" i="1"/>
  <c r="A536" i="1"/>
  <c r="A151" i="1"/>
  <c r="B459" i="1"/>
  <c r="A127" i="1"/>
  <c r="A362" i="1"/>
  <c r="B85" i="1"/>
  <c r="A227" i="1"/>
  <c r="B185" i="1"/>
  <c r="A129" i="1"/>
  <c r="B114" i="1"/>
  <c r="B424" i="1"/>
  <c r="A485" i="1"/>
  <c r="A212" i="1"/>
  <c r="B370" i="1"/>
  <c r="B518" i="1"/>
  <c r="B524" i="1"/>
  <c r="A257" i="1"/>
  <c r="A506" i="1"/>
  <c r="A402" i="1"/>
  <c r="A391" i="1"/>
  <c r="B364" i="1"/>
  <c r="A386" i="1"/>
  <c r="A89" i="1"/>
  <c r="B262" i="1"/>
  <c r="A322" i="1"/>
  <c r="B264" i="1"/>
  <c r="B36" i="1"/>
  <c r="B535" i="1"/>
  <c r="A413" i="1"/>
  <c r="B249" i="1"/>
  <c r="A210" i="1"/>
  <c r="A280" i="1"/>
  <c r="B458" i="1"/>
  <c r="B487" i="1"/>
  <c r="B437" i="1"/>
  <c r="A20" i="1"/>
  <c r="A144" i="1"/>
  <c r="A178" i="1"/>
  <c r="A248" i="1"/>
  <c r="A316" i="1"/>
  <c r="A201" i="1"/>
  <c r="B155" i="1"/>
  <c r="B443" i="1"/>
  <c r="B469" i="1"/>
  <c r="B432" i="1"/>
  <c r="A426" i="1"/>
  <c r="B375" i="1"/>
  <c r="A462" i="1"/>
  <c r="B366" i="1"/>
  <c r="B46" i="1"/>
  <c r="B300" i="1"/>
  <c r="A425" i="1"/>
  <c r="A407" i="1"/>
  <c r="A19" i="1"/>
  <c r="A373" i="1"/>
  <c r="B330" i="1"/>
  <c r="B471" i="1"/>
  <c r="A291" i="1"/>
  <c r="B455" i="1"/>
  <c r="A319" i="1"/>
  <c r="CN3" i="1"/>
  <c r="A489" i="1"/>
  <c r="A184" i="1"/>
  <c r="A533" i="1"/>
  <c r="A493" i="1"/>
  <c r="B124" i="1"/>
  <c r="B125" i="1"/>
  <c r="A419" i="1"/>
  <c r="A532" i="1"/>
  <c r="B442" i="1"/>
  <c r="B165" i="1"/>
  <c r="A72" i="1"/>
  <c r="A460" i="1"/>
  <c r="B547" i="1"/>
  <c r="A519" i="1"/>
  <c r="A502" i="1"/>
  <c r="A450" i="1"/>
  <c r="B449" i="1"/>
  <c r="A433" i="1"/>
  <c r="B406" i="1"/>
  <c r="B394" i="1"/>
  <c r="B381" i="1"/>
  <c r="B335" i="1"/>
  <c r="A313" i="1"/>
  <c r="A301" i="1"/>
  <c r="B234" i="1"/>
  <c r="B218" i="1"/>
  <c r="A207" i="1"/>
  <c r="B164" i="1"/>
  <c r="B156" i="1"/>
  <c r="B136" i="1"/>
  <c r="B109" i="1"/>
  <c r="B96" i="1"/>
  <c r="A88" i="1"/>
  <c r="A63" i="1"/>
  <c r="A39" i="1"/>
  <c r="B360" i="1"/>
  <c r="A430" i="1"/>
  <c r="B480" i="1"/>
  <c r="A209" i="1"/>
  <c r="A352" i="1"/>
  <c r="A193" i="1"/>
  <c r="A465" i="1"/>
  <c r="B476" i="1"/>
  <c r="A204" i="1"/>
  <c r="A529" i="1"/>
  <c r="B475" i="1"/>
  <c r="A534" i="1"/>
  <c r="B146" i="1"/>
  <c r="A511" i="1"/>
  <c r="A166" i="1"/>
  <c r="A434" i="1"/>
  <c r="A336" i="1"/>
  <c r="B105" i="1"/>
  <c r="A326" i="1"/>
  <c r="A527" i="1"/>
  <c r="B258" i="1"/>
  <c r="A361" i="1"/>
  <c r="B84" i="1"/>
  <c r="B325" i="1"/>
  <c r="B252" i="1"/>
  <c r="A353" i="1"/>
  <c r="B216" i="1"/>
  <c r="A409" i="1"/>
  <c r="B246" i="1"/>
  <c r="B323" i="1"/>
  <c r="A274" i="1"/>
  <c r="A245" i="1"/>
  <c r="B195" i="1"/>
  <c r="A174" i="1"/>
  <c r="B172" i="1"/>
  <c r="B306" i="1"/>
  <c r="B520" i="1"/>
  <c r="A236" i="1"/>
  <c r="A277" i="1"/>
  <c r="A113" i="1"/>
  <c r="B139" i="1"/>
  <c r="A292" i="1"/>
  <c r="B546" i="1"/>
  <c r="A546" i="1"/>
  <c r="A510" i="1"/>
  <c r="B510" i="1"/>
  <c r="A501" i="1"/>
  <c r="B501" i="1"/>
  <c r="A351" i="1"/>
  <c r="B351" i="1"/>
  <c r="B273" i="1"/>
  <c r="A273" i="1"/>
  <c r="B179" i="1"/>
  <c r="A179" i="1"/>
  <c r="A123" i="1"/>
  <c r="B123" i="1"/>
  <c r="B32" i="1"/>
  <c r="A32" i="1"/>
  <c r="A491" i="1"/>
  <c r="A528" i="1"/>
  <c r="B528" i="1"/>
  <c r="A467" i="1"/>
  <c r="B467" i="1"/>
  <c r="B389" i="1"/>
  <c r="A389" i="1"/>
  <c r="A324" i="1"/>
  <c r="B324" i="1"/>
  <c r="B531" i="1"/>
  <c r="A531" i="1"/>
  <c r="A539" i="1"/>
  <c r="B539" i="1"/>
  <c r="A512" i="1"/>
  <c r="B512" i="1"/>
  <c r="A454" i="1"/>
  <c r="B454" i="1"/>
  <c r="B340" i="1"/>
  <c r="A340" i="1"/>
  <c r="B203" i="1"/>
  <c r="A203" i="1"/>
  <c r="A110" i="1"/>
  <c r="B110" i="1"/>
  <c r="B499" i="1"/>
  <c r="B490" i="1"/>
  <c r="A490" i="1"/>
  <c r="B242" i="1"/>
  <c r="A242" i="1"/>
  <c r="A173" i="1"/>
  <c r="B173" i="1"/>
  <c r="B315" i="1"/>
  <c r="A478" i="1"/>
  <c r="B418" i="1"/>
  <c r="A418" i="1"/>
  <c r="B135" i="1"/>
  <c r="A135" i="1"/>
  <c r="B40" i="1"/>
  <c r="A40" i="1"/>
  <c r="B516" i="1"/>
  <c r="A516" i="1"/>
  <c r="A481" i="1"/>
  <c r="B481" i="1"/>
  <c r="A538" i="1"/>
  <c r="B456" i="1"/>
  <c r="A456" i="1"/>
  <c r="A153" i="1"/>
  <c r="B153" i="1"/>
  <c r="B543" i="1"/>
  <c r="A332" i="1"/>
  <c r="B332" i="1"/>
  <c r="A60" i="1"/>
  <c r="B60" i="1"/>
  <c r="A250" i="1"/>
  <c r="B250" i="1"/>
  <c r="B160" i="1"/>
  <c r="A160" i="1"/>
  <c r="B412" i="1"/>
  <c r="B438" i="1"/>
  <c r="B444" i="1"/>
  <c r="A428" i="1"/>
  <c r="A441" i="1"/>
  <c r="B349" i="1"/>
  <c r="A447" i="1"/>
  <c r="B457" i="1"/>
  <c r="B267" i="1"/>
  <c r="B374" i="1"/>
  <c r="A328" i="1"/>
  <c r="B415" i="1"/>
  <c r="A7" i="1" l="1"/>
  <c r="A8" i="1"/>
  <c r="G98" i="18"/>
  <c r="O96" i="18"/>
  <c r="I98" i="18"/>
  <c r="I99" i="18" s="1"/>
  <c r="H10" i="18" l="1"/>
  <c r="H80" i="18"/>
  <c r="H8" i="18"/>
  <c r="H38" i="18"/>
  <c r="H72" i="18"/>
  <c r="H75" i="18"/>
  <c r="H6" i="18"/>
  <c r="H9" i="18"/>
  <c r="H56" i="18"/>
  <c r="H87" i="18"/>
  <c r="H28" i="18"/>
  <c r="H50" i="18"/>
  <c r="H66" i="18"/>
  <c r="H57" i="18"/>
  <c r="H88" i="18"/>
  <c r="H36" i="18"/>
  <c r="H35" i="18"/>
  <c r="H82" i="18"/>
  <c r="H46" i="18"/>
  <c r="H41" i="18"/>
  <c r="H52" i="18"/>
  <c r="H73" i="18"/>
  <c r="H43" i="18"/>
  <c r="H62" i="18"/>
  <c r="H68" i="18"/>
  <c r="H45" i="18"/>
  <c r="H18" i="18"/>
  <c r="H20" i="18"/>
  <c r="H42" i="18"/>
  <c r="H64" i="18"/>
  <c r="H67" i="18"/>
  <c r="H83" i="18"/>
  <c r="H55" i="18"/>
  <c r="H29" i="18"/>
  <c r="H14" i="18"/>
  <c r="H23" i="18"/>
  <c r="H32" i="18"/>
  <c r="H61" i="18"/>
  <c r="H59" i="18"/>
  <c r="H69" i="18"/>
  <c r="H11" i="18"/>
  <c r="H25" i="18"/>
  <c r="G99" i="18"/>
  <c r="H48" i="18"/>
  <c r="H65" i="18"/>
  <c r="H70" i="18"/>
  <c r="H31" i="18"/>
  <c r="H21" i="18"/>
  <c r="H74" i="18"/>
  <c r="H78" i="18"/>
  <c r="H51" i="18"/>
  <c r="H15" i="18"/>
  <c r="H47" i="18"/>
  <c r="H34" i="18"/>
  <c r="H84" i="18"/>
  <c r="H37" i="18"/>
  <c r="H49" i="18"/>
  <c r="H39" i="18"/>
  <c r="H27" i="18"/>
  <c r="H22" i="18"/>
  <c r="H19" i="18"/>
  <c r="H71" i="18"/>
  <c r="H76" i="18"/>
  <c r="H77" i="18"/>
  <c r="H86" i="18"/>
  <c r="H24" i="18"/>
  <c r="H7" i="18"/>
  <c r="H60" i="18"/>
  <c r="H16" i="18"/>
  <c r="H58" i="18"/>
  <c r="H40" i="18"/>
  <c r="H53" i="18"/>
  <c r="H44" i="18"/>
  <c r="H26" i="18"/>
  <c r="H63" i="18"/>
  <c r="H33" i="18"/>
  <c r="H5" i="18"/>
  <c r="H85" i="18"/>
  <c r="H12" i="18"/>
  <c r="H13" i="18"/>
  <c r="H81" i="18"/>
  <c r="H7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Brenda Wright</author>
  </authors>
  <commentList>
    <comment ref="G10" authorId="0" shapeId="0" xr:uid="{24E9FA5E-2E82-44B3-8F71-36AA9B3C9AEA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In-River Spawners Above Stamp Falls </t>
        </r>
      </text>
    </comment>
    <comment ref="G82" authorId="1" shapeId="0" xr:uid="{038187C0-DA89-436C-8674-BBC1B1EE936E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Includes Clayoquot Arms Beaches, Clayoquot River and Clayoquot River (Upper)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  <author>Brenda Wright</author>
    <author>Vek, Pat</author>
    <author>DFO Employee</author>
    <author>McHugh, Diana</author>
    <author>DFO-MPO</author>
    <author>Fisheries and Oceans Canada</author>
  </authors>
  <commentList>
    <comment ref="V56" authorId="0" shapeId="0" xr:uid="{FE7EBC94-2BE9-4CEA-9DB1-325FE72CEFEB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NRH expert opinion
</t>
        </r>
      </text>
    </comment>
    <comment ref="V62" authorId="0" shapeId="0" xr:uid="{3EEEA527-E41C-41B5-91B8-D94BD3CABE45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expert opinion from NRH</t>
        </r>
      </text>
    </comment>
    <comment ref="V64" authorId="0" shapeId="0" xr:uid="{E97ABB96-3192-496E-8324-372A651EA9B7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minimum expert opinion fence count</t>
        </r>
      </text>
    </comment>
    <comment ref="AV64" authorId="1" shapeId="0" xr:uid="{00000000-0006-0000-0100-000001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Rick has put a request in for the fence counts - will forward to me</t>
        </r>
      </text>
    </comment>
    <comment ref="V67" authorId="0" shapeId="0" xr:uid="{DC9A98A3-C174-478B-B070-30D904389F44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Includes 42 adults from No-Name and 91 adults from Worthless tribs</t>
        </r>
      </text>
    </comment>
    <comment ref="V89" authorId="1" shapeId="0" xr:uid="{7982E4CF-9D94-43C5-B926-0F4EC9A8C456}">
      <text>
        <r>
          <rPr>
            <b/>
            <sz val="8"/>
            <color indexed="81"/>
            <rFont val="Tahoma"/>
            <family val="2"/>
          </rPr>
          <t>Pat Vek: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W89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Pat Vek: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X89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Pat Vek: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G89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H89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I89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J89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K89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L89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M89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N89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O89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AP89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See Henderson Lake Estimate</t>
        </r>
      </text>
    </comment>
    <comment ref="G137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Survey of Draw Creek above Maggie Lake. No survey of Maggie River</t>
        </r>
      </text>
    </comment>
    <comment ref="G138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Survey of Draw Creek above Maggie Lake. No survey of Maggie River</t>
        </r>
      </text>
    </comment>
    <comment ref="AR149" authorId="3" shapeId="0" xr:uid="{00000000-0006-0000-0100-000010000000}">
      <text>
        <r>
          <rPr>
            <b/>
            <sz val="8"/>
            <color indexed="81"/>
            <rFont val="Tahoma"/>
            <family val="2"/>
          </rPr>
          <t>DFO Employee:</t>
        </r>
        <r>
          <rPr>
            <sz val="8"/>
            <color indexed="81"/>
            <rFont val="Tahoma"/>
            <family val="2"/>
          </rPr>
          <t xml:space="preserve">
Brenda has SIL's.
SEN's to be created.</t>
        </r>
      </text>
    </comment>
    <comment ref="G150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Includes Rousseau</t>
        </r>
      </text>
    </comment>
    <comment ref="AR150" authorId="3" shapeId="0" xr:uid="{00000000-0006-0000-0100-000012000000}">
      <text>
        <r>
          <rPr>
            <b/>
            <sz val="8"/>
            <color indexed="81"/>
            <rFont val="Tahoma"/>
            <family val="2"/>
          </rPr>
          <t>DFO Employee:</t>
        </r>
        <r>
          <rPr>
            <sz val="8"/>
            <color indexed="81"/>
            <rFont val="Tahoma"/>
            <family val="2"/>
          </rPr>
          <t xml:space="preserve">
Brenda has SIL's.
SEN's to be created.</t>
        </r>
      </text>
    </comment>
    <comment ref="G169" authorId="4" shapeId="0" xr:uid="{00000000-0006-0000-0100-00001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In-River Spawners Above Stamp Falls </t>
        </r>
      </text>
    </comment>
    <comment ref="V169" authorId="5" shapeId="0" xr:uid="{A389CB63-662A-4843-81C2-0B724804570A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W169" authorId="5" shapeId="0" xr:uid="{00000000-0006-0000-0100-00001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X169" authorId="5" shapeId="0" xr:uid="{00000000-0006-0000-0100-00001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Y169" authorId="5" shapeId="0" xr:uid="{00000000-0006-0000-0100-00001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Z169" authorId="5" shapeId="0" xr:uid="{00000000-0006-0000-0100-00001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A169" authorId="5" shapeId="0" xr:uid="{00000000-0006-0000-0100-00001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B169" authorId="5" shapeId="0" xr:uid="{00000000-0006-0000-0100-00001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C169" authorId="5" shapeId="0" xr:uid="{00000000-0006-0000-0100-00001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D169" authorId="5" shapeId="0" xr:uid="{00000000-0006-0000-0100-00001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E169" authorId="5" shapeId="0" xr:uid="{00000000-0006-0000-0100-00001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F169" authorId="5" shapeId="0" xr:uid="{00000000-0006-0000-0100-00001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G169" authorId="5" shapeId="0" xr:uid="{00000000-0006-0000-0100-00001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H169" authorId="5" shapeId="0" xr:uid="{00000000-0006-0000-0100-00001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I169" authorId="5" shapeId="0" xr:uid="{00000000-0006-0000-0100-00002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J169" authorId="5" shapeId="0" xr:uid="{00000000-0006-0000-0100-00002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K169" authorId="5" shapeId="0" xr:uid="{00000000-0006-0000-0100-00002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L169" authorId="5" shapeId="0" xr:uid="{00000000-0006-0000-0100-00002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M169" authorId="5" shapeId="0" xr:uid="{00000000-0006-0000-0100-00002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AN169" authorId="5" shapeId="0" xr:uid="{00000000-0006-0000-0100-00002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V170" authorId="5" shapeId="0" xr:uid="{9A4735EC-A033-4ECA-BF24-C540669D295A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W170" authorId="5" shapeId="0" xr:uid="{00000000-0006-0000-0100-00002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X170" authorId="5" shapeId="0" xr:uid="{00000000-0006-0000-0100-00002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Y170" authorId="5" shapeId="0" xr:uid="{00000000-0006-0000-0100-00002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Z170" authorId="5" shapeId="0" xr:uid="{00000000-0006-0000-0100-00002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A170" authorId="5" shapeId="0" xr:uid="{00000000-0006-0000-0100-00002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B170" authorId="5" shapeId="0" xr:uid="{00000000-0006-0000-0100-00002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C170" authorId="5" shapeId="0" xr:uid="{00000000-0006-0000-0100-00002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D170" authorId="5" shapeId="0" xr:uid="{00000000-0006-0000-0100-00002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E170" authorId="5" shapeId="0" xr:uid="{00000000-0006-0000-0100-00002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F170" authorId="5" shapeId="0" xr:uid="{00000000-0006-0000-0100-00002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G170" authorId="5" shapeId="0" xr:uid="{00000000-0006-0000-0100-00003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H170" authorId="5" shapeId="0" xr:uid="{00000000-0006-0000-0100-00003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I170" authorId="5" shapeId="0" xr:uid="{00000000-0006-0000-0100-00003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J170" authorId="5" shapeId="0" xr:uid="{00000000-0006-0000-0100-00003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K170" authorId="5" shapeId="0" xr:uid="{00000000-0006-0000-0100-00003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L170" authorId="5" shapeId="0" xr:uid="{00000000-0006-0000-0100-00003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M170" authorId="5" shapeId="0" xr:uid="{00000000-0006-0000-0100-00003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N170" authorId="5" shapeId="0" xr:uid="{00000000-0006-0000-0100-00003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V171" authorId="5" shapeId="0" xr:uid="{7488B806-B899-4617-AF3D-1D1C2B0C6DBC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W171" authorId="5" shapeId="0" xr:uid="{00000000-0006-0000-0100-00003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X171" authorId="5" shapeId="0" xr:uid="{5EB2440D-EC2F-40E4-B585-515D61A93EE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Y171" authorId="5" shapeId="0" xr:uid="{00000000-0006-0000-0100-00003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Z171" authorId="5" shapeId="0" xr:uid="{00000000-0006-0000-0100-00003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A171" authorId="5" shapeId="0" xr:uid="{00000000-0006-0000-0100-00003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B171" authorId="5" shapeId="0" xr:uid="{00000000-0006-0000-0100-00003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C171" authorId="5" shapeId="0" xr:uid="{00000000-0006-0000-0100-00003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D171" authorId="5" shapeId="0" xr:uid="{00000000-0006-0000-0100-00003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E171" authorId="5" shapeId="0" xr:uid="{00000000-0006-0000-0100-00004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F171" authorId="5" shapeId="0" xr:uid="{00000000-0006-0000-0100-00004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G171" authorId="5" shapeId="0" xr:uid="{00000000-0006-0000-0100-00004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H171" authorId="5" shapeId="0" xr:uid="{00000000-0006-0000-0100-00004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I171" authorId="5" shapeId="0" xr:uid="{00000000-0006-0000-0100-00004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J171" authorId="5" shapeId="0" xr:uid="{00000000-0006-0000-0100-00004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K171" authorId="5" shapeId="0" xr:uid="{00000000-0006-0000-0100-00004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L171" authorId="5" shapeId="0" xr:uid="{00000000-0006-0000-0100-00004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M171" authorId="5" shapeId="0" xr:uid="{00000000-0006-0000-0100-00004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N171" authorId="5" shapeId="0" xr:uid="{00000000-0006-0000-0100-00004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V172" authorId="5" shapeId="0" xr:uid="{72A57FC7-18D1-4F92-85A1-69D65E5AABD5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Watershed above Stamp Falls (adult natural spawners)</t>
        </r>
      </text>
    </comment>
    <comment ref="W172" authorId="5" shapeId="0" xr:uid="{00000000-0006-0000-0100-00004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X172" authorId="5" shapeId="0" xr:uid="{00000000-0006-0000-0100-00004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Y172" authorId="5" shapeId="0" xr:uid="{00000000-0006-0000-0100-00004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Z172" authorId="5" shapeId="0" xr:uid="{00000000-0006-0000-0100-00004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A172" authorId="5" shapeId="0" xr:uid="{00000000-0006-0000-0100-00004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B172" authorId="5" shapeId="0" xr:uid="{00000000-0006-0000-0100-00004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C172" authorId="5" shapeId="0" xr:uid="{00000000-0006-0000-0100-00005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D172" authorId="5" shapeId="0" xr:uid="{00000000-0006-0000-0100-00005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E172" authorId="5" shapeId="0" xr:uid="{00000000-0006-0000-0100-00005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F172" authorId="5" shapeId="0" xr:uid="{00000000-0006-0000-0100-00005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G172" authorId="5" shapeId="0" xr:uid="{00000000-0006-0000-0100-00005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H172" authorId="5" shapeId="0" xr:uid="{00000000-0006-0000-0100-00005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I172" authorId="5" shapeId="0" xr:uid="{00000000-0006-0000-0100-00005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J172" authorId="5" shapeId="0" xr:uid="{00000000-0006-0000-0100-00005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K172" authorId="5" shapeId="0" xr:uid="{00000000-0006-0000-0100-00005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L172" authorId="5" shapeId="0" xr:uid="{00000000-0006-0000-0100-00005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M172" authorId="5" shapeId="0" xr:uid="{00000000-0006-0000-0100-00005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AN172" authorId="5" shapeId="0" xr:uid="{00000000-0006-0000-0100-00005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counts only</t>
        </r>
      </text>
    </comment>
    <comment ref="V173" authorId="5" shapeId="0" xr:uid="{AED5291D-D304-4590-8E24-A3D57FE5F8E2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Great Central plus Sproat Adult Natural Spawners</t>
        </r>
      </text>
    </comment>
    <comment ref="W173" authorId="5" shapeId="0" xr:uid="{97EDA1E3-C630-41C9-AA25-821DA7B632EB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Great Central plus Sproat Adult Natural Spawners</t>
        </r>
      </text>
    </comment>
    <comment ref="X173" authorId="5" shapeId="0" xr:uid="{86AC438F-95AC-46D4-9191-2B7882893BBB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Great Central plus Sproat Adult Natural Spawners</t>
        </r>
      </text>
    </comment>
    <comment ref="Y173" authorId="5" shapeId="0" xr:uid="{EBBA249C-504E-4A0C-9C40-931D3B32BA3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Great Central plus Sproat Adult Natural Spawners</t>
        </r>
      </text>
    </comment>
    <comment ref="Z173" authorId="5" shapeId="0" xr:uid="{1AAF4F8C-9FF3-4058-B3C8-21FE4C2858EC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Great Central plus Sproat Adult Natural Spawners</t>
        </r>
      </text>
    </comment>
    <comment ref="AA173" authorId="5" shapeId="0" xr:uid="{E7C1D16B-B5E6-4CB5-8E36-7E93B154A0D6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Great Central plus Sproat Adult Natural Spawners</t>
        </r>
      </text>
    </comment>
    <comment ref="AB173" authorId="5" shapeId="0" xr:uid="{00000000-0006-0000-0100-00006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C173" authorId="5" shapeId="0" xr:uid="{00000000-0006-0000-0100-00006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D173" authorId="5" shapeId="0" xr:uid="{00000000-0006-0000-0100-00006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E173" authorId="5" shapeId="0" xr:uid="{00000000-0006-0000-0100-00006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F173" authorId="5" shapeId="0" xr:uid="{00000000-0006-0000-0100-00006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G173" authorId="5" shapeId="0" xr:uid="{00000000-0006-0000-0100-00006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H173" authorId="5" shapeId="0" xr:uid="{00000000-0006-0000-0100-00006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I173" authorId="5" shapeId="0" xr:uid="{00000000-0006-0000-0100-00006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J173" authorId="5" shapeId="0" xr:uid="{00000000-0006-0000-0100-00006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K173" authorId="5" shapeId="0" xr:uid="{00000000-0006-0000-0100-00006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L173" authorId="5" shapeId="0" xr:uid="{00000000-0006-0000-0100-00006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M173" authorId="5" shapeId="0" xr:uid="{00000000-0006-0000-0100-00006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N173" authorId="5" shapeId="0" xr:uid="{00000000-0006-0000-0100-00006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Stamp and Sproat numbers combined</t>
        </r>
      </text>
    </comment>
    <comment ref="AK183" authorId="1" shapeId="0" xr:uid="{00000000-0006-0000-0100-00006E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140 entered into New Esc Index but not in nuSEDs</t>
        </r>
      </text>
    </comment>
    <comment ref="G217" authorId="1" shapeId="0" xr:uid="{00000000-0006-0000-0100-00006F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Includes Clayoquot Arms Beaches, Clayoquot River and Clayoquot River (Upper)</t>
        </r>
      </text>
    </comment>
    <comment ref="G218" authorId="1" shapeId="0" xr:uid="{00000000-0006-0000-0100-000070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Includes Clayoquot Arms Beaches, Clayoquot River and Clayoquot River (Upper)</t>
        </r>
      </text>
    </comment>
    <comment ref="G219" authorId="1" shapeId="0" xr:uid="{00000000-0006-0000-0100-000071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Includes Clayoquot Arms Beaches, Clayoquot River and Clayoquot River (Upper)</t>
        </r>
      </text>
    </comment>
    <comment ref="G220" authorId="1" shapeId="0" xr:uid="{00000000-0006-0000-0100-000072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Includes Clayoquot Arms Beaches, Clayoquot River and Clayoquot River (Upper)</t>
        </r>
      </text>
    </comment>
    <comment ref="AR233" authorId="1" shapeId="0" xr:uid="{00000000-0006-0000-0100-000073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Estimate of 471 entered in New Esc Index. Not sure where estimate came from</t>
        </r>
      </text>
    </comment>
    <comment ref="AG343" authorId="6" shapeId="0" xr:uid="{00000000-0006-0000-0100-000074000000}">
      <text>
        <r>
          <rPr>
            <b/>
            <sz val="8"/>
            <color indexed="81"/>
            <rFont val="Tahoma"/>
            <family val="2"/>
          </rPr>
          <t>Fisheries and Oceans Canada:</t>
        </r>
        <r>
          <rPr>
            <sz val="8"/>
            <color indexed="81"/>
            <rFont val="Tahoma"/>
            <family val="2"/>
          </rPr>
          <t xml:space="preserve">
Updated: Feb8, 2011
Old Value:nil</t>
        </r>
      </text>
    </comment>
    <comment ref="AG345" authorId="6" shapeId="0" xr:uid="{00000000-0006-0000-0100-000075000000}">
      <text>
        <r>
          <rPr>
            <b/>
            <sz val="8"/>
            <color indexed="81"/>
            <rFont val="Tahoma"/>
            <family val="2"/>
          </rPr>
          <t>Fisheries and Oceans Canada:</t>
        </r>
        <r>
          <rPr>
            <sz val="8"/>
            <color indexed="81"/>
            <rFont val="Tahoma"/>
            <family val="2"/>
          </rPr>
          <t xml:space="preserve">
Updated: Feb8, 2011
Old Value:nil</t>
        </r>
      </text>
    </comment>
    <comment ref="AN357" authorId="1" shapeId="0" xr:uid="{00000000-0006-0000-0100-000076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NI in NuSEDs, there is an estimate for chum &amp; Chinook</t>
        </r>
      </text>
    </comment>
    <comment ref="AN358" authorId="1" shapeId="0" xr:uid="{00000000-0006-0000-0100-000077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NI in NuSEDs, there is an estimate for chum &amp; Chinook</t>
        </r>
      </text>
    </comment>
    <comment ref="AN359" authorId="1" shapeId="0" xr:uid="{00000000-0006-0000-0100-000078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NI in NuSEDs, there is an estimate for chum &amp; Chinook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Wright</author>
  </authors>
  <commentList>
    <comment ref="R1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Brenda Wright:</t>
        </r>
        <r>
          <rPr>
            <sz val="8"/>
            <color indexed="81"/>
            <rFont val="Tahoma"/>
            <family val="2"/>
          </rPr>
          <t xml:space="preserve">
140 entered into New Esc Index but not in nuSEDs</t>
        </r>
      </text>
    </comment>
  </commentList>
</comments>
</file>

<file path=xl/sharedStrings.xml><?xml version="1.0" encoding="utf-8"?>
<sst xmlns="http://schemas.openxmlformats.org/spreadsheetml/2006/main" count="29936" uniqueCount="686">
  <si>
    <t>The San Juan estimate also includes the following streams: Fairy Creek; Five Mile Creek; Four Mile Creek; Holliday Creek; &amp; Tremblay Creek.  Average Esc from 1995-2005 from file: NEW ESCAPEMENT INDEX.XLS</t>
  </si>
  <si>
    <t>Average Esc from 1995-2005 from file: NEW ESCAPEMENT INDEX.XLS</t>
  </si>
  <si>
    <t>Will need to update numbers in nuSEDs</t>
  </si>
  <si>
    <t>Missing estimates in nuSEDs</t>
  </si>
  <si>
    <t>Average Esc from 1995-2005 from file: NEW ESCAPEMENT INDEX.XLS.  Also includes the following streams: Jasper Creek; Little Nitinat River; No-Name Creek; Parker Creek; &amp; Worthless Creek</t>
  </si>
  <si>
    <t>Estimate includes both the Bedwell River and the Ursus Creek.   Average Esc from 1995-2005 from file: NEW ESCAPEMENT INDEX.XLS</t>
  </si>
  <si>
    <t>Tagging done in this stream to determine survey life for chinook and coho.   Average Esc from 1995-2005 from file: NEW ESCAPEMENT INDEX.XLS</t>
  </si>
  <si>
    <t>Average Esc from 1995-2005 from file: NEW ESCAPEMENT INDEX.XLS.  Missing 2004 escapement estimate. Also includes the following streams: Jasper Creek; Little Nitinat River; No-Name Creek; Parker Creek; &amp; Worthless Creek</t>
  </si>
  <si>
    <t>Average Esc from 1995-2005 from file: NEW ESCAPEMENT INDEX.XLS.  Includes the Link River</t>
  </si>
  <si>
    <t>Chum is the target species.  2001 was the last year estimates were made for all species.</t>
  </si>
  <si>
    <t>Average Esc from 1995-2005 from file: NEW ESCAPEMENT INDEX.XLS.  In 2004, the only estimate was for chum &amp; chinook. All other species was not inspected.</t>
  </si>
  <si>
    <t>In 2004, the only estimate was for chum &amp; chinook. All other species was not inspected.</t>
  </si>
  <si>
    <t xml:space="preserve">In 2004 &amp; 2005 estimates were made for chum and chinook only. </t>
  </si>
  <si>
    <t xml:space="preserve">Average Esc from 1995-2005 from file: NEW ESCAPEMENT INDEX.XLS.  In 2004 &amp; 2005 estimates were made for chum and chinook only. </t>
  </si>
  <si>
    <t>N.S.</t>
  </si>
  <si>
    <t>15</t>
  </si>
  <si>
    <t>BENSON RIVER</t>
  </si>
  <si>
    <t>MARBLE RIVER</t>
  </si>
  <si>
    <t>BAKER CREEK</t>
  </si>
  <si>
    <t>WCVI Salmon Escapements from 1953 to 2006 (Adults Only)</t>
  </si>
  <si>
    <t>Statistical Areas 20-27</t>
  </si>
  <si>
    <t>20</t>
  </si>
  <si>
    <t>AYUM CREEK</t>
  </si>
  <si>
    <t>SOOKE RIVER</t>
  </si>
  <si>
    <t>DE MAMIEL CREEK</t>
  </si>
  <si>
    <t>CHARTERS RIVER</t>
  </si>
  <si>
    <t>MUIR CREEK</t>
  </si>
  <si>
    <t>SAN JUAN RIVER</t>
  </si>
  <si>
    <t>225</t>
  </si>
  <si>
    <t>FALLS CREEK</t>
  </si>
  <si>
    <t>MOSQUITO CREEK</t>
  </si>
  <si>
    <t>32</t>
  </si>
  <si>
    <t>RENFREW CREEK</t>
  </si>
  <si>
    <t>HARRIS CREEK</t>
  </si>
  <si>
    <t>HEMMINGSEN CREEK</t>
  </si>
  <si>
    <t>LENS CREEK</t>
  </si>
  <si>
    <t>GORDON RIVER</t>
  </si>
  <si>
    <t>Stat</t>
  </si>
  <si>
    <t>CHERRY CREEK</t>
  </si>
  <si>
    <t>KITSUCKSUS CREEK</t>
  </si>
  <si>
    <t>SOMASS SYSTEM</t>
  </si>
  <si>
    <t>Stream Name</t>
  </si>
  <si>
    <t>Species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</si>
  <si>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</si>
  <si>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</si>
  <si>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</si>
  <si>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</si>
  <si>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</si>
  <si>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</si>
  <si>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</si>
  <si>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</si>
  <si>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</si>
  <si>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</si>
  <si>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</si>
  <si>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</si>
  <si>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</si>
  <si>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</si>
  <si>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</si>
  <si>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</si>
  <si>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</si>
  <si>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</si>
  <si>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</si>
  <si>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</si>
  <si>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</si>
  <si>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</si>
  <si>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</si>
  <si>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</si>
  <si>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</si>
  <si>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</si>
  <si>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</si>
  <si>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</si>
  <si>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</si>
  <si>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</si>
  <si>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</si>
  <si>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</si>
  <si>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</si>
  <si>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</si>
  <si>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</si>
  <si>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</si>
  <si>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</si>
  <si>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</si>
  <si>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</si>
  <si>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</si>
  <si>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</si>
  <si>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</si>
  <si>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</si>
  <si>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</si>
  <si>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</si>
  <si>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</si>
  <si>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</si>
  <si>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CARMANAH CREEK</t>
  </si>
  <si>
    <t>Sockeye</t>
  </si>
  <si>
    <t>N.I.</t>
  </si>
  <si>
    <t>Coho</t>
  </si>
  <si>
    <t>N.O.</t>
  </si>
  <si>
    <t>Pink</t>
  </si>
  <si>
    <t>Chum</t>
  </si>
  <si>
    <t>Chinook</t>
  </si>
  <si>
    <t>CHEEWHAT RIVER</t>
  </si>
  <si>
    <t>A.P.</t>
  </si>
  <si>
    <t>KLANAWA RIVER</t>
  </si>
  <si>
    <t>NITINAT RIVER</t>
  </si>
  <si>
    <t>NI</t>
  </si>
  <si>
    <t>DOOBAH CREEK</t>
  </si>
  <si>
    <t>HOBITON CREEK</t>
  </si>
  <si>
    <t>CAYCUSE RIVER</t>
  </si>
  <si>
    <t>CAMPUS CREEK</t>
  </si>
  <si>
    <t>HENDERSON LAKE</t>
  </si>
  <si>
    <t>CAMPSITE CREEK</t>
  </si>
  <si>
    <t>PACHENA RIVER</t>
  </si>
  <si>
    <t>SUGSAW CREEK</t>
  </si>
  <si>
    <t>POETT NOOK CREEK</t>
  </si>
  <si>
    <t>SARITA RIVER</t>
  </si>
  <si>
    <t>FREDERICK CREEK</t>
  </si>
  <si>
    <t>CARNATION CREEK</t>
  </si>
  <si>
    <t>CONSINKA CREEK</t>
  </si>
  <si>
    <t>RITHERDON CREEK</t>
  </si>
  <si>
    <t>COLEMAN CREEK</t>
  </si>
  <si>
    <t>FRANKLIN RIVER</t>
  </si>
  <si>
    <t>CHINA CREEK</t>
  </si>
  <si>
    <t>OWATCHET CREEK</t>
  </si>
  <si>
    <t>BEAVER CREEK</t>
  </si>
  <si>
    <t>DEER CREEK</t>
  </si>
  <si>
    <t>COUS CREEK</t>
  </si>
  <si>
    <t>MACKTUSH CREEK</t>
  </si>
  <si>
    <t>NAHMINT RIVER</t>
  </si>
  <si>
    <t>CASS CREEK</t>
  </si>
  <si>
    <t>SNUG BASIN CREEK</t>
  </si>
  <si>
    <t>CLEMENS CREEK</t>
  </si>
  <si>
    <t>UCHUCK CREEK</t>
  </si>
  <si>
    <t>HOLFORD CREEK</t>
  </si>
  <si>
    <t>USELESS CREEK</t>
  </si>
  <si>
    <t>VERNON BAY CREEK</t>
  </si>
  <si>
    <t>COEUR D'ALENE CREEK</t>
  </si>
  <si>
    <t>EFFINGHAM RIVER</t>
  </si>
  <si>
    <t>WALLACE CREEK</t>
  </si>
  <si>
    <t>CANOE PASS CREEK</t>
  </si>
  <si>
    <t>SECHART CREEK</t>
  </si>
  <si>
    <t>DUTCH HARBOUR CREEK EAST</t>
  </si>
  <si>
    <t>DUTCH HARBOUR CREEK WEST</t>
  </si>
  <si>
    <t>CATARACT CREEK</t>
  </si>
  <si>
    <t>PIPESTEAM CREEK</t>
  </si>
  <si>
    <t>LUCKY CREEK</t>
  </si>
  <si>
    <t>TOQUART RIVER</t>
  </si>
  <si>
    <t>LITTLE TOQUART CREEK</t>
  </si>
  <si>
    <t>MAGGIE RIVER</t>
  </si>
  <si>
    <t>LITTLE MAGGIE RIVER</t>
  </si>
  <si>
    <t>TWIN RIVERS EAST CREEK</t>
  </si>
  <si>
    <t>TWIN RIVERS WEST CREEK</t>
  </si>
  <si>
    <t>ITATSOO CREEK</t>
  </si>
  <si>
    <t>HILLIER CREEK</t>
  </si>
  <si>
    <t>MERCANTILE CREEK</t>
  </si>
  <si>
    <t>THORNTON CREEK</t>
  </si>
  <si>
    <t>SMITH CREEK</t>
  </si>
  <si>
    <t>BEDINGFIELD BAY CREEK</t>
  </si>
  <si>
    <t>LOST SHOE CREEK</t>
  </si>
  <si>
    <t>Escapement Codes</t>
  </si>
  <si>
    <t>Abbrev</t>
  </si>
  <si>
    <t>Short Description</t>
  </si>
  <si>
    <t>Long Description</t>
  </si>
  <si>
    <t>Esc Code</t>
  </si>
  <si>
    <t>Adults present</t>
  </si>
  <si>
    <t>Adults observed in this stream</t>
  </si>
  <si>
    <t>Fry present</t>
  </si>
  <si>
    <t>Only fry observed in this stream</t>
  </si>
  <si>
    <t>Absent</t>
  </si>
  <si>
    <t>Species does not spawn in this stream</t>
  </si>
  <si>
    <t>Not inspected</t>
  </si>
  <si>
    <t>Stream was not inspected</t>
  </si>
  <si>
    <t>UNK</t>
  </si>
  <si>
    <t>Unknown</t>
  </si>
  <si>
    <t>Unkown whether species spawns in this stream</t>
  </si>
  <si>
    <t>None observed</t>
  </si>
  <si>
    <t>None observed in this stream</t>
  </si>
  <si>
    <t>SANDHILL CREEK</t>
  </si>
  <si>
    <t>KOOTOWIS CREEK</t>
  </si>
  <si>
    <t>CLAYOQUOT RIVER</t>
  </si>
  <si>
    <t>COLD CREEK</t>
  </si>
  <si>
    <t>ANGORA CREEK</t>
  </si>
  <si>
    <t>SAND RIVER</t>
  </si>
  <si>
    <t>KENNEDY LAKE BEACHES</t>
  </si>
  <si>
    <t>KENNEDY LAKE FEEDER STREAMS</t>
  </si>
  <si>
    <t>TOFINO CREEK</t>
  </si>
  <si>
    <t>TRANQUIL CREEK</t>
  </si>
  <si>
    <t>WARN BAY CREEK</t>
  </si>
  <si>
    <t>BULSON CREEK</t>
  </si>
  <si>
    <t>CLOSE CREEKS (2)</t>
  </si>
  <si>
    <t>CONE CREEKS (2)</t>
  </si>
  <si>
    <t>SUTTON MILL CREEK</t>
  </si>
  <si>
    <t>FUNDY CREEK</t>
  </si>
  <si>
    <t>CYPRE RIVER</t>
  </si>
  <si>
    <t>BAWDEN CREEK</t>
  </si>
  <si>
    <t>LITTLE WHITEPINE COVE #1 CREEK</t>
  </si>
  <si>
    <t>WHITE PINE COVE CREEK</t>
  </si>
  <si>
    <t>MOYEHA RIVER</t>
  </si>
  <si>
    <t>ATLEO RIVER</t>
  </si>
  <si>
    <t>COW CREEK</t>
  </si>
  <si>
    <t>HOOTLA KOOTLA CREEK</t>
  </si>
  <si>
    <t>RILEY CREEK</t>
  </si>
  <si>
    <t>WATTA CREEK</t>
  </si>
  <si>
    <t>MEGIN RIVER</t>
  </si>
  <si>
    <t>CECILIA CREEK</t>
  </si>
  <si>
    <t>ICE RIVER</t>
  </si>
  <si>
    <t>SYDNEY RIVER</t>
  </si>
  <si>
    <t>HOT SPRINGS COVE CREEK</t>
  </si>
  <si>
    <t>HESQUIAT POINT CREEK</t>
  </si>
  <si>
    <t>700</t>
  </si>
  <si>
    <t>2730</t>
  </si>
  <si>
    <t>HESQUIAT HARBOUR #1 CREEKS</t>
  </si>
  <si>
    <t>HESQUIAT HARBOUR #2 CREEKS</t>
  </si>
  <si>
    <t>HESQUIAT LAKE CREEK</t>
  </si>
  <si>
    <t>HESQUIAT HARBOUR #3 CREEKS</t>
  </si>
  <si>
    <t>HESQUIAT HARBOUR #4 CREEKS</t>
  </si>
  <si>
    <t>BINGO CREEK</t>
  </si>
  <si>
    <t>HAMMOND CREEK</t>
  </si>
  <si>
    <t>MOOYAH RIVER</t>
  </si>
  <si>
    <t>BURMAN RIVER</t>
  </si>
  <si>
    <t>GOLD RIVER</t>
  </si>
  <si>
    <t>MUCHALAT RIVER</t>
  </si>
  <si>
    <t>OKTWANCH RIVER</t>
  </si>
  <si>
    <t>MCCURDY CREEK</t>
  </si>
  <si>
    <t>KLEEPTEE CREEK</t>
  </si>
  <si>
    <t>COUGAR CREEK</t>
  </si>
  <si>
    <t>TLUPANA RIVER</t>
  </si>
  <si>
    <t>CONUMA RIVER</t>
  </si>
  <si>
    <t>CANTON CREEK</t>
  </si>
  <si>
    <t>SUCWOA RIVER</t>
  </si>
  <si>
    <t>DESERTED CREEK</t>
  </si>
  <si>
    <t>HOISS CREEK</t>
  </si>
  <si>
    <t>TSOWWIN RIVER</t>
  </si>
  <si>
    <t>LEINER RIVER</t>
  </si>
  <si>
    <t>TAHSIS RIVER</t>
  </si>
  <si>
    <t>KENDRICK CREEK</t>
  </si>
  <si>
    <t>MARVINAS BAY CREEK</t>
  </si>
  <si>
    <t>BEANO CREEK</t>
  </si>
  <si>
    <t>INNER BASIN RIVER</t>
  </si>
  <si>
    <t>GUISE CREEK</t>
  </si>
  <si>
    <t>OWOSSITSA CREEK</t>
  </si>
  <si>
    <t>BRODICK CREEK</t>
  </si>
  <si>
    <t>LORD CREEK</t>
  </si>
  <si>
    <t>LITTLE ZEBALLOS RIVER</t>
  </si>
  <si>
    <t>ZEBALLOS RIVER</t>
  </si>
  <si>
    <t>MAMAT CREEK</t>
  </si>
  <si>
    <t>ESPINOSA CREEK</t>
  </si>
  <si>
    <t>CHUM CREEK</t>
  </si>
  <si>
    <t>PARK RIVER</t>
  </si>
  <si>
    <t>ELIZA CREEK</t>
  </si>
  <si>
    <t>MIDDLE ELIZA CREEK</t>
  </si>
  <si>
    <t>CACHALOT CREEK</t>
  </si>
  <si>
    <t>NARROWGUT CREEK</t>
  </si>
  <si>
    <t>AMAI CREEK</t>
  </si>
  <si>
    <t>KAOUK RIVER</t>
  </si>
  <si>
    <t>ARTLISH RIVER</t>
  </si>
  <si>
    <t>TAHSISH RIVER</t>
  </si>
  <si>
    <t>YAKU RIVER</t>
  </si>
  <si>
    <t>KAUWINCH RIVER</t>
  </si>
  <si>
    <t>KASHUTL RIVER</t>
  </si>
  <si>
    <t>EASY CREEK</t>
  </si>
  <si>
    <t>ELAINE CREEK</t>
  </si>
  <si>
    <t>JANSEN LAKE CREEK</t>
  </si>
  <si>
    <t>CHAMISS CREEK</t>
  </si>
  <si>
    <t>CLANNINICK CREEK</t>
  </si>
  <si>
    <t>NO</t>
  </si>
  <si>
    <t>AP</t>
  </si>
  <si>
    <t>UK</t>
  </si>
  <si>
    <t>MALKSOPE RIVER</t>
  </si>
  <si>
    <t>OUOUKINSH RIVER</t>
  </si>
  <si>
    <t>F.P.</t>
  </si>
  <si>
    <t>B. Other systems: wild or hatchery supplemented.     Intensively surveyed in 1995 and have a fairly complete historic database.</t>
  </si>
  <si>
    <t>A.  PSC Indicator stocks.</t>
  </si>
  <si>
    <t>C.  Other systems surveyed extensively since 1995, but due to lack of historic info, not included in expanded group (B)</t>
  </si>
  <si>
    <t>D.  Other systems surveyed extensively since 1995.  Not included with group (C) or (B) due to irregular surveys (ie not every year) or due to extremely low total adult escapement</t>
  </si>
  <si>
    <t>E.   Systems extensively surveyed, with major hatcheries or considerable hatchery contribution</t>
  </si>
  <si>
    <t>ESC Index</t>
  </si>
  <si>
    <t>BEDWELL/URSUS</t>
  </si>
  <si>
    <t>COLONIAL/CAYEGHLE CREEKS</t>
  </si>
  <si>
    <t>Comments</t>
  </si>
  <si>
    <t>Last survey in 2000, no fish observed</t>
  </si>
  <si>
    <t>Last survey in 2000</t>
  </si>
  <si>
    <t>Type of Estimate</t>
  </si>
  <si>
    <t>PL+D or Presence/Absence</t>
  </si>
  <si>
    <t>AUC</t>
  </si>
  <si>
    <t>Only one observation, average would be misleading</t>
  </si>
  <si>
    <t>Surveyed once in 1998, suspect coho was the target species so poor timing to survey for chum</t>
  </si>
  <si>
    <t>The San Juan estimate also includes the following streams: Fairy Creek; Five Mile Creek; Four Mile Creek; Holliday Creek; &amp; Tremblay Creek</t>
  </si>
  <si>
    <t>AUC estimate providing we get enough surveys if not then PL+D</t>
  </si>
  <si>
    <t>Includes Blue and Ralf Creeks</t>
  </si>
  <si>
    <t>Indicator Stock</t>
  </si>
  <si>
    <t>Coho was the target species suspect surveys were late in the season</t>
  </si>
  <si>
    <t>Coho was the target species so surveys were done late in the season</t>
  </si>
  <si>
    <t>Coho was target species</t>
  </si>
  <si>
    <t xml:space="preserve">From 2001-2004 only AP entered as escapement - count was included in the Sooke River escapement number and was not surveyed in 2005 or 2006 - </t>
  </si>
  <si>
    <t>Assessment Priority</t>
  </si>
  <si>
    <t>Last time surveyed was in 1993 and no fish were observed</t>
  </si>
  <si>
    <t>Stream was surveyed in 2000 but we are missing 1995 through 1998 information so we do not know if stream was surveyed</t>
  </si>
  <si>
    <t>missing 2004 escapement estimate</t>
  </si>
  <si>
    <t>missing 2004 &amp; 2005 escapement estimate</t>
  </si>
  <si>
    <t>Missing 1995 estimate</t>
  </si>
  <si>
    <t>Missing 1995 estimate. Only 2 of the 4 observations fish were estimated.</t>
  </si>
  <si>
    <t>Missing 1995 estimate.</t>
  </si>
  <si>
    <t>Missing 1995 estimate. 2 of the 3 observation were adults present.</t>
  </si>
  <si>
    <t>Missing 1995 estimate. Only 1 chinook observed in 1998.</t>
  </si>
  <si>
    <t>Sockeye estimate includes counts from GCL and Sproat Lake</t>
  </si>
  <si>
    <t>Need to get past estimates from Jeff to do 1995-2005 average. Total escapement estimate includes counts from Somass River; Upper &amp; Lower Stamp River; Upper and Lower Sproat River; Ash River; Taylor River; McBride Creek; and Drinkwater Creek.</t>
  </si>
  <si>
    <t>Not a reliable average because pink is not a target species in the Somass. Total escapement estimate includes counts from Somass River; Upper &amp; Lower Stamp River; Upper and Lower Sproat River; Ash River; Taylor River; McBride Creek; and Drinkwater Creek.</t>
  </si>
  <si>
    <t>Not a reliable average because chum is not a target species in the Somass. Total escapement estimate includes counts from Somass River; Upper &amp; Lower Stamp River; Upper and Lower Sproat River; Ash River; Taylor River; McBride Creek; and Drinkwater Creek.</t>
  </si>
  <si>
    <t>Average Esc from 1995-2005 from file: ESCINDEX.XLS. Total escapement estimate includes counts from Somass River; Upper &amp; Lower Stamp River; Upper and Lower Sproat River; Ash River; Taylor River; McBride Creek; and Drinkwater Creek.</t>
  </si>
  <si>
    <t>Included in Somass escapement estimate. Last time surveyed was in 1989 &amp; 1990 - no fish were observed</t>
  </si>
  <si>
    <t>Presence/Absence</t>
  </si>
  <si>
    <t>Surveyed in 1997 &amp; 1998</t>
  </si>
  <si>
    <t>Surveyed 3 times, each time no fish were observed</t>
  </si>
  <si>
    <t>Missing 2005 chum estimate</t>
  </si>
  <si>
    <t>Last time surveyed was in 1990</t>
  </si>
  <si>
    <t>Surveyed by Charter Patrol, so chum was the target species</t>
  </si>
  <si>
    <t>Included in Somass estimate. Juvenile coho surveys in the spring and habitat work - no known adult escapement surveys.</t>
  </si>
  <si>
    <t>Statistical Areas 20</t>
  </si>
  <si>
    <t>1995-2005   # Fish Obs</t>
  </si>
  <si>
    <t>1995-2005   Average Esc.</t>
  </si>
  <si>
    <t>Estimate Type</t>
  </si>
  <si>
    <t>Statistical Areas 22</t>
  </si>
  <si>
    <t>WCVI Salmon Escapements (Adults Only)</t>
  </si>
  <si>
    <t>Missing 2004 escapement estimate. Also includes the following streams: Jasper Creek; Little Nitinat River; No-Name Creek; Parker Creek; &amp; Worthless Creek</t>
  </si>
  <si>
    <t>Was not a high priority and was surveyed by Charter Patrol. Chum was the target species.</t>
  </si>
  <si>
    <t>Was not a high priority and was surveyed by Charter Patrol. Only 2 estimates of chum in 2001 &amp; 2002.</t>
  </si>
  <si>
    <t>Not an accurate average, only 3 years of data used. Missing data from 1995 through 2001.</t>
  </si>
  <si>
    <t>Missing 1995 estimate. Adults present was entered as the escapement in 2000.</t>
  </si>
  <si>
    <t>Chum is the target species</t>
  </si>
  <si>
    <t>Charter Patrol stream, chum is the target species</t>
  </si>
  <si>
    <t>Last time stream was surveyed was in 1993</t>
  </si>
  <si>
    <t>PL+D if enough surveys then AUC</t>
  </si>
  <si>
    <t>Has not been surveyed since 1992, historically has a large chum run</t>
  </si>
  <si>
    <t>Are records indicate that 2002 was the last time surveys were conducted and an estimate was created</t>
  </si>
  <si>
    <t>charter Patrol stream, chum is the target species</t>
  </si>
  <si>
    <t>Last survey was conducted in 1999</t>
  </si>
  <si>
    <t>Coho surveys conducted for 3 years from 2003 through 2005</t>
  </si>
  <si>
    <t>Coho is the target species</t>
  </si>
  <si>
    <t>Missing data for 5 years, unknown if the stream was surveyed or not</t>
  </si>
  <si>
    <t>Chum is the target species. Missing escapement estimate for 2003</t>
  </si>
  <si>
    <t>Chum is the target species, last time stream was surveyed was in 1999</t>
  </si>
  <si>
    <t>Coho is the target species. Missing 2004 &amp; 2005 estimates.</t>
  </si>
  <si>
    <t>Adult Presence (AP) entered in 1995, no other estimates.</t>
  </si>
  <si>
    <t>Missing estimates for 1999 &amp; 2000</t>
  </si>
  <si>
    <t>Last time stream was surveyed was in 2000, only time fish was observed was in between 1995 and 2005 was in 1998</t>
  </si>
  <si>
    <t>Missing estimates for 1998, 1999, 2000, 2004 &amp; 2005</t>
  </si>
  <si>
    <t>Missing escapement estimate for 2003</t>
  </si>
  <si>
    <t>Missing estimate for 2003. Chum is the target species</t>
  </si>
  <si>
    <t>Missing data for 2000 &amp; 2001, last time species was observed was in 1999.</t>
  </si>
  <si>
    <t>Sureyed by Charter Patrol</t>
  </si>
  <si>
    <t>Statistical Areas 23</t>
  </si>
  <si>
    <t>Chum is the target species. Missing escapement estimate for 1995. Last time stream was surveyed was in 2002.</t>
  </si>
  <si>
    <t>Chum is the target species. Missing escapement data from 1999. Last time stream was surveyed was in 2002.</t>
  </si>
  <si>
    <t>Only one survey in 1998 - AP entered as the estimate.</t>
  </si>
  <si>
    <t>Only one survey in 1998 - No coho observed.</t>
  </si>
  <si>
    <t>Estimate includes both the Bedwell River and the Ursus Creek.</t>
  </si>
  <si>
    <t>Chum is the target species.  2001 was the last time the steam was surveyed.  Missing 1999 date.</t>
  </si>
  <si>
    <t>2001 was the last time this stream was surveyed.</t>
  </si>
  <si>
    <t>Missing 1995, 1997 &amp; 1998 escapement data</t>
  </si>
  <si>
    <t>Missing 1996, 1998 &amp; 2001 escapement data</t>
  </si>
  <si>
    <t>KENNEDY RIVER (UPPER)</t>
  </si>
  <si>
    <t>KENNEDY RIVER (LOWER)</t>
  </si>
  <si>
    <t>Sockeye is the target Species. Missing estimates for 5 years.</t>
  </si>
  <si>
    <t>1997 - 1999 no data. Chum is the target species, 2002 was the last time this stream was surveyed</t>
  </si>
  <si>
    <t>No data for 1995. Last time this stream was surveyed was in 2000.</t>
  </si>
  <si>
    <t>AUC or PL+D depending on the number and timing of surveys</t>
  </si>
  <si>
    <t>Includes the Link River</t>
  </si>
  <si>
    <t>1995 and 2000 data missing. Last survey in 2003.</t>
  </si>
  <si>
    <t>2005 data missing.</t>
  </si>
  <si>
    <t>Statistical Areas 27</t>
  </si>
  <si>
    <t>Sockeye is the target Species. Missing estimates for 3 years. Includes CLAYOQUOT ARM BEACHES</t>
  </si>
  <si>
    <t>Only have estimates for 2 years, coho was the only species observed.</t>
  </si>
  <si>
    <t>Chum is the target species.   Missing 1997 data.</t>
  </si>
  <si>
    <t>Missing data for 5 years (1995, 1996, 1998, 1999 and 2001), record shown one estimate in 1997 - no fish were observed.</t>
  </si>
  <si>
    <t>Chum is the target species.  Missing 2 years of data (1998 &amp; 1999). 2001 was the only year an estimate was made, the other 3 years coho was observed - Adults Present was entered as the estimate. Last survey was in 20002.</t>
  </si>
  <si>
    <t>Chum is the target species.  Missing 2 years of data (1998 &amp; 1999).  Our records indicate that 2002 was the last time the stream was surveyed.</t>
  </si>
  <si>
    <t>Missing 4 years data (1996, 1997, 1998 &amp; 1999) . 1995 - None Observed was entered as the escapement estimate.</t>
  </si>
  <si>
    <t>Chum is the target Species.  Missing 1999 data.  Last survey 2002.</t>
  </si>
  <si>
    <t>Missing data for 1995 &amp; 1998.</t>
  </si>
  <si>
    <t>The estimates include both the Upper and Lower River. Missing data for 3 years (1997, 1998, &amp; 2004).</t>
  </si>
  <si>
    <t>Chum is the target species. Missing data for 3 years (1997, 1998 &amp; 1999). 1996 was the last time this stream was inspected.</t>
  </si>
  <si>
    <t>Missing data for 4 years (1995, 1997, 1998 &amp; 2000).</t>
  </si>
  <si>
    <t>Missing data for 5 years (1995, 1996, 1998, 1999 and 2001), records indicate one estimate in 1997 - no fish were observed.</t>
  </si>
  <si>
    <t>Chum is the target species. Missing 3 years of data (1998, 1999 &amp; 2001). 2002 was the last time the stream was surveyed.</t>
  </si>
  <si>
    <t>Chum is the target species. Missing 3 years of data (1998, 1999 &amp; 2001).  2002 was the last time the stream was surveyed.</t>
  </si>
  <si>
    <t>Missing 3 years of data (1998, 1999 &amp; 2001). No coho were observed during the 5 surveys.  2002 was the last time the stream was surveyed.</t>
  </si>
  <si>
    <t>Missing 3 years of data (1998, 1999 &amp; 2001). Chum was only observed once during the five surveys and AP was entered as the estimate. 2002 was the last time the stream was surveyed.</t>
  </si>
  <si>
    <t>Chum is the target species.  Missing 3 years of data (1998, 1999 &amp; 2001). 1995 was the only year coho was observed - 79 was entered as the estimate.  2002 was the last time the stream was surveyed.</t>
  </si>
  <si>
    <t>Chum is the target species.  Missing 3 years of data (1998, 1999 &amp; 2001).  2002 was the last time the stream was surveyed.</t>
  </si>
  <si>
    <t>Chum is the target species.  Last time stream was surveyed was in 2002.</t>
  </si>
  <si>
    <t>Missing 2000 data.</t>
  </si>
  <si>
    <t>Chum is the target species.  Missing 1999 data.  Last survey was in 2002.</t>
  </si>
  <si>
    <t>Chum is the target species.  Missing 1999 data.</t>
  </si>
  <si>
    <t>Tagging done in this stream to determine survey life for chinook and coho.</t>
  </si>
  <si>
    <t>Missing data for 1999. Last time stream was inspected was in 2001.</t>
  </si>
  <si>
    <t>Chum is the target species. Missing 3 years of data (1995, 1998 &amp; 1999).  Last time stream was inspected was in 2002.</t>
  </si>
  <si>
    <t>Chum is the target species. Missing 3 years of data (1995, 1998 &amp; 1999).  Last time stream was inspected was in 2002. 2 of the estimates are Adults present.</t>
  </si>
  <si>
    <t>Missing data for 1999.  Last time stream was inspected was in 2002. Adult present entered as the estimate in 1998.</t>
  </si>
  <si>
    <t>Missing data for 1999.  Last time stream was inspected was in 2002. Adult present entered as the estimate in 2001.</t>
  </si>
  <si>
    <t>Missing 3 years of data (2001, 2003 &amp; 2004).  Stream was not inspected in 2005 &amp; 2006.</t>
  </si>
  <si>
    <t>Missing 2 years data (1995 &amp; 1999). Last time stream was inspected was in 1998.</t>
  </si>
  <si>
    <t>Missing 2 years data (1995 &amp; 1999). Last time stream was inspected was in 1998. Adult presence was entered as the estimate in 1998.</t>
  </si>
  <si>
    <t>Missing data for 4 years (1998, 1999, 2000 &amp; 2001). Last inspection was in 1997.</t>
  </si>
  <si>
    <t>One of the two estimates was Adult Present. Last survey was in 2001, no fish were observed.</t>
  </si>
  <si>
    <t>Last survey was in 2001, no fish were observed.</t>
  </si>
  <si>
    <t>Missing data for 4 years (1995, 1997, 1998 &amp; 2000). Last survey was in 2004.</t>
  </si>
  <si>
    <t>Missing data for 4 years (1995, 1997, 1998 &amp; 2000). Last survey was in 2004. One of the two estimates was Adult Present.</t>
  </si>
  <si>
    <t>Missing data for 4 years (1995, 1998, 1999 &amp; 2000). Last survey was in 1997.</t>
  </si>
  <si>
    <t>Chum is the target species.  Missing 2 years data ( 1997 &amp; 1999). Adult Present was entered as the estimate in 2001.</t>
  </si>
  <si>
    <t xml:space="preserve">Chum is the target species.  Missing 2 years data ( 1997 &amp; 1999). </t>
  </si>
  <si>
    <t>Chum is the target species.  Missing data for 2 years (1999 &amp; 2000).</t>
  </si>
  <si>
    <t>Chum is the target species.  Missing data for 2 years (1999 &amp; 2000). One of the two estimates was entered as Adult Present.</t>
  </si>
  <si>
    <t>Statistical Areas 24</t>
  </si>
  <si>
    <t>Average</t>
  </si>
  <si>
    <t>1995-2005   # Years Esc Est</t>
  </si>
  <si>
    <t>Chum is the target species. Last surveyed in 2004.</t>
  </si>
  <si>
    <t>1 of the 3 estimates was Adult Present (AP). Last surveyed in 2004.</t>
  </si>
  <si>
    <t>Last surveyed in 2004.</t>
  </si>
  <si>
    <t>2 of the 7 estimates was Adult Present (AP). Last surveyed in 2004.</t>
  </si>
  <si>
    <t>2 of the 6 estimates was Adult Present (AP). Last surveyed in 2004.</t>
  </si>
  <si>
    <t>2 of the 4 estimates are Adult Present (AP). Last time stream was surveyed was in 2003.</t>
  </si>
  <si>
    <t>2 of the 9 estimates are Adult Present (AP). Last time stream was surveyed was in 2003.</t>
  </si>
  <si>
    <t>3 of the 8 estimates are Adult Present (AP).  2004 was the last time this stream was surveyed.</t>
  </si>
  <si>
    <t>2 of the 8 estimates are Adult Present (AP).  2004 was the last time this stream was surveyed.</t>
  </si>
  <si>
    <t>Chum is the target species. Last time stream was surveyed was in 2003.</t>
  </si>
  <si>
    <t>Chum is the target species. Last time stream was surveyed was in 2004.</t>
  </si>
  <si>
    <t>1996 is the only estimate we have for this stream and 3 coho was the only estimate made, no sockeye or chum were observed.</t>
  </si>
  <si>
    <t>2 of the 7 estimates were Adult Present (AP).  2004 was the last time this stream was surveyed.</t>
  </si>
  <si>
    <t>1 of the 7 estimates were Adult Present (AP).  2004 was the last time this stream was surveyed.</t>
  </si>
  <si>
    <t>2 of the 10 estimates were Adult Present (AP).  2004 was the last time this stream was surveyed.</t>
  </si>
  <si>
    <t>2 of the 4 estimates are Adult Present (AP). Last time stream was surveyed was in 2002.</t>
  </si>
  <si>
    <t>2 of the 7 estimates are Adult Present (AP). Last time stream was surveyed was in 2002.</t>
  </si>
  <si>
    <t>1 of the 7 estimates are Adult Present (AP). Last time stream was surveyed was in 2002.</t>
  </si>
  <si>
    <t>2 of the 3 estimates are Adult Present (AP). Last time stream was surveyed was in 2002.</t>
  </si>
  <si>
    <t>Chum is the target species. 2 of the 7 estimates are Adult Present (AP).  Last time stream was surveyed was in 2004.</t>
  </si>
  <si>
    <t>Chum is the target species. 2 of the 8 estimates are Adult Present (AP).  Last time stream was surveyed was in 2004.</t>
  </si>
  <si>
    <t>Chum is the target species. 1 of the 4 estimates are Adult Present (AP).  Last time stream was surveyed was in 2004.</t>
  </si>
  <si>
    <t>1 of the 2 estimates are Adult Present (AP).  2004 was the last time this stream was surveyed.</t>
  </si>
  <si>
    <t>1 of the 4 estimates are Adult Present (AP).  Last surveyed in 2002.</t>
  </si>
  <si>
    <t>2 of the 7 estimates are Adult Present (AP).  2003 was the last time this stream was surveyed.</t>
  </si>
  <si>
    <t>3 of the 6 estimates are Adult Present (AP).  2004 was the last time this stream was surveyed.</t>
  </si>
  <si>
    <t>2 of the 10 estimates are Adult Present (AP).  2004 was the last time this stream was surveyed.</t>
  </si>
  <si>
    <t>2 of the 9 estimates are Adult Present (AP).  2004 was the last time this stream was surveyed.</t>
  </si>
  <si>
    <t>2004 was the last time this stream was surveyed.</t>
  </si>
  <si>
    <t>Statistical Areas 26</t>
  </si>
  <si>
    <t>Missing data from 5 years (1999, 2000, 2002, 2003, &amp;2004).</t>
  </si>
  <si>
    <t>Last time stream was surveyed was in 2002, no fish were observed.</t>
  </si>
  <si>
    <t>Chum is the target species.</t>
  </si>
  <si>
    <t>Chum is the target species.  High chum estimate in 1998.</t>
  </si>
  <si>
    <t>Last survey was in 2002, no fish were observed.</t>
  </si>
  <si>
    <t>Chum is the target species.  2002 &amp; 2003 chum is the only species that an estimate was made for.</t>
  </si>
  <si>
    <t>Last time stream was surveyed was in 2000, no coho were observed and chum was entered as Adult Present (AP).</t>
  </si>
  <si>
    <t>1 of the 6 observations was entered as Adult Present (AP).</t>
  </si>
  <si>
    <t>2 of the 9 observations was entered as Adult Present (AP).</t>
  </si>
  <si>
    <t>2 of the 8 observations was entered as Adult Present (AP).</t>
  </si>
  <si>
    <t>Last time stream was surveyed was in 2002.</t>
  </si>
  <si>
    <t>Last time stream was surveyed was in 2002, no coho were observed.</t>
  </si>
  <si>
    <t>Chum is the target species, no coho observed.</t>
  </si>
  <si>
    <t>Chum is the target species. 2 of the 5 estimates are entered as Adult Present (AP).</t>
  </si>
  <si>
    <t>Last time stream was surveyed was in 2004.</t>
  </si>
  <si>
    <t>Stream was only surveyed once in 1999, None Observed (NO) was entered for coho and Adult Present (AP) was entered for chum.</t>
  </si>
  <si>
    <t>Stream was only surveyed twice, once in 1996 then again in 1997.</t>
  </si>
  <si>
    <t>Missing 8 years of data (1995, 1996, 1997, 1998, 1999, 2000, 2003 &amp; 2004). Our records indicate that in 2001 the stream was inspected for all species then in 2002 the only species inspected for was chum.</t>
  </si>
  <si>
    <t>Missing 7 years of data (1995, 1997, 1998, 1999, 2000, 2003 &amp; 2004).</t>
  </si>
  <si>
    <t>Missing data for 1995.</t>
  </si>
  <si>
    <t>Only surveyed twice, once in 1997 and again in 2003.</t>
  </si>
  <si>
    <t>Missing data from 5 years (1999, 2000, 2002, 2003, &amp;2004). 1 of the 3 observations was entered as Adult Present (AP).</t>
  </si>
  <si>
    <t>Statistical Areas 25</t>
  </si>
  <si>
    <t>Estimates to be Reviewed &amp; Updated</t>
  </si>
  <si>
    <t>Statistical Areas 21</t>
  </si>
  <si>
    <t>Total</t>
  </si>
  <si>
    <t>1975-1995</t>
  </si>
  <si>
    <t>Avg count</t>
  </si>
  <si>
    <t>RBT</t>
  </si>
  <si>
    <t>Conuma</t>
  </si>
  <si>
    <t>Nitinat</t>
  </si>
  <si>
    <t>Total Hatcher</t>
  </si>
  <si>
    <t>Total Nat</t>
  </si>
  <si>
    <t>No. Counts</t>
  </si>
  <si>
    <t>ESTIM</t>
  </si>
  <si>
    <t>ESTIm</t>
  </si>
  <si>
    <t>1953+</t>
  </si>
  <si>
    <t>Portion Nat</t>
  </si>
  <si>
    <t>add Area 19 - area 19 systems sometimes are categorized into WCVI Conservation Units</t>
  </si>
  <si>
    <t>need to add recent year data</t>
  </si>
  <si>
    <t>need to verify data - consistent with LGL indicator stock file?</t>
  </si>
  <si>
    <t>Culookup</t>
  </si>
  <si>
    <t>CU</t>
  </si>
  <si>
    <t>1953-2008 max</t>
  </si>
  <si>
    <t>1953-2008 geomean</t>
  </si>
  <si>
    <t>1995-2005   geomean</t>
  </si>
  <si>
    <t>This spreadsheet needs some work:</t>
  </si>
  <si>
    <t xml:space="preserve">&gt; </t>
  </si>
  <si>
    <t>assessment priorities or type reflect old classifications</t>
  </si>
  <si>
    <t>need to roll up to CU level</t>
  </si>
  <si>
    <t>&gt;</t>
  </si>
  <si>
    <t>Management Unit</t>
  </si>
  <si>
    <t>WCVI</t>
  </si>
  <si>
    <t>Conservation Unit</t>
  </si>
  <si>
    <t>Statistical Area</t>
  </si>
  <si>
    <t>Population</t>
  </si>
  <si>
    <t>CN</t>
  </si>
  <si>
    <t xml:space="preserve">CO </t>
  </si>
  <si>
    <t>CM</t>
  </si>
  <si>
    <t>SO</t>
  </si>
  <si>
    <t>Assessment Level</t>
  </si>
  <si>
    <t>LU</t>
  </si>
  <si>
    <t>code</t>
  </si>
  <si>
    <t>code with species</t>
  </si>
  <si>
    <t>name</t>
  </si>
  <si>
    <t>index</t>
  </si>
  <si>
    <t>WVI [6]</t>
  </si>
  <si>
    <t>Pkodd-WVI [6]</t>
  </si>
  <si>
    <t>West Vancouver Island</t>
  </si>
  <si>
    <t>Nahwitti [5]</t>
  </si>
  <si>
    <t>Pkodd-Nahwitti [5]</t>
  </si>
  <si>
    <t>Nahwitti Lowlands</t>
  </si>
  <si>
    <t>WVI [2]</t>
  </si>
  <si>
    <t>Pkeven-WVI [2]</t>
  </si>
  <si>
    <t>NWVI [3]</t>
  </si>
  <si>
    <t>Pkeven-NWVI [3]</t>
  </si>
  <si>
    <t>Northwest Vancouver Island</t>
  </si>
  <si>
    <t>EVI+GStr [13]</t>
  </si>
  <si>
    <t>CO-EVI+GStr [13]</t>
  </si>
  <si>
    <t>Georgia Strait-E Vancouver Island</t>
  </si>
  <si>
    <t>JdF [16]</t>
  </si>
  <si>
    <t>CO-JdF [16]</t>
  </si>
  <si>
    <t>Juan de Fuca-Pachena</t>
  </si>
  <si>
    <t>Georgia Strait Mainland</t>
  </si>
  <si>
    <t>WVI [17]</t>
  </si>
  <si>
    <t>CO-WVI [17]</t>
  </si>
  <si>
    <t>CLAY [18]</t>
  </si>
  <si>
    <t>CO-CLAY [18]</t>
  </si>
  <si>
    <t>Clayoquot</t>
  </si>
  <si>
    <t>Nahwitti [15]</t>
  </si>
  <si>
    <t>CO-Nahwitti [15]</t>
  </si>
  <si>
    <t>Nahwitti Lowland</t>
  </si>
  <si>
    <t>SWVI [31]</t>
  </si>
  <si>
    <t>CK-SWVI [31]</t>
  </si>
  <si>
    <t>Southwest Vancouver Island</t>
  </si>
  <si>
    <t>PSJ [30]</t>
  </si>
  <si>
    <t>CK-PSJ [30]</t>
  </si>
  <si>
    <t>Port San Juan</t>
  </si>
  <si>
    <t>NoKy [32]</t>
  </si>
  <si>
    <t>CK-NoKy [32]</t>
  </si>
  <si>
    <t>Nootka and Kyuquot</t>
  </si>
  <si>
    <t>NWVI [33]</t>
  </si>
  <si>
    <t>CK-NWVI [33]</t>
  </si>
  <si>
    <t>GStr [4]</t>
  </si>
  <si>
    <t>CM-GStr [4]</t>
  </si>
  <si>
    <t>Georgia Strait</t>
  </si>
  <si>
    <t>JORDAN RIVER</t>
  </si>
  <si>
    <t>SWVI [10]</t>
  </si>
  <si>
    <t>CM-SWVI [10]</t>
  </si>
  <si>
    <t>KIRBY CREEK</t>
  </si>
  <si>
    <t>MAIDENHAIR CREEK</t>
  </si>
  <si>
    <t>UGLOW CREEK</t>
  </si>
  <si>
    <t>BLUE CREEK</t>
  </si>
  <si>
    <t>NWVI [11]</t>
  </si>
  <si>
    <t>CM-NWVI [11]</t>
  </si>
  <si>
    <t>WVI [R10]</t>
  </si>
  <si>
    <t>SK-WVI [R10]</t>
  </si>
  <si>
    <t>R10</t>
  </si>
  <si>
    <t>SK-NWVI [11]</t>
  </si>
  <si>
    <t>L-13-25</t>
  </si>
  <si>
    <t>Sooke</t>
  </si>
  <si>
    <t>L-13-6</t>
  </si>
  <si>
    <t>Cheewhat</t>
  </si>
  <si>
    <t>L-13-13</t>
  </si>
  <si>
    <t>Hobiton</t>
  </si>
  <si>
    <t>L-13-21</t>
  </si>
  <si>
    <t>L-13-17</t>
  </si>
  <si>
    <t>Maggie</t>
  </si>
  <si>
    <t>L-13-11</t>
  </si>
  <si>
    <t>Henderson</t>
  </si>
  <si>
    <t>L-13-10</t>
  </si>
  <si>
    <t>Great Central/Sproat</t>
  </si>
  <si>
    <t>L-13-18</t>
  </si>
  <si>
    <t>Megin</t>
  </si>
  <si>
    <t>L-13-7</t>
  </si>
  <si>
    <t>L-13-16</t>
  </si>
  <si>
    <t>Kennedy</t>
  </si>
  <si>
    <t>L-13-23</t>
  </si>
  <si>
    <t>Park River</t>
  </si>
  <si>
    <t>L-13-22</t>
  </si>
  <si>
    <t>Owossitsa</t>
  </si>
  <si>
    <t>L-13-8</t>
  </si>
  <si>
    <t>Deserted</t>
  </si>
  <si>
    <t>L-13-19</t>
  </si>
  <si>
    <t>Muchalat</t>
  </si>
  <si>
    <t>L-13-14</t>
  </si>
  <si>
    <t>Jansen</t>
  </si>
  <si>
    <t>L-13-1</t>
  </si>
  <si>
    <t>Alice</t>
  </si>
  <si>
    <t>CU Name</t>
  </si>
  <si>
    <t>Enhancement Level</t>
  </si>
  <si>
    <t>7</t>
  </si>
  <si>
    <t>105</t>
  </si>
  <si>
    <t>PSC 6 Indicator</t>
  </si>
  <si>
    <t>PSC 14 Indicator</t>
  </si>
  <si>
    <t>No</t>
  </si>
  <si>
    <t>Yes</t>
  </si>
  <si>
    <t>Count of Stream Name</t>
  </si>
  <si>
    <t>Grand Total</t>
  </si>
  <si>
    <t>COLONIAL CREEK</t>
  </si>
  <si>
    <t>CAYEGHLE CREEK</t>
  </si>
  <si>
    <t>KLASKISH</t>
  </si>
  <si>
    <t>LINK RIVER</t>
  </si>
  <si>
    <t>LITTLE NITINAT RIVER</t>
  </si>
  <si>
    <t>INNER BASIN CREEK (Black C)</t>
  </si>
  <si>
    <t>INNER BASIN RIVER (Ransom C)</t>
  </si>
  <si>
    <t>For all years</t>
  </si>
  <si>
    <t>min</t>
  </si>
  <si>
    <t>max</t>
  </si>
  <si>
    <t>average</t>
  </si>
  <si>
    <t>geomean</t>
  </si>
  <si>
    <t>5 yr average</t>
  </si>
  <si>
    <t>12 yr average</t>
  </si>
  <si>
    <t>Jan 2013 review and creation of historical SEN not previously created.</t>
  </si>
  <si>
    <t xml:space="preserve">NI </t>
  </si>
  <si>
    <t xml:space="preserve">SIL data entered, but estimate missing </t>
  </si>
  <si>
    <t>Number not Final</t>
  </si>
  <si>
    <t>5th %-ile</t>
  </si>
  <si>
    <t>15th %-ile</t>
  </si>
  <si>
    <t>20th %-ile</t>
  </si>
  <si>
    <t>25th %-ile</t>
  </si>
  <si>
    <t>60th%-ile</t>
  </si>
  <si>
    <t>65th%-ile</t>
  </si>
  <si>
    <t>75th%-ile</t>
  </si>
  <si>
    <t>85th %-ile</t>
  </si>
  <si>
    <t>50th%-ile</t>
  </si>
  <si>
    <t>1995-current</t>
  </si>
  <si>
    <t>Level 2</t>
  </si>
  <si>
    <t>Level 3</t>
  </si>
  <si>
    <t>Level 2 est only</t>
  </si>
  <si>
    <t>COHO CREEK</t>
  </si>
  <si>
    <t>ENGLISH COVE CREEK</t>
  </si>
  <si>
    <t>MEARES CREEK</t>
  </si>
  <si>
    <t>MURIEL LAKE CREEK</t>
  </si>
  <si>
    <t>MURIEL S1 CREEK</t>
  </si>
  <si>
    <t>PACILTH CREEK</t>
  </si>
  <si>
    <t>PURDON CREEK</t>
  </si>
  <si>
    <t>SHARP CREEK</t>
  </si>
  <si>
    <t>ESCALANTE RIVER</t>
  </si>
  <si>
    <t>POWER RIVER</t>
  </si>
  <si>
    <t>4 yr average</t>
  </si>
  <si>
    <t>Finalized in nuSEDs, not released</t>
  </si>
  <si>
    <t>WatershedCode</t>
  </si>
  <si>
    <t>Year</t>
  </si>
  <si>
    <t>AREA</t>
  </si>
  <si>
    <t>NAME</t>
  </si>
  <si>
    <t>ID</t>
  </si>
  <si>
    <t>ShortSpecies</t>
  </si>
  <si>
    <t>Final Results</t>
  </si>
  <si>
    <t>AdultNaturalReco</t>
  </si>
  <si>
    <t>SK</t>
  </si>
  <si>
    <t>CO</t>
  </si>
  <si>
    <t>PK</t>
  </si>
  <si>
    <t>24</t>
  </si>
  <si>
    <t>930-306400-00000-00000-0000-0000-000-000-000-000-000-000</t>
  </si>
  <si>
    <t>KENNEDY RIVER</t>
  </si>
  <si>
    <t>930-260600-00000-00000-0000-0000-000-000-000-000-000-000</t>
  </si>
  <si>
    <t>935-302000-07800-00000-0000-0000-000-000-000-000-000-000</t>
  </si>
  <si>
    <t>930-413500-00000-00000-0000-0000-000-000-000-000-000-000</t>
  </si>
  <si>
    <t>930-391800-00000-00000-0000-0000-000-000-000-000-000-000</t>
  </si>
  <si>
    <t>930-306400-02600-46700-0000-0000-000-000-000-000-000-000</t>
  </si>
  <si>
    <t>935-302000-14700-00000-0000-0000-000-000-000-000-000-000</t>
  </si>
  <si>
    <t>935-302000-82300-00000-0000-0000-000-000-000-000-000-000</t>
  </si>
  <si>
    <t>930-316000-00000-00000-0000-0000-000-000-000-000-000-000</t>
  </si>
  <si>
    <t>930-324500-00000-00000-0000-0000-000-000-000-000-000-000</t>
  </si>
  <si>
    <t>930-355300-11600-00000-0000-0000-000-000-000-000-000-000</t>
  </si>
  <si>
    <t>URSUS CREEK</t>
  </si>
  <si>
    <t>930-345500-00000-00000-0000-0000-000-000-000-000-000-000</t>
  </si>
  <si>
    <t>BATTLE BAY RIVER</t>
  </si>
  <si>
    <t>MCKAY COVE CREEK</t>
  </si>
  <si>
    <t>NASPARTI RIVER</t>
  </si>
  <si>
    <t>SOATWOON CREEK</t>
  </si>
  <si>
    <t>TATCHU CREEK</t>
  </si>
  <si>
    <t>Need to Create SEN</t>
  </si>
  <si>
    <t>NIU</t>
  </si>
  <si>
    <t>SATCHIE CREEK</t>
  </si>
  <si>
    <t>1953-79</t>
  </si>
  <si>
    <t>Pre-enhancement: 1953-79</t>
  </si>
  <si>
    <t>Pre-enhancement: 1953-1980</t>
  </si>
  <si>
    <t>Pre-enhancement: 1953-1976</t>
  </si>
  <si>
    <t>WCVI Salmon Escapements from 1953 to 2022 (Adults Only)</t>
  </si>
  <si>
    <t>From NewEsc Index</t>
  </si>
  <si>
    <t>Bedwell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</si>
</sst>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8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0"/>
      <color indexed="5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color indexed="1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24" fillId="0" borderId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Fill="1"/>
    <xf numFmtId="0" fontId="7" fillId="0" borderId="0" xfId="0" applyFont="1"/>
    <xf numFmtId="3" fontId="0" fillId="0" borderId="0" xfId="0" applyNumberFormat="1"/>
    <xf numFmtId="3" fontId="8" fillId="0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left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1" fontId="6" fillId="0" borderId="3" xfId="0" applyNumberFormat="1" applyFont="1" applyFill="1" applyBorder="1" applyAlignment="1">
      <alignment horizontal="left" vertical="top"/>
    </xf>
    <xf numFmtId="49" fontId="6" fillId="0" borderId="3" xfId="0" applyNumberFormat="1" applyFont="1" applyFill="1" applyBorder="1" applyAlignment="1">
      <alignment horizontal="left" vertical="top"/>
    </xf>
    <xf numFmtId="3" fontId="6" fillId="0" borderId="3" xfId="0" applyNumberFormat="1" applyFont="1" applyFill="1" applyBorder="1" applyAlignment="1">
      <alignment horizontal="left" vertical="top"/>
    </xf>
    <xf numFmtId="1" fontId="5" fillId="0" borderId="0" xfId="0" applyNumberFormat="1" applyFont="1"/>
    <xf numFmtId="0" fontId="12" fillId="0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3" fontId="6" fillId="0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49" fontId="6" fillId="3" borderId="3" xfId="0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center"/>
    </xf>
    <xf numFmtId="3" fontId="6" fillId="0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vertical="center" wrapText="1"/>
    </xf>
    <xf numFmtId="49" fontId="7" fillId="0" borderId="3" xfId="0" applyNumberFormat="1" applyFont="1" applyBorder="1" applyAlignment="1">
      <alignment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3" fontId="7" fillId="0" borderId="3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13" fillId="0" borderId="0" xfId="0" applyFont="1"/>
    <xf numFmtId="0" fontId="14" fillId="0" borderId="0" xfId="0" applyFont="1"/>
    <xf numFmtId="0" fontId="4" fillId="0" borderId="0" xfId="0" applyFont="1" applyAlignment="1">
      <alignment horizontal="right"/>
    </xf>
    <xf numFmtId="0" fontId="15" fillId="0" borderId="0" xfId="0" applyFont="1"/>
    <xf numFmtId="3" fontId="15" fillId="0" borderId="0" xfId="0" applyNumberFormat="1" applyFont="1"/>
    <xf numFmtId="3" fontId="17" fillId="0" borderId="0" xfId="0" applyNumberFormat="1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0" fillId="0" borderId="0" xfId="0" applyFill="1" applyAlignment="1">
      <alignment horizontal="center" vertical="center"/>
    </xf>
    <xf numFmtId="3" fontId="18" fillId="0" borderId="3" xfId="1" applyNumberFormat="1" applyFont="1" applyFill="1" applyBorder="1" applyAlignment="1">
      <alignment vertical="center"/>
    </xf>
    <xf numFmtId="3" fontId="18" fillId="3" borderId="3" xfId="0" applyNumberFormat="1" applyFont="1" applyFill="1" applyBorder="1" applyAlignment="1">
      <alignment horizontal="center" vertical="center"/>
    </xf>
    <xf numFmtId="3" fontId="18" fillId="0" borderId="3" xfId="0" applyNumberFormat="1" applyFont="1" applyFill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3" fontId="18" fillId="5" borderId="3" xfId="0" applyNumberFormat="1" applyFont="1" applyFill="1" applyBorder="1" applyAlignment="1">
      <alignment horizontal="center" vertical="center"/>
    </xf>
    <xf numFmtId="3" fontId="8" fillId="6" borderId="3" xfId="0" applyNumberFormat="1" applyFont="1" applyFill="1" applyBorder="1" applyAlignment="1">
      <alignment horizontal="center" vertical="center"/>
    </xf>
    <xf numFmtId="3" fontId="8" fillId="3" borderId="3" xfId="0" applyNumberFormat="1" applyFont="1" applyFill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3" fontId="18" fillId="5" borderId="3" xfId="0" applyNumberFormat="1" applyFont="1" applyFill="1" applyBorder="1" applyAlignment="1">
      <alignment vertical="center"/>
    </xf>
    <xf numFmtId="3" fontId="18" fillId="0" borderId="3" xfId="0" applyNumberFormat="1" applyFont="1" applyFill="1" applyBorder="1" applyAlignment="1">
      <alignment vertical="center"/>
    </xf>
    <xf numFmtId="3" fontId="18" fillId="0" borderId="3" xfId="1" applyNumberFormat="1" applyFont="1" applyBorder="1" applyAlignment="1">
      <alignment vertical="center"/>
    </xf>
    <xf numFmtId="3" fontId="18" fillId="0" borderId="3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horizontal="center" vertical="center"/>
    </xf>
    <xf numFmtId="3" fontId="18" fillId="3" borderId="3" xfId="0" applyNumberFormat="1" applyFont="1" applyFill="1" applyBorder="1" applyAlignment="1">
      <alignment vertical="center"/>
    </xf>
    <xf numFmtId="1" fontId="18" fillId="0" borderId="3" xfId="0" applyNumberFormat="1" applyFont="1" applyFill="1" applyBorder="1" applyAlignment="1">
      <alignment horizontal="center" vertical="center"/>
    </xf>
    <xf numFmtId="49" fontId="18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18" fillId="0" borderId="3" xfId="0" applyNumberFormat="1" applyFont="1" applyFill="1" applyBorder="1" applyAlignment="1">
      <alignment vertical="center"/>
    </xf>
    <xf numFmtId="3" fontId="18" fillId="7" borderId="3" xfId="0" applyNumberFormat="1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/>
    </xf>
    <xf numFmtId="3" fontId="18" fillId="0" borderId="3" xfId="1" applyNumberFormat="1" applyFont="1" applyBorder="1" applyAlignment="1">
      <alignment horizontal="right" vertical="center"/>
    </xf>
    <xf numFmtId="3" fontId="18" fillId="0" borderId="3" xfId="1" applyNumberFormat="1" applyFont="1" applyFill="1" applyBorder="1" applyAlignment="1">
      <alignment horizontal="right" vertical="center"/>
    </xf>
    <xf numFmtId="49" fontId="18" fillId="0" borderId="3" xfId="0" applyNumberFormat="1" applyFont="1" applyFill="1" applyBorder="1" applyAlignment="1">
      <alignment vertical="center" wrapText="1"/>
    </xf>
    <xf numFmtId="3" fontId="18" fillId="0" borderId="3" xfId="0" applyNumberFormat="1" applyFont="1" applyBorder="1" applyAlignment="1">
      <alignment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left" vertical="center" wrapText="1"/>
    </xf>
    <xf numFmtId="3" fontId="18" fillId="3" borderId="7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18" fillId="0" borderId="8" xfId="1" applyNumberFormat="1" applyFont="1" applyFill="1" applyBorder="1" applyAlignment="1">
      <alignment vertical="center"/>
    </xf>
    <xf numFmtId="1" fontId="4" fillId="7" borderId="0" xfId="0" applyNumberFormat="1" applyFont="1" applyFill="1" applyAlignment="1">
      <alignment horizontal="left" vertical="center"/>
    </xf>
    <xf numFmtId="1" fontId="5" fillId="7" borderId="0" xfId="0" applyNumberFormat="1" applyFont="1" applyFill="1"/>
    <xf numFmtId="0" fontId="0" fillId="7" borderId="0" xfId="0" applyFill="1"/>
    <xf numFmtId="1" fontId="0" fillId="7" borderId="0" xfId="0" applyNumberFormat="1" applyFill="1"/>
    <xf numFmtId="1" fontId="6" fillId="0" borderId="3" xfId="0" applyNumberFormat="1" applyFont="1" applyFill="1" applyBorder="1" applyAlignment="1">
      <alignment horizontal="left" vertical="top" wrapText="1"/>
    </xf>
    <xf numFmtId="3" fontId="6" fillId="0" borderId="3" xfId="0" applyNumberFormat="1" applyFont="1" applyFill="1" applyBorder="1" applyAlignment="1">
      <alignment horizontal="left" vertical="center" wrapText="1"/>
    </xf>
    <xf numFmtId="3" fontId="6" fillId="0" borderId="5" xfId="0" applyNumberFormat="1" applyFont="1" applyFill="1" applyBorder="1" applyAlignment="1">
      <alignment horizontal="left" vertical="top"/>
    </xf>
    <xf numFmtId="3" fontId="1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left" vertical="top"/>
    </xf>
    <xf numFmtId="10" fontId="0" fillId="0" borderId="0" xfId="4" applyNumberFormat="1" applyFont="1"/>
    <xf numFmtId="0" fontId="7" fillId="0" borderId="3" xfId="0" applyFont="1" applyBorder="1"/>
    <xf numFmtId="0" fontId="0" fillId="0" borderId="3" xfId="0" applyBorder="1"/>
    <xf numFmtId="3" fontId="6" fillId="0" borderId="3" xfId="0" applyNumberFormat="1" applyFont="1" applyFill="1" applyBorder="1" applyAlignment="1">
      <alignment horizontal="center" vertical="top"/>
    </xf>
    <xf numFmtId="15" fontId="0" fillId="0" borderId="0" xfId="0" applyNumberFormat="1"/>
    <xf numFmtId="3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49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49" fontId="0" fillId="0" borderId="0" xfId="0" applyNumberFormat="1" applyFill="1" applyBorder="1" applyAlignment="1">
      <alignment vertical="center" wrapText="1"/>
    </xf>
    <xf numFmtId="0" fontId="0" fillId="0" borderId="0" xfId="0" applyFill="1" applyBorder="1"/>
    <xf numFmtId="3" fontId="0" fillId="0" borderId="0" xfId="0" applyNumberFormat="1" applyFont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Border="1" applyAlignment="1"/>
    <xf numFmtId="3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center" vertical="top"/>
    </xf>
    <xf numFmtId="0" fontId="0" fillId="0" borderId="0" xfId="0" applyFont="1"/>
    <xf numFmtId="1" fontId="5" fillId="5" borderId="0" xfId="0" applyNumberFormat="1" applyFont="1" applyFill="1"/>
    <xf numFmtId="3" fontId="6" fillId="5" borderId="3" xfId="0" applyNumberFormat="1" applyFont="1" applyFill="1" applyBorder="1" applyAlignment="1">
      <alignment horizontal="left" vertical="top"/>
    </xf>
    <xf numFmtId="1" fontId="6" fillId="5" borderId="3" xfId="0" applyNumberFormat="1" applyFont="1" applyFill="1" applyBorder="1" applyAlignment="1">
      <alignment horizontal="left" vertical="top" wrapText="1"/>
    </xf>
    <xf numFmtId="49" fontId="18" fillId="5" borderId="3" xfId="0" applyNumberFormat="1" applyFont="1" applyFill="1" applyBorder="1" applyAlignment="1">
      <alignment vertical="center"/>
    </xf>
    <xf numFmtId="0" fontId="0" fillId="5" borderId="0" xfId="0" applyFill="1"/>
    <xf numFmtId="3" fontId="7" fillId="0" borderId="3" xfId="0" applyNumberFormat="1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0" xfId="0" applyFont="1" applyFill="1"/>
    <xf numFmtId="0" fontId="18" fillId="5" borderId="0" xfId="0" applyFont="1" applyFill="1"/>
    <xf numFmtId="0" fontId="0" fillId="0" borderId="9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2" xfId="0" applyNumberFormat="1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NumberFormat="1" applyBorder="1"/>
    <xf numFmtId="0" fontId="0" fillId="0" borderId="16" xfId="0" pivotButton="1" applyBorder="1"/>
    <xf numFmtId="0" fontId="0" fillId="0" borderId="16" xfId="0" applyBorder="1"/>
    <xf numFmtId="0" fontId="0" fillId="0" borderId="0" xfId="0" applyNumberFormat="1" applyBorder="1"/>
    <xf numFmtId="3" fontId="6" fillId="0" borderId="17" xfId="0" applyNumberFormat="1" applyFont="1" applyFill="1" applyBorder="1" applyAlignment="1">
      <alignment horizontal="left" vertical="top" wrapText="1"/>
    </xf>
    <xf numFmtId="3" fontId="18" fillId="8" borderId="3" xfId="0" applyNumberFormat="1" applyFont="1" applyFill="1" applyBorder="1" applyAlignment="1">
      <alignment horizontal="center" vertical="center"/>
    </xf>
    <xf numFmtId="3" fontId="7" fillId="0" borderId="0" xfId="0" applyNumberFormat="1" applyFont="1"/>
    <xf numFmtId="3" fontId="18" fillId="0" borderId="3" xfId="1" applyNumberFormat="1" applyFont="1" applyFill="1" applyBorder="1" applyAlignment="1">
      <alignment horizontal="center" vertical="center"/>
    </xf>
    <xf numFmtId="0" fontId="4" fillId="0" borderId="0" xfId="0" applyFont="1" applyFill="1"/>
    <xf numFmtId="3" fontId="16" fillId="0" borderId="0" xfId="0" applyNumberFormat="1" applyFont="1" applyFill="1"/>
    <xf numFmtId="3" fontId="17" fillId="0" borderId="0" xfId="0" applyNumberFormat="1" applyFont="1" applyFill="1"/>
    <xf numFmtId="3" fontId="8" fillId="0" borderId="3" xfId="0" applyNumberFormat="1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left" vertical="center" wrapText="1"/>
    </xf>
    <xf numFmtId="3" fontId="18" fillId="9" borderId="3" xfId="0" applyNumberFormat="1" applyFont="1" applyFill="1" applyBorder="1" applyAlignment="1">
      <alignment horizontal="center" vertical="center"/>
    </xf>
    <xf numFmtId="0" fontId="4" fillId="8" borderId="0" xfId="0" applyFont="1" applyFill="1"/>
    <xf numFmtId="0" fontId="18" fillId="0" borderId="3" xfId="0" applyFont="1" applyBorder="1" applyAlignment="1">
      <alignment horizontal="center" vertical="center"/>
    </xf>
    <xf numFmtId="3" fontId="8" fillId="8" borderId="3" xfId="0" applyNumberFormat="1" applyFont="1" applyFill="1" applyBorder="1" applyAlignment="1">
      <alignment horizontal="center" vertical="center"/>
    </xf>
    <xf numFmtId="3" fontId="18" fillId="0" borderId="18" xfId="0" applyNumberFormat="1" applyFont="1" applyFill="1" applyBorder="1" applyAlignment="1">
      <alignment horizontal="center" vertical="center"/>
    </xf>
    <xf numFmtId="3" fontId="20" fillId="5" borderId="3" xfId="0" applyNumberFormat="1" applyFont="1" applyFill="1" applyBorder="1" applyAlignment="1">
      <alignment horizontal="center"/>
    </xf>
    <xf numFmtId="0" fontId="5" fillId="0" borderId="0" xfId="0" applyFont="1"/>
    <xf numFmtId="3" fontId="26" fillId="0" borderId="3" xfId="0" applyNumberFormat="1" applyFont="1" applyFill="1" applyBorder="1" applyAlignment="1">
      <alignment horizontal="center" vertical="center"/>
    </xf>
    <xf numFmtId="3" fontId="18" fillId="11" borderId="3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18" fillId="0" borderId="3" xfId="0" applyNumberFormat="1" applyFont="1" applyBorder="1" applyAlignment="1">
      <alignment vertical="center" wrapText="1"/>
    </xf>
    <xf numFmtId="1" fontId="6" fillId="0" borderId="7" xfId="0" applyNumberFormat="1" applyFont="1" applyFill="1" applyBorder="1" applyAlignment="1">
      <alignment horizontal="left" vertical="top" wrapText="1"/>
    </xf>
    <xf numFmtId="3" fontId="18" fillId="0" borderId="3" xfId="0" applyNumberFormat="1" applyFont="1" applyFill="1" applyBorder="1" applyAlignment="1">
      <alignment horizontal="center" vertical="center" wrapText="1"/>
    </xf>
    <xf numFmtId="3" fontId="18" fillId="0" borderId="3" xfId="1" applyNumberFormat="1" applyFont="1" applyFill="1" applyBorder="1" applyAlignment="1">
      <alignment horizontal="center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1" fontId="6" fillId="3" borderId="7" xfId="0" applyNumberFormat="1" applyFont="1" applyFill="1" applyBorder="1" applyAlignment="1">
      <alignment horizontal="left" vertical="top" wrapText="1"/>
    </xf>
    <xf numFmtId="3" fontId="18" fillId="3" borderId="7" xfId="0" applyNumberFormat="1" applyFont="1" applyFill="1" applyBorder="1" applyAlignment="1">
      <alignment horizontal="center" vertical="center" wrapText="1"/>
    </xf>
    <xf numFmtId="3" fontId="18" fillId="3" borderId="3" xfId="0" applyNumberFormat="1" applyFont="1" applyFill="1" applyBorder="1" applyAlignment="1">
      <alignment horizontal="center" vertical="center" wrapText="1"/>
    </xf>
    <xf numFmtId="0" fontId="18" fillId="3" borderId="7" xfId="0" applyNumberFormat="1" applyFont="1" applyFill="1" applyBorder="1" applyAlignment="1">
      <alignment horizontal="center" vertical="center" wrapText="1"/>
    </xf>
    <xf numFmtId="3" fontId="26" fillId="0" borderId="3" xfId="0" applyNumberFormat="1" applyFont="1" applyFill="1" applyBorder="1" applyAlignment="1">
      <alignment horizontal="center" vertical="center" wrapText="1"/>
    </xf>
    <xf numFmtId="3" fontId="19" fillId="4" borderId="3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27" fillId="0" borderId="3" xfId="0" applyNumberFormat="1" applyFont="1" applyFill="1" applyBorder="1" applyAlignment="1">
      <alignment horizontal="center" vertical="center"/>
    </xf>
    <xf numFmtId="3" fontId="18" fillId="11" borderId="0" xfId="0" applyNumberFormat="1" applyFont="1" applyFill="1" applyBorder="1" applyAlignment="1">
      <alignment horizontal="center" vertical="center"/>
    </xf>
    <xf numFmtId="0" fontId="0" fillId="11" borderId="0" xfId="0" applyFill="1"/>
    <xf numFmtId="3" fontId="4" fillId="0" borderId="3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vertical="center"/>
    </xf>
    <xf numFmtId="3" fontId="4" fillId="3" borderId="3" xfId="0" applyNumberFormat="1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vertical="center"/>
    </xf>
    <xf numFmtId="3" fontId="4" fillId="0" borderId="3" xfId="1" applyNumberFormat="1" applyFont="1" applyFill="1" applyBorder="1" applyAlignment="1">
      <alignment vertical="center"/>
    </xf>
    <xf numFmtId="3" fontId="4" fillId="0" borderId="3" xfId="1" applyNumberFormat="1" applyFont="1" applyBorder="1" applyAlignment="1">
      <alignment vertical="center"/>
    </xf>
    <xf numFmtId="3" fontId="6" fillId="0" borderId="19" xfId="0" applyNumberFormat="1" applyFont="1" applyFill="1" applyBorder="1" applyAlignment="1">
      <alignment horizontal="left" vertical="top"/>
    </xf>
    <xf numFmtId="0" fontId="25" fillId="10" borderId="16" xfId="3" applyFont="1" applyFill="1" applyBorder="1" applyAlignment="1">
      <alignment horizontal="center"/>
    </xf>
    <xf numFmtId="0" fontId="25" fillId="0" borderId="1" xfId="3" applyFont="1" applyFill="1" applyBorder="1" applyAlignment="1">
      <alignment wrapText="1"/>
    </xf>
    <xf numFmtId="0" fontId="25" fillId="0" borderId="1" xfId="3" applyFont="1" applyFill="1" applyBorder="1" applyAlignment="1">
      <alignment horizontal="right" wrapText="1"/>
    </xf>
    <xf numFmtId="0" fontId="25" fillId="11" borderId="1" xfId="3" applyFont="1" applyFill="1" applyBorder="1" applyAlignment="1">
      <alignment horizontal="right" wrapText="1"/>
    </xf>
    <xf numFmtId="1" fontId="17" fillId="0" borderId="0" xfId="1" applyNumberFormat="1" applyFont="1" applyFill="1"/>
    <xf numFmtId="9" fontId="0" fillId="0" borderId="0" xfId="4" applyFont="1"/>
    <xf numFmtId="3" fontId="7" fillId="5" borderId="3" xfId="0" applyNumberFormat="1" applyFont="1" applyFill="1" applyBorder="1" applyAlignment="1">
      <alignment horizontal="center" vertical="center" wrapText="1"/>
    </xf>
    <xf numFmtId="49" fontId="18" fillId="12" borderId="3" xfId="0" applyNumberFormat="1" applyFont="1" applyFill="1" applyBorder="1" applyAlignment="1">
      <alignment vertical="center" wrapText="1"/>
    </xf>
    <xf numFmtId="3" fontId="18" fillId="12" borderId="3" xfId="0" applyNumberFormat="1" applyFont="1" applyFill="1" applyBorder="1" applyAlignment="1">
      <alignment vertical="center" wrapText="1"/>
    </xf>
    <xf numFmtId="3" fontId="18" fillId="11" borderId="3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3" fontId="18" fillId="13" borderId="3" xfId="0" applyNumberFormat="1" applyFont="1" applyFill="1" applyBorder="1" applyAlignment="1">
      <alignment horizontal="center" vertical="center"/>
    </xf>
    <xf numFmtId="3" fontId="27" fillId="0" borderId="0" xfId="0" applyNumberFormat="1" applyFont="1" applyFill="1"/>
    <xf numFmtId="3" fontId="18" fillId="11" borderId="5" xfId="1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vertical="center"/>
    </xf>
    <xf numFmtId="3" fontId="18" fillId="0" borderId="0" xfId="0" applyNumberFormat="1" applyFont="1" applyBorder="1" applyAlignment="1">
      <alignment vertical="center"/>
    </xf>
    <xf numFmtId="0" fontId="8" fillId="11" borderId="0" xfId="0" applyFont="1" applyFill="1"/>
    <xf numFmtId="0" fontId="8" fillId="11" borderId="0" xfId="0" applyFont="1" applyFill="1" applyAlignment="1">
      <alignment horizontal="center" vertical="center"/>
    </xf>
    <xf numFmtId="3" fontId="18" fillId="14" borderId="3" xfId="1" applyNumberFormat="1" applyFont="1" applyFill="1" applyBorder="1" applyAlignment="1">
      <alignment horizontal="center" vertical="center"/>
    </xf>
    <xf numFmtId="3" fontId="18" fillId="14" borderId="3" xfId="0" applyNumberFormat="1" applyFont="1" applyFill="1" applyBorder="1" applyAlignment="1">
      <alignment horizontal="center" vertical="center"/>
    </xf>
    <xf numFmtId="3" fontId="4" fillId="14" borderId="3" xfId="0" applyNumberFormat="1" applyFont="1" applyFill="1" applyBorder="1" applyAlignment="1">
      <alignment horizontal="center" vertical="center"/>
    </xf>
    <xf numFmtId="0" fontId="26" fillId="11" borderId="0" xfId="0" applyFont="1" applyFill="1"/>
    <xf numFmtId="3" fontId="2" fillId="0" borderId="3" xfId="0" applyNumberFormat="1" applyFont="1" applyFill="1" applyBorder="1" applyAlignment="1">
      <alignment horizontal="center" vertical="center"/>
    </xf>
    <xf numFmtId="49" fontId="18" fillId="0" borderId="7" xfId="0" applyNumberFormat="1" applyFont="1" applyFill="1" applyBorder="1" applyAlignment="1">
      <alignment horizontal="center" vertical="center"/>
    </xf>
    <xf numFmtId="3" fontId="18" fillId="11" borderId="4" xfId="1" applyNumberFormat="1" applyFont="1" applyFill="1" applyBorder="1" applyAlignment="1">
      <alignment horizontal="center" vertical="center"/>
    </xf>
    <xf numFmtId="3" fontId="18" fillId="0" borderId="5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3" fontId="18" fillId="8" borderId="0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/>
    </xf>
    <xf numFmtId="0" fontId="1" fillId="0" borderId="0" xfId="0" applyFont="1"/>
    <xf numFmtId="3" fontId="18" fillId="0" borderId="20" xfId="1" applyNumberFormat="1" applyFont="1" applyFill="1" applyBorder="1" applyAlignment="1">
      <alignment vertical="center"/>
    </xf>
    <xf numFmtId="3" fontId="18" fillId="0" borderId="0" xfId="1" applyNumberFormat="1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20" xfId="1" applyNumberFormat="1" applyFont="1" applyFill="1" applyBorder="1" applyAlignment="1">
      <alignment vertical="center"/>
    </xf>
    <xf numFmtId="3" fontId="1" fillId="0" borderId="20" xfId="1" applyNumberFormat="1" applyFont="1" applyFill="1" applyBorder="1" applyAlignment="1">
      <alignment horizontal="center" vertical="center"/>
    </xf>
    <xf numFmtId="3" fontId="18" fillId="0" borderId="20" xfId="1" applyNumberFormat="1" applyFont="1" applyFill="1" applyBorder="1" applyAlignment="1">
      <alignment horizontal="center" vertical="center"/>
    </xf>
    <xf numFmtId="3" fontId="1" fillId="0" borderId="3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11" borderId="3" xfId="1" applyNumberFormat="1" applyFont="1" applyFill="1" applyBorder="1" applyAlignment="1">
      <alignment horizontal="center" vertical="center"/>
    </xf>
    <xf numFmtId="3" fontId="18" fillId="15" borderId="3" xfId="0" applyNumberFormat="1" applyFont="1" applyFill="1" applyBorder="1" applyAlignment="1">
      <alignment horizontal="center" vertical="center"/>
    </xf>
    <xf numFmtId="0" fontId="4" fillId="15" borderId="0" xfId="0" applyFont="1" applyFill="1" applyAlignment="1">
      <alignment horizontal="left" vertical="center"/>
    </xf>
    <xf numFmtId="3" fontId="18" fillId="16" borderId="3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left" vertical="center"/>
    </xf>
    <xf numFmtId="3" fontId="1" fillId="16" borderId="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1" fontId="6" fillId="0" borderId="7" xfId="0" applyNumberFormat="1" applyFont="1" applyFill="1" applyBorder="1" applyAlignment="1">
      <alignment horizontal="center" vertical="top"/>
    </xf>
    <xf numFmtId="3" fontId="17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Comma" xfId="1" builtinId="3"/>
    <cellStyle name="Normal" xfId="0" builtinId="0"/>
    <cellStyle name="Normal_Escapement Codes" xfId="2" xr:uid="{00000000-0005-0000-0000-000002000000}"/>
    <cellStyle name="Normal_WCVI Esc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4189519413523"/>
          <c:y val="9.1426049363475981E-2"/>
          <c:w val="0.84190178296678431"/>
          <c:h val="0.72688057426946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'WCVI Esc'!$G$541</c:f>
              <c:strCache>
                <c:ptCount val="1"/>
                <c:pt idx="0">
                  <c:v>COLONIAL/CAYEGHLE CREEKS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'Area 27'!$B$47:$X$47</c:f>
              <c:numCache>
                <c:formatCode>0</c:formatCode>
                <c:ptCount val="2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  <c:pt idx="18">
                  <c:v>1999</c:v>
                </c:pt>
                <c:pt idx="19">
                  <c:v>1998</c:v>
                </c:pt>
                <c:pt idx="20">
                  <c:v>1997</c:v>
                </c:pt>
                <c:pt idx="21">
                  <c:v>1996</c:v>
                </c:pt>
                <c:pt idx="22">
                  <c:v>1995</c:v>
                </c:pt>
              </c:numCache>
            </c:numRef>
          </c:xVal>
          <c:yVal>
            <c:numRef>
              <c:f>'WCVI Esc'!$AA$541:$AW$541</c:f>
            </c:numRef>
          </c:yVal>
          <c:smooth val="0"/>
          <c:extLst>
            <c:ext xmlns:c16="http://schemas.microsoft.com/office/drawing/2014/chart" uri="{C3380CC4-5D6E-409C-BE32-E72D297353CC}">
              <c16:uniqueId val="{00000000-F7F8-467E-BFDF-05830BC6F8E8}"/>
            </c:ext>
          </c:extLst>
        </c:ser>
        <c:ser>
          <c:idx val="1"/>
          <c:order val="1"/>
          <c:tx>
            <c:strRef>
              <c:f>'Area 27'!$C$49</c:f>
              <c:strCache>
                <c:ptCount val="1"/>
                <c:pt idx="0">
                  <c:v>25%</c:v>
                </c:pt>
              </c:strCache>
            </c:strRef>
          </c:tx>
          <c:marker>
            <c:symbol val="none"/>
          </c:marker>
          <c:xVal>
            <c:numRef>
              <c:f>'Area 27'!$B$50:$B$51</c:f>
              <c:numCache>
                <c:formatCode>0</c:formatCode>
                <c:ptCount val="2"/>
                <c:pt idx="0">
                  <c:v>1995</c:v>
                </c:pt>
                <c:pt idx="1">
                  <c:v>2017</c:v>
                </c:pt>
              </c:numCache>
            </c:numRef>
          </c:xVal>
          <c:yVal>
            <c:numRef>
              <c:f>'Area 27'!$C$50:$C$51</c:f>
              <c:numCache>
                <c:formatCode>0</c:formatCode>
                <c:ptCount val="2"/>
                <c:pt idx="0">
                  <c:v>4035.2</c:v>
                </c:pt>
                <c:pt idx="1">
                  <c:v>4035.2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8-467E-BFDF-05830BC6F8E8}"/>
            </c:ext>
          </c:extLst>
        </c:ser>
        <c:ser>
          <c:idx val="2"/>
          <c:order val="2"/>
          <c:tx>
            <c:strRef>
              <c:f>'Area 27'!$D$49</c:f>
              <c:strCache>
                <c:ptCount val="1"/>
                <c:pt idx="0">
                  <c:v>75%</c:v>
                </c:pt>
              </c:strCache>
            </c:strRef>
          </c:tx>
          <c:marker>
            <c:symbol val="none"/>
          </c:marker>
          <c:xVal>
            <c:numRef>
              <c:f>'Area 27'!$B$50:$B$51</c:f>
              <c:numCache>
                <c:formatCode>0</c:formatCode>
                <c:ptCount val="2"/>
                <c:pt idx="0">
                  <c:v>1995</c:v>
                </c:pt>
                <c:pt idx="1">
                  <c:v>2017</c:v>
                </c:pt>
              </c:numCache>
            </c:numRef>
          </c:xVal>
          <c:yVal>
            <c:numRef>
              <c:f>'Area 27'!$D$50:$D$51</c:f>
              <c:numCache>
                <c:formatCode>#,##0</c:formatCode>
                <c:ptCount val="2"/>
                <c:pt idx="0">
                  <c:v>13666</c:v>
                </c:pt>
                <c:pt idx="1">
                  <c:v>13666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8-467E-BFDF-05830BC6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46584"/>
        <c:axId val="1"/>
      </c:scatterChart>
      <c:valAx>
        <c:axId val="661546584"/>
        <c:scaling>
          <c:orientation val="minMax"/>
          <c:max val="2017"/>
          <c:min val="1995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Chum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1546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wMode val="edge"/>
          <c:hMode val="edge"/>
          <c:x val="0.21828118006395175"/>
          <c:y val="6.5989847715736044E-2"/>
          <c:w val="0.88403877209755333"/>
          <c:h val="0.19289340101522842"/>
        </c:manualLayout>
      </c:layout>
      <c:overlay val="1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133350</xdr:rowOff>
    </xdr:from>
    <xdr:to>
      <xdr:col>8</xdr:col>
      <xdr:colOff>361950</xdr:colOff>
      <xdr:row>44</xdr:row>
      <xdr:rowOff>66675</xdr:rowOff>
    </xdr:to>
    <xdr:graphicFrame macro="">
      <xdr:nvGraphicFramePr>
        <xdr:cNvPr id="28214" name="Chart 1">
          <a:extLst>
            <a:ext uri="{FF2B5EF4-FFF2-40B4-BE49-F238E27FC236}">
              <a16:creationId xmlns:a16="http://schemas.microsoft.com/office/drawing/2014/main" id="{00000000-0008-0000-0E00-0000366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ugh, Diana" refreshedDate="41002.496112615743" createdVersion="1" refreshedVersion="4" recordCount="508" upgradeOnRefresh="1" xr:uid="{00000000-000A-0000-FFFF-FFFF02000000}">
  <cacheSource type="worksheet">
    <worksheetSource ref="F3" sheet="WCVI Esc"/>
  </cacheSource>
  <cacheFields count="79">
    <cacheField name="CU" numFmtId="0">
      <sharedItems/>
    </cacheField>
    <cacheField name="CU Name" numFmtId="0">
      <sharedItems/>
    </cacheField>
    <cacheField name="Culookup" numFmtId="0">
      <sharedItems/>
    </cacheField>
    <cacheField name="PSC 6 Indicator" numFmtId="0">
      <sharedItems count="2">
        <s v="No"/>
        <s v="Yes"/>
      </sharedItems>
    </cacheField>
    <cacheField name="PSC 14 Indicator" numFmtId="0">
      <sharedItems count="2">
        <s v="No"/>
        <s v="Yes"/>
      </sharedItems>
    </cacheField>
    <cacheField name="Stat" numFmtId="0">
      <sharedItems containsSemiMixedTypes="0" containsString="0" containsNumber="1" containsInteger="1" minValue="20" maxValue="27" count="8">
        <n v="20"/>
        <n v="21"/>
        <n v="22"/>
        <n v="23"/>
        <n v="24"/>
        <n v="25"/>
        <n v="26"/>
        <n v="27"/>
      </sharedItems>
    </cacheField>
    <cacheField name="Stream Name" numFmtId="0">
      <sharedItems count="171">
        <s v="AYUM CREEK"/>
        <s v="BAKER CREEK"/>
        <s v="CHARTERS RIVER"/>
        <s v="DE MAMIEL CREEK"/>
        <s v="FALLS CREEK"/>
        <s v="GORDON RIVER"/>
        <s v="HARRIS CREEK"/>
        <s v="HEMMINGSEN CREEK"/>
        <s v="LENS CREEK"/>
        <s v="MOSQUITO CREEK"/>
        <s v="MUIR CREEK"/>
        <s v="RENFREW CREEK"/>
        <s v="SAN JUAN RIVER"/>
        <s v="CARMANAH CREEK"/>
        <s v="CHEEWHAT RIVER"/>
        <s v="KLANAWA RIVER"/>
        <s v="CAMPUS CREEK"/>
        <s v="CAYCUSE RIVER"/>
        <s v="DOOBAH CREEK"/>
        <s v="HOBITON CREEK"/>
        <s v="NITINAT RIVER"/>
        <s v="BEAVER CREEK"/>
        <s v="CAMPSITE CREEK"/>
        <s v="CANOE PASS CREEK"/>
        <s v="CARNATION CREEK"/>
        <s v="CASS CREEK"/>
        <s v="CATARACT CREEK"/>
        <s v="CHERRY CREEK"/>
        <s v="CHINA CREEK"/>
        <s v="CLEMENS CREEK"/>
        <s v="COEUR D'ALENE CREEK"/>
        <s v="COLEMAN CREEK"/>
        <s v="CONSINKA CREEK"/>
        <s v="COUS CREEK"/>
        <s v="DEER CREEK"/>
        <s v="DUTCH HARBOUR CREEK EAST"/>
        <s v="DUTCH HARBOUR CREEK WEST"/>
        <s v="EFFINGHAM RIVER"/>
        <s v="FRANKLIN RIVER"/>
        <s v="FREDERICK CREEK"/>
        <s v="HENDERSON LAKE"/>
        <s v="HILLIER CREEK"/>
        <s v="HOLFORD CREEK"/>
        <s v="ITATSOO CREEK"/>
        <s v="KITSUCKSUS CREEK"/>
        <s v="LITTLE MAGGIE RIVER"/>
        <s v="LITTLE TOQUART CREEK"/>
        <s v="LUCKY CREEK"/>
        <s v="MACKTUSH CREEK"/>
        <s v="MAGGIE RIVER"/>
        <s v="MERCANTILE CREEK"/>
        <s v="NAHMINT RIVER"/>
        <s v="OWATCHET CREEK"/>
        <s v="PACHENA RIVER"/>
        <s v="PIPESTEAM CREEK"/>
        <s v="POETT NOOK CREEK"/>
        <s v="RITHERDON CREEK"/>
        <s v="SARITA RIVER"/>
        <s v="SECHART CREEK"/>
        <s v="SMITH CREEK"/>
        <s v="SNUG BASIN CREEK"/>
        <s v="SOMASS SYSTEM"/>
        <s v="SUGSAW CREEK"/>
        <s v="THORNTON CREEK"/>
        <s v="TOQUART RIVER"/>
        <s v="TWIN RIVERS EAST CREEK"/>
        <s v="TWIN RIVERS WEST CREEK"/>
        <s v="UCHUCK CREEK"/>
        <s v="USELESS CREEK"/>
        <s v="VERNON BAY CREEK"/>
        <s v="WALLACE CREEK"/>
        <s v="ANGORA CREEK"/>
        <s v="ATLEO RIVER"/>
        <s v="BAWDEN CREEK"/>
        <s v="BEDINGFIELD BAY CREEK"/>
        <s v="BEDWELL/URSUS"/>
        <s v="BULSON CREEK"/>
        <s v="CECILIA CREEK"/>
        <s v="CLAYOQUOT RIVER"/>
        <s v="CLOSE CREEKS (2)"/>
        <s v="COLD CREEK"/>
        <s v="CONE CREEKS (2)"/>
        <s v="COW CREEK"/>
        <s v="CYPRE RIVER"/>
        <s v="FUNDY CREEK"/>
        <s v="HESQUIAT HARBOUR #1 CREEKS"/>
        <s v="HESQUIAT HARBOUR #2 CREEKS"/>
        <s v="HESQUIAT HARBOUR #3 CREEKS"/>
        <s v="HESQUIAT HARBOUR #4 CREEKS"/>
        <s v="HESQUIAT LAKE CREEK"/>
        <s v="HESQUIAT POINT CREEK"/>
        <s v="HOOTLA KOOTLA CREEK"/>
        <s v="HOT SPRINGS COVE CREEK"/>
        <s v="ICE RIVER"/>
        <s v="KENNEDY LAKE BEACHES"/>
        <s v="KENNEDY LAKE FEEDER STREAMS"/>
        <s v="KENNEDY RIVER (LOWER)"/>
        <s v="KENNEDY RIVER (UPPER)"/>
        <s v="KOOTOWIS CREEK"/>
        <s v="LITTLE WHITEPINE COVE #1 CREEK"/>
        <s v="LOST SHOE CREEK"/>
        <s v="MEGIN RIVER"/>
        <s v="MOYEHA RIVER"/>
        <s v="RILEY CREEK"/>
        <s v="SAND RIVER"/>
        <s v="SANDHILL CREEK"/>
        <s v="SUTTON MILL CREEK"/>
        <s v="SYDNEY RIVER"/>
        <s v="TOFINO CREEK"/>
        <s v="TRANQUIL CREEK"/>
        <s v="WARN BAY CREEK"/>
        <s v="WATTA CREEK"/>
        <s v="WHITE PINE COVE CREEK"/>
        <s v="BEANO CREEK"/>
        <s v="BINGO CREEK"/>
        <s v="BRODICK CREEK"/>
        <s v="BURMAN RIVER"/>
        <s v="CANTON CREEK"/>
        <s v="CHUM CREEK"/>
        <s v="CONUMA RIVER"/>
        <s v="COUGAR CREEK"/>
        <s v="DESERTED CREEK"/>
        <s v="ELIZA CREEK"/>
        <s v="ESPINOSA CREEK"/>
        <s v="GOLD RIVER"/>
        <s v="GUISE CREEK"/>
        <s v="HAMMOND CREEK"/>
        <s v="HOISS CREEK"/>
        <s v="INNER BASIN CREEK (Black C)"/>
        <s v="INNER BASIN RIVER (Ransom C)"/>
        <s v="KENDRICK CREEK"/>
        <s v="KLEEPTEE CREEK"/>
        <s v="LEINER RIVER"/>
        <s v="LITTLE ZEBALLOS RIVER"/>
        <s v="LORD CREEK"/>
        <s v="MAMAT CREEK"/>
        <s v="MARVINAS BAY CREEK"/>
        <s v="MCCURDY CREEK"/>
        <s v="MIDDLE ELIZA CREEK"/>
        <s v="MOOYAH RIVER"/>
        <s v="MUCHALAT RIVER"/>
        <s v="OKTWANCH RIVER"/>
        <s v="OWOSSITSA CREEK"/>
        <s v="PARK RIVER"/>
        <s v="SUCWOA RIVER"/>
        <s v="TAHSIS RIVER"/>
        <s v="TLUPANA RIVER"/>
        <s v="TSOWWIN RIVER"/>
        <s v="ZEBALLOS RIVER"/>
        <s v="AMAI CREEK"/>
        <s v="ARTLISH RIVER"/>
        <s v="CACHALOT CREEK"/>
        <s v="CHAMISS CREEK"/>
        <s v="CLANNINICK CREEK"/>
        <s v="EASY CREEK"/>
        <s v="ELAINE CREEK"/>
        <s v="JANSEN LAKE CREEK"/>
        <s v="KAOUK RIVER"/>
        <s v="KASHUTL RIVER"/>
        <s v="KAUWINCH RIVER"/>
        <s v="MALKSOPE RIVER"/>
        <s v="NARROWGUT CREEK"/>
        <s v="OUOUKINSH RIVER"/>
        <s v="TAHSISH RIVER"/>
        <s v="YAKU RIVER"/>
        <s v="BENSON RIVER"/>
        <s v="COLONIAL/CAYEGHLE CREEKS"/>
        <s v="MARBLE RIVER"/>
        <s v="BLACK CREEK" u="1"/>
        <s v="INNER BASIN RIVER" u="1"/>
        <s v="SOOKE RIVER" u="1"/>
      </sharedItems>
    </cacheField>
    <cacheField name="Species" numFmtId="0">
      <sharedItems count="5">
        <s v="Coho"/>
        <s v="Chum"/>
        <s v="Chinook"/>
        <s v="Sockeye"/>
        <s v="Pink"/>
      </sharedItems>
    </cacheField>
    <cacheField name="Assessment Level" numFmtId="0">
      <sharedItems containsNonDate="0" containsString="0" containsBlank="1"/>
    </cacheField>
    <cacheField name="Enhancement Level" numFmtId="0">
      <sharedItems containsNonDate="0" containsString="0" containsBlank="1"/>
    </cacheField>
    <cacheField name="Assessment Priority" numFmtId="0">
      <sharedItems containsSemiMixedTypes="0" containsString="0" containsNumber="1" containsInteger="1" minValue="1" maxValue="5"/>
    </cacheField>
    <cacheField name="1995-2005   # Years Esc Est" numFmtId="0">
      <sharedItems containsSemiMixedTypes="0" containsString="0" containsNumber="1" containsInteger="1" minValue="0" maxValue="11"/>
    </cacheField>
    <cacheField name="1995-2005   # Fish Obs" numFmtId="0">
      <sharedItems containsString="0" containsBlank="1" containsNumber="1" containsInteger="1" minValue="0" maxValue="1372"/>
    </cacheField>
    <cacheField name="1995-2005   geomean" numFmtId="0">
      <sharedItems containsMixedTypes="1" containsNumber="1" minValue="1" maxValue="173213.03523480141"/>
    </cacheField>
    <cacheField name="1953-2008 max" numFmtId="0">
      <sharedItems containsSemiMixedTypes="0" containsString="0" containsNumber="1" containsInteger="1" minValue="0" maxValue="423242"/>
    </cacheField>
    <cacheField name="1953-2008 geomean" numFmtId="0">
      <sharedItems containsMixedTypes="1" containsNumber="1" minValue="1" maxValue="51319.744426410027"/>
    </cacheField>
    <cacheField name="ESC Index" numFmtId="0">
      <sharedItems containsBlank="1"/>
    </cacheField>
    <cacheField name="Type of Estimate" numFmtId="0">
      <sharedItems/>
    </cacheField>
    <cacheField name="Comments" numFmtId="0">
      <sharedItems containsBlank="1"/>
    </cacheField>
    <cacheField name="Average 1995-2005" numFmtId="0">
      <sharedItems containsString="0" containsBlank="1" containsNumber="1" minValue="1" maxValue="211379.63636363635"/>
    </cacheField>
    <cacheField name="2011" numFmtId="0">
      <sharedItems containsBlank="1" containsMixedTypes="1" containsNumber="1" containsInteger="1" minValue="1" maxValue="244000"/>
    </cacheField>
    <cacheField name="2010" numFmtId="0">
      <sharedItems containsBlank="1" containsMixedTypes="1" containsNumber="1" containsInteger="1" minValue="1" maxValue="56000"/>
    </cacheField>
    <cacheField name="2009" numFmtId="0">
      <sharedItems containsBlank="1" containsMixedTypes="1" containsNumber="1" containsInteger="1" minValue="1" maxValue="58776"/>
    </cacheField>
    <cacheField name="2008" numFmtId="0">
      <sharedItems containsBlank="1" containsMixedTypes="1" containsNumber="1" containsInteger="1" minValue="1" maxValue="124922"/>
    </cacheField>
    <cacheField name="2007" numFmtId="0">
      <sharedItems containsBlank="1" containsMixedTypes="1" containsNumber="1" containsInteger="1" minValue="1" maxValue="119699"/>
    </cacheField>
    <cacheField name="2006" numFmtId="0">
      <sharedItems containsBlank="1" containsMixedTypes="1" containsNumber="1" containsInteger="1" minValue="1" maxValue="197433"/>
    </cacheField>
    <cacheField name="2005" numFmtId="0">
      <sharedItems containsBlank="1" containsMixedTypes="1" containsNumber="1" containsInteger="1" minValue="1" maxValue="304911"/>
    </cacheField>
    <cacheField name="2004" numFmtId="0">
      <sharedItems containsBlank="1" containsMixedTypes="1" containsNumber="1" containsInteger="1" minValue="1" maxValue="235000"/>
    </cacheField>
    <cacheField name="2003" numFmtId="0">
      <sharedItems containsBlank="1" containsMixedTypes="1" containsNumber="1" containsInteger="1" minValue="1" maxValue="235414"/>
    </cacheField>
    <cacheField name="2002" numFmtId="0">
      <sharedItems containsBlank="1" containsMixedTypes="1" containsNumber="1" containsInteger="1" minValue="0" maxValue="60000"/>
    </cacheField>
    <cacheField name="2001" numFmtId="0">
      <sharedItems containsBlank="1" containsMixedTypes="1" containsNumber="1" containsInteger="1" minValue="1" maxValue="300953"/>
    </cacheField>
    <cacheField name="2000" numFmtId="0">
      <sharedItems containsBlank="1" containsMixedTypes="1" containsNumber="1" containsInteger="1" minValue="1" maxValue="37756"/>
    </cacheField>
    <cacheField name="1999" numFmtId="0">
      <sharedItems containsBlank="1" containsMixedTypes="1" containsNumber="1" containsInteger="1" minValue="1" maxValue="145000"/>
    </cacheField>
    <cacheField name="1998" numFmtId="0">
      <sharedItems containsBlank="1" containsMixedTypes="1" containsNumber="1" containsInteger="1" minValue="1" maxValue="179179"/>
    </cacheField>
    <cacheField name="1997" numFmtId="0">
      <sharedItems containsBlank="1" containsMixedTypes="1" containsNumber="1" containsInteger="1" minValue="1" maxValue="423242"/>
    </cacheField>
    <cacheField name="1996" numFmtId="0">
      <sharedItems containsBlank="1" containsMixedTypes="1" containsNumber="1" containsInteger="1" minValue="0" maxValue="330000"/>
    </cacheField>
    <cacheField name="1995" numFmtId="0">
      <sharedItems containsBlank="1" containsMixedTypes="1" containsNumber="1" containsInteger="1" minValue="0" maxValue="119319"/>
    </cacheField>
    <cacheField name="1994" numFmtId="0">
      <sharedItems containsBlank="1" containsMixedTypes="1" containsNumber="1" containsInteger="1" minValue="1" maxValue="340000"/>
    </cacheField>
    <cacheField name="1993" numFmtId="0">
      <sharedItems containsBlank="1" containsMixedTypes="1" containsNumber="1" containsInteger="1" minValue="1" maxValue="220000"/>
    </cacheField>
    <cacheField name="1992" numFmtId="0">
      <sharedItems containsBlank="1" containsMixedTypes="1" containsNumber="1" containsInteger="1" minValue="1" maxValue="221700"/>
    </cacheField>
    <cacheField name="1991" numFmtId="0">
      <sharedItems containsBlank="1" containsMixedTypes="1" containsNumber="1" containsInteger="1" minValue="2" maxValue="350000"/>
    </cacheField>
    <cacheField name="1990" numFmtId="0">
      <sharedItems containsBlank="1" containsMixedTypes="1" containsNumber="1" containsInteger="1" minValue="2" maxValue="23350"/>
    </cacheField>
    <cacheField name="1989" numFmtId="0">
      <sharedItems containsBlank="1" containsMixedTypes="1" containsNumber="1" containsInteger="1" minValue="2" maxValue="115000"/>
    </cacheField>
    <cacheField name="1988" numFmtId="0">
      <sharedItems containsBlank="1" containsMixedTypes="1" containsNumber="1" containsInteger="1" minValue="1" maxValue="188728"/>
    </cacheField>
    <cacheField name="1987" numFmtId="0">
      <sharedItems containsBlank="1" containsMixedTypes="1" containsNumber="1" containsInteger="1" minValue="2" maxValue="50000"/>
    </cacheField>
    <cacheField name="1986" numFmtId="0">
      <sharedItems containsBlank="1" containsMixedTypes="1" containsNumber="1" containsInteger="1" minValue="1" maxValue="140000"/>
    </cacheField>
    <cacheField name="1985" numFmtId="0">
      <sharedItems containsBlank="1" containsMixedTypes="1" containsNumber="1" containsInteger="1" minValue="1" maxValue="210000"/>
    </cacheField>
    <cacheField name="1984" numFmtId="0">
      <sharedItems containsBlank="1" containsMixedTypes="1" containsNumber="1" containsInteger="1" minValue="1" maxValue="76000"/>
    </cacheField>
    <cacheField name="1983" numFmtId="0">
      <sharedItems containsBlank="1" containsMixedTypes="1" containsNumber="1" containsInteger="1" minValue="1" maxValue="36000"/>
    </cacheField>
    <cacheField name="1982" numFmtId="0">
      <sharedItems containsBlank="1" containsMixedTypes="1" containsNumber="1" containsInteger="1" minValue="4" maxValue="57500"/>
    </cacheField>
    <cacheField name="1981" numFmtId="0">
      <sharedItems containsBlank="1" containsMixedTypes="1" containsNumber="1" containsInteger="1" minValue="2" maxValue="111000"/>
    </cacheField>
    <cacheField name="1980" numFmtId="0">
      <sharedItems containsBlank="1" containsMixedTypes="1" containsNumber="1" containsInteger="1" minValue="2" maxValue="50000"/>
    </cacheField>
    <cacheField name="1979" numFmtId="0">
      <sharedItems containsBlank="1" containsMixedTypes="1" containsNumber="1" containsInteger="1" minValue="1" maxValue="35000"/>
    </cacheField>
    <cacheField name="1978" numFmtId="0">
      <sharedItems containsBlank="1" containsMixedTypes="1" containsNumber="1" containsInteger="1" minValue="2" maxValue="67000"/>
    </cacheField>
    <cacheField name="1977" numFmtId="0">
      <sharedItems containsBlank="1" containsMixedTypes="1" containsNumber="1" containsInteger="1" minValue="1" maxValue="42000"/>
    </cacheField>
    <cacheField name="1976" numFmtId="0">
      <sharedItems containsBlank="1" containsMixedTypes="1" containsNumber="1" containsInteger="1" minValue="4" maxValue="72000"/>
    </cacheField>
    <cacheField name="1975" numFmtId="0">
      <sharedItems containsBlank="1" containsMixedTypes="1" containsNumber="1" containsInteger="1" minValue="10" maxValue="40000"/>
    </cacheField>
    <cacheField name="1974" numFmtId="0">
      <sharedItems containsBlank="1" containsMixedTypes="1" containsNumber="1" containsInteger="1" minValue="2" maxValue="125000"/>
    </cacheField>
    <cacheField name="1973" numFmtId="0">
      <sharedItems containsBlank="1" containsMixedTypes="1" containsNumber="1" containsInteger="1" minValue="4" maxValue="160000"/>
    </cacheField>
    <cacheField name="1972" numFmtId="0">
      <sharedItems containsBlank="1" containsMixedTypes="1" containsNumber="1" containsInteger="1" minValue="1" maxValue="230000"/>
    </cacheField>
    <cacheField name="1971" numFmtId="0">
      <sharedItems containsBlank="1" containsMixedTypes="1" containsNumber="1" containsInteger="1" minValue="25" maxValue="85000"/>
    </cacheField>
    <cacheField name="1970" numFmtId="0">
      <sharedItems containsBlank="1" containsMixedTypes="1" containsNumber="1" containsInteger="1" minValue="10" maxValue="120000"/>
    </cacheField>
    <cacheField name="1969" numFmtId="0">
      <sharedItems containsBlank="1" containsMixedTypes="1" containsNumber="1" containsInteger="1" minValue="10" maxValue="65000"/>
    </cacheField>
    <cacheField name="1968" numFmtId="0">
      <sharedItems containsBlank="1" containsMixedTypes="1" containsNumber="1" containsInteger="1" minValue="8" maxValue="120000"/>
    </cacheField>
    <cacheField name="1967" numFmtId="0">
      <sharedItems containsBlank="1" containsMixedTypes="1" containsNumber="1" containsInteger="1" minValue="25" maxValue="75000"/>
    </cacheField>
    <cacheField name="1966" numFmtId="0">
      <sharedItems containsBlank="1" containsMixedTypes="1" containsNumber="1" containsInteger="1" minValue="25" maxValue="150000"/>
    </cacheField>
    <cacheField name="1965" numFmtId="0">
      <sharedItems containsBlank="1" containsMixedTypes="1" containsNumber="1" containsInteger="1" minValue="2" maxValue="75000"/>
    </cacheField>
    <cacheField name="1964" numFmtId="0">
      <sharedItems containsBlank="1" containsMixedTypes="1" containsNumber="1" containsInteger="1" minValue="10" maxValue="75000"/>
    </cacheField>
    <cacheField name="1963" numFmtId="0">
      <sharedItems containsBlank="1" containsMixedTypes="1" containsNumber="1" containsInteger="1" minValue="2" maxValue="35000"/>
    </cacheField>
    <cacheField name="1962" numFmtId="0">
      <sharedItems containsBlank="1" containsMixedTypes="1" containsNumber="1" containsInteger="1" minValue="1" maxValue="75000"/>
    </cacheField>
    <cacheField name="1961" numFmtId="0">
      <sharedItems containsBlank="1" containsMixedTypes="1" containsNumber="1" containsInteger="1" minValue="25" maxValue="35000"/>
    </cacheField>
    <cacheField name="1960" numFmtId="0">
      <sharedItems containsBlank="1" containsMixedTypes="1" containsNumber="1" containsInteger="1" minValue="20" maxValue="35000"/>
    </cacheField>
    <cacheField name="1959" numFmtId="0">
      <sharedItems containsBlank="1" containsMixedTypes="1" containsNumber="1" containsInteger="1" minValue="25" maxValue="35000"/>
    </cacheField>
    <cacheField name="1958" numFmtId="0">
      <sharedItems containsBlank="1" containsMixedTypes="1" containsNumber="1" containsInteger="1" minValue="25" maxValue="35000"/>
    </cacheField>
    <cacheField name="1957" numFmtId="0">
      <sharedItems containsBlank="1" containsMixedTypes="1" containsNumber="1" containsInteger="1" minValue="25" maxValue="35000"/>
    </cacheField>
    <cacheField name="1956" numFmtId="0">
      <sharedItems containsBlank="1" containsMixedTypes="1" containsNumber="1" containsInteger="1" minValue="25" maxValue="35000"/>
    </cacheField>
    <cacheField name="1955" numFmtId="0">
      <sharedItems containsBlank="1" containsMixedTypes="1" containsNumber="1" containsInteger="1" minValue="25" maxValue="35000"/>
    </cacheField>
    <cacheField name="1954" numFmtId="0">
      <sharedItems containsBlank="1" containsMixedTypes="1" containsNumber="1" containsInteger="1" minValue="1" maxValue="75000"/>
    </cacheField>
    <cacheField name="1953" numFmtId="0">
      <sharedItems containsBlank="1" containsMixedTypes="1" containsNumber="1" containsInteger="1" minValue="25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s v="CO-EVI+GStr [13]"/>
    <s v="Georgia Strait-E Vancouver Island"/>
    <s v="AYUM CREEK_Coho"/>
    <x v="0"/>
    <x v="0"/>
    <x v="0"/>
    <x v="0"/>
    <x v="0"/>
    <m/>
    <m/>
    <n v="5"/>
    <n v="5"/>
    <n v="5"/>
    <n v="18.943280044210695"/>
    <n v="75"/>
    <n v="15.33040307224204"/>
    <m/>
    <s v="PL+D or Presence/Absence"/>
    <m/>
    <n v="21.4"/>
    <s v="NI"/>
    <s v="NI"/>
    <s v="NI"/>
    <s v="NI"/>
    <s v="NI"/>
    <s v="NI"/>
    <s v="NI"/>
    <s v="NI"/>
    <s v="NI"/>
    <s v="NI"/>
    <s v="NI"/>
    <n v="42"/>
    <n v="20"/>
    <s v="NI"/>
    <n v="12"/>
    <n v="22"/>
    <n v="11"/>
    <n v="2"/>
    <s v="NO"/>
    <s v="NO"/>
    <s v="UK"/>
    <s v="UK"/>
    <n v="10"/>
    <n v="2"/>
    <n v="3"/>
    <n v="16"/>
    <s v="NO"/>
    <n v="6"/>
    <n v="8"/>
    <s v="UK"/>
    <n v="6"/>
    <n v="25"/>
    <s v="UK"/>
    <n v="40"/>
    <n v="25"/>
    <s v="NO"/>
    <n v="25"/>
    <s v="NO"/>
    <s v="UK"/>
    <s v="UK"/>
    <s v="UK"/>
    <s v="UK"/>
    <s v="NO"/>
    <s v="UK"/>
    <s v="NO"/>
    <s v="UK"/>
    <s v="NO"/>
    <s v="UK"/>
    <s v="NO"/>
    <n v="25"/>
    <n v="25"/>
    <s v="UK"/>
    <s v="UK"/>
    <n v="75"/>
    <s v="NO"/>
    <s v="UK"/>
    <n v="25"/>
    <n v="25"/>
    <n v="75"/>
  </r>
  <r>
    <s v="CM-GStr [4]"/>
    <s v="Georgia Strait"/>
    <s v="AYUM CREEK_Chum"/>
    <x v="0"/>
    <x v="0"/>
    <x v="0"/>
    <x v="0"/>
    <x v="1"/>
    <m/>
    <m/>
    <n v="5"/>
    <n v="5"/>
    <n v="4"/>
    <n v="110.47586633248859"/>
    <n v="4000"/>
    <n v="588.64893565336524"/>
    <m/>
    <s v="PL+D or Presence/Absence"/>
    <m/>
    <n v="275.25"/>
    <s v="NI"/>
    <s v="NI"/>
    <s v="NI"/>
    <s v="NI"/>
    <s v="NI"/>
    <s v="NI"/>
    <s v="NI"/>
    <s v="NI"/>
    <s v="NI"/>
    <s v="NI"/>
    <s v="NI"/>
    <s v="NO"/>
    <n v="19"/>
    <s v="NI"/>
    <n v="700"/>
    <n v="350"/>
    <n v="32"/>
    <n v="246"/>
    <n v="600"/>
    <n v="1400"/>
    <n v="445"/>
    <n v="55"/>
    <n v="200"/>
    <n v="3500"/>
    <n v="300"/>
    <n v="305"/>
    <n v="1500"/>
    <n v="1000"/>
    <n v="1500"/>
    <n v="1000"/>
    <n v="4000"/>
    <n v="2000"/>
    <n v="1200"/>
    <n v="1500"/>
    <n v="3500"/>
    <n v="400"/>
    <n v="400"/>
    <n v="1500"/>
    <n v="3500"/>
    <n v="3500"/>
    <n v="3500"/>
    <n v="3500"/>
    <n v="750"/>
    <n v="3500"/>
    <n v="750"/>
    <n v="30"/>
    <n v="750"/>
    <n v="75"/>
    <n v="25"/>
    <n v="750"/>
    <n v="25"/>
    <n v="25"/>
    <n v="200"/>
    <n v="3500"/>
    <n v="750"/>
    <n v="150"/>
    <n v="3500"/>
    <n v="3500"/>
    <n v="3500"/>
  </r>
  <r>
    <s v="CO-EVI+GStr [13]"/>
    <s v="Georgia Strait-E Vancouver Island"/>
    <s v="BAKER CREEK_Coho"/>
    <x v="0"/>
    <x v="0"/>
    <x v="0"/>
    <x v="1"/>
    <x v="0"/>
    <m/>
    <m/>
    <n v="5"/>
    <n v="5"/>
    <n v="3"/>
    <n v="7.3680629972807727"/>
    <n v="15"/>
    <n v="6.5691454099277813"/>
    <m/>
    <s v="PL+D or Presence/Absence"/>
    <s v="Last survey in 2000, no fish observed"/>
    <n v="7.666666666666667"/>
    <s v="NI"/>
    <s v="NI"/>
    <s v="NI"/>
    <s v="NI"/>
    <s v="NI"/>
    <s v="NI"/>
    <s v="NI"/>
    <s v="NI"/>
    <s v="NI"/>
    <s v="NI"/>
    <s v="NI"/>
    <s v="NO"/>
    <s v="NI"/>
    <n v="10"/>
    <n v="8"/>
    <n v="5"/>
    <s v="NO"/>
    <s v="UK"/>
    <n v="2"/>
    <n v="6"/>
    <s v="NI"/>
    <n v="4"/>
    <s v="NI"/>
    <n v="6"/>
    <n v="15"/>
    <n v="10"/>
    <n v="12"/>
    <n v="12"/>
    <n v="4"/>
    <n v="4"/>
    <s v="UK"/>
    <n v="7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GStr [4]"/>
    <s v="Georgia Strait"/>
    <s v="BAKER CREEK_Chum"/>
    <x v="0"/>
    <x v="0"/>
    <x v="0"/>
    <x v="1"/>
    <x v="1"/>
    <m/>
    <m/>
    <n v="5"/>
    <n v="5"/>
    <n v="4"/>
    <n v="112.18408606735605"/>
    <n v="1700"/>
    <n v="174.53067251140888"/>
    <m/>
    <s v="PL+D or Presence/Absence"/>
    <s v="Last survey in 2000, no fish observed"/>
    <n v="151.5"/>
    <s v="NI"/>
    <s v="NI"/>
    <s v="NI"/>
    <s v="NI"/>
    <s v="NI"/>
    <s v="NI"/>
    <s v="NI"/>
    <s v="NI"/>
    <s v="NI"/>
    <s v="NI"/>
    <s v="NI"/>
    <s v="NO"/>
    <s v="NI"/>
    <n v="340"/>
    <n v="110"/>
    <n v="35"/>
    <n v="121"/>
    <s v="UK"/>
    <n v="60"/>
    <n v="600"/>
    <s v="NI"/>
    <n v="550"/>
    <s v="NI"/>
    <n v="900"/>
    <n v="150"/>
    <n v="170"/>
    <n v="267"/>
    <n v="1700"/>
    <n v="130"/>
    <s v="UK"/>
    <n v="50"/>
    <n v="2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EVI+GStr [13]"/>
    <s v="Georgia Strait-E Vancouver Island"/>
    <s v="CHARTERS RIVER_Coho"/>
    <x v="0"/>
    <x v="0"/>
    <x v="0"/>
    <x v="2"/>
    <x v="0"/>
    <m/>
    <m/>
    <n v="5"/>
    <n v="6"/>
    <n v="5"/>
    <n v="17.454322774580643"/>
    <n v="57"/>
    <n v="13.907411272120305"/>
    <m/>
    <s v="PL+D or Presence/Absence"/>
    <s v="Last survey in 2000, no fish observed"/>
    <n v="21.2"/>
    <s v="NI"/>
    <s v="NI"/>
    <s v="NI"/>
    <s v="NI"/>
    <s v="NI"/>
    <s v="NI"/>
    <s v="NI"/>
    <s v="NI"/>
    <s v="NI"/>
    <s v="NI"/>
    <s v="NI"/>
    <s v="NO"/>
    <n v="9"/>
    <n v="50"/>
    <n v="12"/>
    <n v="20"/>
    <n v="15"/>
    <s v="UK"/>
    <s v="NO"/>
    <s v="NO"/>
    <s v="NI"/>
    <s v="UK"/>
    <s v="UK"/>
    <s v="UK"/>
    <n v="14"/>
    <n v="7"/>
    <n v="4"/>
    <n v="8"/>
    <s v="NO"/>
    <n v="13"/>
    <s v="NO"/>
    <n v="57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GStr [4]"/>
    <s v="Georgia Strait"/>
    <s v="CHARTERS RIVER_Chum"/>
    <x v="0"/>
    <x v="0"/>
    <x v="0"/>
    <x v="2"/>
    <x v="1"/>
    <m/>
    <m/>
    <n v="5"/>
    <n v="6"/>
    <n v="6"/>
    <n v="312.77136916015218"/>
    <n v="3500"/>
    <n v="741.91879561522774"/>
    <m/>
    <s v="PL+D or Presence/Absence"/>
    <s v="Last survey in 2000"/>
    <n v="590"/>
    <s v="NI"/>
    <s v="NI"/>
    <s v="NI"/>
    <s v="NI"/>
    <s v="NI"/>
    <s v="NI"/>
    <s v="NI"/>
    <s v="NI"/>
    <s v="NI"/>
    <s v="NI"/>
    <s v="NI"/>
    <n v="44"/>
    <n v="219"/>
    <n v="1000"/>
    <n v="1700"/>
    <n v="450"/>
    <n v="127"/>
    <n v="1100"/>
    <n v="1500"/>
    <n v="1500"/>
    <s v="NI"/>
    <n v="420"/>
    <n v="300"/>
    <n v="3500"/>
    <n v="1000"/>
    <n v="900"/>
    <n v="900"/>
    <n v="670"/>
    <n v="1100"/>
    <n v="1300"/>
    <n v="1400"/>
    <n v="23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K-SWVI [31]"/>
    <s v="Southwest Vancouver Island"/>
    <s v="CHARTERS RIVER_Chinook"/>
    <x v="0"/>
    <x v="0"/>
    <x v="0"/>
    <x v="2"/>
    <x v="2"/>
    <m/>
    <m/>
    <n v="5"/>
    <n v="6"/>
    <n v="3"/>
    <n v="40.716264248923601"/>
    <n v="150"/>
    <n v="21.213203435596427"/>
    <m/>
    <s v="PL+D or Presence/Absence"/>
    <s v="Last survey in 2000, no fish observed"/>
    <n v="65"/>
    <s v="NI"/>
    <s v="NI"/>
    <s v="NI"/>
    <s v="NI"/>
    <s v="NI"/>
    <s v="NI"/>
    <s v="NI"/>
    <s v="NI"/>
    <s v="NI"/>
    <s v="NI"/>
    <s v="NI"/>
    <s v="NO"/>
    <n v="30"/>
    <s v="NO"/>
    <n v="150"/>
    <n v="15"/>
    <s v="NO"/>
    <s v="UK"/>
    <s v="UK"/>
    <s v="UK"/>
    <s v="NI"/>
    <s v="UK"/>
    <s v="UK"/>
    <s v="UK"/>
    <s v="UK"/>
    <s v="UK"/>
    <n v="3"/>
    <s v="UK"/>
    <s v="UK"/>
    <s v="UK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EVI+GStr [13]"/>
    <s v="Georgia Strait-E Vancouver Island"/>
    <s v="DE MAMIEL CREEK_Coho"/>
    <x v="0"/>
    <x v="0"/>
    <x v="0"/>
    <x v="3"/>
    <x v="0"/>
    <m/>
    <m/>
    <n v="4"/>
    <n v="6"/>
    <n v="6"/>
    <n v="471.14613607867756"/>
    <n v="7500"/>
    <n v="899.7042522813806"/>
    <m/>
    <s v="PL+D or Presence/Absence"/>
    <s v="From 2001-2004 only AP entered as escapement - count was included in the Sooke River escapement number and was not surveyed in 2005 or 2006 - "/>
    <n v="650.66666666666663"/>
    <s v="NI"/>
    <n v="3402"/>
    <s v="NI"/>
    <s v="NI"/>
    <s v="NI"/>
    <s v="NI"/>
    <s v="NI"/>
    <s v="AP"/>
    <s v="AP"/>
    <s v="AP"/>
    <s v="AP"/>
    <n v="1765"/>
    <n v="387"/>
    <n v="950"/>
    <n v="350"/>
    <n v="280"/>
    <n v="172"/>
    <n v="600"/>
    <n v="610"/>
    <n v="800"/>
    <n v="703"/>
    <n v="700"/>
    <n v="780"/>
    <n v="350"/>
    <n v="1340"/>
    <n v="862"/>
    <n v="700"/>
    <n v="365"/>
    <n v="230"/>
    <n v="700"/>
    <n v="800"/>
    <n v="800"/>
    <n v="1200"/>
    <n v="800"/>
    <n v="750"/>
    <n v="400"/>
    <n v="750"/>
    <n v="1500"/>
    <n v="6400"/>
    <n v="3500"/>
    <n v="1500"/>
    <n v="3500"/>
    <n v="750"/>
    <n v="3500"/>
    <n v="750"/>
    <n v="7500"/>
    <n v="3500"/>
    <n v="1500"/>
    <n v="3500"/>
    <n v="3500"/>
    <n v="3500"/>
    <n v="200"/>
    <n v="750"/>
    <n v="3500"/>
    <n v="400"/>
    <n v="400"/>
    <n v="75"/>
    <n v="1500"/>
    <n v="400"/>
  </r>
  <r>
    <s v="CM-GStr [4]"/>
    <s v="Georgia Strait"/>
    <s v="DE MAMIEL CREEK_Chum"/>
    <x v="0"/>
    <x v="0"/>
    <x v="0"/>
    <x v="3"/>
    <x v="1"/>
    <m/>
    <m/>
    <n v="4"/>
    <n v="6"/>
    <n v="6"/>
    <n v="3783.6854196662657"/>
    <n v="55000"/>
    <n v="6423.9897209133196"/>
    <m/>
    <s v="PL+D or Presence/Absence"/>
    <s v="From 2001-2004 only AP entered as escapement - count was included in the Sooke River escapement number and was not surveyed in 2005 or 2006 - "/>
    <n v="12651.333333333334"/>
    <s v="NI"/>
    <s v="AP"/>
    <s v="NI"/>
    <s v="NI"/>
    <s v="NI"/>
    <s v="NI"/>
    <s v="NI"/>
    <s v="AP"/>
    <s v="AP"/>
    <s v="AP"/>
    <s v="AP"/>
    <n v="550"/>
    <n v="1540"/>
    <n v="55000"/>
    <n v="11000"/>
    <n v="7000"/>
    <n v="818"/>
    <n v="6000"/>
    <n v="10000"/>
    <n v="15000"/>
    <n v="1633"/>
    <n v="3500"/>
    <n v="3300"/>
    <n v="44000"/>
    <n v="4980"/>
    <n v="1900"/>
    <n v="11000"/>
    <n v="8000"/>
    <n v="8000"/>
    <n v="2500"/>
    <n v="6000"/>
    <n v="9000"/>
    <n v="800"/>
    <n v="8000"/>
    <n v="3500"/>
    <n v="1500"/>
    <n v="3500"/>
    <n v="3500"/>
    <n v="35000"/>
    <n v="15000"/>
    <n v="7500"/>
    <n v="15000"/>
    <n v="15000"/>
    <n v="35000"/>
    <n v="7500"/>
    <n v="7500"/>
    <n v="7500"/>
    <n v="15000"/>
    <n v="3500"/>
    <n v="3500"/>
    <n v="3500"/>
    <n v="3500"/>
    <n v="7500"/>
    <n v="35000"/>
    <n v="7500"/>
    <n v="7500"/>
    <n v="15000"/>
    <n v="7500"/>
    <n v="15000"/>
  </r>
  <r>
    <s v="CK-SWVI [31]"/>
    <s v="Southwest Vancouver Island"/>
    <s v="DE MAMIEL CREEK_Chinook"/>
    <x v="0"/>
    <x v="0"/>
    <x v="0"/>
    <x v="3"/>
    <x v="2"/>
    <m/>
    <m/>
    <n v="4"/>
    <n v="6"/>
    <n v="6"/>
    <n v="8.0124433747705677"/>
    <n v="210"/>
    <n v="7.5656436626287187"/>
    <m/>
    <s v="PL+D or Presence/Absence"/>
    <s v="From 2001-2004 only AP entered as escapement - count was included in the Sooke River escapement number and was not surveyed in 2005 or 2006 - "/>
    <n v="39.166666666666664"/>
    <s v="NI"/>
    <s v="AP"/>
    <s v="NI"/>
    <s v="NI"/>
    <s v="NI"/>
    <s v="NI"/>
    <s v="NI"/>
    <s v="AP"/>
    <s v="AP"/>
    <s v="AP"/>
    <s v="AP"/>
    <n v="7"/>
    <n v="3"/>
    <n v="2"/>
    <n v="210"/>
    <n v="10"/>
    <n v="3"/>
    <n v="9"/>
    <s v="UK"/>
    <n v="2"/>
    <s v="UK"/>
    <n v="4"/>
    <n v="6"/>
    <n v="28"/>
    <s v="UK"/>
    <s v="UK"/>
    <n v="4"/>
    <s v="UK"/>
    <s v="UK"/>
    <s v="UK"/>
    <s v="UK"/>
    <s v="NO"/>
    <n v="12"/>
    <n v="15"/>
    <n v="25"/>
    <s v="UK"/>
    <s v="NO"/>
    <n v="2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JdF [16]"/>
    <s v="Juan de Fuca-Pachena"/>
    <s v="FALLS CREEK_Coho"/>
    <x v="0"/>
    <x v="0"/>
    <x v="0"/>
    <x v="4"/>
    <x v="0"/>
    <m/>
    <m/>
    <n v="4"/>
    <n v="7"/>
    <n v="7"/>
    <n v="41.531282274890799"/>
    <n v="203"/>
    <n v="32.207930878486493"/>
    <m/>
    <s v="PL+D or Presence/Absence"/>
    <m/>
    <n v="72.428571428571431"/>
    <n v="2"/>
    <n v="193"/>
    <s v="NO"/>
    <m/>
    <m/>
    <s v="NI"/>
    <s v="NI"/>
    <s v="NI"/>
    <n v="11"/>
    <n v="93"/>
    <n v="203"/>
    <n v="77"/>
    <n v="17"/>
    <n v="98"/>
    <s v="NI"/>
    <s v="NI"/>
    <n v="8"/>
    <s v="UK"/>
    <s v="NO"/>
    <n v="7"/>
    <s v="NI"/>
    <s v="NI"/>
    <s v="NI"/>
    <s v="NI"/>
    <s v="NI"/>
    <s v="NI"/>
    <s v="NI"/>
    <s v="NI"/>
    <s v="NI"/>
    <s v="NI"/>
    <n v="2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WVI [R10]"/>
    <s v="West Vancouver Island"/>
    <s v="GORDON RIVER_Sockeye"/>
    <x v="0"/>
    <x v="0"/>
    <x v="0"/>
    <x v="5"/>
    <x v="3"/>
    <m/>
    <m/>
    <n v="3"/>
    <n v="8"/>
    <n v="6"/>
    <n v="6.8957505481350641"/>
    <n v="380"/>
    <n v="20.25401505336789"/>
    <s v="C.  Other systems surveyed extensively since 1995, but due to lack of historic info, not included in expanded group (B)"/>
    <s v="AUC"/>
    <m/>
    <n v="16.166666666666668"/>
    <s v="NI"/>
    <m/>
    <n v="70"/>
    <s v="NO"/>
    <m/>
    <m/>
    <s v="NI"/>
    <s v="NI"/>
    <s v="NI"/>
    <n v="8"/>
    <s v="NO"/>
    <n v="1"/>
    <n v="1"/>
    <n v="56"/>
    <n v="15"/>
    <n v="16"/>
    <s v="NO"/>
    <n v="90"/>
    <n v="70"/>
    <n v="50"/>
    <s v="NO"/>
    <n v="380"/>
    <s v="UK"/>
    <n v="25"/>
    <n v="300"/>
    <s v="UK"/>
    <s v="NO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n v="1"/>
    <s v="UK"/>
    <s v="UK"/>
    <s v="UK"/>
    <s v="UK"/>
    <s v="UK"/>
    <s v="UK"/>
    <s v="UK"/>
    <s v="UK"/>
    <s v="UK"/>
  </r>
  <r>
    <s v="CO-JdF [16]"/>
    <s v="Juan de Fuca-Pachena"/>
    <s v="GORDON RIVER_Coho"/>
    <x v="0"/>
    <x v="0"/>
    <x v="0"/>
    <x v="5"/>
    <x v="0"/>
    <m/>
    <m/>
    <n v="3"/>
    <n v="8"/>
    <n v="8"/>
    <n v="324.98644346001453"/>
    <n v="7500"/>
    <n v="544.73443360416218"/>
    <s v="C.  Other systems surveyed extensively since 1995, but due to lack of historic info, not included in expanded group (B)"/>
    <s v="AUC"/>
    <m/>
    <n v="591"/>
    <s v="NI"/>
    <m/>
    <n v="1033"/>
    <n v="166"/>
    <m/>
    <m/>
    <s v="NI"/>
    <s v="NI"/>
    <s v="NI"/>
    <n v="280"/>
    <n v="784"/>
    <n v="427"/>
    <n v="1790"/>
    <n v="668"/>
    <n v="283"/>
    <n v="480"/>
    <n v="16"/>
    <n v="55"/>
    <n v="250"/>
    <n v="167"/>
    <n v="38"/>
    <s v="UK"/>
    <s v="UK"/>
    <n v="180"/>
    <n v="1600"/>
    <n v="800"/>
    <n v="12"/>
    <n v="1000"/>
    <n v="200"/>
    <n v="200"/>
    <n v="750"/>
    <n v="1000"/>
    <n v="25"/>
    <n v="300"/>
    <n v="200"/>
    <n v="75"/>
    <n v="25"/>
    <n v="1500"/>
    <n v="3500"/>
    <n v="1500"/>
    <n v="750"/>
    <n v="3500"/>
    <n v="400"/>
    <n v="750"/>
    <n v="1500"/>
    <n v="1500"/>
    <n v="7500"/>
    <n v="3500"/>
    <n v="3500"/>
    <n v="3500"/>
    <n v="1500"/>
    <n v="7500"/>
    <n v="750"/>
    <n v="1500"/>
    <n v="750"/>
    <n v="7500"/>
    <n v="400"/>
    <n v="1500"/>
    <n v="750"/>
  </r>
  <r>
    <s v="Pkodd-WVI [6]"/>
    <s v="West Vancouver Island"/>
    <s v="GORDON RIVER_Pink"/>
    <x v="0"/>
    <x v="0"/>
    <x v="0"/>
    <x v="5"/>
    <x v="4"/>
    <m/>
    <m/>
    <n v="3"/>
    <n v="8"/>
    <n v="6"/>
    <n v="10.703122558969438"/>
    <n v="1500"/>
    <n v="79.74701035072512"/>
    <s v="C.  Other systems surveyed extensively since 1995, but due to lack of historic info, not included in expanded group (B)"/>
    <s v="AUC"/>
    <m/>
    <n v="18.833333333333332"/>
    <s v="NI"/>
    <m/>
    <n v="140"/>
    <s v="NO"/>
    <m/>
    <m/>
    <s v="NI"/>
    <s v="NI"/>
    <s v="NI"/>
    <n v="20"/>
    <n v="18"/>
    <n v="12"/>
    <n v="3"/>
    <n v="58"/>
    <n v="2"/>
    <s v="NO"/>
    <s v="NO"/>
    <s v="UK"/>
    <s v="UK"/>
    <s v="UK"/>
    <s v="UK"/>
    <s v="UK"/>
    <s v="UK"/>
    <s v="UK"/>
    <s v="UK"/>
    <s v="UK"/>
    <s v="NO"/>
    <s v="UK"/>
    <s v="UK"/>
    <s v="UK"/>
    <s v="UK"/>
    <n v="100"/>
    <n v="25"/>
    <s v="UK"/>
    <s v="UK"/>
    <s v="NO"/>
    <s v="UK"/>
    <s v="UK"/>
    <s v="UK"/>
    <s v="UK"/>
    <s v="UK"/>
    <s v="UK"/>
    <s v="UK"/>
    <s v="UK"/>
    <n v="400"/>
    <s v="UK"/>
    <s v="UK"/>
    <n v="25"/>
    <s v="UK"/>
    <n v="750"/>
    <s v="UK"/>
    <n v="750"/>
    <s v="NO"/>
    <n v="750"/>
    <s v="UK"/>
    <n v="1500"/>
    <n v="75"/>
    <n v="1500"/>
    <s v="UK"/>
  </r>
  <r>
    <s v="CM-SWVI [10]"/>
    <s v="Southwest Vancouver Island"/>
    <s v="GORDON RIVER_Chum"/>
    <x v="0"/>
    <x v="0"/>
    <x v="0"/>
    <x v="5"/>
    <x v="1"/>
    <m/>
    <m/>
    <n v="3"/>
    <n v="8"/>
    <n v="8"/>
    <n v="180.11256686426844"/>
    <n v="6000"/>
    <n v="258.5451027598279"/>
    <s v="C.  Other systems surveyed extensively since 1995, but due to lack of historic info, not included in expanded group (B)"/>
    <s v="AUC"/>
    <m/>
    <n v="456.625"/>
    <s v="NI"/>
    <m/>
    <n v="354"/>
    <n v="48"/>
    <m/>
    <m/>
    <s v="NI"/>
    <s v="NI"/>
    <s v="NI"/>
    <n v="59"/>
    <n v="305"/>
    <n v="72"/>
    <n v="750"/>
    <n v="1494"/>
    <n v="581"/>
    <n v="379"/>
    <n v="13"/>
    <n v="20"/>
    <n v="1100"/>
    <n v="280"/>
    <n v="3"/>
    <n v="3"/>
    <n v="50"/>
    <n v="1500"/>
    <n v="2000"/>
    <n v="6000"/>
    <n v="3500"/>
    <n v="200"/>
    <n v="75"/>
    <n v="75"/>
    <n v="75"/>
    <n v="50"/>
    <n v="75"/>
    <n v="150"/>
    <n v="200"/>
    <n v="200"/>
    <n v="200"/>
    <n v="750"/>
    <n v="75"/>
    <s v="NO"/>
    <s v="NO"/>
    <n v="1500"/>
    <n v="200"/>
    <n v="1500"/>
    <s v="UK"/>
    <n v="750"/>
    <n v="1500"/>
    <n v="200"/>
    <n v="750"/>
    <n v="3500"/>
    <n v="1500"/>
    <n v="1500"/>
    <n v="750"/>
    <n v="1500"/>
    <n v="75"/>
    <n v="200"/>
    <n v="75"/>
    <n v="1500"/>
    <n v="75"/>
  </r>
  <r>
    <s v="CK-PSJ [30]"/>
    <s v="Port San Juan"/>
    <s v="GORDON RIVER_Chinook"/>
    <x v="0"/>
    <x v="0"/>
    <x v="0"/>
    <x v="5"/>
    <x v="2"/>
    <m/>
    <m/>
    <n v="3"/>
    <n v="8"/>
    <n v="8"/>
    <n v="46.023071315103437"/>
    <n v="3500"/>
    <n v="77.627093425005967"/>
    <s v="C.  Other systems surveyed extensively since 1995, but due to lack of historic info, not included in expanded group (B)"/>
    <s v="AUC"/>
    <s v="Average Esc from 1995-2005 from file: NEW ESCAPEMENT INDEX.XLS"/>
    <n v="102.375"/>
    <s v="NI"/>
    <m/>
    <n v="5"/>
    <n v="2"/>
    <m/>
    <m/>
    <s v="NI"/>
    <s v="NI"/>
    <s v="NI"/>
    <n v="239"/>
    <n v="20"/>
    <n v="13"/>
    <n v="50"/>
    <n v="224"/>
    <n v="120"/>
    <n v="94"/>
    <n v="59"/>
    <n v="9"/>
    <n v="12"/>
    <n v="30"/>
    <n v="24"/>
    <n v="27"/>
    <n v="30"/>
    <n v="85"/>
    <n v="6"/>
    <n v="75"/>
    <n v="8"/>
    <n v="150"/>
    <n v="75"/>
    <n v="75"/>
    <n v="75"/>
    <n v="20"/>
    <n v="25"/>
    <n v="50"/>
    <n v="25"/>
    <s v="NO"/>
    <n v="25"/>
    <n v="200"/>
    <n v="400"/>
    <n v="3500"/>
    <n v="750"/>
    <n v="750"/>
    <n v="200"/>
    <n v="400"/>
    <n v="750"/>
    <n v="75"/>
    <n v="200"/>
    <n v="200"/>
    <n v="750"/>
    <n v="200"/>
    <n v="75"/>
    <n v="200"/>
    <n v="75"/>
    <n v="200"/>
    <n v="25"/>
    <n v="25"/>
    <n v="75"/>
    <n v="200"/>
    <n v="200"/>
  </r>
  <r>
    <s v="CO-JdF [16]"/>
    <s v="Juan de Fuca-Pachena"/>
    <s v="HARRIS CREEK_Coho"/>
    <x v="0"/>
    <x v="0"/>
    <x v="0"/>
    <x v="6"/>
    <x v="0"/>
    <m/>
    <m/>
    <n v="3"/>
    <n v="9"/>
    <n v="8"/>
    <n v="1001.1381419924729"/>
    <n v="10418"/>
    <n v="815.56305128866427"/>
    <m/>
    <s v="AUC estimate providing we get enough surveys if not then PL+D"/>
    <s v="AUC estimate providing we get enough surveys if not then PL+D"/>
    <n v="2733.125"/>
    <n v="2784"/>
    <m/>
    <n v="3409"/>
    <n v="1976"/>
    <n v="757"/>
    <n v="104"/>
    <n v="888"/>
    <m/>
    <n v="2963"/>
    <n v="2308"/>
    <n v="10418"/>
    <s v="AP"/>
    <s v="NI"/>
    <n v="4197"/>
    <n v="170"/>
    <n v="200"/>
    <n v="721"/>
    <n v="24"/>
    <n v="550"/>
    <n v="487"/>
    <s v="NI"/>
    <s v="NI"/>
    <s v="NI"/>
    <s v="NI"/>
    <s v="NI"/>
    <s v="NI"/>
    <s v="NI"/>
    <n v="8000"/>
    <s v="NI"/>
    <s v="NI"/>
    <n v="750"/>
    <n v="8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HARRIS CREEK_Chum"/>
    <x v="0"/>
    <x v="0"/>
    <x v="0"/>
    <x v="6"/>
    <x v="1"/>
    <m/>
    <m/>
    <n v="3"/>
    <n v="9"/>
    <n v="5"/>
    <n v="3.9650184739538727"/>
    <n v="35"/>
    <n v="3.9650184739538727"/>
    <m/>
    <s v="AUC estimate providing we get enough surveys if not then PL+D"/>
    <m/>
    <n v="9.4"/>
    <n v="3"/>
    <m/>
    <n v="1"/>
    <s v="NO"/>
    <s v="NO"/>
    <s v="NO"/>
    <n v="35"/>
    <m/>
    <n v="1"/>
    <n v="2"/>
    <n v="2"/>
    <s v="NO"/>
    <s v="NI"/>
    <s v="NO"/>
    <s v="NO"/>
    <n v="7"/>
    <s v="NO"/>
    <s v="UK"/>
    <s v="UK"/>
    <s v="UK"/>
    <s v="NI"/>
    <s v="NI"/>
    <s v="NI"/>
    <s v="NI"/>
    <s v="NI"/>
    <s v="NI"/>
    <s v="NI"/>
    <s v="UK"/>
    <s v="NI"/>
    <s v="NI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K-PSJ [30]"/>
    <s v="Port San Juan"/>
    <s v="HARRIS CREEK_Chinook"/>
    <x v="0"/>
    <x v="0"/>
    <x v="0"/>
    <x v="6"/>
    <x v="2"/>
    <m/>
    <m/>
    <n v="3"/>
    <n v="9"/>
    <n v="6"/>
    <n v="10.785016926716574"/>
    <n v="100"/>
    <n v="17.23604452219482"/>
    <m/>
    <s v="AUC estimate providing we get enough surveys if not then PL+D"/>
    <m/>
    <n v="21.833333333333332"/>
    <n v="27"/>
    <m/>
    <n v="43"/>
    <n v="10"/>
    <s v="NO"/>
    <s v="NO"/>
    <n v="2"/>
    <m/>
    <n v="31"/>
    <s v="NO"/>
    <n v="5"/>
    <s v="NO"/>
    <s v="NI"/>
    <n v="73"/>
    <n v="15"/>
    <s v="NO"/>
    <n v="5"/>
    <s v="UK"/>
    <s v="NO"/>
    <n v="47"/>
    <s v="NI"/>
    <s v="NI"/>
    <s v="NI"/>
    <s v="NI"/>
    <s v="NI"/>
    <s v="NI"/>
    <s v="NI"/>
    <n v="100"/>
    <s v="NI"/>
    <s v="NI"/>
    <n v="25"/>
    <n v="2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JdF [16]"/>
    <s v="Juan de Fuca-Pachena"/>
    <s v="HEMMINGSEN CREEK_Coho"/>
    <x v="0"/>
    <x v="0"/>
    <x v="0"/>
    <x v="7"/>
    <x v="0"/>
    <m/>
    <m/>
    <n v="5"/>
    <n v="1"/>
    <n v="1"/>
    <n v="356"/>
    <n v="3500"/>
    <n v="718.42568642984759"/>
    <m/>
    <s v="PL+D or Presence/Absence"/>
    <s v="Only one observation, average would be misleading"/>
    <n v="356"/>
    <s v="NI"/>
    <m/>
    <m/>
    <m/>
    <s v="NI"/>
    <s v="NI"/>
    <s v="NI"/>
    <s v="NI"/>
    <s v="NI"/>
    <s v="NI"/>
    <s v="NI"/>
    <s v="NI"/>
    <s v="NI"/>
    <n v="356"/>
    <s v="NI"/>
    <s v="NI"/>
    <s v="NI"/>
    <s v="UK"/>
    <s v="NI"/>
    <n v="64"/>
    <s v="NI"/>
    <s v="NI"/>
    <s v="NI"/>
    <s v="NI"/>
    <s v="NI"/>
    <s v="NI"/>
    <s v="NI"/>
    <n v="2000"/>
    <s v="NI"/>
    <s v="NI"/>
    <n v="3500"/>
    <n v="12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HEMMINGSEN CREEK_Chum"/>
    <x v="0"/>
    <x v="0"/>
    <x v="0"/>
    <x v="7"/>
    <x v="1"/>
    <m/>
    <m/>
    <n v="5"/>
    <n v="1"/>
    <n v="0"/>
    <e v="#NUM!"/>
    <n v="0"/>
    <e v="#NUM!"/>
    <m/>
    <s v="PL+D or Presence/Absence"/>
    <s v="Surveyed once in 1998, suspect coho was the target species so poor timing to survey for chum"/>
    <m/>
    <s v="NI"/>
    <m/>
    <m/>
    <m/>
    <s v="NI"/>
    <s v="NI"/>
    <s v="NI"/>
    <s v="NI"/>
    <s v="NI"/>
    <s v="NI"/>
    <s v="NI"/>
    <s v="NI"/>
    <s v="NI"/>
    <s v="NO"/>
    <s v="NI"/>
    <s v="NI"/>
    <s v="NI"/>
    <s v="UK"/>
    <s v="NI"/>
    <s v="UK"/>
    <s v="NI"/>
    <s v="NI"/>
    <s v="NI"/>
    <s v="NI"/>
    <s v="NI"/>
    <s v="NI"/>
    <s v="NI"/>
    <s v="UK"/>
    <s v="NI"/>
    <s v="NI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JdF [16]"/>
    <s v="Juan de Fuca-Pachena"/>
    <s v="LENS CREEK_Coho"/>
    <x v="0"/>
    <x v="0"/>
    <x v="0"/>
    <x v="8"/>
    <x v="0"/>
    <m/>
    <m/>
    <n v="4"/>
    <n v="7"/>
    <n v="6"/>
    <n v="415.15163861621767"/>
    <n v="1591"/>
    <n v="329.86494018859366"/>
    <m/>
    <s v="PL+D or Presence/Absence"/>
    <m/>
    <n v="948.85714285714289"/>
    <n v="1245"/>
    <n v="1720"/>
    <n v="1506"/>
    <n v="220"/>
    <n v="471"/>
    <n v="25"/>
    <n v="241"/>
    <s v="NI"/>
    <n v="1197"/>
    <n v="1437"/>
    <n v="1591"/>
    <s v="NI"/>
    <s v="NI"/>
    <n v="1305"/>
    <n v="87"/>
    <s v="NI"/>
    <n v="784"/>
    <s v="UK"/>
    <n v="75"/>
    <n v="120"/>
    <s v="NI"/>
    <s v="NI"/>
    <s v="NI"/>
    <s v="NI"/>
    <s v="NI"/>
    <s v="NI"/>
    <s v="NI"/>
    <s v="NI"/>
    <s v="NI"/>
    <s v="NI"/>
    <n v="4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LENS CREEK_Chum"/>
    <x v="0"/>
    <x v="0"/>
    <x v="0"/>
    <x v="8"/>
    <x v="1"/>
    <m/>
    <m/>
    <n v="4"/>
    <n v="7"/>
    <n v="4"/>
    <n v="13.231503906544029"/>
    <n v="70"/>
    <n v="11.831760830496329"/>
    <m/>
    <s v="PL+D or Presence/Absence"/>
    <s v="Coho was the target species suspect surveys were late in the season"/>
    <n v="26.2"/>
    <n v="12"/>
    <m/>
    <n v="18"/>
    <n v="35"/>
    <n v="1"/>
    <s v="NO"/>
    <n v="21"/>
    <s v="NI"/>
    <n v="23"/>
    <n v="12"/>
    <n v="5"/>
    <s v="NI"/>
    <s v="NI"/>
    <s v="NO"/>
    <s v="NO"/>
    <s v="NI"/>
    <n v="70"/>
    <n v="2"/>
    <s v="NO"/>
    <n v="32"/>
    <s v="NI"/>
    <s v="NI"/>
    <s v="NI"/>
    <s v="NI"/>
    <s v="NI"/>
    <s v="NI"/>
    <s v="NI"/>
    <s v="NI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JdF [16]"/>
    <s v="Juan de Fuca-Pachena"/>
    <s v="MOSQUITO CREEK_Coho"/>
    <x v="0"/>
    <x v="0"/>
    <x v="0"/>
    <x v="9"/>
    <x v="0"/>
    <m/>
    <m/>
    <n v="4"/>
    <n v="5"/>
    <n v="5"/>
    <n v="204.80007875526533"/>
    <n v="879"/>
    <n v="177.42139802857486"/>
    <m/>
    <s v="PL+D or Presence/Absence"/>
    <m/>
    <n v="500.4"/>
    <n v="62"/>
    <m/>
    <n v="545"/>
    <n v="27"/>
    <s v="NI"/>
    <s v="NI"/>
    <s v="NI"/>
    <m/>
    <m/>
    <n v="817"/>
    <n v="879"/>
    <n v="407"/>
    <s v="NI"/>
    <n v="374"/>
    <n v="25"/>
    <s v="NI"/>
    <s v="NI"/>
    <s v="UK"/>
    <s v="NO"/>
    <s v="32"/>
    <s v="NI"/>
    <s v="NI"/>
    <s v="NI"/>
    <s v="NI"/>
    <s v="NI"/>
    <s v="NI"/>
    <s v="NI"/>
    <s v="NI"/>
    <s v="NI"/>
    <s v="NI"/>
    <n v="7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MOSQUITO CREEK_Chum"/>
    <x v="0"/>
    <x v="0"/>
    <x v="0"/>
    <x v="9"/>
    <x v="1"/>
    <m/>
    <m/>
    <n v="4"/>
    <n v="5"/>
    <n v="0"/>
    <e v="#NUM!"/>
    <n v="0"/>
    <e v="#NUM!"/>
    <m/>
    <s v="PL+D or Presence/Absence"/>
    <s v="Coho was the target species so surveys were done late in the season"/>
    <m/>
    <s v="NO"/>
    <m/>
    <m/>
    <m/>
    <s v="NI"/>
    <s v="NI"/>
    <s v="NI"/>
    <m/>
    <m/>
    <s v="NO"/>
    <s v="NO"/>
    <s v="NO"/>
    <s v="NI"/>
    <s v="NO"/>
    <s v="NO"/>
    <s v="NI"/>
    <s v="NI"/>
    <s v="UK"/>
    <s v="UK"/>
    <s v="UK"/>
    <s v="NI"/>
    <s v="NI"/>
    <s v="NI"/>
    <s v="NI"/>
    <s v="NI"/>
    <s v="NI"/>
    <s v="NI"/>
    <s v="NI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EVI+GStr [13]"/>
    <s v="Georgia Strait-E Vancouver Island"/>
    <s v="MUIR CREEK_Coho"/>
    <x v="0"/>
    <x v="0"/>
    <x v="0"/>
    <x v="10"/>
    <x v="0"/>
    <m/>
    <m/>
    <n v="3"/>
    <n v="9"/>
    <n v="9"/>
    <n v="256.27105965317509"/>
    <n v="1540"/>
    <n v="38.236133377386949"/>
    <m/>
    <s v="AUC estimate providing we get enough surveys if not then PL+D"/>
    <m/>
    <n v="634.125"/>
    <s v="NI"/>
    <s v="NI"/>
    <s v="NI"/>
    <s v="NI"/>
    <s v="NI"/>
    <s v="NI"/>
    <s v="NI"/>
    <s v="NI"/>
    <n v="439"/>
    <n v="521"/>
    <n v="1540"/>
    <n v="858"/>
    <n v="845"/>
    <n v="775"/>
    <n v="94"/>
    <n v="1"/>
    <s v="AP"/>
    <n v="1"/>
    <n v="30"/>
    <n v="1"/>
    <n v="5"/>
    <s v="UK"/>
    <n v="2"/>
    <n v="10"/>
    <n v="10"/>
    <n v="16"/>
    <s v="UK"/>
    <s v="NO"/>
    <s v="NO"/>
    <n v="10"/>
    <n v="6"/>
    <s v="15"/>
    <n v="30"/>
    <n v="100"/>
    <n v="75"/>
    <n v="75"/>
    <n v="75"/>
    <n v="25"/>
    <n v="25"/>
    <s v="NO"/>
    <s v="NO"/>
    <n v="24"/>
    <s v="NO"/>
    <n v="25"/>
    <n v="25"/>
    <n v="25"/>
    <n v="75"/>
    <n v="200"/>
    <n v="25"/>
    <n v="25"/>
    <n v="25"/>
    <n v="25"/>
    <n v="25"/>
    <n v="200"/>
    <n v="25"/>
    <n v="25"/>
    <n v="25"/>
    <n v="200"/>
    <n v="200"/>
  </r>
  <r>
    <s v="CM-SWVI [10]"/>
    <s v="Southwest Vancouver Island"/>
    <s v="MUIR CREEK_Chum"/>
    <x v="0"/>
    <x v="0"/>
    <x v="0"/>
    <x v="10"/>
    <x v="1"/>
    <m/>
    <m/>
    <n v="3"/>
    <n v="9"/>
    <n v="8"/>
    <n v="583.94987389836706"/>
    <n v="4585"/>
    <n v="348.31530287073588"/>
    <m/>
    <s v="AUC estimate providing we get enough surveys if not then PL+D"/>
    <m/>
    <n v="1684.1666666666667"/>
    <s v="NI"/>
    <s v="NI"/>
    <s v="NI"/>
    <s v="NI"/>
    <s v="NI"/>
    <s v="NI"/>
    <s v="NI"/>
    <s v="NI"/>
    <s v="AP"/>
    <n v="4585"/>
    <n v="3028"/>
    <n v="12"/>
    <n v="500"/>
    <s v="NO"/>
    <n v="1700"/>
    <n v="280"/>
    <s v="AP"/>
    <n v="500"/>
    <n v="1000"/>
    <n v="800"/>
    <n v="350"/>
    <n v="300"/>
    <n v="300"/>
    <n v="2400"/>
    <n v="900"/>
    <n v="1900"/>
    <n v="2000"/>
    <n v="150"/>
    <n v="40"/>
    <n v="420"/>
    <n v="200"/>
    <n v="1830"/>
    <n v="80"/>
    <n v="350"/>
    <n v="200"/>
    <n v="400"/>
    <n v="200"/>
    <n v="400"/>
    <n v="750"/>
    <n v="200"/>
    <n v="75"/>
    <n v="25"/>
    <n v="750"/>
    <n v="750"/>
    <n v="400"/>
    <n v="25"/>
    <n v="3500"/>
    <n v="750"/>
    <n v="200"/>
    <n v="200"/>
    <n v="75"/>
    <n v="25"/>
    <n v="400"/>
    <n v="400"/>
    <n v="25"/>
    <n v="25"/>
    <n v="400"/>
    <n v="3500"/>
    <n v="3500"/>
  </r>
  <r>
    <s v="SK-WVI [R10]"/>
    <s v="West Vancouver Island"/>
    <s v="RENFREW CREEK_Sockeye"/>
    <x v="0"/>
    <x v="0"/>
    <x v="0"/>
    <x v="11"/>
    <x v="3"/>
    <m/>
    <m/>
    <n v="4"/>
    <n v="7"/>
    <n v="3"/>
    <n v="14.728097377492999"/>
    <n v="200"/>
    <n v="36.622476163003924"/>
    <m/>
    <s v="PL+D or Presence/Absence"/>
    <s v="Coho was target species"/>
    <n v="50.666666666666664"/>
    <n v="14"/>
    <n v="75"/>
    <n v="10"/>
    <m/>
    <n v="10"/>
    <n v="1"/>
    <n v="28"/>
    <m/>
    <n v="25"/>
    <m/>
    <s v="NO"/>
    <s v="NI"/>
    <s v="NO"/>
    <n v="99"/>
    <s v="NO"/>
    <s v="NI"/>
    <s v="NO"/>
    <s v="UK"/>
    <s v="UK"/>
    <s v="UK"/>
    <s v="NI"/>
    <n v="57"/>
    <s v="NI"/>
    <s v="NI"/>
    <s v="NI"/>
    <s v="NI"/>
    <s v="NI"/>
    <n v="200"/>
    <s v="NI"/>
    <s v="NI"/>
    <n v="75"/>
    <n v="2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JdF [16]"/>
    <s v="Juan de Fuca-Pachena"/>
    <s v="RENFREW CREEK_Coho"/>
    <x v="0"/>
    <x v="0"/>
    <x v="0"/>
    <x v="11"/>
    <x v="0"/>
    <m/>
    <m/>
    <n v="4"/>
    <n v="7"/>
    <n v="7"/>
    <n v="769.6149965762844"/>
    <n v="6000"/>
    <n v="446.82328490414602"/>
    <m/>
    <s v="PL+D or Presence/Absence"/>
    <m/>
    <n v="1911.8571428571429"/>
    <n v="2141"/>
    <n v="1033"/>
    <n v="1660"/>
    <n v="285"/>
    <n v="901"/>
    <n v="116"/>
    <n v="543"/>
    <m/>
    <n v="1982"/>
    <m/>
    <n v="6000"/>
    <s v="NI"/>
    <n v="2984"/>
    <n v="1166"/>
    <n v="482"/>
    <s v="NI"/>
    <n v="226"/>
    <n v="140"/>
    <n v="286"/>
    <n v="500"/>
    <s v="NI"/>
    <n v="687"/>
    <s v="NI"/>
    <s v="NI"/>
    <s v="NI"/>
    <s v="NI"/>
    <s v="NI"/>
    <n v="300"/>
    <s v="NI"/>
    <s v="NI"/>
    <n v="75"/>
    <n v="5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RENFREW CREEK_Chum"/>
    <x v="0"/>
    <x v="0"/>
    <x v="0"/>
    <x v="11"/>
    <x v="1"/>
    <m/>
    <m/>
    <n v="4"/>
    <n v="7"/>
    <n v="5"/>
    <n v="101.05976652406397"/>
    <n v="800"/>
    <n v="54.513771936707037"/>
    <m/>
    <s v="PL+D or Presence/Absence"/>
    <s v="Coho was target species"/>
    <n v="243.4"/>
    <n v="832"/>
    <n v="183"/>
    <n v="303"/>
    <m/>
    <n v="108"/>
    <n v="13"/>
    <n v="103"/>
    <m/>
    <n v="161"/>
    <m/>
    <s v="NO"/>
    <s v="NI"/>
    <n v="68"/>
    <n v="85"/>
    <n v="800"/>
    <s v="NI"/>
    <s v="NO"/>
    <n v="5"/>
    <n v="30"/>
    <n v="26"/>
    <s v="NI"/>
    <n v="26"/>
    <s v="NI"/>
    <s v="NI"/>
    <s v="NI"/>
    <s v="NI"/>
    <s v="NI"/>
    <n v="150"/>
    <s v="NI"/>
    <s v="NI"/>
    <n v="25"/>
    <n v="5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K-PSJ [30]"/>
    <s v="Port San Juan"/>
    <s v="RENFREW CREEK_Chinook"/>
    <x v="0"/>
    <x v="0"/>
    <x v="0"/>
    <x v="11"/>
    <x v="2"/>
    <m/>
    <m/>
    <n v="4"/>
    <n v="7"/>
    <n v="3"/>
    <n v="7.9527072876705072"/>
    <n v="32"/>
    <n v="7.5169601575301268"/>
    <m/>
    <s v="PL+D or Presence/Absence"/>
    <s v="Coho was target species"/>
    <n v="20.666666666666668"/>
    <n v="2"/>
    <m/>
    <n v="5"/>
    <s v="NO"/>
    <n v="1"/>
    <s v="NO"/>
    <n v="25"/>
    <m/>
    <s v="NO"/>
    <m/>
    <s v="NO"/>
    <s v="NI"/>
    <s v="NO"/>
    <n v="5"/>
    <n v="32"/>
    <s v="NI"/>
    <s v="NO"/>
    <s v="UK"/>
    <s v="UK"/>
    <s v="UK"/>
    <s v="NI"/>
    <n v="6"/>
    <s v="NI"/>
    <s v="NI"/>
    <s v="NI"/>
    <s v="NI"/>
    <s v="NI"/>
    <s v="UK"/>
    <s v="NI"/>
    <s v="NI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WVI [R10]"/>
    <s v="West Vancouver Island"/>
    <s v="SAN JUAN RIVER_Sockeye"/>
    <x v="0"/>
    <x v="0"/>
    <x v="0"/>
    <x v="12"/>
    <x v="3"/>
    <m/>
    <m/>
    <n v="3"/>
    <n v="11"/>
    <n v="8"/>
    <n v="11.883454561470112"/>
    <n v="3500"/>
    <n v="87.250146902151798"/>
    <s v="B. Other systems: wild or hatchery supplemented.     Intensively surveyed in 1995 and have a fairly complete historic database."/>
    <s v="AUC"/>
    <s v="The San Juan estimate also includes the following streams: Fairy Creek; Five Mile Creek; Four Mile Creek; Holliday Creek; &amp; Tremblay Creek"/>
    <n v="57.25"/>
    <n v="1"/>
    <n v="17"/>
    <n v="7"/>
    <s v="NO"/>
    <n v="4"/>
    <n v="5"/>
    <n v="5"/>
    <m/>
    <n v="4"/>
    <n v="6"/>
    <s v="NO"/>
    <n v="100"/>
    <n v="15"/>
    <n v="300"/>
    <n v="26"/>
    <n v="2"/>
    <s v="NO"/>
    <n v="37"/>
    <s v="UK"/>
    <n v="100"/>
    <s v="UK"/>
    <n v="100"/>
    <n v="150"/>
    <n v="250"/>
    <s v="NO"/>
    <n v="100"/>
    <s v="NO"/>
    <s v="UK"/>
    <n v="400"/>
    <n v="400"/>
    <s v="NO"/>
    <s v="UK"/>
    <s v="UK"/>
    <n v="200"/>
    <n v="200"/>
    <n v="75"/>
    <n v="75"/>
    <n v="75"/>
    <s v="NO"/>
    <n v="1500"/>
    <n v="25"/>
    <n v="3500"/>
    <n v="200"/>
    <n v="1500"/>
    <n v="1500"/>
    <n v="1500"/>
    <n v="1500"/>
    <n v="25"/>
    <n v="25"/>
    <n v="75"/>
    <n v="75"/>
    <n v="75"/>
    <s v="UK"/>
    <s v="UK"/>
    <s v="UK"/>
    <s v="UK"/>
    <s v="UK"/>
    <s v="UK"/>
    <s v="UK"/>
  </r>
  <r>
    <s v="CO-JdF [16]"/>
    <s v="Juan de Fuca-Pachena"/>
    <s v="SAN JUAN RIVER_Coho"/>
    <x v="0"/>
    <x v="0"/>
    <x v="0"/>
    <x v="12"/>
    <x v="0"/>
    <m/>
    <m/>
    <n v="3"/>
    <n v="11"/>
    <n v="11"/>
    <n v="8607.7541385375698"/>
    <n v="75000"/>
    <n v="6645.6938878152505"/>
    <s v="B. Other systems: wild or hatchery supplemented.     Intensively surveyed in 1995 and have a fairly complete historic database."/>
    <s v="AUC"/>
    <s v="The San Juan estimate also includes the following streams: Fairy Creek; Five Mile Creek; Four Mile Creek; Holliday Creek; &amp; Tremblay Creek"/>
    <n v="20236.909090909092"/>
    <n v="12831"/>
    <n v="7400"/>
    <n v="9625"/>
    <n v="1809"/>
    <n v="2169"/>
    <n v="367"/>
    <n v="5000"/>
    <n v="4880"/>
    <n v="20000"/>
    <n v="9641"/>
    <n v="40000"/>
    <n v="15000"/>
    <n v="35000"/>
    <n v="49959"/>
    <n v="4665"/>
    <n v="18919"/>
    <n v="19542"/>
    <n v="356"/>
    <n v="936"/>
    <n v="1130"/>
    <n v="3000"/>
    <n v="5000"/>
    <n v="5000"/>
    <n v="15000"/>
    <n v="12000"/>
    <n v="16000"/>
    <n v="500"/>
    <n v="9000"/>
    <n v="7500"/>
    <n v="8400"/>
    <n v="3500"/>
    <n v="3000"/>
    <n v="3500"/>
    <n v="2850"/>
    <n v="400"/>
    <n v="750"/>
    <n v="1500"/>
    <n v="7500"/>
    <n v="15000"/>
    <n v="15000"/>
    <n v="7500"/>
    <n v="75000"/>
    <n v="15000"/>
    <n v="15000"/>
    <n v="35000"/>
    <n v="15000"/>
    <n v="15000"/>
    <n v="75000"/>
    <n v="7500"/>
    <n v="15000"/>
    <n v="35000"/>
    <n v="15000"/>
    <n v="7500"/>
    <n v="15000"/>
    <n v="7500"/>
    <n v="7500"/>
    <n v="3500"/>
    <n v="3500"/>
    <n v="1500"/>
  </r>
  <r>
    <s v="Pkodd-WVI [6]"/>
    <s v="West Vancouver Island"/>
    <s v="SAN JUAN RIVER_Pink"/>
    <x v="0"/>
    <x v="0"/>
    <x v="0"/>
    <x v="12"/>
    <x v="4"/>
    <m/>
    <m/>
    <n v="3"/>
    <n v="11"/>
    <n v="7"/>
    <n v="10.009965173999948"/>
    <n v="1500"/>
    <n v="65.164992806393002"/>
    <s v="B. Other systems: wild or hatchery supplemented.     Intensively surveyed in 1995 and have a fairly complete historic database."/>
    <s v="AUC"/>
    <s v="The San Juan estimate also includes the following streams: Fairy Creek; Five Mile Creek; Four Mile Creek; Holliday Creek; &amp; Tremblay Creek"/>
    <n v="35.285714285714285"/>
    <n v="12"/>
    <n v="1"/>
    <n v="11"/>
    <s v="NO"/>
    <s v="NO"/>
    <n v="2"/>
    <s v="NO"/>
    <m/>
    <s v="NO"/>
    <n v="2"/>
    <n v="21"/>
    <n v="100"/>
    <n v="15"/>
    <n v="100"/>
    <n v="8"/>
    <s v="NO"/>
    <n v="1"/>
    <n v="5"/>
    <s v="UK"/>
    <n v="6"/>
    <s v="UK"/>
    <n v="300"/>
    <s v="NO"/>
    <n v="80"/>
    <s v="NO"/>
    <n v="100"/>
    <s v="NO"/>
    <n v="200"/>
    <n v="200"/>
    <n v="200"/>
    <n v="75"/>
    <n v="200"/>
    <n v="25"/>
    <s v="UK"/>
    <s v="UK"/>
    <n v="75"/>
    <s v="NO"/>
    <n v="75"/>
    <s v="UK"/>
    <s v="UK"/>
    <s v="UK"/>
    <s v="UK"/>
    <s v="UK"/>
    <s v="UK"/>
    <n v="750"/>
    <s v="UK"/>
    <s v="UK"/>
    <n v="25"/>
    <s v="UK"/>
    <n v="400"/>
    <s v="NO"/>
    <n v="400"/>
    <s v="NO"/>
    <n v="750"/>
    <s v="NO"/>
    <n v="1500"/>
    <s v="UK"/>
    <n v="1500"/>
    <s v="UK"/>
  </r>
  <r>
    <s v="CM-SWVI [10]"/>
    <s v="Southwest Vancouver Island"/>
    <s v="SAN JUAN RIVER_Chum"/>
    <x v="0"/>
    <x v="0"/>
    <x v="0"/>
    <x v="12"/>
    <x v="1"/>
    <m/>
    <m/>
    <n v="3"/>
    <n v="11"/>
    <n v="10"/>
    <n v="189.45349555511493"/>
    <n v="10500"/>
    <n v="393.59007904125036"/>
    <s v="B. Other systems: wild or hatchery supplemented.     Intensively surveyed in 1995 and have a fairly complete historic database."/>
    <s v="AUC"/>
    <s v="The San Juan estimate also includes the following streams: Fairy Creek; Five Mile Creek; Four Mile Creek; Holliday Creek; &amp; Tremblay Creek"/>
    <n v="460.22222222222223"/>
    <n v="4256"/>
    <n v="400"/>
    <n v="435"/>
    <n v="96"/>
    <n v="1276"/>
    <n v="278"/>
    <n v="1516"/>
    <m/>
    <n v="102"/>
    <n v="9"/>
    <n v="241"/>
    <s v="NO"/>
    <n v="200"/>
    <n v="500"/>
    <n v="1500"/>
    <n v="26"/>
    <n v="48"/>
    <n v="15"/>
    <n v="1000"/>
    <n v="220"/>
    <n v="1000"/>
    <n v="1000"/>
    <n v="300"/>
    <n v="1000"/>
    <n v="2000"/>
    <n v="10500"/>
    <n v="300"/>
    <n v="500"/>
    <n v="200"/>
    <s v="225"/>
    <n v="200"/>
    <n v="100"/>
    <n v="25"/>
    <n v="25"/>
    <n v="25"/>
    <s v="NO"/>
    <n v="200"/>
    <s v="NO"/>
    <n v="200"/>
    <n v="3500"/>
    <s v="NO"/>
    <n v="7500"/>
    <n v="200"/>
    <n v="3500"/>
    <n v="750"/>
    <n v="400"/>
    <n v="1500"/>
    <n v="1500"/>
    <n v="400"/>
    <n v="1500"/>
    <n v="400"/>
    <n v="1500"/>
    <n v="750"/>
    <n v="1500"/>
    <n v="750"/>
    <n v="200"/>
    <n v="400"/>
    <n v="1500"/>
    <n v="750"/>
  </r>
  <r>
    <s v="CK-PSJ [30]"/>
    <s v="Port San Juan"/>
    <s v="SAN JUAN RIVER_Chinook"/>
    <x v="0"/>
    <x v="1"/>
    <x v="0"/>
    <x v="12"/>
    <x v="2"/>
    <m/>
    <m/>
    <n v="3"/>
    <n v="11"/>
    <n v="11"/>
    <n v="982.79195222047758"/>
    <n v="7500"/>
    <n v="572.88757710423306"/>
    <s v="B. Other systems: wild or hatchery supplemented.     Intensively surveyed in 1995 and have a fairly complete historic database."/>
    <s v="AUC"/>
    <s v="The San Juan estimate also includes the following streams: Fairy Creek; Five Mile Creek; Four Mile Creek; Holliday Creek; &amp; Tremblay Creek.  Average Esc from 1995-2005 from file: NEW ESCAPEMENT INDEX.XLS"/>
    <n v="1222.3636363636363"/>
    <n v="300"/>
    <n v="832"/>
    <n v="2870"/>
    <n v="900"/>
    <n v="1500"/>
    <n v="3712"/>
    <n v="900"/>
    <n v="3500"/>
    <n v="1000"/>
    <n v="582"/>
    <n v="357"/>
    <n v="250"/>
    <n v="1054"/>
    <n v="3840"/>
    <n v="827"/>
    <n v="760"/>
    <n v="376"/>
    <n v="600"/>
    <n v="1300"/>
    <n v="500"/>
    <n v="450"/>
    <n v="500"/>
    <n v="300"/>
    <n v="1500"/>
    <n v="600"/>
    <n v="487"/>
    <n v="150"/>
    <n v="1200"/>
    <n v="775"/>
    <n v="775"/>
    <n v="750"/>
    <n v="500"/>
    <n v="400"/>
    <n v="50"/>
    <n v="75"/>
    <n v="75"/>
    <n v="200"/>
    <n v="750"/>
    <n v="3500"/>
    <n v="3500"/>
    <n v="400"/>
    <n v="7500"/>
    <n v="400"/>
    <n v="750"/>
    <n v="400"/>
    <n v="1500"/>
    <n v="750"/>
    <n v="1500"/>
    <n v="400"/>
    <n v="400"/>
    <n v="400"/>
    <n v="1500"/>
    <n v="200"/>
    <n v="200"/>
    <n v="200"/>
    <n v="25"/>
    <n v="200"/>
    <n v="400"/>
    <n v="400"/>
  </r>
  <r>
    <s v="CO-JdF [16]"/>
    <s v="Juan de Fuca-Pachena"/>
    <s v="CARMANAH CREEK_Coho"/>
    <x v="0"/>
    <x v="0"/>
    <x v="1"/>
    <x v="13"/>
    <x v="0"/>
    <m/>
    <m/>
    <n v="5"/>
    <n v="0"/>
    <n v="0"/>
    <e v="#NUM!"/>
    <n v="0"/>
    <e v="#NUM!"/>
    <m/>
    <s v="PL+D or Presence/Absence"/>
    <s v="Last time surveyed was in 1993 and no fish were observed"/>
    <m/>
    <m/>
    <m/>
    <m/>
    <m/>
    <s v="NI"/>
    <s v="NI"/>
    <s v="NI"/>
    <s v="NI"/>
    <s v="NI"/>
    <s v="NI"/>
    <s v="NI"/>
    <s v="NI"/>
    <s v="NI"/>
    <s v="NI"/>
    <s v="NI"/>
    <s v="NI"/>
    <s v="NI"/>
    <s v="NI"/>
    <s v="NO"/>
    <s v="NI"/>
    <s v="NI"/>
    <s v="UK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ARMANAH CREEK_Chum"/>
    <x v="0"/>
    <x v="0"/>
    <x v="1"/>
    <x v="13"/>
    <x v="1"/>
    <m/>
    <m/>
    <n v="5"/>
    <n v="0"/>
    <n v="0"/>
    <e v="#NUM!"/>
    <n v="0"/>
    <e v="#NUM!"/>
    <m/>
    <s v="PL+D or Presence/Absence"/>
    <s v="Last time surveyed was in 1993 and no fish were observed"/>
    <m/>
    <m/>
    <m/>
    <m/>
    <m/>
    <s v="NI"/>
    <s v="NI"/>
    <s v="NI"/>
    <s v="NI"/>
    <s v="NI"/>
    <s v="NI"/>
    <s v="NI"/>
    <s v="NI"/>
    <s v="NI"/>
    <s v="NI"/>
    <s v="NI"/>
    <s v="NI"/>
    <s v="NI"/>
    <s v="NI"/>
    <s v="NO"/>
    <s v="NI"/>
    <s v="NI"/>
    <s v="UK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SWVI [31]"/>
    <s v="Southwest Vancouver Island"/>
    <s v="CARMANAH CREEK_Chinook"/>
    <x v="0"/>
    <x v="0"/>
    <x v="1"/>
    <x v="13"/>
    <x v="2"/>
    <m/>
    <m/>
    <n v="5"/>
    <n v="0"/>
    <n v="0"/>
    <e v="#NUM!"/>
    <n v="0"/>
    <e v="#NUM!"/>
    <m/>
    <s v="PL+D or Presence/Absence"/>
    <s v="Last time surveyed was in 1993 and no fish were observed"/>
    <m/>
    <m/>
    <m/>
    <m/>
    <m/>
    <s v="NI"/>
    <s v="NI"/>
    <s v="NI"/>
    <s v="NI"/>
    <s v="NI"/>
    <s v="NI"/>
    <s v="NI"/>
    <s v="NI"/>
    <s v="NI"/>
    <s v="NI"/>
    <s v="NI"/>
    <s v="NI"/>
    <s v="NI"/>
    <s v="NI"/>
    <s v="NO"/>
    <s v="NI"/>
    <s v="NI"/>
    <s v="UK"/>
    <s v="U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K-L-13-6"/>
    <s v="Cheewhat"/>
    <s v="CHEEWHAT RIVER_Sockeye"/>
    <x v="0"/>
    <x v="0"/>
    <x v="1"/>
    <x v="14"/>
    <x v="3"/>
    <m/>
    <m/>
    <n v="3"/>
    <n v="1"/>
    <n v="1"/>
    <n v="1000"/>
    <n v="5000"/>
    <n v="854.61499239281943"/>
    <m/>
    <s v="AUC estimate providing we get enough surveys if not then PL+D"/>
    <s v="Stream was surveyed in 2000 but we are missing 1995 through 1998 information so we do not know if stream was surveyed"/>
    <n v="1000"/>
    <m/>
    <m/>
    <m/>
    <m/>
    <s v="NI"/>
    <s v="NI"/>
    <s v="NI"/>
    <s v="NI"/>
    <s v="NI"/>
    <s v="NI"/>
    <s v="NI"/>
    <n v="1000"/>
    <s v="NI"/>
    <m/>
    <m/>
    <m/>
    <m/>
    <s v="NI"/>
    <s v="NI"/>
    <n v="1500"/>
    <n v="1100"/>
    <n v="2362"/>
    <n v="2000"/>
    <n v="4400"/>
    <n v="5000"/>
    <n v="2000"/>
    <s v="NI"/>
    <n v="4000"/>
    <s v="NI"/>
    <s v="UK"/>
    <s v="NI"/>
    <s v="NI"/>
    <n v="200"/>
    <n v="200"/>
    <n v="230"/>
    <n v="250"/>
    <n v="200"/>
    <n v="500"/>
    <n v="75"/>
    <n v="750"/>
    <n v="75"/>
    <n v="400"/>
    <n v="75"/>
    <n v="200"/>
    <n v="1500"/>
    <n v="1500"/>
    <n v="1500"/>
    <n v="1500"/>
    <n v="1500"/>
    <n v="1500"/>
    <n v="1500"/>
    <n v="1500"/>
    <n v="1500"/>
    <n v="1500"/>
    <n v="1500"/>
    <n v="1500"/>
    <n v="1500"/>
    <n v="1500"/>
    <n v="1500"/>
  </r>
  <r>
    <s v="CO-JdF [16]"/>
    <s v="Juan de Fuca-Pachena"/>
    <s v="CHEEWHAT RIVER_Coho"/>
    <x v="0"/>
    <x v="0"/>
    <x v="1"/>
    <x v="14"/>
    <x v="0"/>
    <m/>
    <m/>
    <n v="3"/>
    <n v="1"/>
    <n v="1"/>
    <e v="#NUM!"/>
    <n v="750"/>
    <n v="190.40133179354254"/>
    <m/>
    <s v="AUC estimate providing we get enough surveys if not then PL+D"/>
    <s v="Stream was surveyed in 2000 but we are missing 1995 through 1998 information so we do not know if stream was surveyed"/>
    <m/>
    <m/>
    <m/>
    <m/>
    <m/>
    <s v="NI"/>
    <s v="NI"/>
    <s v="NI"/>
    <s v="NI"/>
    <s v="NI"/>
    <s v="NI"/>
    <s v="NI"/>
    <s v="AP"/>
    <s v="NI"/>
    <m/>
    <m/>
    <m/>
    <m/>
    <s v="NI"/>
    <s v="NI"/>
    <s v="UK"/>
    <n v="453"/>
    <n v="313"/>
    <n v="100"/>
    <n v="300"/>
    <s v="NI"/>
    <n v="250"/>
    <s v="NI"/>
    <s v="UK"/>
    <s v="NI"/>
    <s v="UK"/>
    <s v="NI"/>
    <s v="NI"/>
    <n v="80"/>
    <n v="70"/>
    <n v="80"/>
    <n v="90"/>
    <n v="75"/>
    <n v="75"/>
    <n v="200"/>
    <n v="75"/>
    <n v="25"/>
    <n v="200"/>
    <n v="75"/>
    <n v="75"/>
    <n v="75"/>
    <n v="400"/>
    <n v="400"/>
    <n v="400"/>
    <n v="75"/>
    <n v="400"/>
    <n v="400"/>
    <n v="75"/>
    <n v="750"/>
    <n v="400"/>
    <n v="400"/>
    <n v="750"/>
    <n v="400"/>
    <n v="750"/>
    <n v="750"/>
  </r>
  <r>
    <s v="CM-SWVI [10]"/>
    <s v="Southwest Vancouver Island"/>
    <s v="CHEEWHAT RIVER_Chum"/>
    <x v="0"/>
    <x v="0"/>
    <x v="1"/>
    <x v="14"/>
    <x v="1"/>
    <m/>
    <m/>
    <n v="3"/>
    <n v="1"/>
    <n v="0"/>
    <e v="#NUM!"/>
    <n v="400"/>
    <n v="70.106193835807986"/>
    <m/>
    <s v="AUC estimate providing we get enough surveys if not then PL+D"/>
    <s v="Stream was surveyed in 2000 but we are missing 1995 through 1998 information so we do not know if stream was surveyed"/>
    <m/>
    <m/>
    <m/>
    <m/>
    <m/>
    <s v="NI"/>
    <s v="NI"/>
    <s v="NI"/>
    <s v="NI"/>
    <s v="NI"/>
    <s v="NI"/>
    <s v="NI"/>
    <s v="NO"/>
    <s v="NI"/>
    <m/>
    <m/>
    <m/>
    <m/>
    <s v="NI"/>
    <s v="NI"/>
    <s v="UK"/>
    <s v="UK"/>
    <s v="UK"/>
    <s v="UK"/>
    <s v="UK"/>
    <s v="NI"/>
    <s v="UK"/>
    <s v="NI"/>
    <s v="UK"/>
    <s v="NI"/>
    <s v="UK"/>
    <s v="NI"/>
    <s v="NI"/>
    <s v="NO"/>
    <s v="UK"/>
    <n v="50"/>
    <n v="75"/>
    <s v="NO"/>
    <s v="NO"/>
    <n v="25"/>
    <n v="75"/>
    <s v="NO"/>
    <n v="25"/>
    <n v="25"/>
    <n v="200"/>
    <n v="400"/>
    <n v="75"/>
    <n v="75"/>
    <n v="200"/>
    <n v="25"/>
    <n v="25"/>
    <n v="200"/>
    <n v="75"/>
    <n v="75"/>
    <n v="75"/>
    <n v="75"/>
    <n v="75"/>
    <s v="UK"/>
    <s v="UK"/>
    <s v="UK"/>
  </r>
  <r>
    <s v="SK-WVI [R10]"/>
    <s v="West Vancouver Island"/>
    <s v="KLANAWA RIVER_Sockeye"/>
    <x v="0"/>
    <x v="0"/>
    <x v="1"/>
    <x v="15"/>
    <x v="3"/>
    <m/>
    <m/>
    <n v="4"/>
    <n v="9"/>
    <n v="4"/>
    <n v="3.7224194364083982"/>
    <n v="16"/>
    <n v="3.7224194364083982"/>
    <m/>
    <s v="AUC estimate providing we get enough surveys if not then PL+D"/>
    <s v="Includes Blue and Ralf Creeks"/>
    <n v="7"/>
    <s v="NO"/>
    <m/>
    <n v="90"/>
    <s v="NO"/>
    <s v="NO"/>
    <n v="2"/>
    <s v="NO"/>
    <n v="16"/>
    <n v="3"/>
    <s v="NO"/>
    <n v="2"/>
    <s v="AP"/>
    <s v="NO"/>
    <s v="NO"/>
    <s v="NO"/>
    <s v="NI"/>
    <s v="NI"/>
    <s v="NI"/>
    <s v="UK"/>
    <s v="NI"/>
    <s v="UK"/>
    <s v="UK"/>
    <s v="UK"/>
    <s v="NI"/>
    <s v="NI"/>
    <s v="NI"/>
    <s v="NI"/>
    <s v="UK"/>
    <s v="NI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NI"/>
    <s v="UK"/>
    <s v="NO"/>
    <s v="UK"/>
    <s v="UK"/>
    <s v="UK"/>
    <s v="NI"/>
  </r>
  <r>
    <s v="CO-JdF [16]"/>
    <s v="Juan de Fuca-Pachena"/>
    <s v="KLANAWA RIVER_Coho"/>
    <x v="0"/>
    <x v="0"/>
    <x v="1"/>
    <x v="15"/>
    <x v="0"/>
    <m/>
    <m/>
    <n v="4"/>
    <n v="9"/>
    <n v="9"/>
    <n v="268.84656415973461"/>
    <n v="1000"/>
    <n v="234.01289070407586"/>
    <m/>
    <s v="AUC estimate providing we get enough surveys if not then PL+D"/>
    <s v="Includes Blue and Ralf Creeks"/>
    <n v="507.25"/>
    <n v="416"/>
    <n v="236"/>
    <n v="956"/>
    <n v="118"/>
    <n v="83"/>
    <n v="94"/>
    <n v="835"/>
    <n v="327"/>
    <n v="344"/>
    <s v="AP"/>
    <n v="322"/>
    <n v="1000"/>
    <n v="400"/>
    <n v="768"/>
    <n v="62"/>
    <s v="NI"/>
    <s v="NI"/>
    <s v="NI"/>
    <s v="NO"/>
    <s v="NI"/>
    <s v="NO"/>
    <s v="UK"/>
    <s v="UK"/>
    <s v="NI"/>
    <s v="NI"/>
    <s v="NI"/>
    <s v="NI"/>
    <s v="UK"/>
    <s v="NI"/>
    <s v="NI"/>
    <s v="NI"/>
    <s v="NI"/>
    <n v="195"/>
    <n v="250"/>
    <n v="195"/>
    <n v="125"/>
    <n v="200"/>
    <n v="200"/>
    <n v="75"/>
    <n v="25"/>
    <n v="25"/>
    <n v="200"/>
    <n v="400"/>
    <n v="750"/>
    <n v="200"/>
    <n v="750"/>
    <n v="400"/>
    <n v="750"/>
    <n v="400"/>
    <s v="UK"/>
    <s v="NO"/>
    <s v="NO"/>
    <s v="NI"/>
    <s v="NO"/>
    <s v="NO"/>
    <s v="UK"/>
    <s v="NO"/>
    <n v="400"/>
    <s v="NI"/>
  </r>
  <r>
    <s v="CM-SWVI [10]"/>
    <s v="Southwest Vancouver Island"/>
    <s v="KLANAWA RIVER_Chum"/>
    <x v="0"/>
    <x v="0"/>
    <x v="1"/>
    <x v="15"/>
    <x v="1"/>
    <m/>
    <m/>
    <n v="4"/>
    <n v="9"/>
    <n v="7"/>
    <n v="445.14377318898465"/>
    <n v="5030"/>
    <n v="384.01563406211199"/>
    <m/>
    <s v="AUC estimate providing we get enough surveys if not then PL+D"/>
    <s v="Includes Blue and Ralf Creeks"/>
    <n v="1109.5"/>
    <n v="655"/>
    <n v="136"/>
    <n v="333"/>
    <n v="223"/>
    <n v="1000"/>
    <n v="2016"/>
    <n v="5030"/>
    <n v="964"/>
    <n v="165"/>
    <s v="NO"/>
    <n v="36"/>
    <n v="250"/>
    <s v="NO"/>
    <n v="212"/>
    <s v="AP"/>
    <s v="NI"/>
    <s v="NI"/>
    <s v="NI"/>
    <s v="NO"/>
    <s v="NI"/>
    <s v="NO"/>
    <s v="UK"/>
    <s v="NO"/>
    <s v="NI"/>
    <s v="NI"/>
    <s v="NI"/>
    <s v="NI"/>
    <s v="UK"/>
    <s v="NI"/>
    <s v="NI"/>
    <s v="NI"/>
    <s v="NI"/>
    <n v="50"/>
    <s v="NO"/>
    <s v="NO"/>
    <n v="45"/>
    <n v="150"/>
    <s v="NO"/>
    <s v="NO"/>
    <s v="NO"/>
    <s v="NO"/>
    <s v="NO"/>
    <s v="NO"/>
    <n v="400"/>
    <n v="400"/>
    <n v="400"/>
    <s v="NO"/>
    <n v="400"/>
    <s v="NO"/>
    <n v="400"/>
    <n v="750"/>
    <n v="200"/>
    <s v="NI"/>
    <s v="NO"/>
    <s v="NO"/>
    <n v="1500"/>
    <s v="NO"/>
    <n v="3500"/>
    <s v="NI"/>
  </r>
  <r>
    <s v="CK-SWVI [31]"/>
    <s v="Southwest Vancouver Island"/>
    <s v="KLANAWA RIVER_Chinook"/>
    <x v="0"/>
    <x v="0"/>
    <x v="1"/>
    <x v="15"/>
    <x v="2"/>
    <m/>
    <m/>
    <n v="4"/>
    <n v="9"/>
    <n v="5"/>
    <n v="2.4258048343234653"/>
    <n v="75"/>
    <n v="5.6725751451901054"/>
    <m/>
    <s v="AUC estimate providing we get enough surveys if not then PL+D"/>
    <s v="Includes Blue and Ralf Creeks"/>
    <n v="3.3333333333333335"/>
    <n v="8"/>
    <n v="11"/>
    <n v="64"/>
    <n v="6"/>
    <s v="NO"/>
    <n v="1"/>
    <n v="7"/>
    <n v="1"/>
    <n v="2"/>
    <s v="NO"/>
    <s v="NO"/>
    <s v="AP"/>
    <s v="NO"/>
    <s v="AP"/>
    <s v="NO"/>
    <s v="NI"/>
    <s v="NI"/>
    <s v="NI"/>
    <s v="UK"/>
    <s v="NI"/>
    <s v="UK"/>
    <s v="UK"/>
    <s v="UK"/>
    <s v="NI"/>
    <s v="NI"/>
    <s v="NI"/>
    <s v="NI"/>
    <s v="UK"/>
    <s v="NI"/>
    <s v="NI"/>
    <s v="NI"/>
    <s v="NI"/>
    <s v="NO"/>
    <n v="30"/>
    <s v="UK"/>
    <s v="UK"/>
    <n v="75"/>
    <s v="UK"/>
    <s v="UK"/>
    <s v="UK"/>
    <s v="UK"/>
    <s v="UK"/>
    <s v="NO"/>
    <s v="UK"/>
    <s v="UK"/>
    <s v="UK"/>
    <s v="UK"/>
    <s v="NO"/>
    <s v="NO"/>
    <s v="NO"/>
    <s v="NO"/>
    <s v="NO"/>
    <s v="NI"/>
    <s v="NO"/>
    <s v="NO"/>
    <s v="UK"/>
    <s v="NO"/>
    <s v="NO"/>
    <s v="NI"/>
  </r>
  <r>
    <s v="CO-JdF [16]"/>
    <s v="Juan de Fuca-Pachena"/>
    <s v="CAMPUS CREEK_Coho"/>
    <x v="0"/>
    <x v="0"/>
    <x v="2"/>
    <x v="16"/>
    <x v="0"/>
    <m/>
    <m/>
    <n v="4"/>
    <n v="6"/>
    <n v="4"/>
    <n v="56.231663678038196"/>
    <n v="93"/>
    <n v="56.231663678038196"/>
    <m/>
    <s v="PL+D or Presence/Absence"/>
    <s v="Missing 1995 estimate. Only 2 of the 4 observations fish were estimated."/>
    <n v="63.5"/>
    <s v="NI"/>
    <m/>
    <m/>
    <m/>
    <s v="NI"/>
    <s v="NI"/>
    <s v="NI"/>
    <s v="NI"/>
    <s v="NI"/>
    <s v="NI"/>
    <s v="AP"/>
    <s v="AP"/>
    <s v="NO"/>
    <n v="93"/>
    <n v="34"/>
    <s v="NO"/>
    <m/>
    <s v="NO"/>
    <s v="NI"/>
    <s v="UK"/>
    <s v="NO"/>
    <s v="UK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CAMPUS CREEK_Chum"/>
    <x v="0"/>
    <x v="0"/>
    <x v="2"/>
    <x v="16"/>
    <x v="1"/>
    <m/>
    <m/>
    <n v="4"/>
    <n v="6"/>
    <n v="6"/>
    <n v="2418.3592239599684"/>
    <n v="5500"/>
    <n v="1026.0404207444417"/>
    <m/>
    <s v="PL+D or Presence/Absence"/>
    <s v="Missing 1995 estimate"/>
    <n v="2845.5"/>
    <s v="NI"/>
    <m/>
    <n v="300"/>
    <m/>
    <s v="NI"/>
    <s v="NI"/>
    <s v="NI"/>
    <s v="NI"/>
    <s v="NI"/>
    <s v="NI"/>
    <s v="AP"/>
    <s v="AP"/>
    <n v="1382"/>
    <n v="1500"/>
    <n v="3000"/>
    <n v="5500"/>
    <m/>
    <n v="500"/>
    <s v="NI"/>
    <s v="UK"/>
    <s v="UK"/>
    <n v="700"/>
    <n v="1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K-SWVI [31]"/>
    <s v="Southwest Vancouver Island"/>
    <s v="CAMPUS CREEK_Chinook"/>
    <x v="0"/>
    <x v="0"/>
    <x v="2"/>
    <x v="16"/>
    <x v="2"/>
    <m/>
    <m/>
    <n v="4"/>
    <n v="6"/>
    <n v="1"/>
    <e v="#NUM!"/>
    <n v="1500"/>
    <n v="1500"/>
    <m/>
    <s v="PL+D or Presence/Absence"/>
    <s v="Missing 1995 estimate. Adults present was entered as the escapement in 2000."/>
    <m/>
    <s v="NI"/>
    <m/>
    <m/>
    <m/>
    <s v="NI"/>
    <s v="NI"/>
    <s v="NI"/>
    <s v="NI"/>
    <s v="NI"/>
    <s v="NI"/>
    <s v="NO"/>
    <s v="AP"/>
    <s v="NO"/>
    <s v="NO"/>
    <s v="NO"/>
    <s v="NO"/>
    <m/>
    <s v="UK"/>
    <s v="NI"/>
    <s v="UK"/>
    <n v="1500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L-13-21"/>
    <s v="Nitinat"/>
    <s v="CAYCUSE RIVER_Sockeye"/>
    <x v="0"/>
    <x v="0"/>
    <x v="2"/>
    <x v="17"/>
    <x v="3"/>
    <m/>
    <m/>
    <n v="4"/>
    <n v="7"/>
    <n v="3"/>
    <n v="1"/>
    <n v="1"/>
    <n v="1"/>
    <m/>
    <s v="PL+D or Presence/Absence"/>
    <s v="Missing 1995 estimate. 2 of the 3 observation were adults present."/>
    <n v="1"/>
    <s v="NI"/>
    <m/>
    <m/>
    <m/>
    <m/>
    <s v="NO"/>
    <n v="1"/>
    <s v="NI"/>
    <s v="NI"/>
    <s v="NI"/>
    <s v="NO"/>
    <s v="AP"/>
    <s v="NO"/>
    <s v="NO"/>
    <s v="AP"/>
    <s v="NO"/>
    <m/>
    <s v="UK"/>
    <s v="UK"/>
    <s v="UK"/>
    <s v="UK"/>
    <s v="UK"/>
    <s v="UK"/>
    <s v="NI"/>
    <s v="UK"/>
    <s v="UK"/>
    <s v="NI"/>
    <s v="UK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JdF [16]"/>
    <s v="Juan de Fuca-Pachena"/>
    <s v="CAYCUSE RIVER_Coho"/>
    <x v="0"/>
    <x v="0"/>
    <x v="2"/>
    <x v="17"/>
    <x v="0"/>
    <m/>
    <m/>
    <n v="4"/>
    <n v="7"/>
    <n v="7"/>
    <n v="57.32313303859889"/>
    <n v="750"/>
    <n v="197.53167708977611"/>
    <m/>
    <s v="PL+D or Presence/Absence"/>
    <s v="Missing 1995 estimate."/>
    <n v="104.8"/>
    <s v="NI"/>
    <m/>
    <m/>
    <m/>
    <s v="NO"/>
    <n v="34"/>
    <n v="51"/>
    <s v="NI"/>
    <s v="NI"/>
    <s v="NI"/>
    <n v="329"/>
    <s v="AP"/>
    <n v="26"/>
    <n v="92"/>
    <n v="26"/>
    <s v="AP"/>
    <m/>
    <s v="NO"/>
    <s v="UK"/>
    <s v="UK"/>
    <s v="UK"/>
    <s v="UK"/>
    <s v="NO"/>
    <s v="NI"/>
    <n v="200"/>
    <n v="175"/>
    <s v="NI"/>
    <s v="UK"/>
    <s v="NI"/>
    <s v="NI"/>
    <s v="NI"/>
    <s v="UK"/>
    <n v="250"/>
    <n v="300"/>
    <n v="320"/>
    <n v="250"/>
    <n v="200"/>
    <n v="200"/>
    <n v="400"/>
    <n v="200"/>
    <n v="75"/>
    <n v="400"/>
    <n v="200"/>
    <n v="750"/>
    <n v="750"/>
    <n v="400"/>
    <n v="200"/>
    <n v="400"/>
    <n v="200"/>
    <n v="200"/>
    <n v="200"/>
    <n v="75"/>
    <n v="75"/>
    <n v="200"/>
    <n v="400"/>
    <n v="200"/>
    <n v="400"/>
    <n v="400"/>
    <n v="750"/>
  </r>
  <r>
    <s v="CM-SWVI [10]"/>
    <s v="Southwest Vancouver Island"/>
    <s v="CAYCUSE RIVER_Chum"/>
    <x v="0"/>
    <x v="0"/>
    <x v="2"/>
    <x v="17"/>
    <x v="1"/>
    <m/>
    <m/>
    <n v="4"/>
    <n v="7"/>
    <n v="7"/>
    <n v="996.94485249504362"/>
    <n v="15000"/>
    <n v="877.97927661734934"/>
    <m/>
    <s v="PL+D or Presence/Absence"/>
    <s v="Missing 1995 estimate."/>
    <n v="1193.5"/>
    <s v="NI"/>
    <m/>
    <m/>
    <m/>
    <s v="NO"/>
    <n v="2964"/>
    <n v="648"/>
    <s v="NI"/>
    <s v="NI"/>
    <s v="NI"/>
    <n v="2286"/>
    <s v="AP"/>
    <n v="150"/>
    <n v="2477"/>
    <n v="600"/>
    <n v="1000"/>
    <m/>
    <n v="100"/>
    <n v="7274"/>
    <n v="2100"/>
    <n v="5000"/>
    <n v="500"/>
    <n v="1000"/>
    <s v="NI"/>
    <n v="100"/>
    <n v="300"/>
    <s v="NI"/>
    <s v="UK"/>
    <s v="NI"/>
    <s v="NI"/>
    <s v="NI"/>
    <n v="3000"/>
    <n v="200"/>
    <n v="300"/>
    <n v="300"/>
    <n v="350"/>
    <n v="750"/>
    <n v="1500"/>
    <n v="3500"/>
    <n v="15000"/>
    <n v="1500"/>
    <n v="750"/>
    <n v="750"/>
    <n v="3500"/>
    <n v="1500"/>
    <n v="75"/>
    <n v="200"/>
    <n v="1500"/>
    <n v="200"/>
    <n v="200"/>
    <n v="1500"/>
    <n v="1500"/>
    <n v="400"/>
    <n v="400"/>
    <n v="750"/>
    <n v="3500"/>
    <n v="1500"/>
    <n v="3500"/>
    <n v="1500"/>
  </r>
  <r>
    <s v="CK-SWVI [31]"/>
    <s v="Southwest Vancouver Island"/>
    <s v="CAYCUSE RIVER_Chinook"/>
    <x v="0"/>
    <x v="0"/>
    <x v="2"/>
    <x v="17"/>
    <x v="2"/>
    <m/>
    <m/>
    <n v="4"/>
    <n v="7"/>
    <n v="3"/>
    <n v="20.784609690826528"/>
    <n v="75"/>
    <n v="28.741017884657055"/>
    <m/>
    <s v="PL+D or Presence/Absence"/>
    <s v="Missing 1995 estimate. 2 of the 3 observation were adults present."/>
    <n v="72"/>
    <s v="NI"/>
    <m/>
    <m/>
    <m/>
    <m/>
    <n v="6"/>
    <s v="NO"/>
    <s v="NI"/>
    <s v="NI"/>
    <s v="NI"/>
    <s v="NO"/>
    <s v="AP"/>
    <s v="NO"/>
    <n v="72"/>
    <s v="NO"/>
    <s v="AP"/>
    <m/>
    <s v="UK"/>
    <s v="UK"/>
    <n v="20"/>
    <s v="NO"/>
    <n v="75"/>
    <n v="50"/>
    <s v="NI"/>
    <s v="UK"/>
    <n v="20"/>
    <s v="NI"/>
    <s v="UK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NO"/>
    <n v="25"/>
    <s v="UK"/>
    <s v="UK"/>
    <s v="UK"/>
    <s v="UK"/>
    <s v="UK"/>
    <s v="UK"/>
    <s v="UK"/>
    <s v="UK"/>
    <s v="UK"/>
    <s v="UK"/>
    <s v="UK"/>
    <s v="UK"/>
  </r>
  <r>
    <s v="CO-JdF [16]"/>
    <s v="Juan de Fuca-Pachena"/>
    <s v="DOOBAH CREEK_Coho"/>
    <x v="0"/>
    <x v="0"/>
    <x v="2"/>
    <x v="18"/>
    <x v="0"/>
    <m/>
    <m/>
    <n v="4"/>
    <n v="6"/>
    <n v="3"/>
    <n v="11.937171623689176"/>
    <n v="850"/>
    <n v="80.10049008223956"/>
    <m/>
    <s v="PL+D or Presence/Absence"/>
    <s v="Missing 1995 estimate."/>
    <n v="13"/>
    <s v="NI"/>
    <m/>
    <m/>
    <m/>
    <s v="NI"/>
    <s v="NI"/>
    <n v="9"/>
    <s v="NI"/>
    <s v="NO"/>
    <s v="NI"/>
    <s v="NI"/>
    <s v="NI"/>
    <n v="9"/>
    <n v="21"/>
    <s v="NO"/>
    <s v="NO"/>
    <m/>
    <s v="NO"/>
    <s v="UK"/>
    <s v="UK"/>
    <n v="10"/>
    <s v="UK"/>
    <s v="UK"/>
    <s v="NI"/>
    <n v="50"/>
    <n v="50"/>
    <s v="NI"/>
    <s v="UK"/>
    <s v="NI"/>
    <s v="NI"/>
    <s v="UK"/>
    <n v="120"/>
    <n v="125"/>
    <n v="150"/>
    <n v="115"/>
    <n v="850"/>
    <n v="75"/>
    <n v="150"/>
    <n v="200"/>
    <n v="75"/>
    <n v="75"/>
    <n v="200"/>
    <n v="200"/>
    <n v="400"/>
    <n v="200"/>
    <n v="25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DOOBAH CREEK_Chum"/>
    <x v="0"/>
    <x v="0"/>
    <x v="2"/>
    <x v="18"/>
    <x v="1"/>
    <m/>
    <m/>
    <n v="4"/>
    <n v="6"/>
    <n v="6"/>
    <n v="389.20318191875469"/>
    <n v="12000"/>
    <n v="518.11984874753603"/>
    <m/>
    <s v="PL+D or Presence/Absence"/>
    <s v="Missing 1995 estimate."/>
    <n v="524.66666666666663"/>
    <s v="NI"/>
    <m/>
    <n v="200"/>
    <m/>
    <s v="NI"/>
    <s v="NI"/>
    <n v="225"/>
    <s v="NI"/>
    <n v="275"/>
    <s v="NI"/>
    <s v="NI"/>
    <s v="NI"/>
    <n v="150"/>
    <n v="1498"/>
    <n v="500"/>
    <n v="500"/>
    <m/>
    <n v="100"/>
    <n v="780"/>
    <s v="NO"/>
    <n v="500"/>
    <s v="UK"/>
    <n v="200"/>
    <s v="NI"/>
    <n v="100"/>
    <n v="320"/>
    <s v="NI"/>
    <s v="UK"/>
    <s v="NI"/>
    <s v="NI"/>
    <s v="UK"/>
    <n v="500"/>
    <n v="130"/>
    <n v="300"/>
    <n v="800"/>
    <n v="850"/>
    <n v="400"/>
    <n v="800"/>
    <n v="1500"/>
    <n v="12000"/>
    <n v="200"/>
    <n v="400"/>
    <n v="3500"/>
    <n v="3500"/>
    <n v="750"/>
    <n v="400"/>
    <s v="NI"/>
    <s v="NI"/>
    <s v="NI"/>
    <s v="NI"/>
    <s v="NI"/>
    <s v="NI"/>
    <s v="NI"/>
    <s v="NI"/>
    <s v="NI"/>
    <s v="NI"/>
    <s v="NI"/>
    <s v="NI"/>
    <s v="NI"/>
  </r>
  <r>
    <s v="CK-SWVI [31]"/>
    <s v="Southwest Vancouver Island"/>
    <s v="DOOBAH CREEK_Chinook"/>
    <x v="0"/>
    <x v="0"/>
    <x v="2"/>
    <x v="18"/>
    <x v="2"/>
    <m/>
    <m/>
    <n v="4"/>
    <n v="6"/>
    <n v="1"/>
    <n v="1"/>
    <n v="1"/>
    <n v="1"/>
    <m/>
    <s v="PL+D or Presence/Absence"/>
    <s v="Missing 1995 estimate. Only 1 chinook observed in 1998."/>
    <n v="1"/>
    <s v="NI"/>
    <m/>
    <m/>
    <m/>
    <s v="NI"/>
    <s v="NI"/>
    <s v="NO"/>
    <s v="NI"/>
    <s v="NO"/>
    <s v="NI"/>
    <s v="NI"/>
    <s v="NI"/>
    <s v="NO"/>
    <n v="1"/>
    <s v="NO"/>
    <s v="NO"/>
    <m/>
    <s v="UK"/>
    <s v="UK"/>
    <s v="UK"/>
    <s v="UK"/>
    <s v="UK"/>
    <s v="UK"/>
    <s v="NI"/>
    <s v="UK"/>
    <s v="UK"/>
    <s v="NI"/>
    <s v="UK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NI"/>
    <s v="NI"/>
    <s v="NI"/>
    <s v="NI"/>
    <s v="NI"/>
    <s v="NI"/>
    <s v="NI"/>
    <s v="NI"/>
    <s v="NI"/>
    <s v="NI"/>
    <s v="NI"/>
    <s v="NI"/>
    <s v="NI"/>
  </r>
  <r>
    <s v="SK-L-13-13"/>
    <s v="Hobiton"/>
    <s v="HOBITON CREEK_Sockeye"/>
    <x v="0"/>
    <x v="0"/>
    <x v="2"/>
    <x v="19"/>
    <x v="3"/>
    <m/>
    <m/>
    <n v="3"/>
    <n v="11"/>
    <n v="7"/>
    <n v="3454.5235200401812"/>
    <n v="49432"/>
    <n v="5037.4107025102776"/>
    <m/>
    <s v="AUC estimate providing we get enough surveys if not then PL+D"/>
    <s v="missing 2004 &amp; 2005 escapement estimate"/>
    <n v="6410"/>
    <s v="NI"/>
    <m/>
    <m/>
    <m/>
    <m/>
    <n v="154"/>
    <m/>
    <m/>
    <n v="4000"/>
    <n v="2500"/>
    <s v="NO"/>
    <n v="13500"/>
    <n v="3671"/>
    <n v="8787"/>
    <n v="9082"/>
    <s v="UK"/>
    <n v="3330"/>
    <n v="7138"/>
    <n v="12744"/>
    <n v="6319"/>
    <n v="11572"/>
    <n v="6539"/>
    <n v="7212"/>
    <n v="6654"/>
    <n v="7385"/>
    <n v="1770"/>
    <n v="9350"/>
    <n v="10400"/>
    <n v="22148"/>
    <n v="49432"/>
    <n v="14595"/>
    <n v="8089"/>
    <n v="5730"/>
    <n v="2150"/>
    <n v="3150"/>
    <n v="6500"/>
    <n v="8050"/>
    <n v="2600"/>
    <n v="1300"/>
    <n v="3400"/>
    <n v="8000"/>
    <n v="2500"/>
    <n v="4000"/>
    <n v="2300"/>
    <n v="7904"/>
    <n v="5350"/>
    <n v="8000"/>
    <n v="6000"/>
    <n v="3500"/>
    <n v="3500"/>
    <n v="8000"/>
    <n v="3500"/>
    <n v="3000"/>
    <n v="2000"/>
    <n v="3500"/>
    <n v="3500"/>
    <n v="1500"/>
    <n v="7500"/>
    <n v="7500"/>
  </r>
  <r>
    <s v="CO-JdF [16]"/>
    <s v="Juan de Fuca-Pachena"/>
    <s v="HOBITON CREEK_Coho"/>
    <x v="0"/>
    <x v="0"/>
    <x v="2"/>
    <x v="19"/>
    <x v="0"/>
    <m/>
    <m/>
    <n v="3"/>
    <n v="11"/>
    <n v="7"/>
    <n v="20.295023559903001"/>
    <n v="200"/>
    <n v="38.04876913750487"/>
    <m/>
    <s v="AUC estimate providing we get enough surveys if not then PL+D"/>
    <s v="missing 2004 escapement estimate"/>
    <n v="31.6"/>
    <s v="NI"/>
    <m/>
    <m/>
    <m/>
    <m/>
    <n v="10"/>
    <n v="7"/>
    <m/>
    <n v="30"/>
    <s v="AP"/>
    <s v="NO"/>
    <s v="AP"/>
    <n v="55"/>
    <n v="11"/>
    <s v="NO"/>
    <n v="55"/>
    <s v="NO"/>
    <s v="UK"/>
    <s v="UK"/>
    <s v="UK"/>
    <s v="UK"/>
    <s v="UK"/>
    <s v="NO"/>
    <s v="UK"/>
    <s v="NI"/>
    <n v="50"/>
    <s v="UK"/>
    <s v="UK"/>
    <s v="UK"/>
    <s v="UK"/>
    <s v="UK"/>
    <n v="120"/>
    <n v="110"/>
    <n v="120"/>
    <n v="125"/>
    <n v="90"/>
    <n v="75"/>
    <n v="150"/>
    <n v="25"/>
    <n v="25"/>
    <n v="25"/>
    <n v="25"/>
    <n v="25"/>
    <n v="200"/>
    <n v="75"/>
    <n v="25"/>
    <n v="25"/>
    <n v="25"/>
    <n v="25"/>
    <n v="25"/>
    <n v="25"/>
    <n v="25"/>
    <n v="25"/>
    <n v="25"/>
    <n v="25"/>
    <s v="UK"/>
    <s v="UK"/>
    <s v="NO"/>
    <s v="NO"/>
  </r>
  <r>
    <s v="CM-SWVI [10]"/>
    <s v="Southwest Vancouver Island"/>
    <s v="HOBITON CREEK_Chum"/>
    <x v="0"/>
    <x v="0"/>
    <x v="2"/>
    <x v="19"/>
    <x v="1"/>
    <m/>
    <m/>
    <n v="3"/>
    <n v="11"/>
    <n v="9"/>
    <n v="2950.0125114826637"/>
    <n v="15905"/>
    <n v="2991.5226421741718"/>
    <m/>
    <s v="AUC estimate providing we get enough surveys if not then PL+D"/>
    <s v="missing 2004 escapement estimate"/>
    <n v="4854.2222222222226"/>
    <s v="NI"/>
    <m/>
    <n v="3000"/>
    <m/>
    <m/>
    <n v="1750"/>
    <n v="4753"/>
    <m/>
    <n v="7200"/>
    <n v="3611"/>
    <n v="125"/>
    <n v="900"/>
    <n v="6000"/>
    <n v="7599"/>
    <n v="7500"/>
    <n v="6000"/>
    <s v="NO"/>
    <s v="UK"/>
    <n v="15905"/>
    <s v="UK"/>
    <s v="NI"/>
    <s v="NI"/>
    <s v="NI"/>
    <s v="UK"/>
    <s v="NI"/>
    <n v="2200"/>
    <s v="UK"/>
    <s v="UK"/>
    <s v="UK"/>
    <s v="UK"/>
    <n v="4000"/>
    <n v="1000"/>
    <n v="200"/>
    <n v="1800"/>
    <n v="550"/>
    <n v="400"/>
    <n v="750"/>
    <n v="800"/>
    <n v="6000"/>
    <n v="7500"/>
    <n v="3500"/>
    <n v="3500"/>
    <n v="3500"/>
    <n v="7500"/>
    <n v="3500"/>
    <n v="400"/>
    <n v="3500"/>
    <n v="7500"/>
    <n v="1500"/>
    <n v="3500"/>
    <n v="7500"/>
    <n v="7500"/>
    <n v="7500"/>
    <n v="3500"/>
    <n v="7500"/>
    <n v="7500"/>
    <n v="7500"/>
    <n v="7500"/>
    <n v="7500"/>
  </r>
  <r>
    <s v="SK-L-13-21"/>
    <s v="Nitinat"/>
    <s v="NITINAT RIVER_Sockeye"/>
    <x v="0"/>
    <x v="0"/>
    <x v="2"/>
    <x v="20"/>
    <x v="3"/>
    <m/>
    <m/>
    <n v="1"/>
    <n v="11"/>
    <n v="10"/>
    <n v="27.5619878907798"/>
    <n v="250"/>
    <n v="31.03503832495036"/>
    <s v="E.   Systems extensively surveyed, with major hatcheries or considerable hatchery contribution"/>
    <s v="AUC"/>
    <s v="Missing 2004 escapement estimate. Also includes the following streams: Jasper Creek; Little Nitinat River; No-Name Creek; Parker Creek; &amp; Worthless Creek"/>
    <n v="62.3"/>
    <n v="75"/>
    <n v="70"/>
    <m/>
    <n v="10"/>
    <s v="NO"/>
    <n v="8"/>
    <n v="2"/>
    <m/>
    <n v="151"/>
    <n v="15"/>
    <n v="15"/>
    <n v="125"/>
    <n v="55"/>
    <n v="110"/>
    <n v="85"/>
    <n v="55"/>
    <n v="10"/>
    <s v="NO"/>
    <s v="UK"/>
    <s v="UK"/>
    <s v="UK"/>
    <s v="UK"/>
    <s v="UK"/>
    <s v="UK"/>
    <s v="UK"/>
    <s v="UK"/>
    <n v="250"/>
    <n v="6"/>
    <n v="38"/>
    <n v="200"/>
    <n v="15"/>
    <n v="10"/>
    <n v="80"/>
    <n v="50"/>
    <s v="UK"/>
    <s v="UK"/>
    <s v="UK"/>
    <s v="UK"/>
    <s v="UK"/>
    <s v="UK"/>
    <n v="25"/>
    <n v="25"/>
    <s v="UK"/>
    <s v="UK"/>
    <s v="NO"/>
    <s v="NO"/>
    <s v="NO"/>
    <n v="25"/>
    <s v="UK"/>
    <s v="UK"/>
    <s v="UK"/>
    <s v="UK"/>
    <s v="UK"/>
    <s v="UK"/>
    <s v="UK"/>
    <s v="UK"/>
    <s v="UK"/>
    <s v="UK"/>
    <s v="UK"/>
  </r>
  <r>
    <s v="CO-JdF [16]"/>
    <s v="Juan de Fuca-Pachena"/>
    <s v="NITINAT RIVER_Coho"/>
    <x v="0"/>
    <x v="0"/>
    <x v="2"/>
    <x v="20"/>
    <x v="0"/>
    <m/>
    <m/>
    <n v="1"/>
    <n v="11"/>
    <n v="11"/>
    <n v="3985.2582036061094"/>
    <n v="11377"/>
    <n v="1623.5486022330326"/>
    <s v="E.   Systems extensively surveyed, with major hatcheries or considerable hatchery contribution"/>
    <s v="AUC"/>
    <s v="Average Esc from 1995-2005 from file: NEW ESCAPEMENT INDEX.XLS.  Also includes the following streams: Jasper Creek; Little Nitinat River; No-Name Creek; Parker Creek; &amp; Worthless Creek"/>
    <n v="6641"/>
    <n v="5000"/>
    <n v="3862"/>
    <n v="3300"/>
    <n v="1621"/>
    <n v="2700"/>
    <n v="1269"/>
    <n v="10000"/>
    <n v="10000"/>
    <n v="11287"/>
    <n v="11341"/>
    <n v="11377"/>
    <n v="4610"/>
    <n v="2651"/>
    <n v="6030"/>
    <n v="1109"/>
    <n v="1082"/>
    <n v="3564"/>
    <n v="200"/>
    <n v="1000"/>
    <n v="500"/>
    <n v="3000"/>
    <n v="4000"/>
    <n v="3000"/>
    <s v="UK"/>
    <n v="2000"/>
    <n v="3800"/>
    <s v="UK"/>
    <s v="UK"/>
    <n v="280"/>
    <n v="50"/>
    <s v="UK"/>
    <n v="600"/>
    <n v="600"/>
    <n v="1200"/>
    <n v="740"/>
    <n v="375"/>
    <n v="600"/>
    <n v="800"/>
    <n v="3500"/>
    <n v="400"/>
    <n v="1500"/>
    <n v="1500"/>
    <n v="1500"/>
    <n v="3500"/>
    <n v="3500"/>
    <n v="3500"/>
    <n v="3500"/>
    <n v="3500"/>
    <n v="750"/>
    <n v="1500"/>
    <n v="1500"/>
    <n v="750"/>
    <n v="750"/>
    <n v="1500"/>
    <n v="750"/>
    <n v="750"/>
    <n v="3500"/>
    <n v="1500"/>
    <n v="1500"/>
  </r>
  <r>
    <s v="Pkodd-WVI [6]"/>
    <s v="West Vancouver Island"/>
    <s v="NITINAT RIVER_Pink"/>
    <x v="0"/>
    <x v="0"/>
    <x v="2"/>
    <x v="20"/>
    <x v="4"/>
    <m/>
    <m/>
    <n v="1"/>
    <n v="11"/>
    <n v="10"/>
    <n v="3.3747944897444015"/>
    <n v="200"/>
    <n v="8.4204665800804754"/>
    <s v="E.   Systems extensively surveyed, with major hatcheries or considerable hatchery contribution"/>
    <s v="AUC"/>
    <s v="Missing 2004 escapement estimate. Also includes the following streams: Jasper Creek; Little Nitinat River; No-Name Creek; Parker Creek; &amp; Worthless Creek"/>
    <n v="5.5"/>
    <n v="7"/>
    <m/>
    <m/>
    <n v="2"/>
    <s v="NO"/>
    <s v="NO"/>
    <n v="1"/>
    <m/>
    <n v="3"/>
    <s v="NO"/>
    <n v="1"/>
    <n v="4"/>
    <n v="7"/>
    <n v="13"/>
    <n v="13"/>
    <s v="NO"/>
    <n v="2"/>
    <s v="UK"/>
    <s v="UK"/>
    <s v="UK"/>
    <s v="UK"/>
    <s v="UK"/>
    <s v="UK"/>
    <s v="UK"/>
    <s v="UK"/>
    <s v="UK"/>
    <n v="50"/>
    <n v="2"/>
    <n v="12"/>
    <s v="UK"/>
    <s v="UK"/>
    <s v="UK"/>
    <s v="UK"/>
    <s v="UK"/>
    <s v="UK"/>
    <s v="UK"/>
    <s v="UK"/>
    <s v="UK"/>
    <s v="UK"/>
    <s v="UK"/>
    <s v="UK"/>
    <s v="UK"/>
    <s v="UK"/>
    <s v="UK"/>
    <s v="UK"/>
    <s v="NO"/>
    <s v="NO"/>
    <n v="25"/>
    <s v="NO"/>
    <n v="75"/>
    <s v="UK"/>
    <n v="25"/>
    <s v="NO"/>
    <n v="200"/>
    <s v="UK"/>
    <s v="UK"/>
    <s v="UK"/>
    <s v="UK"/>
    <s v="UK"/>
  </r>
  <r>
    <s v="CM-SWVI [10]"/>
    <s v="Southwest Vancouver Island"/>
    <s v="NITINAT RIVER_Chum"/>
    <x v="0"/>
    <x v="0"/>
    <x v="2"/>
    <x v="20"/>
    <x v="1"/>
    <m/>
    <m/>
    <n v="1"/>
    <n v="11"/>
    <n v="8"/>
    <n v="139651.44956432475"/>
    <n v="423242"/>
    <n v="51319.744426410027"/>
    <s v="E.   Systems extensively surveyed, with major hatcheries or considerable hatchery contribution"/>
    <s v="AUC"/>
    <s v="Average Esc from 1995-2005 from file: NEW ESCAPEMENT INDEX.XLS.  Missing 2004 escapement estimate. Also includes the following streams: Jasper Creek; Little Nitinat River; No-Name Creek; Parker Creek; &amp; Worthless Creek"/>
    <n v="211379.63636363635"/>
    <n v="244000"/>
    <n v="56000"/>
    <n v="58776"/>
    <n v="47798"/>
    <n v="110000"/>
    <n v="125000"/>
    <n v="300000"/>
    <n v="235000"/>
    <n v="235414"/>
    <n v="36231"/>
    <n v="300953"/>
    <n v="20838"/>
    <n v="145000"/>
    <n v="179179"/>
    <n v="423242"/>
    <n v="330000"/>
    <n v="119319"/>
    <n v="340000"/>
    <n v="220000"/>
    <n v="221700"/>
    <n v="350000"/>
    <s v="UK"/>
    <n v="115000"/>
    <n v="188728"/>
    <n v="50000"/>
    <n v="140000"/>
    <n v="210000"/>
    <n v="76000"/>
    <n v="7960"/>
    <n v="22500"/>
    <n v="111000"/>
    <n v="50000"/>
    <n v="4000"/>
    <n v="6000"/>
    <n v="42000"/>
    <n v="18000"/>
    <n v="8000"/>
    <n v="95000"/>
    <n v="160000"/>
    <n v="230000"/>
    <n v="50000"/>
    <n v="4000"/>
    <n v="11000"/>
    <n v="110000"/>
    <n v="15000"/>
    <n v="7500"/>
    <n v="75000"/>
    <n v="35000"/>
    <n v="5000"/>
    <n v="15000"/>
    <n v="35000"/>
    <n v="35000"/>
    <n v="15000"/>
    <n v="15000"/>
    <n v="15000"/>
    <n v="35000"/>
    <n v="3500"/>
    <n v="75000"/>
    <n v="7500"/>
  </r>
  <r>
    <s v="CK-SWVI [31]"/>
    <s v="Southwest Vancouver Island"/>
    <s v="NITINAT RIVER_Chinook"/>
    <x v="0"/>
    <x v="0"/>
    <x v="2"/>
    <x v="20"/>
    <x v="2"/>
    <m/>
    <m/>
    <n v="1"/>
    <n v="11"/>
    <n v="11"/>
    <n v="14333.293011806643"/>
    <n v="31654"/>
    <n v="3684.3150055992019"/>
    <s v="E.   Systems extensively surveyed, with major hatcheries or considerable hatchery contribution"/>
    <s v="AUC"/>
    <s v="Average Esc from 1995-2005 from file: NEW ESCAPEMENT INDEX.XLS.  Also includes the following streams: Jasper Creek; Little Nitinat River; No-Name Creek; Parker Creek; &amp; Worthless Creek"/>
    <n v="18261.18181818182"/>
    <n v="10000"/>
    <n v="4500"/>
    <n v="5346"/>
    <n v="8849"/>
    <n v="6500"/>
    <n v="12580"/>
    <n v="12000"/>
    <n v="18790"/>
    <n v="25821"/>
    <n v="18204"/>
    <n v="11481"/>
    <n v="6393"/>
    <n v="18183"/>
    <n v="31654"/>
    <n v="28969"/>
    <n v="21843"/>
    <n v="7535"/>
    <n v="11000"/>
    <n v="25000"/>
    <n v="30000"/>
    <n v="12000"/>
    <n v="19000"/>
    <n v="17000"/>
    <n v="21047"/>
    <n v="2500"/>
    <n v="8000"/>
    <n v="12000"/>
    <n v="2200"/>
    <n v="1300"/>
    <n v="2000"/>
    <n v="1000"/>
    <n v="3000"/>
    <n v="3500"/>
    <n v="1200"/>
    <n v="1000"/>
    <n v="650"/>
    <n v="800"/>
    <n v="3000"/>
    <n v="850"/>
    <n v="800"/>
    <n v="1200"/>
    <n v="750"/>
    <n v="1500"/>
    <n v="3500"/>
    <n v="1500"/>
    <n v="3500"/>
    <n v="3500"/>
    <n v="3500"/>
    <n v="1500"/>
    <n v="1500"/>
    <n v="1500"/>
    <n v="750"/>
    <n v="400"/>
    <n v="1500"/>
    <n v="3500"/>
    <n v="400"/>
    <n v="750"/>
    <n v="750"/>
    <n v="750"/>
  </r>
  <r>
    <s v="CO-WVI [17]"/>
    <s v="West Vancouver Island"/>
    <s v="BEAVER CREEK_Coho"/>
    <x v="0"/>
    <x v="0"/>
    <x v="3"/>
    <x v="21"/>
    <x v="0"/>
    <m/>
    <m/>
    <n v="5"/>
    <n v="0"/>
    <m/>
    <e v="#NUM!"/>
    <n v="0"/>
    <e v="#NUM!"/>
    <m/>
    <s v="Presence/Absence"/>
    <s v="Included in Somass escapement estimate. Last time surveyed was in 1989 &amp; 1990 - no fish were observed"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O"/>
    <s v="NO"/>
    <s v="NI"/>
    <s v="NI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BEAVER CREEK_Chum"/>
    <x v="0"/>
    <x v="0"/>
    <x v="3"/>
    <x v="21"/>
    <x v="1"/>
    <m/>
    <m/>
    <n v="5"/>
    <n v="0"/>
    <m/>
    <e v="#NUM!"/>
    <n v="0"/>
    <e v="#NUM!"/>
    <m/>
    <s v="Presence/Absence"/>
    <s v="Included in Somass escapement estimate. Last time surveyed was in 1989 &amp; 1990 - no fish were observed"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O"/>
    <s v="NO"/>
    <s v="NI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WVI [17]"/>
    <s v="West Vancouver Island"/>
    <s v="CAMPSITE CREEK_Coho"/>
    <x v="0"/>
    <x v="0"/>
    <x v="3"/>
    <x v="22"/>
    <x v="0"/>
    <m/>
    <m/>
    <n v="5"/>
    <n v="2"/>
    <n v="2"/>
    <n v="3.4641016151377548"/>
    <n v="12"/>
    <n v="3.4641016151377548"/>
    <m/>
    <s v="PL+D or Presence/Absence"/>
    <s v="Surveyed in 1997 &amp; 1998"/>
    <n v="6.5"/>
    <s v="NI"/>
    <m/>
    <m/>
    <m/>
    <s v="NI"/>
    <s v="NI"/>
    <s v="NI"/>
    <s v="NI"/>
    <s v="NI"/>
    <s v="NI"/>
    <s v="NI"/>
    <s v="NI"/>
    <s v="NI"/>
    <n v="12"/>
    <n v="1"/>
    <s v="NI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AMPSITE CREEK_Chum"/>
    <x v="0"/>
    <x v="0"/>
    <x v="3"/>
    <x v="22"/>
    <x v="1"/>
    <m/>
    <m/>
    <n v="5"/>
    <n v="2"/>
    <n v="2"/>
    <n v="110.77382726652534"/>
    <n v="126"/>
    <n v="110.77382726652534"/>
    <m/>
    <s v="PL+D or Presence/Absence"/>
    <s v="Surveyed in 1997 &amp; 1998"/>
    <n v="109.5"/>
    <s v="NI"/>
    <m/>
    <m/>
    <m/>
    <n v="116"/>
    <s v="NI"/>
    <s v="NI"/>
    <s v="NI"/>
    <s v="NI"/>
    <s v="NI"/>
    <s v="NI"/>
    <s v="NI"/>
    <s v="NI"/>
    <n v="93"/>
    <n v="126"/>
    <s v="NI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WVI [17]"/>
    <s v="West Vancouver Island"/>
    <s v="CANOE PASS CREEK_Coho"/>
    <x v="0"/>
    <x v="0"/>
    <x v="3"/>
    <x v="23"/>
    <x v="0"/>
    <m/>
    <m/>
    <n v="5"/>
    <n v="3"/>
    <n v="0"/>
    <e v="#NUM!"/>
    <n v="200"/>
    <n v="67.939546661452596"/>
    <m/>
    <s v="Presence/Absence"/>
    <s v="Surveyed 3 times, each time no fish were observed"/>
    <m/>
    <s v="NI"/>
    <m/>
    <m/>
    <m/>
    <s v="NI"/>
    <s v="NI"/>
    <s v="NI"/>
    <s v="NI"/>
    <s v="NI"/>
    <s v="NI"/>
    <s v="NI"/>
    <s v="NO"/>
    <s v="NI"/>
    <s v="NI"/>
    <s v="NI"/>
    <s v="NO"/>
    <s v="NO"/>
    <s v="NO"/>
    <s v="NI"/>
    <s v="NI"/>
    <s v="NO"/>
    <s v="NI"/>
    <s v="NI"/>
    <s v="NI"/>
    <s v="NI"/>
    <s v="NI"/>
    <s v="UK"/>
    <s v="UK"/>
    <s v="NI"/>
    <s v="NI"/>
    <s v="UK"/>
    <s v="NI"/>
    <n v="50"/>
    <n v="50"/>
    <n v="50"/>
    <n v="50"/>
    <n v="20"/>
    <n v="75"/>
    <n v="75"/>
    <n v="75"/>
    <n v="75"/>
    <n v="200"/>
    <n v="200"/>
    <n v="75"/>
    <n v="75"/>
    <n v="25"/>
    <n v="25"/>
    <n v="200"/>
    <n v="25"/>
    <n v="200"/>
    <n v="200"/>
    <n v="75"/>
    <n v="200"/>
    <n v="75"/>
    <n v="200"/>
    <n v="25"/>
    <n v="25"/>
    <n v="75"/>
    <n v="25"/>
  </r>
  <r>
    <s v="CM-SWVI [10]"/>
    <s v="Southwest Vancouver Island"/>
    <s v="CANOE PASS CREEK_Chum"/>
    <x v="0"/>
    <x v="0"/>
    <x v="3"/>
    <x v="23"/>
    <x v="1"/>
    <m/>
    <m/>
    <n v="5"/>
    <n v="3"/>
    <n v="0"/>
    <e v="#NUM!"/>
    <n v="400"/>
    <n v="136.59755412911295"/>
    <m/>
    <s v="Presence/Absence"/>
    <s v="Surveyed 3 times, each time no fish were observed"/>
    <m/>
    <s v="NI"/>
    <m/>
    <m/>
    <m/>
    <s v="NI"/>
    <s v="NI"/>
    <s v="NI"/>
    <s v="NI"/>
    <s v="NI"/>
    <s v="NI"/>
    <s v="NI"/>
    <s v="NO"/>
    <s v="NI"/>
    <s v="NI"/>
    <s v="NI"/>
    <s v="NO"/>
    <s v="NO"/>
    <s v="NO"/>
    <s v="NI"/>
    <s v="NI"/>
    <s v="NO"/>
    <s v="NI"/>
    <s v="NI"/>
    <s v="NI"/>
    <s v="NI"/>
    <s v="NI"/>
    <n v="350"/>
    <s v="UK"/>
    <s v="NI"/>
    <s v="NI"/>
    <s v="UK"/>
    <s v="NI"/>
    <n v="60"/>
    <n v="200"/>
    <n v="180"/>
    <n v="200"/>
    <n v="150"/>
    <n v="150"/>
    <n v="200"/>
    <n v="200"/>
    <n v="75"/>
    <n v="75"/>
    <n v="200"/>
    <n v="200"/>
    <n v="200"/>
    <n v="400"/>
    <n v="25"/>
    <n v="200"/>
    <n v="75"/>
    <n v="25"/>
    <n v="75"/>
    <n v="200"/>
    <n v="200"/>
    <n v="200"/>
    <n v="75"/>
    <n v="75"/>
    <n v="200"/>
    <n v="200"/>
    <n v="200"/>
  </r>
  <r>
    <s v="CO-WVI [17]"/>
    <s v="West Vancouver Island"/>
    <s v="CARNATION CREEK_Coho"/>
    <x v="0"/>
    <x v="0"/>
    <x v="3"/>
    <x v="24"/>
    <x v="0"/>
    <m/>
    <m/>
    <n v="1"/>
    <n v="11"/>
    <n v="11"/>
    <n v="158.54016425457587"/>
    <n v="468"/>
    <n v="98.662795956549061"/>
    <s v="Indicator Stock"/>
    <s v="AUC"/>
    <m/>
    <n v="203.54545454545453"/>
    <n v="188"/>
    <n v="109"/>
    <n v="241"/>
    <n v="163"/>
    <n v="139"/>
    <s v="7"/>
    <n v="138"/>
    <n v="160"/>
    <n v="468"/>
    <n v="357"/>
    <n v="289"/>
    <n v="143"/>
    <n v="54"/>
    <n v="331"/>
    <n v="50"/>
    <n v="74"/>
    <n v="175"/>
    <n v="9"/>
    <n v="95"/>
    <n v="107"/>
    <n v="210"/>
    <n v="200"/>
    <n v="156"/>
    <n v="57"/>
    <n v="64"/>
    <n v="119"/>
    <n v="69"/>
    <n v="49"/>
    <n v="103"/>
    <n v="174"/>
    <n v="119"/>
    <n v="175"/>
    <n v="312"/>
    <n v="102"/>
    <n v="127"/>
    <n v="123"/>
    <n v="158"/>
    <n v="159"/>
    <n v="164"/>
    <n v="162"/>
    <n v="189"/>
    <n v="400"/>
    <n v="75"/>
    <n v="200"/>
    <n v="200"/>
    <n v="75"/>
    <n v="75"/>
    <n v="75"/>
    <n v="25"/>
    <n v="25"/>
    <n v="25"/>
    <n v="25"/>
    <n v="25"/>
    <n v="25"/>
    <n v="25"/>
    <n v="25"/>
    <n v="25"/>
    <n v="75"/>
    <n v="400"/>
  </r>
  <r>
    <s v="CM-SWVI [10]"/>
    <s v="Southwest Vancouver Island"/>
    <s v="CARNATION CREEK_Chum"/>
    <x v="0"/>
    <x v="0"/>
    <x v="3"/>
    <x v="24"/>
    <x v="1"/>
    <m/>
    <m/>
    <n v="1"/>
    <n v="11"/>
    <n v="10"/>
    <n v="156.20045181920639"/>
    <n v="4168"/>
    <n v="571.52012139095598"/>
    <s v="Indicator Stock"/>
    <s v="AUC"/>
    <s v="Missing 2005 chum estimate"/>
    <n v="494"/>
    <n v="850"/>
    <n v="59"/>
    <n v="110"/>
    <n v="2"/>
    <n v="120"/>
    <s v="105"/>
    <n v="505"/>
    <n v="2053"/>
    <n v="529"/>
    <n v="77"/>
    <n v="108"/>
    <n v="23"/>
    <n v="90"/>
    <n v="702"/>
    <n v="1063"/>
    <n v="168"/>
    <n v="116"/>
    <n v="81"/>
    <n v="627"/>
    <n v="493"/>
    <n v="170"/>
    <n v="148"/>
    <n v="180"/>
    <n v="1500"/>
    <n v="325"/>
    <n v="275"/>
    <n v="2700"/>
    <n v="950"/>
    <n v="1200"/>
    <n v="1600"/>
    <n v="2300"/>
    <n v="3000"/>
    <n v="450"/>
    <n v="3300"/>
    <n v="1700"/>
    <n v="1500"/>
    <n v="1200"/>
    <n v="3060"/>
    <n v="4168"/>
    <n v="1700"/>
    <n v="1000"/>
    <n v="2000"/>
    <n v="3500"/>
    <n v="1500"/>
    <n v="1500"/>
    <n v="750"/>
    <n v="750"/>
    <n v="1500"/>
    <n v="200"/>
    <n v="400"/>
    <n v="750"/>
    <n v="200"/>
    <n v="400"/>
    <n v="1500"/>
    <n v="1500"/>
    <n v="200"/>
    <n v="400"/>
    <n v="1500"/>
    <n v="1500"/>
  </r>
  <r>
    <s v="CO-WVI [17]"/>
    <s v="West Vancouver Island"/>
    <s v="CASS CREEK_Coho"/>
    <x v="0"/>
    <x v="0"/>
    <x v="3"/>
    <x v="25"/>
    <x v="0"/>
    <m/>
    <m/>
    <n v="5"/>
    <n v="0"/>
    <m/>
    <e v="#NUM!"/>
    <n v="0"/>
    <e v="#NUM!"/>
    <m/>
    <s v="Presence/Absence"/>
    <s v="Last time surveyed was in 1990"/>
    <m/>
    <s v="NI"/>
    <m/>
    <m/>
    <m/>
    <s v="NI"/>
    <s v="NI"/>
    <s v="NI"/>
    <s v="NI"/>
    <s v="NI"/>
    <s v="NI"/>
    <s v="NI"/>
    <s v="NI"/>
    <s v="NI"/>
    <s v="NI"/>
    <s v="NI"/>
    <s v="NI"/>
    <s v="NI"/>
    <s v="UK"/>
    <s v="NI"/>
    <s v="NI"/>
    <s v="NI"/>
    <s v="U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ASS CREEK_Chum"/>
    <x v="0"/>
    <x v="0"/>
    <x v="3"/>
    <x v="25"/>
    <x v="1"/>
    <m/>
    <m/>
    <n v="5"/>
    <n v="0"/>
    <m/>
    <e v="#NUM!"/>
    <n v="60"/>
    <n v="60"/>
    <m/>
    <s v="Presence/Absence"/>
    <s v="Last time surveyed was in 1990"/>
    <m/>
    <s v="NI"/>
    <m/>
    <m/>
    <m/>
    <s v="NI"/>
    <s v="NI"/>
    <s v="NI"/>
    <s v="NI"/>
    <s v="NI"/>
    <s v="NI"/>
    <s v="NI"/>
    <s v="NI"/>
    <s v="NI"/>
    <s v="NI"/>
    <s v="NI"/>
    <s v="NI"/>
    <s v="NI"/>
    <s v="UK"/>
    <s v="NI"/>
    <s v="NI"/>
    <s v="NI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WVI [17]"/>
    <s v="West Vancouver Island"/>
    <s v="CATARACT CREEK_Coho"/>
    <x v="0"/>
    <x v="0"/>
    <x v="3"/>
    <x v="26"/>
    <x v="0"/>
    <m/>
    <m/>
    <n v="5"/>
    <n v="5"/>
    <n v="0"/>
    <e v="#NUM!"/>
    <n v="25"/>
    <n v="24.277410763092881"/>
    <m/>
    <s v="PL+D or Presence/Absence"/>
    <s v="Surveyed by Charter Patrol, so chum was the target species"/>
    <m/>
    <s v="NI"/>
    <m/>
    <m/>
    <m/>
    <s v="NI"/>
    <s v="NI"/>
    <s v="NI"/>
    <s v="NI"/>
    <s v="NI"/>
    <s v="NI"/>
    <s v="NI"/>
    <s v="NI"/>
    <s v="NO"/>
    <s v="NO"/>
    <s v="NO"/>
    <s v="NO"/>
    <s v="NO"/>
    <s v="UK"/>
    <s v="UK"/>
    <s v="NI"/>
    <s v="NO"/>
    <s v="UK"/>
    <s v="NI"/>
    <s v="NI"/>
    <s v="NI"/>
    <s v="UK"/>
    <s v="NI"/>
    <s v="NI"/>
    <s v="NI"/>
    <s v="UK"/>
    <s v="UK"/>
    <s v="NI"/>
    <n v="25"/>
    <n v="24"/>
    <n v="20"/>
    <n v="25"/>
    <n v="25"/>
    <n v="25"/>
    <n v="25"/>
    <n v="25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CATARACT CREEK_Chum"/>
    <x v="0"/>
    <x v="0"/>
    <x v="3"/>
    <x v="26"/>
    <x v="1"/>
    <m/>
    <m/>
    <n v="5"/>
    <n v="5"/>
    <n v="4"/>
    <n v="306.29883223197464"/>
    <n v="1500"/>
    <n v="328.87825076517413"/>
    <m/>
    <s v="PL+D or Presence/Absence"/>
    <m/>
    <n v="381.25"/>
    <s v="NI"/>
    <m/>
    <m/>
    <m/>
    <s v="NI"/>
    <s v="NI"/>
    <s v="NI"/>
    <s v="NI"/>
    <s v="NI"/>
    <s v="NI"/>
    <s v="NI"/>
    <s v="NI"/>
    <n v="360"/>
    <n v="815"/>
    <n v="200"/>
    <n v="150"/>
    <s v="NO"/>
    <n v="500"/>
    <n v="450"/>
    <s v="NI"/>
    <s v="NO"/>
    <s v="NO"/>
    <s v="NI"/>
    <s v="NI"/>
    <s v="NI"/>
    <n v="500"/>
    <s v="NI"/>
    <s v="NI"/>
    <s v="NI"/>
    <n v="308"/>
    <s v="UK"/>
    <s v="NI"/>
    <n v="700"/>
    <n v="250"/>
    <n v="550"/>
    <n v="450"/>
    <n v="300"/>
    <n v="150"/>
    <n v="75"/>
    <n v="750"/>
    <n v="75"/>
    <n v="400"/>
    <n v="400"/>
    <n v="400"/>
    <n v="400"/>
    <n v="400"/>
    <n v="200"/>
    <n v="200"/>
    <n v="75"/>
    <n v="200"/>
    <n v="200"/>
    <n v="400"/>
    <n v="750"/>
    <n v="1500"/>
    <n v="750"/>
    <n v="200"/>
    <n v="400"/>
    <n v="200"/>
    <n v="750"/>
  </r>
  <r>
    <s v="CO-WVI [17]"/>
    <s v="West Vancouver Island"/>
    <s v="CHERRY CREEK_Coho"/>
    <x v="0"/>
    <x v="0"/>
    <x v="3"/>
    <x v="27"/>
    <x v="0"/>
    <m/>
    <m/>
    <n v="3"/>
    <n v="0"/>
    <m/>
    <e v="#NUM!"/>
    <n v="0"/>
    <e v="#NUM!"/>
    <m/>
    <s v="Presence/Absence"/>
    <s v="Included in Somass estimate. Juvenile coho surveys in the spring and habitat work - no known adult escapement surveys."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HERRY CREEK_Chum"/>
    <x v="0"/>
    <x v="0"/>
    <x v="3"/>
    <x v="27"/>
    <x v="1"/>
    <m/>
    <m/>
    <n v="3"/>
    <n v="0"/>
    <m/>
    <e v="#NUM!"/>
    <n v="0"/>
    <e v="#NUM!"/>
    <m/>
    <s v="Presence/Absence"/>
    <s v="Included in Somass estimate. Juvenile coho surveys in the spring and habitat work - no known adult escapement surveys."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WVI [17]"/>
    <s v="West Vancouver Island"/>
    <s v="CHINA CREEK_Coho"/>
    <x v="0"/>
    <x v="0"/>
    <x v="3"/>
    <x v="28"/>
    <x v="0"/>
    <m/>
    <m/>
    <n v="4"/>
    <n v="4"/>
    <n v="2"/>
    <n v="7.745966692414834"/>
    <n v="750"/>
    <n v="73.878790298292657"/>
    <m/>
    <s v="PL+D or Presence/Absence"/>
    <s v="Was not a high priority and was surveyed by Charter Patrol. Chum was the target species."/>
    <n v="8"/>
    <n v="30"/>
    <m/>
    <m/>
    <m/>
    <s v="NI"/>
    <s v="NI"/>
    <s v="NI"/>
    <s v="NI"/>
    <s v="NI"/>
    <n v="6"/>
    <s v="NO"/>
    <n v="10"/>
    <s v="NI"/>
    <s v="NI"/>
    <s v="NI"/>
    <s v="NI"/>
    <s v="NO"/>
    <s v="UK"/>
    <s v="NI"/>
    <s v="NI"/>
    <s v="UK"/>
    <n v="100"/>
    <s v="UK"/>
    <s v="NI"/>
    <s v="NI"/>
    <s v="NI"/>
    <s v="NI"/>
    <s v="UK"/>
    <s v="NI"/>
    <s v="UK"/>
    <n v="90"/>
    <s v="UK"/>
    <n v="90"/>
    <n v="90"/>
    <n v="50"/>
    <n v="70"/>
    <n v="150"/>
    <n v="75"/>
    <n v="75"/>
    <n v="200"/>
    <n v="75"/>
    <n v="75"/>
    <n v="75"/>
    <n v="750"/>
    <n v="200"/>
    <n v="750"/>
    <n v="75"/>
    <n v="200"/>
    <n v="75"/>
    <n v="25"/>
    <n v="200"/>
    <n v="25"/>
    <n v="25"/>
    <n v="75"/>
    <n v="75"/>
    <n v="25"/>
    <s v="UK"/>
    <n v="25"/>
    <n v="75"/>
  </r>
  <r>
    <s v="CM-SWVI [10]"/>
    <s v="Southwest Vancouver Island"/>
    <s v="CHINA CREEK_Chum"/>
    <x v="0"/>
    <x v="0"/>
    <x v="3"/>
    <x v="28"/>
    <x v="1"/>
    <m/>
    <m/>
    <n v="4"/>
    <n v="4"/>
    <n v="2"/>
    <n v="250"/>
    <n v="250"/>
    <n v="54.674779270555881"/>
    <m/>
    <s v="PL+D or Presence/Absence"/>
    <s v="Was not a high priority and was surveyed by Charter Patrol. Only 2 estimates of chum in 2001 &amp; 2002."/>
    <n v="250"/>
    <n v="15"/>
    <m/>
    <m/>
    <m/>
    <s v="NI"/>
    <s v="NI"/>
    <s v="NI"/>
    <s v="NI"/>
    <s v="NI"/>
    <n v="250"/>
    <n v="250"/>
    <s v="NO"/>
    <s v="NI"/>
    <s v="NI"/>
    <s v="NI"/>
    <s v="NI"/>
    <s v="NO"/>
    <s v="UK"/>
    <s v="NI"/>
    <s v="NI"/>
    <s v="UK"/>
    <n v="15"/>
    <s v="UK"/>
    <s v="NI"/>
    <s v="NI"/>
    <s v="NI"/>
    <s v="NI"/>
    <s v="UK"/>
    <s v="NI"/>
    <s v="UK"/>
    <s v="NO"/>
    <s v="UK"/>
    <s v="NO"/>
    <s v="NO"/>
    <s v="NO"/>
    <n v="20"/>
    <s v="NO"/>
    <n v="75"/>
    <n v="75"/>
    <n v="25"/>
    <s v="NO"/>
    <s v="NO"/>
    <n v="25"/>
    <n v="200"/>
    <n v="200"/>
    <n v="25"/>
    <n v="25"/>
    <n v="25"/>
    <n v="25"/>
    <n v="25"/>
    <n v="75"/>
    <n v="25"/>
    <n v="75"/>
    <n v="75"/>
    <n v="25"/>
    <n v="25"/>
    <n v="200"/>
    <n v="200"/>
    <n v="75"/>
  </r>
  <r>
    <s v="SK-WVI [R10]"/>
    <s v="West Vancouver Island"/>
    <s v="CLEMENS CREEK_Sockeye"/>
    <x v="0"/>
    <x v="0"/>
    <x v="3"/>
    <x v="29"/>
    <x v="3"/>
    <m/>
    <m/>
    <n v="3"/>
    <n v="3"/>
    <n v="3"/>
    <n v="2620.9414596814627"/>
    <n v="10547"/>
    <n v="2620.9414596814627"/>
    <m/>
    <s v="AUC estimate providing we get enough surveys if not then PL+D"/>
    <s v="Not an accurate average, only 3 years of data used. Missing data from 1995 through 2001."/>
    <n v="1596"/>
    <n v="20422"/>
    <n v="45000"/>
    <n v="30000"/>
    <n v="10547"/>
    <n v="8920"/>
    <n v="1465"/>
    <n v="1800"/>
    <s v="NI"/>
    <n v="2456"/>
    <n v="5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WVI [17]"/>
    <s v="West Vancouver Island"/>
    <s v="CLEMENS CREEK_Coho"/>
    <x v="0"/>
    <x v="0"/>
    <x v="3"/>
    <x v="29"/>
    <x v="0"/>
    <m/>
    <m/>
    <n v="3"/>
    <n v="3"/>
    <n v="3"/>
    <n v="943.96876943303641"/>
    <n v="1855"/>
    <n v="943.96876943303641"/>
    <m/>
    <s v="AUC estimate providing we get enough surveys if not then PL+D"/>
    <s v="Not an accurate average, only 3 years of data used. Missing data from 1995 through 2001."/>
    <n v="1077.6666666666667"/>
    <n v="1820"/>
    <n v="2303"/>
    <n v="3500"/>
    <n v="1855"/>
    <n v="1162"/>
    <m/>
    <n v="1570"/>
    <s v="NI"/>
    <n v="1517"/>
    <n v="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LEMENS CREEK_Chum"/>
    <x v="0"/>
    <x v="0"/>
    <x v="3"/>
    <x v="29"/>
    <x v="1"/>
    <m/>
    <m/>
    <n v="3"/>
    <n v="3"/>
    <n v="3"/>
    <n v="73.728744657672152"/>
    <n v="138"/>
    <n v="73.728744657672152"/>
    <m/>
    <s v="AUC estimate providing we get enough surveys if not then PL+D"/>
    <s v="Not an accurate average, only 3 years of data used. Missing data from 1995 through 2001."/>
    <n v="89"/>
    <n v="193"/>
    <n v="1723"/>
    <n v="350"/>
    <n v="44"/>
    <n v="69"/>
    <n v="130"/>
    <n v="138"/>
    <s v="NI"/>
    <n v="40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SWVI [31]"/>
    <s v="Southwest Vancouver Island"/>
    <s v="CLEMENS CREEK_Chinook"/>
    <x v="0"/>
    <x v="0"/>
    <x v="3"/>
    <x v="29"/>
    <x v="2"/>
    <m/>
    <m/>
    <n v="3"/>
    <n v="3"/>
    <n v="3"/>
    <n v="41.0441019464959"/>
    <n v="182"/>
    <n v="41.0441019464959"/>
    <m/>
    <s v="AUC estimate providing we get enough surveys if not then PL+D"/>
    <s v="Not an accurate average, only 3 years of data used. Missing data from 1995 through 2001."/>
    <n v="39"/>
    <n v="704"/>
    <n v="1"/>
    <n v="75"/>
    <n v="123"/>
    <n v="182"/>
    <n v="37"/>
    <n v="37"/>
    <s v="NI"/>
    <n v="7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WVI [17]"/>
    <s v="West Vancouver Island"/>
    <s v="COEUR D'ALENE CREEK_Coho"/>
    <x v="0"/>
    <x v="0"/>
    <x v="3"/>
    <x v="30"/>
    <x v="0"/>
    <m/>
    <m/>
    <n v="4"/>
    <n v="9"/>
    <n v="4"/>
    <n v="39.205135057718394"/>
    <n v="400"/>
    <n v="70.1637399403443"/>
    <m/>
    <s v="PL+D or Presence/Absence"/>
    <s v="Charter Patrol stream, chum is the target species"/>
    <n v="42"/>
    <s v="NI"/>
    <m/>
    <m/>
    <m/>
    <s v="NI"/>
    <s v="NI"/>
    <s v="NI"/>
    <s v="NO"/>
    <s v="NI"/>
    <s v="NO"/>
    <s v="NO"/>
    <s v="NO"/>
    <n v="50"/>
    <n v="25"/>
    <n v="63"/>
    <s v="NO"/>
    <n v="30"/>
    <s v="NO"/>
    <s v="AP"/>
    <s v="UK"/>
    <s v="NO"/>
    <s v="UK"/>
    <s v="NI"/>
    <s v="UK"/>
    <s v="NI"/>
    <s v="NI"/>
    <s v="UK"/>
    <s v="UK"/>
    <s v="UK"/>
    <s v="NO"/>
    <s v="NO"/>
    <s v="NI"/>
    <n v="80"/>
    <n v="100"/>
    <n v="85"/>
    <n v="90"/>
    <n v="75"/>
    <n v="75"/>
    <n v="200"/>
    <n v="25"/>
    <n v="25"/>
    <n v="200"/>
    <n v="75"/>
    <n v="200"/>
    <n v="200"/>
    <n v="25"/>
    <n v="25"/>
    <n v="75"/>
    <n v="25"/>
    <n v="75"/>
    <n v="200"/>
    <n v="25"/>
    <n v="75"/>
    <n v="75"/>
    <n v="75"/>
    <n v="400"/>
    <n v="75"/>
    <n v="200"/>
    <n v="25"/>
  </r>
  <r>
    <s v="CM-SWVI [10]"/>
    <s v="Southwest Vancouver Island"/>
    <s v="COEUR D'ALENE CREEK_Chum"/>
    <x v="0"/>
    <x v="0"/>
    <x v="3"/>
    <x v="30"/>
    <x v="1"/>
    <m/>
    <m/>
    <n v="4"/>
    <n v="9"/>
    <n v="7"/>
    <n v="233.52698616814601"/>
    <n v="1200"/>
    <n v="174.11070816988882"/>
    <m/>
    <s v="PL+D or Presence/Absence"/>
    <s v="Charter Patrol stream, chum is the target species"/>
    <n v="392.42857142857144"/>
    <s v="NI"/>
    <m/>
    <m/>
    <m/>
    <s v="NI"/>
    <s v="NI"/>
    <s v="NI"/>
    <n v="167"/>
    <s v="NI"/>
    <n v="1200"/>
    <n v="300"/>
    <s v="NO"/>
    <n v="100"/>
    <n v="600"/>
    <n v="350"/>
    <s v="NO"/>
    <n v="30"/>
    <n v="40"/>
    <s v="AP"/>
    <n v="185"/>
    <s v="NO"/>
    <n v="200"/>
    <s v="NI"/>
    <n v="26"/>
    <s v="NI"/>
    <s v="NI"/>
    <n v="750"/>
    <s v="UK"/>
    <n v="20"/>
    <s v="NO"/>
    <n v="50"/>
    <s v="NI"/>
    <n v="50"/>
    <n v="200"/>
    <n v="200"/>
    <n v="250"/>
    <n v="150"/>
    <n v="750"/>
    <n v="400"/>
    <n v="750"/>
    <n v="75"/>
    <n v="200"/>
    <n v="750"/>
    <n v="750"/>
    <n v="750"/>
    <n v="75"/>
    <n v="75"/>
    <n v="75"/>
    <n v="25"/>
    <n v="200"/>
    <n v="75"/>
    <n v="200"/>
    <n v="750"/>
    <n v="400"/>
    <n v="400"/>
    <n v="75"/>
    <n v="75"/>
    <n v="400"/>
    <n v="75"/>
  </r>
  <r>
    <s v="CK-SWVI [31]"/>
    <s v="Southwest Vancouver Island"/>
    <s v="COEUR D'ALENE CREEK_Chinook"/>
    <x v="0"/>
    <x v="0"/>
    <x v="3"/>
    <x v="30"/>
    <x v="2"/>
    <m/>
    <m/>
    <n v="4"/>
    <n v="9"/>
    <n v="2"/>
    <n v="14.142135623730951"/>
    <n v="50"/>
    <n v="20.171767213911689"/>
    <m/>
    <s v="PL+D or Presence/Absence"/>
    <s v="Charter Patrol stream, chum is the target species"/>
    <n v="15"/>
    <s v="NI"/>
    <m/>
    <m/>
    <m/>
    <s v="NI"/>
    <s v="NI"/>
    <s v="NI"/>
    <s v="NO"/>
    <s v="NI"/>
    <s v="NO"/>
    <n v="10"/>
    <s v="NO"/>
    <s v="NO"/>
    <s v="NO"/>
    <s v="NO"/>
    <s v="NO"/>
    <n v="20"/>
    <n v="30"/>
    <s v="UK"/>
    <s v="UK"/>
    <s v="UK"/>
    <s v="UK"/>
    <s v="NI"/>
    <s v="UK"/>
    <s v="NI"/>
    <s v="NI"/>
    <s v="UK"/>
    <s v="UK"/>
    <s v="UK"/>
    <s v="UK"/>
    <s v="UK"/>
    <s v="NI"/>
    <s v="NO"/>
    <s v="NO"/>
    <s v="UK"/>
    <s v="UK"/>
    <n v="25"/>
    <n v="50"/>
    <n v="25"/>
    <n v="25"/>
    <n v="25"/>
    <n v="25"/>
    <s v="NO"/>
    <s v="UK"/>
    <s v="NO"/>
    <s v="NO"/>
    <s v="NO"/>
    <s v="UK"/>
    <n v="2"/>
    <s v="UK"/>
    <s v="UK"/>
    <n v="25"/>
    <n v="25"/>
    <n v="25"/>
    <s v="UK"/>
    <s v="UK"/>
    <s v="UK"/>
    <s v="UK"/>
    <s v="UK"/>
  </r>
  <r>
    <s v="CO-WVI [17]"/>
    <s v="West Vancouver Island"/>
    <s v="COLEMAN CREEK_Coho"/>
    <x v="0"/>
    <x v="0"/>
    <x v="3"/>
    <x v="31"/>
    <x v="0"/>
    <m/>
    <m/>
    <n v="4"/>
    <n v="9"/>
    <n v="2"/>
    <n v="22.360679774997898"/>
    <n v="300"/>
    <n v="41.594634407785826"/>
    <m/>
    <s v="PL+D or Presence/Absence"/>
    <s v="Charter Patrol stream, chum is the target species"/>
    <n v="22.5"/>
    <s v="NI"/>
    <m/>
    <m/>
    <m/>
    <s v="NI"/>
    <s v="NI"/>
    <s v="NO"/>
    <s v="NI"/>
    <s v="NO"/>
    <s v="NO"/>
    <s v="NO"/>
    <s v="NO"/>
    <s v="NI"/>
    <s v="NO"/>
    <s v="NO"/>
    <n v="25"/>
    <n v="20"/>
    <s v="NI"/>
    <s v="NO"/>
    <n v="300"/>
    <n v="10"/>
    <s v="UK"/>
    <s v="NI"/>
    <s v="NI"/>
    <s v="NI"/>
    <s v="NI"/>
    <s v="NI"/>
    <s v="UK"/>
    <s v="NI"/>
    <n v="36"/>
    <s v="NO"/>
    <s v="NI"/>
    <n v="50"/>
    <n v="150"/>
    <n v="60"/>
    <n v="45"/>
    <n v="75"/>
    <n v="25"/>
    <n v="200"/>
    <n v="75"/>
    <n v="25"/>
    <n v="200"/>
    <n v="75"/>
    <n v="200"/>
    <n v="25"/>
    <n v="25"/>
    <n v="25"/>
    <n v="75"/>
    <n v="25"/>
    <n v="25"/>
    <n v="25"/>
    <n v="25"/>
    <n v="25"/>
    <n v="25"/>
    <n v="25"/>
    <n v="25"/>
    <n v="25"/>
    <n v="25"/>
    <n v="25"/>
  </r>
  <r>
    <s v="CM-SWVI [10]"/>
    <s v="Southwest Vancouver Island"/>
    <s v="COLEMAN CREEK_Chum"/>
    <x v="0"/>
    <x v="0"/>
    <x v="3"/>
    <x v="31"/>
    <x v="1"/>
    <m/>
    <m/>
    <n v="4"/>
    <n v="9"/>
    <n v="6"/>
    <n v="62.974194912304569"/>
    <n v="1500"/>
    <n v="47.232299535150524"/>
    <m/>
    <s v="PL+D or Presence/Absence"/>
    <s v="Charter Patrol stream, chum is the target species"/>
    <n v="65.666666666666671"/>
    <s v="NI"/>
    <m/>
    <m/>
    <m/>
    <s v="NI"/>
    <s v="NI"/>
    <s v="NO"/>
    <s v="NI"/>
    <n v="54"/>
    <n v="70"/>
    <n v="110"/>
    <s v="NO"/>
    <s v="NI"/>
    <s v="NO"/>
    <n v="50"/>
    <n v="60"/>
    <n v="50"/>
    <s v="NI"/>
    <s v="NO"/>
    <n v="50"/>
    <s v="NO"/>
    <n v="100"/>
    <s v="NI"/>
    <s v="NI"/>
    <s v="NI"/>
    <s v="NI"/>
    <s v="NI"/>
    <s v="UK"/>
    <s v="NI"/>
    <n v="10"/>
    <s v="NO"/>
    <s v="NI"/>
    <s v="NO"/>
    <s v="NO"/>
    <n v="30"/>
    <n v="40"/>
    <n v="10"/>
    <s v="NO"/>
    <s v="NO"/>
    <n v="1500"/>
    <n v="25"/>
    <n v="200"/>
    <n v="75"/>
    <n v="400"/>
    <n v="75"/>
    <n v="400"/>
    <n v="25"/>
    <n v="25"/>
    <n v="25"/>
    <n v="25"/>
    <n v="25"/>
    <n v="25"/>
    <n v="25"/>
    <n v="25"/>
    <n v="25"/>
    <n v="25"/>
    <n v="25"/>
    <n v="25"/>
    <n v="25"/>
  </r>
  <r>
    <s v="CO-WVI [17]"/>
    <s v="West Vancouver Island"/>
    <s v="CONSINKA CREEK_Coho"/>
    <x v="0"/>
    <x v="0"/>
    <x v="3"/>
    <x v="32"/>
    <x v="0"/>
    <m/>
    <m/>
    <n v="4"/>
    <n v="10"/>
    <n v="2"/>
    <n v="1"/>
    <n v="200"/>
    <n v="27.661306232019843"/>
    <m/>
    <s v="PL+D or Presence/Absence"/>
    <s v="Charter Patrol stream, chum is the target species"/>
    <n v="1"/>
    <s v="NO"/>
    <m/>
    <m/>
    <m/>
    <s v="NI"/>
    <s v="NI"/>
    <n v="1"/>
    <s v="NO"/>
    <s v="NO"/>
    <s v="NO"/>
    <s v="NO"/>
    <s v="NO"/>
    <s v="NO"/>
    <s v="NO"/>
    <s v="NO"/>
    <s v="NI"/>
    <n v="1"/>
    <s v="NI"/>
    <s v="AP"/>
    <s v="NI"/>
    <s v="NO"/>
    <s v="UK"/>
    <s v="NI"/>
    <s v="NI"/>
    <s v="NI"/>
    <s v="NO"/>
    <s v="UK"/>
    <s v="UK"/>
    <s v="NI"/>
    <s v="NO"/>
    <s v="NO"/>
    <s v="NI"/>
    <n v="50"/>
    <n v="80"/>
    <n v="120"/>
    <n v="75"/>
    <n v="40"/>
    <n v="75"/>
    <n v="200"/>
    <n v="25"/>
    <n v="25"/>
    <n v="75"/>
    <n v="25"/>
    <n v="25"/>
    <n v="25"/>
    <n v="25"/>
    <n v="25"/>
    <n v="25"/>
    <s v="NO"/>
    <n v="25"/>
    <n v="25"/>
    <n v="25"/>
    <n v="25"/>
    <n v="25"/>
    <n v="25"/>
    <n v="25"/>
    <n v="25"/>
    <n v="25"/>
    <n v="25"/>
  </r>
  <r>
    <s v="CM-SWVI [10]"/>
    <s v="Southwest Vancouver Island"/>
    <s v="CONSINKA CREEK_Chum"/>
    <x v="0"/>
    <x v="0"/>
    <x v="3"/>
    <x v="32"/>
    <x v="1"/>
    <m/>
    <m/>
    <n v="4"/>
    <n v="10"/>
    <n v="9"/>
    <n v="157.35773337467103"/>
    <n v="1500"/>
    <n v="296.94118252295073"/>
    <m/>
    <s v="PL+D or Presence/Absence"/>
    <s v="Charter Patrol stream, chum is the target species"/>
    <n v="297.66666666666669"/>
    <n v="320"/>
    <m/>
    <m/>
    <m/>
    <s v="NI"/>
    <s v="NI"/>
    <n v="680"/>
    <n v="50"/>
    <n v="333"/>
    <n v="311"/>
    <n v="160"/>
    <n v="60"/>
    <s v="NO"/>
    <n v="1000"/>
    <n v="35"/>
    <s v="NI"/>
    <n v="50"/>
    <s v="NI"/>
    <s v="AP"/>
    <s v="NI"/>
    <s v="NO"/>
    <n v="20"/>
    <s v="NI"/>
    <s v="NI"/>
    <s v="NI"/>
    <n v="100"/>
    <n v="700"/>
    <s v="UK"/>
    <s v="NI"/>
    <n v="550"/>
    <s v="NO"/>
    <s v="NI"/>
    <n v="200"/>
    <n v="1000"/>
    <n v="900"/>
    <n v="500"/>
    <n v="400"/>
    <n v="750"/>
    <n v="500"/>
    <n v="750"/>
    <n v="400"/>
    <n v="750"/>
    <n v="400"/>
    <n v="750"/>
    <n v="200"/>
    <n v="400"/>
    <n v="200"/>
    <n v="75"/>
    <n v="200"/>
    <n v="200"/>
    <n v="200"/>
    <n v="200"/>
    <n v="750"/>
    <n v="200"/>
    <n v="200"/>
    <n v="400"/>
    <n v="750"/>
    <n v="1500"/>
    <n v="750"/>
  </r>
  <r>
    <s v="CK-SWVI [31]"/>
    <s v="Southwest Vancouver Island"/>
    <s v="CONSINKA CREEK_Chinook"/>
    <x v="0"/>
    <x v="0"/>
    <x v="3"/>
    <x v="32"/>
    <x v="2"/>
    <m/>
    <m/>
    <n v="4"/>
    <n v="10"/>
    <n v="1"/>
    <n v="6"/>
    <n v="6"/>
    <n v="6"/>
    <m/>
    <s v="PL+D or Presence/Absence"/>
    <s v="Charter Patrol stream, chum is the target species"/>
    <n v="6"/>
    <s v="NO"/>
    <m/>
    <m/>
    <m/>
    <s v="NI"/>
    <s v="NI"/>
    <s v="NO"/>
    <s v="NO"/>
    <s v="NO"/>
    <s v="NO"/>
    <s v="NO"/>
    <s v="NO"/>
    <s v="NO"/>
    <s v="NO"/>
    <s v="NO"/>
    <s v="NI"/>
    <n v="6"/>
    <s v="NI"/>
    <s v="UK"/>
    <s v="NI"/>
    <s v="UK"/>
    <s v="UK"/>
    <s v="NI"/>
    <s v="NI"/>
    <s v="NI"/>
    <s v="UK"/>
    <s v="UK"/>
    <s v="NO"/>
    <s v="NI"/>
    <s v="UK"/>
    <s v="UK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COUS CREEK_Coho"/>
    <x v="0"/>
    <x v="0"/>
    <x v="3"/>
    <x v="33"/>
    <x v="0"/>
    <m/>
    <m/>
    <n v="4"/>
    <n v="11"/>
    <n v="2"/>
    <n v="79.37005259840997"/>
    <n v="750"/>
    <n v="97.295643055910745"/>
    <m/>
    <s v="PL+D or Presence/Absence"/>
    <s v="Charter Patrol stream, chum is the target species"/>
    <n v="190"/>
    <s v="NO"/>
    <m/>
    <m/>
    <m/>
    <s v="NI"/>
    <s v="NI"/>
    <s v="NO"/>
    <s v="NO"/>
    <n v="50"/>
    <s v="NO"/>
    <s v="NO"/>
    <s v="NO"/>
    <s v="NO"/>
    <n v="500"/>
    <s v="NO"/>
    <n v="20"/>
    <s v="NO"/>
    <s v="NO"/>
    <s v="UK"/>
    <s v="NI"/>
    <s v="NI"/>
    <s v="UK"/>
    <s v="NI"/>
    <s v="NI"/>
    <s v="NI"/>
    <s v="NI"/>
    <s v="UK"/>
    <s v="UK"/>
    <n v="70"/>
    <n v="60"/>
    <s v="NO"/>
    <s v="NI"/>
    <n v="50"/>
    <n v="70"/>
    <n v="90"/>
    <n v="85"/>
    <n v="75"/>
    <n v="75"/>
    <n v="200"/>
    <n v="75"/>
    <n v="75"/>
    <n v="200"/>
    <n v="400"/>
    <n v="400"/>
    <n v="200"/>
    <n v="750"/>
    <n v="200"/>
    <n v="75"/>
    <n v="75"/>
    <n v="200"/>
    <n v="75"/>
    <n v="75"/>
    <n v="75"/>
    <n v="25"/>
    <n v="25"/>
    <n v="75"/>
    <s v="UK"/>
    <n v="75"/>
    <n v="75"/>
  </r>
  <r>
    <s v="CM-SWVI [10]"/>
    <s v="Southwest Vancouver Island"/>
    <s v="COUS CREEK_Chum"/>
    <x v="0"/>
    <x v="0"/>
    <x v="3"/>
    <x v="33"/>
    <x v="1"/>
    <m/>
    <m/>
    <n v="4"/>
    <n v="11"/>
    <n v="11"/>
    <n v="5220.7511459202033"/>
    <n v="20000"/>
    <n v="582.01502974524658"/>
    <m/>
    <s v="PL+D or Presence/Absence"/>
    <s v="Charter Patrol stream, chum is the target species"/>
    <n v="7333.363636363636"/>
    <n v="6100"/>
    <m/>
    <m/>
    <m/>
    <s v="NI"/>
    <s v="NI"/>
    <n v="6352"/>
    <n v="8000"/>
    <n v="6250"/>
    <n v="17215"/>
    <n v="5000"/>
    <n v="950"/>
    <n v="7500"/>
    <n v="20000"/>
    <n v="5600"/>
    <n v="1800"/>
    <n v="2000"/>
    <n v="1400"/>
    <s v="AP"/>
    <s v="NI"/>
    <s v="NI"/>
    <n v="12"/>
    <s v="NI"/>
    <s v="NI"/>
    <s v="NI"/>
    <s v="NI"/>
    <n v="600"/>
    <s v="UK"/>
    <n v="700"/>
    <n v="36"/>
    <s v="NO"/>
    <s v="NI"/>
    <n v="120"/>
    <n v="100"/>
    <n v="380"/>
    <n v="550"/>
    <n v="400"/>
    <n v="350"/>
    <n v="750"/>
    <n v="1500"/>
    <n v="200"/>
    <n v="750"/>
    <n v="3500"/>
    <n v="400"/>
    <n v="200"/>
    <n v="400"/>
    <n v="200"/>
    <n v="25"/>
    <n v="75"/>
    <n v="200"/>
    <n v="200"/>
    <n v="75"/>
    <n v="200"/>
    <n v="750"/>
    <n v="200"/>
    <n v="200"/>
    <s v="UK"/>
    <n v="750"/>
    <n v="200"/>
  </r>
  <r>
    <s v="CK-SWVI [31]"/>
    <s v="Southwest Vancouver Island"/>
    <s v="COUS CREEK_Chinook"/>
    <x v="0"/>
    <x v="0"/>
    <x v="3"/>
    <x v="33"/>
    <x v="2"/>
    <m/>
    <m/>
    <n v="4"/>
    <n v="11"/>
    <n v="0"/>
    <e v="#NUM!"/>
    <n v="25"/>
    <n v="19.807096178377339"/>
    <m/>
    <s v="PL+D or Presence/Absence"/>
    <s v="Charter Patrol stream, chum is the target species"/>
    <m/>
    <s v="NO"/>
    <m/>
    <m/>
    <m/>
    <s v="NI"/>
    <s v="NI"/>
    <s v="NO"/>
    <s v="NO"/>
    <s v="NO"/>
    <s v="NO"/>
    <s v="NO"/>
    <s v="NO"/>
    <s v="NO"/>
    <s v="NO"/>
    <s v="NO"/>
    <s v="NO"/>
    <s v="NO"/>
    <s v="UK"/>
    <s v="UK"/>
    <s v="NI"/>
    <s v="NI"/>
    <n v="2"/>
    <s v="NI"/>
    <s v="NI"/>
    <s v="NI"/>
    <s v="NI"/>
    <n v="25"/>
    <s v="NO"/>
    <s v="UK"/>
    <s v="UK"/>
    <s v="UK"/>
    <s v="NI"/>
    <s v="NO"/>
    <s v="NO"/>
    <n v="20"/>
    <n v="15"/>
    <n v="25"/>
    <n v="25"/>
    <n v="25"/>
    <n v="25"/>
    <n v="25"/>
    <s v="NO"/>
    <n v="25"/>
    <s v="UK"/>
    <n v="25"/>
    <n v="25"/>
    <n v="25"/>
    <n v="25"/>
    <s v="UK"/>
    <s v="UK"/>
    <s v="UK"/>
    <s v="UK"/>
    <s v="UK"/>
    <s v="UK"/>
    <s v="UK"/>
    <s v="UK"/>
    <s v="UK"/>
    <s v="UK"/>
    <s v="UK"/>
  </r>
  <r>
    <s v="CO-WVI [17]"/>
    <s v="West Vancouver Island"/>
    <s v="DEER CREEK_Coho"/>
    <x v="0"/>
    <x v="0"/>
    <x v="3"/>
    <x v="34"/>
    <x v="0"/>
    <m/>
    <m/>
    <n v="5"/>
    <n v="0"/>
    <m/>
    <e v="#NUM!"/>
    <n v="15"/>
    <n v="10.954451150103322"/>
    <m/>
    <s v="Presence/Absence"/>
    <s v="Last time stream was surveyed was in 1993"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n v="15"/>
    <s v="NI"/>
    <s v="NI"/>
    <s v="NI"/>
    <n v="8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DEER CREEK_Chum"/>
    <x v="0"/>
    <x v="0"/>
    <x v="3"/>
    <x v="34"/>
    <x v="1"/>
    <m/>
    <m/>
    <n v="5"/>
    <n v="0"/>
    <m/>
    <e v="#NUM!"/>
    <n v="0"/>
    <e v="#NUM!"/>
    <m/>
    <s v="Presence/Absence"/>
    <s v="Last time stream was surveyed was in 1993"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s v="NO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WVI [17]"/>
    <s v="West Vancouver Island"/>
    <s v="DUTCH HARBOUR CREEK EAST_Coho"/>
    <x v="0"/>
    <x v="0"/>
    <x v="3"/>
    <x v="35"/>
    <x v="0"/>
    <m/>
    <m/>
    <n v="4"/>
    <n v="8"/>
    <n v="0"/>
    <e v="#NUM!"/>
    <n v="400"/>
    <n v="43.616101044830337"/>
    <m/>
    <s v="Presence/Absence"/>
    <s v="Charter Patrol stream, chum is the target species"/>
    <m/>
    <s v="NI"/>
    <m/>
    <m/>
    <m/>
    <s v="NI"/>
    <s v="NI"/>
    <s v="NI"/>
    <s v="NO"/>
    <s v="NO"/>
    <s v="NI"/>
    <s v="NO"/>
    <s v="NO"/>
    <s v="NI"/>
    <s v="NO"/>
    <s v="NO"/>
    <s v="NO"/>
    <s v="NO"/>
    <n v="10"/>
    <s v="UK"/>
    <s v="NI"/>
    <s v="NI"/>
    <s v="NI"/>
    <s v="NI"/>
    <s v="NI"/>
    <s v="NI"/>
    <s v="NO"/>
    <s v="NI"/>
    <s v="UK"/>
    <s v="NO"/>
    <s v="NO"/>
    <n v="4"/>
    <n v="75"/>
    <n v="75"/>
    <n v="80"/>
    <n v="120"/>
    <n v="90"/>
    <n v="25"/>
    <n v="50"/>
    <n v="200"/>
    <n v="25"/>
    <n v="25"/>
    <n v="400"/>
    <n v="25"/>
    <n v="75"/>
    <n v="25"/>
    <n v="75"/>
    <n v="25"/>
    <n v="25"/>
    <n v="25"/>
    <n v="25"/>
    <n v="25"/>
    <n v="25"/>
    <n v="75"/>
    <n v="75"/>
    <n v="25"/>
    <n v="25"/>
    <n v="75"/>
    <n v="75"/>
    <n v="75"/>
  </r>
  <r>
    <s v="CM-SWVI [10]"/>
    <s v="Southwest Vancouver Island"/>
    <s v="DUTCH HARBOUR CREEK EAST_Chum"/>
    <x v="0"/>
    <x v="0"/>
    <x v="3"/>
    <x v="35"/>
    <x v="1"/>
    <m/>
    <m/>
    <n v="4"/>
    <n v="8"/>
    <n v="2"/>
    <n v="20"/>
    <n v="7500"/>
    <n v="510.98339193720057"/>
    <m/>
    <s v="Presence/Absence"/>
    <s v="Charter Patrol stream, chum is the target species"/>
    <n v="29"/>
    <s v="NI"/>
    <m/>
    <m/>
    <m/>
    <s v="NI"/>
    <s v="NI"/>
    <s v="NI"/>
    <s v="NO"/>
    <s v="NO"/>
    <s v="NI"/>
    <s v="NO"/>
    <s v="NO"/>
    <s v="NI"/>
    <n v="50"/>
    <s v="NO"/>
    <n v="8"/>
    <s v="NO"/>
    <n v="10"/>
    <s v="AP"/>
    <s v="NI"/>
    <s v="NI"/>
    <s v="NI"/>
    <s v="NI"/>
    <s v="NI"/>
    <s v="NI"/>
    <n v="300"/>
    <s v="NI"/>
    <s v="UK"/>
    <n v="170"/>
    <n v="975"/>
    <n v="25"/>
    <n v="3500"/>
    <n v="250"/>
    <n v="400"/>
    <n v="1500"/>
    <n v="1050"/>
    <n v="200"/>
    <n v="750"/>
    <n v="200"/>
    <n v="1500"/>
    <n v="75"/>
    <n v="1500"/>
    <n v="3500"/>
    <n v="400"/>
    <n v="200"/>
    <n v="750"/>
    <n v="25"/>
    <n v="400"/>
    <n v="750"/>
    <n v="400"/>
    <n v="750"/>
    <n v="750"/>
    <n v="3500"/>
    <n v="7500"/>
    <n v="3500"/>
    <n v="3500"/>
    <n v="1500"/>
    <n v="7500"/>
    <n v="3500"/>
  </r>
  <r>
    <s v="CO-WVI [17]"/>
    <s v="West Vancouver Island"/>
    <s v="DUTCH HARBOUR CREEK WEST_Coho"/>
    <x v="0"/>
    <x v="0"/>
    <x v="3"/>
    <x v="36"/>
    <x v="0"/>
    <m/>
    <m/>
    <n v="4"/>
    <n v="7"/>
    <n v="2"/>
    <n v="7.0710678118654755"/>
    <n v="400"/>
    <n v="27.550020260955627"/>
    <m/>
    <s v="PL+D or Presence/Absence"/>
    <s v="Charter Patrol stream, chum is the target species"/>
    <n v="13.5"/>
    <s v="NI"/>
    <m/>
    <m/>
    <m/>
    <s v="NI"/>
    <s v="NI"/>
    <s v="NI"/>
    <n v="2"/>
    <s v="NO"/>
    <s v="NI"/>
    <s v="NO"/>
    <s v="NO"/>
    <s v="NI"/>
    <n v="25"/>
    <s v="NI"/>
    <s v="NO"/>
    <s v="NO"/>
    <s v="UK"/>
    <s v="NI"/>
    <s v="NI"/>
    <s v="NI"/>
    <s v="NI"/>
    <s v="NI"/>
    <s v="NI"/>
    <s v="NI"/>
    <s v="NI"/>
    <s v="NI"/>
    <s v="NI"/>
    <s v="NI"/>
    <s v="NO"/>
    <s v="NI"/>
    <n v="30"/>
    <n v="30"/>
    <n v="45"/>
    <n v="30"/>
    <n v="35"/>
    <n v="25"/>
    <n v="25"/>
    <n v="25"/>
    <n v="25"/>
    <n v="25"/>
    <n v="75"/>
    <n v="25"/>
    <n v="400"/>
    <n v="25"/>
    <n v="25"/>
    <n v="25"/>
    <n v="25"/>
    <n v="25"/>
    <n v="25"/>
    <n v="25"/>
    <n v="25"/>
    <n v="25"/>
    <n v="25"/>
    <n v="25"/>
    <n v="25"/>
    <n v="25"/>
    <n v="25"/>
    <s v="NI"/>
  </r>
  <r>
    <s v="CM-SWVI [10]"/>
    <s v="Southwest Vancouver Island"/>
    <s v="DUTCH HARBOUR CREEK WEST_Chum"/>
    <x v="0"/>
    <x v="0"/>
    <x v="3"/>
    <x v="36"/>
    <x v="1"/>
    <m/>
    <m/>
    <n v="4"/>
    <n v="7"/>
    <n v="2"/>
    <n v="14.142135623730951"/>
    <n v="1500"/>
    <n v="270.98170163725536"/>
    <m/>
    <s v="PL+D or Presence/Absence"/>
    <s v="Charter Patrol stream, chum is the target species"/>
    <n v="27"/>
    <s v="NI"/>
    <m/>
    <m/>
    <m/>
    <s v="NI"/>
    <s v="NI"/>
    <s v="NI"/>
    <s v="NO"/>
    <s v="NO"/>
    <s v="NI"/>
    <s v="NO"/>
    <s v="NO"/>
    <s v="NI"/>
    <n v="50"/>
    <s v="NI"/>
    <n v="4"/>
    <s v="NO"/>
    <n v="10"/>
    <s v="NI"/>
    <s v="NI"/>
    <s v="NI"/>
    <s v="NI"/>
    <s v="NI"/>
    <s v="NI"/>
    <s v="NI"/>
    <s v="NI"/>
    <s v="NI"/>
    <s v="NI"/>
    <s v="NI"/>
    <n v="230"/>
    <s v="NI"/>
    <n v="700"/>
    <n v="190"/>
    <n v="150"/>
    <n v="875"/>
    <n v="800"/>
    <n v="200"/>
    <n v="400"/>
    <n v="400"/>
    <n v="750"/>
    <n v="75"/>
    <n v="750"/>
    <n v="750"/>
    <n v="750"/>
    <n v="200"/>
    <n v="750"/>
    <n v="75"/>
    <n v="75"/>
    <n v="75"/>
    <n v="75"/>
    <n v="200"/>
    <n v="400"/>
    <n v="1500"/>
    <n v="1500"/>
    <n v="1500"/>
    <n v="750"/>
    <n v="750"/>
    <n v="750"/>
    <s v="NI"/>
  </r>
  <r>
    <s v="CO-WVI [17]"/>
    <s v="West Vancouver Island"/>
    <s v="EFFINGHAM RIVER_Coho"/>
    <x v="0"/>
    <x v="0"/>
    <x v="3"/>
    <x v="37"/>
    <x v="0"/>
    <m/>
    <m/>
    <n v="4"/>
    <n v="11"/>
    <n v="4"/>
    <n v="104.66351393921056"/>
    <n v="3500"/>
    <n v="488.30425795589611"/>
    <m/>
    <s v="PL+D if enough surveys then AUC"/>
    <s v="Charter Patrol stream, chum is the target species"/>
    <n v="214.5"/>
    <s v="NI"/>
    <m/>
    <m/>
    <m/>
    <s v="NI"/>
    <s v="NI"/>
    <s v="NO"/>
    <s v="NO"/>
    <s v="NO"/>
    <s v="NO"/>
    <s v="NO"/>
    <s v="NO"/>
    <n v="150"/>
    <n v="500"/>
    <s v="NO"/>
    <n v="8"/>
    <n v="200"/>
    <s v="NO"/>
    <s v="UK"/>
    <n v="300"/>
    <n v="200"/>
    <n v="100"/>
    <s v="UK"/>
    <s v="NO"/>
    <s v="NI"/>
    <s v="NI"/>
    <s v="UK"/>
    <s v="UK"/>
    <s v="UK"/>
    <s v="UK"/>
    <s v="UK"/>
    <s v="UK"/>
    <n v="500"/>
    <n v="2100"/>
    <n v="1700"/>
    <n v="700"/>
    <n v="750"/>
    <n v="750"/>
    <n v="1500"/>
    <n v="750"/>
    <n v="750"/>
    <n v="750"/>
    <n v="400"/>
    <n v="750"/>
    <n v="1500"/>
    <n v="3500"/>
    <n v="3500"/>
    <n v="1500"/>
    <n v="400"/>
    <n v="400"/>
    <n v="750"/>
    <n v="400"/>
    <n v="400"/>
    <n v="400"/>
    <n v="400"/>
    <n v="200"/>
    <n v="200"/>
    <n v="200"/>
    <n v="400"/>
  </r>
  <r>
    <s v="CM-SWVI [10]"/>
    <s v="Southwest Vancouver Island"/>
    <s v="EFFINGHAM RIVER_Chum"/>
    <x v="0"/>
    <x v="0"/>
    <x v="3"/>
    <x v="37"/>
    <x v="1"/>
    <m/>
    <m/>
    <n v="4"/>
    <n v="11"/>
    <n v="11"/>
    <n v="9888.9149903951693"/>
    <n v="28982"/>
    <n v="4018.7221852699472"/>
    <m/>
    <s v="PL+D if enough surveys then AUC"/>
    <s v="Charter Patrol stream, chum is the target species"/>
    <n v="12568.09090909091"/>
    <s v="NI"/>
    <m/>
    <m/>
    <m/>
    <s v="NI"/>
    <s v="NI"/>
    <n v="10758"/>
    <n v="14833"/>
    <n v="9286"/>
    <n v="28982"/>
    <n v="14500"/>
    <n v="2000"/>
    <n v="12000"/>
    <n v="25000"/>
    <n v="10000"/>
    <n v="7890"/>
    <n v="3000"/>
    <n v="9500"/>
    <n v="13000"/>
    <n v="17000"/>
    <n v="20"/>
    <n v="360"/>
    <n v="5000"/>
    <n v="3500"/>
    <s v="NI"/>
    <s v="NI"/>
    <n v="7200"/>
    <s v="UK"/>
    <n v="560"/>
    <n v="2700"/>
    <n v="3000"/>
    <n v="500"/>
    <n v="3500"/>
    <n v="5000"/>
    <n v="3500"/>
    <n v="8500"/>
    <n v="4000"/>
    <n v="8000"/>
    <n v="7500"/>
    <n v="15000"/>
    <n v="200"/>
    <n v="9000"/>
    <n v="3500"/>
    <n v="15000"/>
    <n v="7500"/>
    <n v="7500"/>
    <n v="1500"/>
    <n v="3500"/>
    <n v="750"/>
    <n v="750"/>
    <n v="1500"/>
    <n v="3500"/>
    <n v="3500"/>
    <n v="7500"/>
    <n v="7500"/>
    <n v="3500"/>
    <n v="3500"/>
    <n v="7500"/>
    <n v="1500"/>
  </r>
  <r>
    <s v="CK-SWVI [31]"/>
    <s v="Southwest Vancouver Island"/>
    <s v="EFFINGHAM RIVER_Chinook"/>
    <x v="0"/>
    <x v="0"/>
    <x v="3"/>
    <x v="37"/>
    <x v="2"/>
    <m/>
    <m/>
    <n v="4"/>
    <n v="11"/>
    <n v="3"/>
    <n v="39.148676411688633"/>
    <n v="200"/>
    <n v="24.75098903106721"/>
    <m/>
    <s v="PL+D if enough surveys then AUC"/>
    <s v="Charter Patrol stream, chum is the target species"/>
    <n v="85.333333333333329"/>
    <s v="NI"/>
    <m/>
    <m/>
    <m/>
    <s v="NI"/>
    <s v="NI"/>
    <s v="NO"/>
    <s v="NO"/>
    <s v="NO"/>
    <s v="NO"/>
    <s v="NO"/>
    <s v="NO"/>
    <n v="50"/>
    <n v="200"/>
    <s v="AP"/>
    <n v="6"/>
    <s v="NO"/>
    <s v="NO"/>
    <s v="UK"/>
    <n v="10"/>
    <n v="10"/>
    <s v="UK"/>
    <n v="10"/>
    <s v="NO"/>
    <s v="NI"/>
    <s v="NI"/>
    <s v="UK"/>
    <s v="NO"/>
    <s v="NO"/>
    <s v="UK"/>
    <s v="UK"/>
    <s v="UK"/>
    <s v="UK"/>
    <s v="UK"/>
    <s v="UK"/>
    <s v="NO"/>
    <s v="NO"/>
    <n v="40"/>
    <n v="50"/>
    <n v="25"/>
    <n v="25"/>
    <s v="NO"/>
    <s v="NO"/>
    <n v="25"/>
    <n v="25"/>
    <n v="25"/>
    <n v="25"/>
    <n v="25"/>
    <n v="25"/>
    <n v="25"/>
    <n v="25"/>
    <n v="25"/>
    <s v="UK"/>
    <n v="25"/>
    <n v="25"/>
    <n v="25"/>
    <n v="25"/>
    <s v="UK"/>
    <n v="25"/>
  </r>
  <r>
    <s v="CO-WVI [17]"/>
    <s v="West Vancouver Island"/>
    <s v="FRANKLIN RIVER_Coho"/>
    <x v="0"/>
    <x v="0"/>
    <x v="3"/>
    <x v="38"/>
    <x v="0"/>
    <m/>
    <m/>
    <n v="4"/>
    <n v="10"/>
    <n v="5"/>
    <n v="25.508490012515818"/>
    <n v="400"/>
    <n v="57.915359834345153"/>
    <m/>
    <s v="PL+D or Presence/Absence"/>
    <s v="Charter Patrol stream, chum is the target species"/>
    <n v="73.2"/>
    <n v="4"/>
    <m/>
    <m/>
    <m/>
    <s v="NI"/>
    <s v="NI"/>
    <s v="NO"/>
    <s v="NI"/>
    <s v="NO"/>
    <s v="NO"/>
    <n v="20"/>
    <s v="NO"/>
    <n v="300"/>
    <n v="30"/>
    <s v="NO"/>
    <n v="6"/>
    <n v="10"/>
    <n v="1"/>
    <s v="UK"/>
    <n v="60"/>
    <n v="55"/>
    <n v="10"/>
    <s v="NI"/>
    <s v="NI"/>
    <s v="NI"/>
    <s v="NI"/>
    <s v="UK"/>
    <s v="UK"/>
    <s v="NI"/>
    <n v="45"/>
    <s v="NI"/>
    <s v="NI"/>
    <n v="100"/>
    <n v="100"/>
    <n v="100"/>
    <n v="125"/>
    <n v="75"/>
    <n v="150"/>
    <n v="200"/>
    <n v="75"/>
    <n v="25"/>
    <n v="200"/>
    <n v="75"/>
    <n v="400"/>
    <n v="400"/>
    <n v="400"/>
    <n v="75"/>
    <n v="25"/>
    <n v="25"/>
    <n v="25"/>
    <n v="25"/>
    <n v="25"/>
    <n v="200"/>
    <n v="75"/>
    <n v="75"/>
    <n v="25"/>
    <n v="200"/>
    <n v="25"/>
    <n v="200"/>
  </r>
  <r>
    <s v="CM-SWVI [10]"/>
    <s v="Southwest Vancouver Island"/>
    <s v="FRANKLIN RIVER_Chum"/>
    <x v="0"/>
    <x v="0"/>
    <x v="3"/>
    <x v="38"/>
    <x v="1"/>
    <m/>
    <m/>
    <n v="4"/>
    <n v="10"/>
    <n v="9"/>
    <n v="275.05179057277081"/>
    <n v="1853"/>
    <n v="119.3816150938729"/>
    <m/>
    <s v="PL+D or Presence/Absence"/>
    <s v="Charter Patrol stream, chum is the target species"/>
    <n v="481.44444444444446"/>
    <n v="100"/>
    <n v="22"/>
    <m/>
    <m/>
    <s v="NI"/>
    <s v="NI"/>
    <n v="310"/>
    <s v="NI"/>
    <n v="275"/>
    <n v="1853"/>
    <n v="650"/>
    <n v="200"/>
    <n v="650"/>
    <n v="300"/>
    <s v="AP"/>
    <n v="45"/>
    <n v="50"/>
    <n v="250"/>
    <n v="400"/>
    <s v="UK"/>
    <n v="10"/>
    <n v="20"/>
    <s v="NI"/>
    <s v="NI"/>
    <s v="NI"/>
    <s v="NI"/>
    <n v="50"/>
    <s v="UK"/>
    <s v="NI"/>
    <n v="5"/>
    <s v="NI"/>
    <s v="NI"/>
    <n v="30"/>
    <s v="NO"/>
    <n v="100"/>
    <n v="250"/>
    <n v="75"/>
    <n v="150"/>
    <n v="75"/>
    <n v="200"/>
    <n v="25"/>
    <n v="75"/>
    <n v="75"/>
    <n v="750"/>
    <n v="750"/>
    <n v="1500"/>
    <n v="200"/>
    <n v="400"/>
    <n v="25"/>
    <n v="75"/>
    <n v="25"/>
    <n v="25"/>
    <n v="25"/>
    <n v="200"/>
    <n v="75"/>
    <n v="200"/>
    <n v="75"/>
    <n v="200"/>
    <n v="200"/>
  </r>
  <r>
    <s v="CK-SWVI [31]"/>
    <s v="Southwest Vancouver Island"/>
    <s v="FRANKLIN RIVER_Chinook"/>
    <x v="0"/>
    <x v="0"/>
    <x v="3"/>
    <x v="38"/>
    <x v="2"/>
    <m/>
    <m/>
    <n v="4"/>
    <n v="10"/>
    <n v="4"/>
    <n v="14.142135623730951"/>
    <n v="90"/>
    <n v="20.613428976975939"/>
    <m/>
    <s v="PL+D or Presence/Absence"/>
    <s v="Charter Patrol stream, chum is the target species"/>
    <n v="29.25"/>
    <s v="NO"/>
    <m/>
    <m/>
    <m/>
    <s v="NI"/>
    <s v="NI"/>
    <s v="NO"/>
    <s v="NI"/>
    <s v="NO"/>
    <s v="NO"/>
    <n v="10"/>
    <n v="25"/>
    <n v="80"/>
    <s v="NO"/>
    <s v="NO"/>
    <s v="NO"/>
    <n v="2"/>
    <s v="NO"/>
    <s v="UK"/>
    <s v="UK"/>
    <s v="UK"/>
    <n v="6"/>
    <s v="NI"/>
    <s v="NI"/>
    <s v="NI"/>
    <s v="NI"/>
    <n v="2"/>
    <s v="UK"/>
    <s v="NI"/>
    <n v="4"/>
    <s v="NI"/>
    <s v="NI"/>
    <s v="NO"/>
    <s v="NO"/>
    <n v="50"/>
    <n v="90"/>
    <n v="40"/>
    <n v="40"/>
    <n v="75"/>
    <n v="25"/>
    <n v="25"/>
    <n v="25"/>
    <s v="NO"/>
    <n v="25"/>
    <s v="UK"/>
    <s v="UK"/>
    <s v="UK"/>
    <s v="UK"/>
    <s v="NO"/>
    <n v="25"/>
    <n v="25"/>
    <s v="NO"/>
    <s v="UK"/>
    <n v="25"/>
    <n v="25"/>
    <n v="25"/>
    <s v="UK"/>
    <s v="UK"/>
    <s v="UK"/>
  </r>
  <r>
    <s v="CO-JdF [16]"/>
    <s v="Georgia Strait Mainland"/>
    <s v="FREDERICK CREEK_Coho"/>
    <x v="0"/>
    <x v="0"/>
    <x v="3"/>
    <x v="39"/>
    <x v="0"/>
    <m/>
    <m/>
    <n v="5"/>
    <n v="0"/>
    <m/>
    <e v="#NUM!"/>
    <n v="200"/>
    <n v="76.430960615104098"/>
    <m/>
    <s v="PL+D or Presence/Absence"/>
    <s v="Has not been surveyed since 1992, historically has a large chum run"/>
    <m/>
    <s v="NI"/>
    <m/>
    <m/>
    <m/>
    <s v="NI"/>
    <s v="NI"/>
    <s v="NI"/>
    <s v="NI"/>
    <s v="NI"/>
    <s v="NI"/>
    <s v="NI"/>
    <s v="NI"/>
    <s v="NI"/>
    <s v="NI"/>
    <s v="NI"/>
    <s v="NI"/>
    <s v="NI"/>
    <s v="UK"/>
    <s v="NI"/>
    <s v="UK"/>
    <s v="UK"/>
    <s v="NO"/>
    <s v="NI"/>
    <n v="2"/>
    <s v="NI"/>
    <s v="NI"/>
    <n v="12"/>
    <s v="UK"/>
    <s v="UK"/>
    <n v="180"/>
    <n v="25"/>
    <n v="100"/>
    <n v="100"/>
    <n v="120"/>
    <n v="90"/>
    <n v="70"/>
    <n v="75"/>
    <n v="150"/>
    <n v="200"/>
    <n v="25"/>
    <n v="75"/>
    <n v="200"/>
    <n v="25"/>
    <n v="200"/>
    <n v="200"/>
    <n v="75"/>
    <n v="75"/>
    <n v="200"/>
    <n v="25"/>
    <n v="75"/>
    <n v="200"/>
    <n v="25"/>
    <n v="75"/>
    <n v="75"/>
    <n v="200"/>
    <n v="75"/>
    <n v="75"/>
    <n v="200"/>
    <n v="200"/>
  </r>
  <r>
    <s v="CM-SWVI [10]"/>
    <s v="Southwest Vancouver Island"/>
    <s v="FREDERICK CREEK_Chum"/>
    <x v="0"/>
    <x v="0"/>
    <x v="3"/>
    <x v="39"/>
    <x v="1"/>
    <m/>
    <m/>
    <n v="5"/>
    <n v="0"/>
    <m/>
    <e v="#NUM!"/>
    <n v="10800"/>
    <n v="538.23126329281513"/>
    <m/>
    <s v="PL+D or Presence/Absence"/>
    <s v="Has not been surveyed since 1992, historically has a large chum run"/>
    <m/>
    <s v="NI"/>
    <m/>
    <m/>
    <m/>
    <s v="NI"/>
    <s v="NI"/>
    <s v="NI"/>
    <s v="NI"/>
    <s v="NI"/>
    <s v="NI"/>
    <s v="NI"/>
    <s v="NI"/>
    <s v="NI"/>
    <s v="NI"/>
    <s v="NI"/>
    <s v="NI"/>
    <s v="NI"/>
    <s v="UK"/>
    <s v="NI"/>
    <n v="1000"/>
    <s v="UK"/>
    <s v="NO"/>
    <s v="NI"/>
    <n v="1100"/>
    <s v="NI"/>
    <s v="NI"/>
    <n v="7800"/>
    <n v="50"/>
    <s v="UK"/>
    <n v="6000"/>
    <n v="6000"/>
    <n v="700"/>
    <n v="1500"/>
    <n v="10800"/>
    <n v="2500"/>
    <n v="2500"/>
    <n v="750"/>
    <n v="1000"/>
    <n v="1500"/>
    <n v="750"/>
    <n v="750"/>
    <n v="400"/>
    <n v="3500"/>
    <n v="3500"/>
    <n v="3500"/>
    <n v="200"/>
    <n v="200"/>
    <n v="25"/>
    <n v="25"/>
    <n v="75"/>
    <n v="200"/>
    <n v="25"/>
    <n v="200"/>
    <n v="200"/>
    <n v="200"/>
    <n v="25"/>
    <n v="400"/>
    <n v="400"/>
    <n v="200"/>
  </r>
  <r>
    <s v="SK-L-13-11"/>
    <s v="Henderson"/>
    <s v="HENDERSON LAKE_Sockeye"/>
    <x v="0"/>
    <x v="0"/>
    <x v="3"/>
    <x v="40"/>
    <x v="3"/>
    <m/>
    <m/>
    <n v="3"/>
    <n v="3"/>
    <n v="3"/>
    <n v="637.34906076667255"/>
    <n v="123913"/>
    <n v="12309.357830068093"/>
    <m/>
    <s v="AUC estimate providing we get enough surveys if not then PL+D"/>
    <s v="Are records indicate that 2002 was the last time surveys were conducted and an estimate was created"/>
    <n v="6256.666666666667"/>
    <s v="NI"/>
    <m/>
    <m/>
    <m/>
    <m/>
    <s v="NI"/>
    <s v="NI"/>
    <s v="NI"/>
    <s v="NI"/>
    <n v="17260"/>
    <s v="NI"/>
    <s v="NI"/>
    <s v="NI"/>
    <n v="1500"/>
    <s v="NI"/>
    <s v="NI"/>
    <n v="10"/>
    <n v="7559"/>
    <n v="123913"/>
    <n v="27000"/>
    <n v="51400"/>
    <n v="100"/>
    <s v="NI"/>
    <n v="27000"/>
    <s v="UK"/>
    <s v="NI"/>
    <n v="25000"/>
    <n v="45000"/>
    <s v="NI"/>
    <n v="57500"/>
    <n v="35000"/>
    <n v="20000"/>
    <n v="20000"/>
    <n v="7000"/>
    <n v="4800"/>
    <n v="3500"/>
    <n v="10000"/>
    <n v="6000"/>
    <n v="40000"/>
    <n v="3500"/>
    <n v="7500"/>
    <n v="9000"/>
    <n v="15000"/>
    <n v="35000"/>
    <n v="75000"/>
    <n v="75000"/>
    <n v="15000"/>
    <n v="35000"/>
    <n v="15000"/>
    <n v="35000"/>
    <n v="15000"/>
    <n v="7500"/>
    <n v="15000"/>
    <n v="15000"/>
    <n v="7500"/>
    <n v="7500"/>
    <n v="15000"/>
    <n v="35000"/>
    <n v="15000"/>
  </r>
  <r>
    <s v="CO-WVI [17]"/>
    <s v="West Vancouver Island"/>
    <s v="HENDERSON LAKE_Coho"/>
    <x v="0"/>
    <x v="0"/>
    <x v="3"/>
    <x v="40"/>
    <x v="0"/>
    <m/>
    <m/>
    <n v="3"/>
    <n v="3"/>
    <n v="0"/>
    <e v="#NUM!"/>
    <n v="3500"/>
    <n v="890.97345706065539"/>
    <m/>
    <s v="AUC estimate providing we get enough surveys if not then PL+D"/>
    <s v="Are records indicate that 2002 was the last time surveys were conducted and an estimate was created"/>
    <m/>
    <s v="NI"/>
    <m/>
    <m/>
    <m/>
    <s v="NI"/>
    <s v="NI"/>
    <s v="NI"/>
    <s v="NI"/>
    <s v="NI"/>
    <s v="NO"/>
    <s v="NI"/>
    <s v="NI"/>
    <s v="NI"/>
    <s v="NO"/>
    <s v="NI"/>
    <s v="NI"/>
    <s v="NO"/>
    <s v="UK"/>
    <s v="UK"/>
    <s v="UK"/>
    <s v="UK"/>
    <s v="UK"/>
    <s v="NI"/>
    <s v="UK"/>
    <s v="UK"/>
    <s v="NI"/>
    <s v="UK"/>
    <s v="UK"/>
    <s v="NI"/>
    <s v="UK"/>
    <s v="UK"/>
    <s v="UK"/>
    <n v="375"/>
    <n v="500"/>
    <n v="325"/>
    <n v="250"/>
    <n v="400"/>
    <n v="400"/>
    <n v="500"/>
    <n v="200"/>
    <n v="400"/>
    <n v="400"/>
    <n v="400"/>
    <n v="1500"/>
    <n v="750"/>
    <n v="1500"/>
    <n v="1500"/>
    <n v="3500"/>
    <n v="1500"/>
    <n v="1500"/>
    <n v="3500"/>
    <n v="750"/>
    <n v="1500"/>
    <n v="1500"/>
    <n v="750"/>
    <n v="3500"/>
    <n v="3500"/>
    <n v="750"/>
    <n v="3500"/>
  </r>
  <r>
    <s v="CM-SWVI [10]"/>
    <s v="Southwest Vancouver Island"/>
    <s v="HENDERSON LAKE_Chum"/>
    <x v="0"/>
    <x v="0"/>
    <x v="3"/>
    <x v="40"/>
    <x v="1"/>
    <m/>
    <m/>
    <n v="3"/>
    <n v="3"/>
    <n v="3"/>
    <n v="294.26129453682768"/>
    <n v="35000"/>
    <n v="1967.4928723530356"/>
    <m/>
    <s v="AUC estimate providing we get enough surveys if not then PL+D"/>
    <s v="Are records indicate that 2002 was the last time surveys were conducted and an estimate was created"/>
    <n v="310.66666666666669"/>
    <s v="NI"/>
    <m/>
    <m/>
    <m/>
    <s v="NI"/>
    <s v="NI"/>
    <s v="NI"/>
    <s v="NI"/>
    <s v="NI"/>
    <n v="350"/>
    <s v="NI"/>
    <s v="NI"/>
    <s v="NI"/>
    <n v="400"/>
    <s v="NI"/>
    <s v="NI"/>
    <n v="182"/>
    <s v="UK"/>
    <s v="UK"/>
    <s v="UK"/>
    <s v="UK"/>
    <n v="215"/>
    <s v="NI"/>
    <s v="UK"/>
    <s v="UK"/>
    <s v="NI"/>
    <s v="UK"/>
    <s v="UK"/>
    <s v="NI"/>
    <s v="NO"/>
    <n v="400"/>
    <n v="4000"/>
    <n v="600"/>
    <n v="1000"/>
    <n v="850"/>
    <n v="4200"/>
    <n v="750"/>
    <n v="3500"/>
    <n v="750"/>
    <n v="3500"/>
    <n v="750"/>
    <n v="3500"/>
    <n v="3500"/>
    <n v="7500"/>
    <n v="3500"/>
    <n v="3500"/>
    <n v="3500"/>
    <n v="3500"/>
    <n v="750"/>
    <n v="1500"/>
    <n v="3500"/>
    <n v="3500"/>
    <n v="3500"/>
    <n v="7500"/>
    <n v="7500"/>
    <n v="3500"/>
    <n v="1500"/>
    <n v="7500"/>
    <n v="35000"/>
  </r>
  <r>
    <s v="CK-SWVI [31]"/>
    <s v="Southwest Vancouver Island"/>
    <s v="HENDERSON LAKE_Chinook"/>
    <x v="0"/>
    <x v="0"/>
    <x v="3"/>
    <x v="40"/>
    <x v="2"/>
    <m/>
    <m/>
    <n v="3"/>
    <n v="3"/>
    <n v="1"/>
    <n v="2"/>
    <n v="1500"/>
    <n v="281.26811568542405"/>
    <m/>
    <s v="AUC estimate providing we get enough surveys if not then PL+D"/>
    <s v="Are records indicate that 2002 was the last time surveys were conducted and an estimate was created"/>
    <n v="2"/>
    <s v="NI"/>
    <m/>
    <m/>
    <m/>
    <s v="NI"/>
    <s v="NI"/>
    <s v="NI"/>
    <s v="NI"/>
    <s v="NI"/>
    <s v="NO"/>
    <s v="NI"/>
    <s v="NI"/>
    <s v="NI"/>
    <s v="NO"/>
    <s v="NI"/>
    <s v="NI"/>
    <n v="2"/>
    <n v="10"/>
    <s v="UK"/>
    <n v="50"/>
    <s v="UK"/>
    <s v="UK"/>
    <s v="NI"/>
    <s v="UK"/>
    <s v="UK"/>
    <s v="NI"/>
    <s v="UK"/>
    <s v="NO"/>
    <s v="NI"/>
    <s v="UK"/>
    <n v="10"/>
    <s v="UK"/>
    <n v="250"/>
    <n v="150"/>
    <n v="210"/>
    <n v="320"/>
    <n v="400"/>
    <n v="150"/>
    <n v="250"/>
    <n v="400"/>
    <n v="750"/>
    <n v="200"/>
    <n v="200"/>
    <n v="400"/>
    <n v="400"/>
    <n v="750"/>
    <n v="750"/>
    <n v="400"/>
    <n v="400"/>
    <n v="750"/>
    <n v="1500"/>
    <n v="400"/>
    <n v="750"/>
    <n v="1500"/>
    <n v="750"/>
    <n v="750"/>
    <n v="750"/>
    <n v="400"/>
    <n v="1500"/>
  </r>
  <r>
    <s v="CO-WVI [17]"/>
    <s v="West Vancouver Island"/>
    <s v="HILLIER CREEK_Coho"/>
    <x v="0"/>
    <x v="0"/>
    <x v="3"/>
    <x v="41"/>
    <x v="0"/>
    <m/>
    <m/>
    <n v="5"/>
    <n v="10"/>
    <n v="2"/>
    <n v="5.4772255750516612"/>
    <n v="10"/>
    <n v="5.4772255750516612"/>
    <m/>
    <s v="PL+D or Presence/Absence"/>
    <s v="Charter Patrol stream, chum is the target species"/>
    <n v="6.5"/>
    <s v="NI"/>
    <m/>
    <m/>
    <m/>
    <s v="NI"/>
    <s v="NO"/>
    <s v="NO"/>
    <s v="NO"/>
    <s v="NI"/>
    <n v="10"/>
    <s v="NO"/>
    <s v="NO"/>
    <s v="NO"/>
    <n v="3"/>
    <s v="NO"/>
    <s v="NO"/>
    <s v="NO"/>
    <s v="UK"/>
    <s v="UK"/>
    <s v="UK"/>
    <s v="NI"/>
    <s v="NO"/>
    <s v="NI"/>
    <s v="NI"/>
    <s v="NI"/>
    <s v="NI"/>
    <s v="UK"/>
    <s v="NO"/>
    <s v="UK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HILLIER CREEK_Chum"/>
    <x v="0"/>
    <x v="0"/>
    <x v="3"/>
    <x v="41"/>
    <x v="1"/>
    <m/>
    <m/>
    <n v="5"/>
    <n v="10"/>
    <n v="8"/>
    <n v="61.988078922896669"/>
    <n v="3500"/>
    <n v="302.56171002004993"/>
    <m/>
    <s v="PL+D or Presence/Absence"/>
    <s v="Charter Patrol stream, chum is the target species"/>
    <n v="92.875"/>
    <s v="NI"/>
    <m/>
    <m/>
    <m/>
    <s v="NO"/>
    <s v="NO"/>
    <n v="160"/>
    <n v="190"/>
    <s v="NI"/>
    <n v="100"/>
    <n v="83"/>
    <s v="NO"/>
    <n v="5"/>
    <n v="128"/>
    <n v="50"/>
    <n v="27"/>
    <s v="NO"/>
    <n v="2"/>
    <s v="AP"/>
    <n v="100"/>
    <s v="NI"/>
    <s v="NO"/>
    <s v="NI"/>
    <s v="NI"/>
    <s v="NI"/>
    <s v="NI"/>
    <n v="3400"/>
    <s v="UK"/>
    <s v="UK"/>
    <s v="NI"/>
    <s v="NI"/>
    <s v="NI"/>
    <n v="200"/>
    <n v="500"/>
    <n v="550"/>
    <n v="1200"/>
    <n v="75"/>
    <n v="750"/>
    <n v="750"/>
    <n v="1500"/>
    <n v="400"/>
    <n v="1500"/>
    <n v="3500"/>
    <n v="750"/>
    <n v="750"/>
    <n v="3500"/>
    <n v="200"/>
    <n v="750"/>
    <n v="200"/>
    <n v="400"/>
    <n v="400"/>
    <n v="75"/>
    <n v="750"/>
    <n v="750"/>
    <n v="400"/>
    <n v="400"/>
    <n v="200"/>
    <n v="1500"/>
    <n v="750"/>
  </r>
  <r>
    <s v="CO-WVI [17]"/>
    <s v="West Vancouver Island"/>
    <s v="HOLFORD CREEK_Coho"/>
    <x v="0"/>
    <x v="0"/>
    <x v="3"/>
    <x v="42"/>
    <x v="0"/>
    <m/>
    <m/>
    <n v="4"/>
    <n v="7"/>
    <n v="0"/>
    <e v="#NUM!"/>
    <n v="75"/>
    <n v="34.099885730166683"/>
    <m/>
    <s v="Presence/Absence"/>
    <s v="Charter Patrol stream, chum is the target species"/>
    <m/>
    <s v="NI"/>
    <m/>
    <m/>
    <m/>
    <s v="NI"/>
    <s v="NI"/>
    <s v="NI"/>
    <s v="NI"/>
    <s v="NI"/>
    <s v="NO"/>
    <s v="NO"/>
    <s v="NO"/>
    <s v="NI"/>
    <s v="NO"/>
    <s v="NO"/>
    <s v="NO"/>
    <s v="NO"/>
    <s v="NO"/>
    <s v="UK"/>
    <s v="NI"/>
    <s v="NI"/>
    <s v="NI"/>
    <s v="NI"/>
    <s v="NI"/>
    <s v="NI"/>
    <s v="NI"/>
    <s v="UK"/>
    <s v="UK"/>
    <s v="NO"/>
    <s v="NO"/>
    <s v="NI"/>
    <n v="25"/>
    <n v="30"/>
    <n v="25"/>
    <n v="20"/>
    <n v="40"/>
    <n v="25"/>
    <n v="25"/>
    <n v="75"/>
    <n v="25"/>
    <n v="25"/>
    <n v="75"/>
    <n v="75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HOLFORD CREEK_Chum"/>
    <x v="0"/>
    <x v="0"/>
    <x v="3"/>
    <x v="42"/>
    <x v="1"/>
    <m/>
    <m/>
    <n v="4"/>
    <n v="7"/>
    <n v="1"/>
    <n v="50"/>
    <n v="3500"/>
    <n v="586.29739535583576"/>
    <m/>
    <s v="Presence/Absence"/>
    <s v="charter Patrol stream, chum is the target species"/>
    <n v="50"/>
    <s v="NI"/>
    <m/>
    <m/>
    <m/>
    <s v="NI"/>
    <s v="NI"/>
    <s v="NI"/>
    <s v="NI"/>
    <s v="NI"/>
    <s v="NO"/>
    <s v="NO"/>
    <s v="NO"/>
    <s v="NI"/>
    <n v="50"/>
    <s v="NO"/>
    <s v="NO"/>
    <s v="NO"/>
    <n v="8"/>
    <s v="AP"/>
    <s v="NI"/>
    <s v="NI"/>
    <s v="NI"/>
    <s v="NI"/>
    <s v="NI"/>
    <s v="NI"/>
    <s v="NI"/>
    <n v="450"/>
    <s v="UK"/>
    <n v="95"/>
    <n v="700"/>
    <s v="NI"/>
    <n v="2000"/>
    <n v="1000"/>
    <n v="2200"/>
    <n v="1150"/>
    <n v="800"/>
    <n v="900"/>
    <n v="750"/>
    <n v="1000"/>
    <n v="750"/>
    <n v="200"/>
    <n v="400"/>
    <n v="3500"/>
    <n v="750"/>
    <n v="1500"/>
    <n v="750"/>
    <n v="750"/>
    <n v="750"/>
    <n v="400"/>
    <n v="200"/>
    <n v="750"/>
    <n v="750"/>
    <n v="400"/>
    <n v="750"/>
    <n v="750"/>
    <n v="400"/>
    <n v="1500"/>
    <n v="1500"/>
    <n v="750"/>
  </r>
  <r>
    <s v="SK-WVI [R10]"/>
    <s v="West Vancouver Island"/>
    <s v="ITATSOO CREEK_Sockeye"/>
    <x v="0"/>
    <x v="0"/>
    <x v="3"/>
    <x v="43"/>
    <x v="3"/>
    <m/>
    <m/>
    <n v="5"/>
    <n v="4"/>
    <n v="1"/>
    <n v="132"/>
    <n v="132"/>
    <n v="132"/>
    <m/>
    <s v="PL+D or Presence/Absence"/>
    <s v="Last survey was conducted in 1999"/>
    <n v="132"/>
    <s v="NI"/>
    <m/>
    <m/>
    <m/>
    <s v="NI"/>
    <s v="NI"/>
    <s v="NI"/>
    <s v="NI"/>
    <s v="NI"/>
    <s v="NI"/>
    <s v="NI"/>
    <s v="NI"/>
    <s v="NO"/>
    <s v="NO"/>
    <n v="132"/>
    <s v="NO"/>
    <s v="NI"/>
    <s v="NI"/>
    <s v="NI"/>
    <s v="NI"/>
    <s v="UK"/>
    <s v="NI"/>
    <s v="NI"/>
    <s v="NI"/>
    <s v="NI"/>
    <s v="NI"/>
    <s v="NI"/>
    <s v="NI"/>
    <s v="UK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ITATSOO CREEK_Coho"/>
    <x v="0"/>
    <x v="0"/>
    <x v="3"/>
    <x v="43"/>
    <x v="0"/>
    <m/>
    <m/>
    <n v="5"/>
    <n v="4"/>
    <n v="3"/>
    <n v="67.221071198357464"/>
    <n v="150"/>
    <n v="67.221071198357464"/>
    <m/>
    <s v="PL+D or Presence/Absence"/>
    <s v="Last survey was conducted in 1999"/>
    <n v="80"/>
    <s v="NI"/>
    <m/>
    <m/>
    <m/>
    <s v="NI"/>
    <s v="NI"/>
    <s v="NI"/>
    <s v="NI"/>
    <s v="NI"/>
    <s v="NI"/>
    <s v="NI"/>
    <s v="NI"/>
    <n v="45"/>
    <n v="150"/>
    <n v="45"/>
    <s v="NO"/>
    <s v="NI"/>
    <s v="NI"/>
    <s v="NI"/>
    <s v="NI"/>
    <s v="NO"/>
    <s v="NI"/>
    <s v="NI"/>
    <s v="NI"/>
    <s v="NI"/>
    <s v="NI"/>
    <s v="NI"/>
    <s v="NI"/>
    <s v="UK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ITATSOO CREEK_Chum"/>
    <x v="0"/>
    <x v="0"/>
    <x v="3"/>
    <x v="43"/>
    <x v="1"/>
    <m/>
    <m/>
    <n v="5"/>
    <n v="4"/>
    <n v="4"/>
    <n v="12.009248561777692"/>
    <n v="450"/>
    <n v="135.06160219184326"/>
    <m/>
    <s v="PL+D or Presence/Absence"/>
    <s v="Last survey was conducted in 1999"/>
    <n v="28.5"/>
    <s v="NI"/>
    <m/>
    <m/>
    <m/>
    <s v="NI"/>
    <s v="NI"/>
    <s v="NI"/>
    <s v="NI"/>
    <s v="NI"/>
    <s v="NI"/>
    <s v="NI"/>
    <s v="NI"/>
    <n v="1"/>
    <n v="20"/>
    <n v="80"/>
    <n v="13"/>
    <s v="NI"/>
    <s v="NI"/>
    <s v="NI"/>
    <s v="NI"/>
    <s v="UK"/>
    <s v="NI"/>
    <s v="NI"/>
    <s v="NI"/>
    <s v="NI"/>
    <s v="NI"/>
    <s v="NI"/>
    <s v="NI"/>
    <s v="UK"/>
    <s v="NI"/>
    <s v="NI"/>
    <s v="NI"/>
    <n v="120"/>
    <n v="200"/>
    <n v="280"/>
    <n v="450"/>
    <n v="400"/>
    <n v="400"/>
    <n v="200"/>
    <n v="400"/>
    <n v="200"/>
    <n v="400"/>
    <n v="75"/>
    <n v="400"/>
    <n v="200"/>
    <n v="200"/>
    <n v="200"/>
    <n v="75"/>
    <n v="25"/>
    <n v="25"/>
    <n v="200"/>
    <n v="200"/>
    <n v="400"/>
    <n v="400"/>
    <n v="400"/>
    <n v="200"/>
    <n v="200"/>
    <n v="200"/>
    <n v="75"/>
  </r>
  <r>
    <s v="CO-WVI [17]"/>
    <s v="West Vancouver Island"/>
    <s v="KITSUCKSUS CREEK_Coho"/>
    <x v="0"/>
    <x v="0"/>
    <x v="3"/>
    <x v="44"/>
    <x v="0"/>
    <m/>
    <m/>
    <n v="3"/>
    <n v="3"/>
    <n v="3"/>
    <n v="944.07780363352128"/>
    <n v="1991"/>
    <n v="944.07780363352128"/>
    <m/>
    <s v="AUC estimate providing we get enough surveys if not then PL+D"/>
    <s v="Coho surveys conducted for 3 years from 2003 through 2005"/>
    <n v="1118"/>
    <n v="46"/>
    <m/>
    <m/>
    <m/>
    <s v="NI"/>
    <s v="NI"/>
    <n v="886"/>
    <n v="477"/>
    <n v="1991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KITSUCKSUS CREEK_Chum"/>
    <x v="0"/>
    <x v="0"/>
    <x v="3"/>
    <x v="44"/>
    <x v="1"/>
    <m/>
    <m/>
    <n v="3"/>
    <n v="0"/>
    <m/>
    <e v="#NUM!"/>
    <n v="0"/>
    <e v="#NUM!"/>
    <m/>
    <s v="AUC estimate providing we get enough surveys if not then PL+D"/>
    <s v="Coho is the target species"/>
    <m/>
    <s v="NO"/>
    <m/>
    <m/>
    <m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WVI [17]"/>
    <s v="West Vancouver Island"/>
    <s v="LITTLE MAGGIE RIVER_Coho"/>
    <x v="0"/>
    <x v="0"/>
    <x v="3"/>
    <x v="45"/>
    <x v="0"/>
    <m/>
    <m/>
    <n v="5"/>
    <n v="5"/>
    <n v="5"/>
    <n v="5.7326567532262009"/>
    <n v="90"/>
    <n v="29.436886664883037"/>
    <m/>
    <s v="PL+D or Presence/Absence"/>
    <s v="Missing data for 5 years, unknown if the stream was surveyed or not"/>
    <n v="7"/>
    <s v="NI"/>
    <m/>
    <m/>
    <m/>
    <s v="NI"/>
    <s v="NI"/>
    <m/>
    <m/>
    <m/>
    <s v="NI"/>
    <m/>
    <n v="3"/>
    <n v="6"/>
    <n v="4"/>
    <n v="15"/>
    <s v="AP"/>
    <m/>
    <s v="NI"/>
    <s v="UK"/>
    <s v="NI"/>
    <n v="16"/>
    <n v="40"/>
    <s v="NI"/>
    <s v="NI"/>
    <s v="UK"/>
    <s v="UK"/>
    <s v="NI"/>
    <s v="UK"/>
    <s v="NI"/>
    <s v="UK"/>
    <s v="NI"/>
    <s v="NI"/>
    <n v="70"/>
    <n v="70"/>
    <n v="80"/>
    <n v="90"/>
    <n v="75"/>
    <n v="25"/>
    <n v="75"/>
    <n v="75"/>
    <n v="25"/>
    <n v="25"/>
    <n v="25"/>
    <n v="75"/>
    <n v="25"/>
    <n v="75"/>
    <n v="25"/>
    <n v="25"/>
    <n v="25"/>
    <n v="25"/>
    <n v="75"/>
    <n v="25"/>
    <n v="25"/>
    <n v="25"/>
    <n v="25"/>
    <n v="25"/>
    <n v="25"/>
    <n v="25"/>
    <s v="NI"/>
  </r>
  <r>
    <s v="CM-SWVI [10]"/>
    <s v="Southwest Vancouver Island"/>
    <s v="LITTLE MAGGIE RIVER_Chum"/>
    <x v="0"/>
    <x v="0"/>
    <x v="3"/>
    <x v="45"/>
    <x v="1"/>
    <m/>
    <m/>
    <n v="5"/>
    <n v="5"/>
    <n v="4"/>
    <n v="11.132630734854963"/>
    <n v="800"/>
    <n v="105.68398207136011"/>
    <m/>
    <s v="PL+D or Presence/Absence"/>
    <s v="Missing data for 5 years, unknown if the stream was surveyed or not"/>
    <n v="19"/>
    <s v="NI"/>
    <m/>
    <m/>
    <m/>
    <s v="NI"/>
    <s v="NI"/>
    <m/>
    <m/>
    <m/>
    <s v="NI"/>
    <m/>
    <n v="20"/>
    <s v="NO"/>
    <n v="48"/>
    <n v="4"/>
    <n v="4"/>
    <m/>
    <s v="NI"/>
    <n v="150"/>
    <s v="NI"/>
    <s v="NO"/>
    <n v="9"/>
    <s v="NI"/>
    <s v="NI"/>
    <s v="UK"/>
    <n v="60"/>
    <s v="NI"/>
    <s v="UK"/>
    <s v="NI"/>
    <s v="UK"/>
    <s v="NI"/>
    <s v="NI"/>
    <n v="80"/>
    <n v="50"/>
    <n v="180"/>
    <n v="800"/>
    <n v="75"/>
    <n v="150"/>
    <n v="400"/>
    <n v="75"/>
    <n v="25"/>
    <n v="75"/>
    <n v="400"/>
    <n v="200"/>
    <n v="200"/>
    <n v="750"/>
    <n v="200"/>
    <n v="75"/>
    <n v="75"/>
    <n v="75"/>
    <n v="400"/>
    <n v="200"/>
    <n v="750"/>
    <n v="400"/>
    <n v="400"/>
    <n v="25"/>
    <n v="75"/>
    <n v="750"/>
    <s v="NI"/>
  </r>
  <r>
    <s v="CO-WVI [17]"/>
    <s v="West Vancouver Island"/>
    <s v="LITTLE TOQUART CREEK_Coho"/>
    <x v="0"/>
    <x v="0"/>
    <x v="3"/>
    <x v="46"/>
    <x v="0"/>
    <m/>
    <m/>
    <n v="5"/>
    <n v="9"/>
    <n v="2"/>
    <n v="28.284271247461902"/>
    <n v="200"/>
    <n v="42.227715488291757"/>
    <m/>
    <s v="PL+D or Presence/Absence"/>
    <s v="Chum is the target species. Missing escapement estimate for 2003"/>
    <n v="30"/>
    <s v="NI"/>
    <m/>
    <m/>
    <m/>
    <s v="NI"/>
    <s v="NO"/>
    <s v="NO"/>
    <n v="20"/>
    <m/>
    <s v="NI"/>
    <n v="40"/>
    <s v="NO"/>
    <s v="NO"/>
    <s v="NO"/>
    <s v="NO"/>
    <s v="NO"/>
    <s v="NO"/>
    <n v="2"/>
    <s v="UK"/>
    <s v="UK"/>
    <n v="20"/>
    <n v="75"/>
    <s v="NI"/>
    <s v="NI"/>
    <s v="UK"/>
    <s v="NI"/>
    <s v="NI"/>
    <s v="UK"/>
    <s v="NI"/>
    <s v="UK"/>
    <s v="NI"/>
    <s v="NO"/>
    <n v="80"/>
    <n v="100"/>
    <n v="90"/>
    <n v="60"/>
    <n v="75"/>
    <n v="75"/>
    <n v="200"/>
    <n v="75"/>
    <n v="75"/>
    <n v="200"/>
    <n v="75"/>
    <n v="75"/>
    <n v="75"/>
    <n v="75"/>
    <n v="25"/>
    <n v="25"/>
    <n v="25"/>
    <n v="25"/>
    <n v="25"/>
    <n v="25"/>
    <n v="25"/>
    <n v="25"/>
    <n v="25"/>
    <n v="25"/>
    <n v="25"/>
    <n v="25"/>
    <s v="UK"/>
  </r>
  <r>
    <s v="CM-SWVI [10]"/>
    <s v="Southwest Vancouver Island"/>
    <s v="LITTLE TOQUART CREEK_Chum"/>
    <x v="0"/>
    <x v="0"/>
    <x v="3"/>
    <x v="46"/>
    <x v="1"/>
    <m/>
    <m/>
    <n v="5"/>
    <n v="9"/>
    <n v="9"/>
    <n v="2811.4984480217508"/>
    <n v="15000"/>
    <n v="2355.3196342271017"/>
    <m/>
    <s v="PL+D or Presence/Absence"/>
    <s v="Chum is the target species. Missing escapement estimate for 2003"/>
    <n v="5020.5555555555557"/>
    <s v="NI"/>
    <m/>
    <m/>
    <m/>
    <n v="3250"/>
    <s v="2730"/>
    <n v="12300"/>
    <n v="6400"/>
    <m/>
    <s v="NI"/>
    <n v="2000"/>
    <n v="1000"/>
    <n v="1400"/>
    <n v="14000"/>
    <n v="6700"/>
    <n v="835"/>
    <n v="550"/>
    <n v="5500"/>
    <n v="6500"/>
    <n v="3500"/>
    <n v="1600"/>
    <n v="1200"/>
    <s v="NI"/>
    <s v="NI"/>
    <s v="UK"/>
    <s v="NI"/>
    <s v="NI"/>
    <n v="1000"/>
    <s v="NI"/>
    <n v="1500"/>
    <s v="NI"/>
    <n v="100"/>
    <n v="300"/>
    <n v="350"/>
    <n v="6500"/>
    <n v="6200"/>
    <n v="4500"/>
    <n v="750"/>
    <n v="5000"/>
    <n v="7500"/>
    <n v="400"/>
    <n v="3500"/>
    <n v="3500"/>
    <n v="3500"/>
    <n v="750"/>
    <n v="7500"/>
    <n v="750"/>
    <n v="750"/>
    <n v="750"/>
    <n v="3500"/>
    <n v="3500"/>
    <n v="3500"/>
    <n v="3500"/>
    <n v="15000"/>
    <n v="15000"/>
    <n v="1500"/>
    <n v="400"/>
    <n v="15000"/>
    <n v="7500"/>
  </r>
  <r>
    <s v="CO-WVI [17]"/>
    <s v="West Vancouver Island"/>
    <s v="LUCKY CREEK_Coho"/>
    <x v="0"/>
    <x v="0"/>
    <x v="3"/>
    <x v="47"/>
    <x v="0"/>
    <m/>
    <m/>
    <n v="5"/>
    <n v="5"/>
    <n v="0"/>
    <e v="#NUM!"/>
    <n v="200"/>
    <n v="39.354315995999649"/>
    <m/>
    <s v="PL+D or Presence/Absence"/>
    <s v="Chum is the target species, last time stream was surveyed was in 1999"/>
    <m/>
    <s v="NI"/>
    <m/>
    <m/>
    <m/>
    <s v="NI"/>
    <s v="NI"/>
    <s v="NI"/>
    <s v="NI"/>
    <s v="NI"/>
    <s v="NI"/>
    <s v="NI"/>
    <s v="NI"/>
    <s v="NO"/>
    <s v="NO"/>
    <s v="NO"/>
    <s v="NO"/>
    <s v="NO"/>
    <s v="NO"/>
    <s v="UK"/>
    <s v="NI"/>
    <n v="5"/>
    <s v="NO"/>
    <s v="NI"/>
    <s v="NI"/>
    <s v="NI"/>
    <s v="NO"/>
    <s v="UK"/>
    <s v="UK"/>
    <s v="NI"/>
    <s v="UK"/>
    <s v="UK"/>
    <s v="NI"/>
    <n v="50"/>
    <n v="70"/>
    <n v="70"/>
    <n v="50"/>
    <n v="25"/>
    <n v="25"/>
    <n v="75"/>
    <n v="25"/>
    <n v="25"/>
    <n v="25"/>
    <n v="75"/>
    <n v="200"/>
    <n v="75"/>
    <n v="75"/>
    <n v="25"/>
    <n v="75"/>
    <n v="25"/>
    <n v="25"/>
    <n v="75"/>
    <n v="25"/>
    <n v="25"/>
    <n v="25"/>
    <n v="25"/>
    <n v="25"/>
    <n v="75"/>
    <n v="25"/>
    <n v="75"/>
  </r>
  <r>
    <s v="CM-SWVI [10]"/>
    <s v="Southwest Vancouver Island"/>
    <s v="LUCKY CREEK_Chum"/>
    <x v="0"/>
    <x v="0"/>
    <x v="3"/>
    <x v="47"/>
    <x v="1"/>
    <m/>
    <m/>
    <n v="5"/>
    <n v="5"/>
    <n v="3"/>
    <n v="159.39878537739165"/>
    <n v="3500"/>
    <n v="266.08174948433293"/>
    <m/>
    <s v="PL+D or Presence/Absence"/>
    <s v="Chum is the target species, last time stream was surveyed was in 1999"/>
    <n v="178.33333333333334"/>
    <s v="NI"/>
    <m/>
    <m/>
    <m/>
    <s v="NI"/>
    <s v="NI"/>
    <s v="NI"/>
    <s v="NI"/>
    <s v="NI"/>
    <s v="NI"/>
    <s v="NI"/>
    <s v="NI"/>
    <n v="100"/>
    <n v="135"/>
    <n v="300"/>
    <s v="NO"/>
    <s v="NO"/>
    <s v="NO"/>
    <n v="100"/>
    <s v="NI"/>
    <s v="NO"/>
    <s v="NO"/>
    <s v="NI"/>
    <s v="NI"/>
    <s v="NI"/>
    <n v="200"/>
    <n v="460"/>
    <s v="UK"/>
    <s v="NI"/>
    <n v="520"/>
    <n v="50"/>
    <s v="NI"/>
    <n v="200"/>
    <n v="400"/>
    <n v="500"/>
    <n v="250"/>
    <n v="75"/>
    <n v="150"/>
    <n v="200"/>
    <n v="400"/>
    <n v="75"/>
    <n v="400"/>
    <n v="750"/>
    <n v="400"/>
    <n v="750"/>
    <n v="200"/>
    <n v="200"/>
    <n v="200"/>
    <n v="200"/>
    <n v="75"/>
    <n v="400"/>
    <n v="75"/>
    <n v="3500"/>
    <n v="750"/>
    <n v="750"/>
    <n v="400"/>
    <n v="75"/>
    <n v="400"/>
    <n v="1500"/>
  </r>
  <r>
    <s v="CO-WVI [17]"/>
    <s v="West Vancouver Island"/>
    <s v="MACKTUSH CREEK_Coho"/>
    <x v="0"/>
    <x v="0"/>
    <x v="3"/>
    <x v="48"/>
    <x v="0"/>
    <m/>
    <m/>
    <n v="4"/>
    <n v="10"/>
    <n v="4"/>
    <n v="17.320508075688775"/>
    <n v="200"/>
    <n v="33.309199060458056"/>
    <m/>
    <s v="PL+D or Presence/Absence"/>
    <s v="Charter Patrol stream, chum is the target species"/>
    <n v="24"/>
    <s v="NO"/>
    <m/>
    <m/>
    <m/>
    <s v="NI"/>
    <s v="NI"/>
    <s v="NO"/>
    <n v="10"/>
    <s v="NI"/>
    <s v="NO"/>
    <n v="30"/>
    <s v="NO"/>
    <s v="NO"/>
    <n v="50"/>
    <n v="6"/>
    <s v="NO"/>
    <s v="NO"/>
    <s v="NI"/>
    <s v="NO"/>
    <s v="NI"/>
    <s v="NI"/>
    <s v="UK"/>
    <s v="NI"/>
    <s v="NI"/>
    <s v="NI"/>
    <s v="NI"/>
    <s v="NI"/>
    <s v="UK"/>
    <s v="UK"/>
    <s v="NI"/>
    <s v="NI"/>
    <s v="NI"/>
    <n v="35"/>
    <n v="40"/>
    <n v="20"/>
    <n v="45"/>
    <n v="40"/>
    <n v="25"/>
    <n v="200"/>
    <s v="NO"/>
    <n v="25"/>
    <n v="75"/>
    <n v="200"/>
    <n v="200"/>
    <n v="75"/>
    <n v="25"/>
    <n v="25"/>
    <n v="25"/>
    <n v="25"/>
    <n v="25"/>
    <n v="25"/>
    <n v="25"/>
    <n v="25"/>
    <n v="25"/>
    <n v="25"/>
    <n v="25"/>
    <n v="25"/>
    <n v="25"/>
    <n v="25"/>
  </r>
  <r>
    <s v="CM-SWVI [10]"/>
    <s v="Southwest Vancouver Island"/>
    <s v="MACKTUSH CREEK_Chum"/>
    <x v="0"/>
    <x v="0"/>
    <x v="3"/>
    <x v="48"/>
    <x v="1"/>
    <m/>
    <m/>
    <n v="4"/>
    <n v="10"/>
    <n v="9"/>
    <n v="48.659610797765097"/>
    <n v="750"/>
    <n v="44.789002959964357"/>
    <m/>
    <s v="PL+D or Presence/Absence"/>
    <s v="Charter Patrol stream, chum is the target species"/>
    <n v="98.888888888888886"/>
    <n v="870"/>
    <m/>
    <m/>
    <m/>
    <s v="NI"/>
    <s v="NI"/>
    <n v="102"/>
    <n v="136"/>
    <s v="NI"/>
    <n v="175"/>
    <n v="300"/>
    <n v="50"/>
    <s v="NO"/>
    <n v="100"/>
    <n v="14"/>
    <n v="10"/>
    <n v="3"/>
    <s v="NI"/>
    <s v="NO"/>
    <s v="NI"/>
    <s v="NI"/>
    <s v="UK"/>
    <s v="NI"/>
    <s v="NI"/>
    <s v="NI"/>
    <s v="NI"/>
    <s v="NI"/>
    <s v="UK"/>
    <s v="UK"/>
    <s v="NI"/>
    <s v="NI"/>
    <s v="NI"/>
    <s v="UK"/>
    <s v="NO"/>
    <s v="UK"/>
    <s v="NO"/>
    <s v="NO"/>
    <n v="25"/>
    <s v="NO"/>
    <n v="25"/>
    <s v="NO"/>
    <n v="25"/>
    <s v="NO"/>
    <n v="400"/>
    <n v="25"/>
    <n v="200"/>
    <n v="25"/>
    <n v="25"/>
    <n v="25"/>
    <n v="25"/>
    <n v="25"/>
    <n v="25"/>
    <n v="25"/>
    <n v="25"/>
    <n v="25"/>
    <n v="25"/>
    <n v="25"/>
    <n v="200"/>
    <n v="750"/>
  </r>
  <r>
    <s v="CK-SWVI [31]"/>
    <s v="Southwest Vancouver Island"/>
    <s v="MACKTUSH CREEK_Chinook"/>
    <x v="0"/>
    <x v="0"/>
    <x v="3"/>
    <x v="48"/>
    <x v="2"/>
    <m/>
    <m/>
    <n v="4"/>
    <n v="10"/>
    <n v="1"/>
    <n v="2"/>
    <n v="25"/>
    <n v="7.0710678118654755"/>
    <m/>
    <s v="PL+D or Presence/Absence"/>
    <s v="Charter Patrol stream, chum is the target species"/>
    <n v="2"/>
    <s v="NO"/>
    <m/>
    <m/>
    <m/>
    <s v="NI"/>
    <s v="NI"/>
    <s v="NO"/>
    <s v="NO"/>
    <s v="NI"/>
    <s v="NO"/>
    <s v="NO"/>
    <s v="NO"/>
    <s v="NO"/>
    <s v="NO"/>
    <s v="NO"/>
    <s v="NO"/>
    <n v="2"/>
    <s v="NI"/>
    <s v="UK"/>
    <s v="NI"/>
    <s v="NI"/>
    <s v="UK"/>
    <s v="NI"/>
    <s v="NI"/>
    <s v="NI"/>
    <s v="NI"/>
    <s v="NI"/>
    <s v="NO"/>
    <s v="UK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n v="25"/>
    <s v="UK"/>
    <s v="UK"/>
    <s v="UK"/>
    <s v="UK"/>
    <s v="UK"/>
    <s v="UK"/>
    <s v="UK"/>
    <s v="UK"/>
    <s v="UK"/>
    <s v="UK"/>
    <s v="UK"/>
  </r>
  <r>
    <s v="CO-WVI [17]"/>
    <s v="West Vancouver Island"/>
    <s v="MAGGIE RIVER_Coho"/>
    <x v="0"/>
    <x v="0"/>
    <x v="3"/>
    <x v="49"/>
    <x v="0"/>
    <m/>
    <m/>
    <n v="5"/>
    <n v="8"/>
    <n v="8"/>
    <n v="751.19070261160289"/>
    <n v="7500"/>
    <n v="1041.8237220052538"/>
    <m/>
    <s v="PL+D or Presence/Absence"/>
    <s v="Coho is the target species. Missing 2004 &amp; 2005 estimates."/>
    <n v="839.25"/>
    <s v="NI"/>
    <m/>
    <n v="32"/>
    <m/>
    <s v="NI"/>
    <s v="NI"/>
    <s v="NI"/>
    <m/>
    <s v="NI"/>
    <n v="1168"/>
    <n v="1200"/>
    <n v="1200"/>
    <n v="400"/>
    <n v="1000"/>
    <n v="285"/>
    <n v="661"/>
    <n v="800"/>
    <n v="225"/>
    <n v="250"/>
    <n v="600"/>
    <n v="100"/>
    <n v="450"/>
    <n v="350"/>
    <n v="300"/>
    <s v="NI"/>
    <s v="NO"/>
    <n v="400"/>
    <s v="UK"/>
    <s v="UK"/>
    <n v="7"/>
    <s v="UK"/>
    <s v="UK"/>
    <n v="1500"/>
    <n v="1500"/>
    <n v="1300"/>
    <n v="1800"/>
    <n v="1200"/>
    <n v="1500"/>
    <n v="2000"/>
    <n v="750"/>
    <n v="400"/>
    <n v="1500"/>
    <n v="400"/>
    <n v="3500"/>
    <n v="3500"/>
    <n v="1500"/>
    <n v="1500"/>
    <n v="3500"/>
    <n v="3500"/>
    <n v="3500"/>
    <n v="3500"/>
    <n v="1500"/>
    <n v="3500"/>
    <n v="3500"/>
    <n v="3500"/>
    <n v="750"/>
    <n v="7500"/>
    <n v="7500"/>
    <n v="3500"/>
  </r>
  <r>
    <s v="CM-SWVI [10]"/>
    <s v="Southwest Vancouver Island"/>
    <s v="MAGGIE RIVER_Chum"/>
    <x v="0"/>
    <x v="0"/>
    <x v="3"/>
    <x v="49"/>
    <x v="1"/>
    <m/>
    <m/>
    <n v="5"/>
    <n v="8"/>
    <n v="5"/>
    <n v="34.094695446820509"/>
    <n v="4000"/>
    <n v="322.57365691787078"/>
    <m/>
    <s v="PL+D or Presence/Absence"/>
    <s v="Coho is the target species. Missing 2004 &amp; 2005 estimates."/>
    <n v="49.2"/>
    <s v="NI"/>
    <m/>
    <m/>
    <m/>
    <n v="80"/>
    <s v="NI"/>
    <m/>
    <m/>
    <s v="NI"/>
    <n v="35"/>
    <s v="NO"/>
    <s v="NO"/>
    <n v="6"/>
    <n v="85"/>
    <n v="110"/>
    <n v="10"/>
    <s v="NO"/>
    <s v="NI"/>
    <n v="30"/>
    <s v="UK"/>
    <n v="200"/>
    <n v="500"/>
    <s v="NO"/>
    <n v="1800"/>
    <s v="NI"/>
    <n v="4000"/>
    <n v="1500"/>
    <s v="UK"/>
    <s v="UK"/>
    <s v="NO"/>
    <s v="UK"/>
    <s v="UK"/>
    <n v="350"/>
    <n v="400"/>
    <n v="290"/>
    <n v="2000"/>
    <n v="200"/>
    <n v="750"/>
    <n v="200"/>
    <n v="1500"/>
    <n v="75"/>
    <n v="750"/>
    <n v="200"/>
    <n v="750"/>
    <n v="1500"/>
    <n v="400"/>
    <n v="400"/>
    <n v="200"/>
    <n v="200"/>
    <n v="400"/>
    <n v="750"/>
    <n v="750"/>
    <n v="750"/>
    <n v="1500"/>
    <n v="750"/>
    <n v="200"/>
    <n v="200"/>
    <n v="400"/>
    <n v="1500"/>
  </r>
  <r>
    <s v="CO-WVI [17]"/>
    <s v="West Vancouver Island"/>
    <s v="MERCANTILE CREEK_Coho"/>
    <x v="0"/>
    <x v="0"/>
    <x v="3"/>
    <x v="50"/>
    <x v="0"/>
    <m/>
    <m/>
    <n v="5"/>
    <n v="10"/>
    <n v="9"/>
    <n v="24.772012132946738"/>
    <n v="200"/>
    <n v="32.379238462151548"/>
    <m/>
    <s v="PL+D or Presence/Absence"/>
    <s v="Charter Patrol stream, chum is the target species"/>
    <n v="36.333333333333336"/>
    <s v="NI"/>
    <m/>
    <m/>
    <m/>
    <n v="17"/>
    <s v="NO"/>
    <s v="NO"/>
    <n v="35"/>
    <s v="NI"/>
    <n v="65"/>
    <n v="50"/>
    <n v="30"/>
    <n v="10"/>
    <n v="50"/>
    <n v="60"/>
    <n v="25"/>
    <n v="2"/>
    <s v="UK"/>
    <s v="AP"/>
    <n v="100"/>
    <n v="200"/>
    <n v="4"/>
    <s v="UK"/>
    <s v="NO"/>
    <s v="NI"/>
    <s v="NI"/>
    <n v="200"/>
    <s v="UK"/>
    <s v="NI"/>
    <s v="UK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MERCANTILE CREEK_Chum"/>
    <x v="0"/>
    <x v="0"/>
    <x v="3"/>
    <x v="50"/>
    <x v="1"/>
    <m/>
    <m/>
    <n v="5"/>
    <n v="10"/>
    <n v="10"/>
    <n v="41.543865298620297"/>
    <n v="3032"/>
    <n v="113.84500441182642"/>
    <m/>
    <s v="PL+D or Presence/Absence"/>
    <s v="Charter Patrol stream, chum is the target species"/>
    <n v="89.222222222222229"/>
    <s v="NI"/>
    <m/>
    <m/>
    <m/>
    <n v="20"/>
    <n v="55"/>
    <n v="200"/>
    <n v="250"/>
    <s v="NI"/>
    <n v="35"/>
    <n v="170"/>
    <n v="10"/>
    <n v="6"/>
    <n v="90"/>
    <n v="30"/>
    <n v="12"/>
    <s v="NO"/>
    <n v="25"/>
    <s v="AP"/>
    <n v="150"/>
    <n v="150"/>
    <n v="45"/>
    <s v="NO"/>
    <n v="9"/>
    <s v="NI"/>
    <s v="NI"/>
    <n v="2500"/>
    <n v="3032"/>
    <s v="NI"/>
    <s v="UK"/>
    <s v="NI"/>
    <s v="NI"/>
    <n v="50"/>
    <n v="100"/>
    <n v="200"/>
    <n v="240"/>
    <n v="200"/>
    <n v="75"/>
    <n v="200"/>
    <n v="200"/>
    <n v="200"/>
    <n v="400"/>
    <n v="400"/>
    <n v="200"/>
    <n v="75"/>
    <n v="750"/>
    <n v="75"/>
    <n v="75"/>
    <n v="400"/>
    <n v="25"/>
    <n v="75"/>
    <n v="75"/>
    <n v="1500"/>
    <n v="750"/>
    <n v="200"/>
    <n v="75"/>
    <n v="75"/>
    <n v="200"/>
    <n v="75"/>
  </r>
  <r>
    <s v="CK-SWVI [31]"/>
    <s v="Southwest Vancouver Island"/>
    <s v="MERCANTILE CREEK_Chinook"/>
    <x v="0"/>
    <x v="0"/>
    <x v="3"/>
    <x v="50"/>
    <x v="2"/>
    <m/>
    <m/>
    <n v="5"/>
    <n v="10"/>
    <n v="10"/>
    <n v="35.405317929599669"/>
    <n v="135"/>
    <n v="22.986767904280647"/>
    <m/>
    <s v="PL+D or Presence/Absence"/>
    <s v="Charter Patrol stream, chum is the target species"/>
    <n v="62.6"/>
    <s v="NI"/>
    <m/>
    <m/>
    <m/>
    <n v="35"/>
    <n v="24"/>
    <n v="54"/>
    <n v="55"/>
    <s v="NI"/>
    <n v="135"/>
    <n v="120"/>
    <n v="40"/>
    <n v="16"/>
    <n v="125"/>
    <n v="60"/>
    <n v="20"/>
    <n v="1"/>
    <n v="4"/>
    <s v="AP"/>
    <n v="30"/>
    <n v="30"/>
    <n v="5"/>
    <s v="UK"/>
    <s v="UK"/>
    <s v="NI"/>
    <s v="NI"/>
    <n v="2"/>
    <s v="UK"/>
    <s v="NI"/>
    <s v="UK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SK-WVI [R10]"/>
    <s v="West Vancouver Island"/>
    <s v="NAHMINT RIVER_Sockeye"/>
    <x v="0"/>
    <x v="0"/>
    <x v="3"/>
    <x v="51"/>
    <x v="3"/>
    <m/>
    <m/>
    <n v="3"/>
    <n v="11"/>
    <n v="11"/>
    <n v="134.54118591314861"/>
    <n v="2098"/>
    <n v="194.0234484971717"/>
    <s v="B. Other systems: wild or hatchery supplemented.     Intensively surveyed in 1995 and have a fairly complete historic database."/>
    <s v="AUC"/>
    <m/>
    <n v="546.18181818181813"/>
    <n v="18"/>
    <n v="4190"/>
    <n v="1400"/>
    <n v="3"/>
    <n v="59"/>
    <n v="190"/>
    <n v="67"/>
    <n v="2098"/>
    <n v="147"/>
    <n v="226"/>
    <n v="270"/>
    <n v="30"/>
    <n v="6"/>
    <n v="1419"/>
    <n v="650"/>
    <n v="1005"/>
    <n v="90"/>
    <n v="1000"/>
    <n v="100"/>
    <n v="1000"/>
    <s v="UK"/>
    <n v="1200"/>
    <s v="UK"/>
    <n v="200"/>
    <s v="NO"/>
    <n v="50"/>
    <n v="600"/>
    <n v="552"/>
    <n v="700"/>
    <n v="300"/>
    <n v="400"/>
    <n v="135"/>
    <n v="50"/>
    <s v="UK"/>
    <n v="80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NAHMINT RIVER_Coho"/>
    <x v="0"/>
    <x v="0"/>
    <x v="3"/>
    <x v="51"/>
    <x v="0"/>
    <m/>
    <m/>
    <n v="3"/>
    <n v="11"/>
    <n v="11"/>
    <n v="238.08160068028934"/>
    <n v="1500"/>
    <n v="238.24974624572209"/>
    <s v="B. Other systems: wild or hatchery supplemented.     Intensively surveyed in 1995 and have a fairly complete historic database."/>
    <s v="AUC"/>
    <s v="Average Esc from 1995-2005 from file: NEW ESCAPEMENT INDEX.XLS"/>
    <n v="307.18181818181819"/>
    <n v="234"/>
    <n v="210"/>
    <n v="355"/>
    <n v="445"/>
    <n v="406"/>
    <n v="241"/>
    <n v="384"/>
    <n v="708"/>
    <n v="129"/>
    <n v="214"/>
    <n v="861"/>
    <n v="228"/>
    <n v="225"/>
    <n v="424"/>
    <n v="69"/>
    <n v="53"/>
    <n v="84"/>
    <s v="AP"/>
    <s v="UK"/>
    <n v="150"/>
    <n v="400"/>
    <n v="100"/>
    <s v="UK"/>
    <s v="UK"/>
    <s v="UK"/>
    <s v="UK"/>
    <s v="UK"/>
    <n v="100"/>
    <s v="UK"/>
    <n v="100"/>
    <s v="UK"/>
    <n v="300"/>
    <n v="400"/>
    <n v="500"/>
    <n v="450"/>
    <n v="250"/>
    <n v="400"/>
    <n v="400"/>
    <n v="650"/>
    <n v="200"/>
    <n v="400"/>
    <n v="200"/>
    <n v="200"/>
    <n v="400"/>
    <n v="200"/>
    <n v="400"/>
    <n v="200"/>
    <n v="200"/>
    <n v="200"/>
    <n v="200"/>
    <n v="200"/>
    <n v="75"/>
    <n v="400"/>
    <n v="200"/>
    <n v="200"/>
    <n v="200"/>
    <n v="75"/>
    <n v="75"/>
    <n v="1500"/>
  </r>
  <r>
    <s v="Pkodd-WVI [6]"/>
    <s v="West Vancouver Island"/>
    <s v="NAHMINT RIVER_Pink"/>
    <x v="0"/>
    <x v="0"/>
    <x v="3"/>
    <x v="51"/>
    <x v="4"/>
    <m/>
    <m/>
    <n v="3"/>
    <n v="11"/>
    <n v="5"/>
    <n v="3.0501471050777371"/>
    <n v="1500"/>
    <n v="26.227084435885516"/>
    <s v="B. Other systems: wild or hatchery supplemented.     Intensively surveyed in 1995 and have a fairly complete historic database."/>
    <s v="AUC"/>
    <m/>
    <n v="7.4"/>
    <n v="3"/>
    <n v="10"/>
    <m/>
    <s v="NO"/>
    <s v="NO"/>
    <s v="NO"/>
    <s v="NO"/>
    <n v="1"/>
    <n v="12"/>
    <s v="NO"/>
    <s v="NO"/>
    <s v="NO"/>
    <s v="NO"/>
    <s v="NO"/>
    <n v="22"/>
    <n v="1"/>
    <n v="1"/>
    <s v="AP"/>
    <s v="UK"/>
    <s v="UK"/>
    <s v="UK"/>
    <s v="NO"/>
    <s v="UK"/>
    <s v="NO"/>
    <s v="NO"/>
    <n v="30"/>
    <s v="NO"/>
    <n v="1"/>
    <s v="UK"/>
    <s v="NO"/>
    <s v="NO"/>
    <s v="UK"/>
    <s v="UK"/>
    <s v="UK"/>
    <s v="UK"/>
    <n v="150"/>
    <s v="UK"/>
    <s v="UK"/>
    <s v="UK"/>
    <s v="UK"/>
    <s v="UK"/>
    <s v="UK"/>
    <s v="UK"/>
    <s v="UK"/>
    <s v="NO"/>
    <s v="NO"/>
    <s v="NO"/>
    <s v="UK"/>
    <s v="NO"/>
    <n v="25"/>
    <n v="200"/>
    <n v="75"/>
    <n v="25"/>
    <n v="75"/>
    <s v="UK"/>
    <n v="200"/>
    <n v="1500"/>
    <n v="200"/>
    <s v="NO"/>
  </r>
  <r>
    <s v="CM-SWVI [10]"/>
    <s v="Southwest Vancouver Island"/>
    <s v="NAHMINT RIVER_Chum"/>
    <x v="0"/>
    <x v="0"/>
    <x v="3"/>
    <x v="51"/>
    <x v="1"/>
    <m/>
    <m/>
    <n v="3"/>
    <n v="11"/>
    <n v="11"/>
    <n v="23826.158466436751"/>
    <n v="140624"/>
    <n v="21264.82851614918"/>
    <s v="B. Other systems: wild or hatchery supplemented.     Intensively surveyed in 1995 and have a fairly complete historic database."/>
    <s v="AUC"/>
    <s v="Average Esc from 1995-2005 from file: NEW ESCAPEMENT INDEX.XLS"/>
    <n v="40880.818181818184"/>
    <n v="27219"/>
    <n v="5970"/>
    <n v="6400"/>
    <n v="8405"/>
    <n v="23576"/>
    <n v="8472"/>
    <n v="28810"/>
    <n v="35237"/>
    <n v="51294"/>
    <n v="60000"/>
    <n v="9682"/>
    <n v="5109"/>
    <n v="37660"/>
    <n v="140624"/>
    <n v="46394"/>
    <n v="19905"/>
    <n v="14974"/>
    <s v="AP"/>
    <n v="50000"/>
    <n v="55000"/>
    <n v="15000"/>
    <n v="6500"/>
    <n v="18000"/>
    <n v="26400"/>
    <s v="UK"/>
    <n v="20000"/>
    <n v="44000"/>
    <n v="4250"/>
    <n v="15000"/>
    <n v="37500"/>
    <n v="16600"/>
    <n v="30000"/>
    <n v="4000"/>
    <n v="25000"/>
    <n v="25000"/>
    <n v="40000"/>
    <n v="20000"/>
    <n v="15000"/>
    <n v="35000"/>
    <n v="35000"/>
    <n v="12000"/>
    <n v="35000"/>
    <n v="35000"/>
    <n v="75000"/>
    <n v="35000"/>
    <n v="15000"/>
    <n v="35000"/>
    <n v="10000"/>
    <n v="15000"/>
    <n v="15000"/>
    <n v="7500"/>
    <n v="7500"/>
    <n v="15000"/>
    <n v="35000"/>
    <n v="20000"/>
    <n v="7500"/>
    <n v="3500"/>
    <n v="75000"/>
    <n v="100000"/>
  </r>
  <r>
    <s v="CK-SWVI [31]"/>
    <s v="Southwest Vancouver Island"/>
    <s v="NAHMINT RIVER_Chinook"/>
    <x v="0"/>
    <x v="1"/>
    <x v="3"/>
    <x v="51"/>
    <x v="2"/>
    <m/>
    <m/>
    <n v="3"/>
    <n v="11"/>
    <n v="11"/>
    <n v="287.65491066399562"/>
    <n v="3500"/>
    <n v="400.03729674376746"/>
    <s v="B. Other systems: wild or hatchery supplemented.     Intensively surveyed in 1995 and have a fairly complete historic database."/>
    <s v="AUC"/>
    <s v="Average Esc from 1995-2005 from file: NEW ESCAPEMENT INDEX.XLS"/>
    <n v="426.18181818181819"/>
    <n v="640"/>
    <n v="400"/>
    <n v="100"/>
    <n v="140"/>
    <n v="166"/>
    <n v="351"/>
    <n v="159"/>
    <n v="1192"/>
    <n v="630"/>
    <n v="319"/>
    <n v="213"/>
    <n v="68"/>
    <n v="688"/>
    <n v="739"/>
    <n v="236"/>
    <n v="232"/>
    <n v="212"/>
    <n v="450"/>
    <n v="83"/>
    <n v="150"/>
    <n v="171"/>
    <n v="230"/>
    <n v="300"/>
    <n v="50"/>
    <s v="UK"/>
    <n v="300"/>
    <n v="250"/>
    <n v="35"/>
    <n v="100"/>
    <n v="425"/>
    <n v="250"/>
    <n v="175"/>
    <n v="200"/>
    <n v="300"/>
    <n v="450"/>
    <n v="550"/>
    <n v="750"/>
    <n v="600"/>
    <n v="750"/>
    <n v="900"/>
    <n v="1200"/>
    <n v="750"/>
    <n v="750"/>
    <n v="400"/>
    <n v="400"/>
    <n v="750"/>
    <n v="400"/>
    <n v="400"/>
    <n v="1500"/>
    <n v="400"/>
    <n v="1500"/>
    <n v="750"/>
    <n v="1500"/>
    <n v="400"/>
    <n v="400"/>
    <n v="750"/>
    <n v="3500"/>
    <n v="3500"/>
    <n v="3500"/>
  </r>
  <r>
    <s v="CO-WVI [17]"/>
    <s v="West Vancouver Island"/>
    <s v="OWATCHET CREEK_Coho"/>
    <x v="0"/>
    <x v="0"/>
    <x v="3"/>
    <x v="52"/>
    <x v="0"/>
    <m/>
    <m/>
    <n v="5"/>
    <n v="1"/>
    <n v="1"/>
    <e v="#NUM!"/>
    <n v="0"/>
    <e v="#NUM!"/>
    <m/>
    <s v="Presence/Absence"/>
    <s v="Adult Presence (AP) entered in 1995, no other estimates."/>
    <m/>
    <s v="NI"/>
    <m/>
    <m/>
    <m/>
    <s v="NI"/>
    <s v="NI"/>
    <s v="NI"/>
    <s v="NI"/>
    <s v="NI"/>
    <s v="NI"/>
    <s v="NI"/>
    <s v="NI"/>
    <s v="NI"/>
    <s v="NI"/>
    <s v="NI"/>
    <s v="NI"/>
    <s v="AP"/>
    <s v="NI"/>
    <s v="NI"/>
    <s v="AP"/>
    <s v="NI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m/>
    <m/>
  </r>
  <r>
    <s v="CM-SWVI [10]"/>
    <s v="Southwest Vancouver Island"/>
    <s v="OWATCHET CREEK_Chum"/>
    <x v="0"/>
    <x v="0"/>
    <x v="3"/>
    <x v="52"/>
    <x v="1"/>
    <m/>
    <m/>
    <n v="5"/>
    <n v="0"/>
    <m/>
    <e v="#NUM!"/>
    <n v="0"/>
    <e v="#NUM!"/>
    <m/>
    <s v="Presence/Absence"/>
    <m/>
    <m/>
    <s v="NI"/>
    <m/>
    <m/>
    <m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m/>
    <m/>
  </r>
  <r>
    <s v="CO-JdF [16]"/>
    <s v="Georgia Strait Mainland"/>
    <s v="PACHENA RIVER_Coho"/>
    <x v="0"/>
    <x v="0"/>
    <x v="3"/>
    <x v="53"/>
    <x v="0"/>
    <m/>
    <m/>
    <n v="5"/>
    <n v="2"/>
    <n v="2"/>
    <n v="381.12988285940759"/>
    <n v="1500"/>
    <n v="414.05897575646765"/>
    <m/>
    <s v="Presence/Absence"/>
    <s v="Missing estimates for 1999 &amp; 2000"/>
    <n v="443"/>
    <s v="NI"/>
    <n v="472"/>
    <n v="1485"/>
    <n v="519"/>
    <n v="350"/>
    <s v="NI"/>
    <s v="NI"/>
    <s v="NI"/>
    <s v="NI"/>
    <s v="NI"/>
    <n v="726"/>
    <m/>
    <m/>
    <s v="NI"/>
    <n v="160"/>
    <s v="NI"/>
    <s v="NI"/>
    <s v="NI"/>
    <s v="NI"/>
    <s v="NI"/>
    <s v="NO"/>
    <s v="NI"/>
    <s v="NI"/>
    <s v="NI"/>
    <s v="NI"/>
    <s v="NI"/>
    <s v="NI"/>
    <s v="UK"/>
    <s v="UK"/>
    <s v="NI"/>
    <s v="NI"/>
    <s v="NI"/>
    <n v="300"/>
    <n v="900"/>
    <n v="750"/>
    <n v="250"/>
    <n v="200"/>
    <n v="400"/>
    <n v="400"/>
    <n v="400"/>
    <n v="400"/>
    <n v="750"/>
    <n v="400"/>
    <n v="750"/>
    <n v="200"/>
    <n v="200"/>
    <n v="200"/>
    <n v="750"/>
    <n v="75"/>
    <n v="200"/>
    <n v="750"/>
    <n v="200"/>
    <n v="400"/>
    <n v="750"/>
    <n v="1500"/>
    <n v="200"/>
    <n v="1500"/>
    <n v="1500"/>
    <n v="400"/>
  </r>
  <r>
    <s v="CM-SWVI [10]"/>
    <s v="Southwest Vancouver Island"/>
    <s v="PACHENA RIVER_Chum"/>
    <x v="0"/>
    <x v="0"/>
    <x v="3"/>
    <x v="53"/>
    <x v="1"/>
    <m/>
    <m/>
    <n v="5"/>
    <n v="2"/>
    <n v="2"/>
    <n v="38.213023345661199"/>
    <n v="1500"/>
    <n v="231.22745166354218"/>
    <m/>
    <s v="Presence/Absence"/>
    <s v="Missing estimates for 1999 &amp; 2000"/>
    <n v="118"/>
    <s v="NI"/>
    <n v="4"/>
    <n v="70"/>
    <n v="6"/>
    <s v="NI"/>
    <s v="NI"/>
    <s v="NI"/>
    <s v="NI"/>
    <s v="NI"/>
    <s v="NI"/>
    <n v="186"/>
    <m/>
    <m/>
    <s v="NI"/>
    <n v="50"/>
    <s v="NI"/>
    <s v="NI"/>
    <s v="NI"/>
    <s v="NI"/>
    <s v="NI"/>
    <n v="50"/>
    <s v="NI"/>
    <s v="NI"/>
    <s v="NI"/>
    <s v="NI"/>
    <s v="NI"/>
    <s v="NI"/>
    <s v="UK"/>
    <s v="UK"/>
    <s v="NI"/>
    <s v="NI"/>
    <s v="NI"/>
    <n v="90"/>
    <n v="500"/>
    <n v="150"/>
    <n v="400"/>
    <n v="75"/>
    <n v="200"/>
    <n v="200"/>
    <n v="200"/>
    <s v="NO"/>
    <n v="75"/>
    <n v="75"/>
    <n v="750"/>
    <n v="1500"/>
    <n v="750"/>
    <n v="200"/>
    <n v="200"/>
    <n v="200"/>
    <n v="200"/>
    <n v="400"/>
    <n v="75"/>
    <n v="400"/>
    <n v="750"/>
    <n v="1500"/>
    <n v="400"/>
    <n v="400"/>
    <n v="1500"/>
    <n v="750"/>
  </r>
  <r>
    <s v="CO-WVI [17]"/>
    <s v="West Vancouver Island"/>
    <s v="PIPESTEAM CREEK_Coho"/>
    <x v="0"/>
    <x v="0"/>
    <x v="3"/>
    <x v="54"/>
    <x v="0"/>
    <m/>
    <m/>
    <n v="5"/>
    <n v="5"/>
    <n v="4"/>
    <n v="1.4142135623730949"/>
    <n v="400"/>
    <n v="38.203664587748953"/>
    <m/>
    <s v="Presence/Absence"/>
    <s v="Chum is the target species, last time stream was surveyed was in 1999"/>
    <n v="1.5"/>
    <s v="NI"/>
    <m/>
    <m/>
    <m/>
    <s v="NI"/>
    <s v="NI"/>
    <s v="NI"/>
    <s v="NI"/>
    <s v="NI"/>
    <s v="NI"/>
    <s v="NI"/>
    <s v="NI"/>
    <s v="AP"/>
    <n v="1"/>
    <n v="2"/>
    <s v="AP"/>
    <s v="NO"/>
    <s v="NO"/>
    <s v="UK"/>
    <s v="NI"/>
    <s v="NI"/>
    <s v="NI"/>
    <s v="NI"/>
    <s v="NI"/>
    <s v="NI"/>
    <s v="NI"/>
    <s v="UK"/>
    <s v="UK"/>
    <s v="UK"/>
    <s v="UK"/>
    <s v="UK"/>
    <s v="NI"/>
    <n v="70"/>
    <n v="80"/>
    <n v="90"/>
    <n v="75"/>
    <n v="40"/>
    <n v="75"/>
    <n v="400"/>
    <n v="25"/>
    <n v="25"/>
    <n v="400"/>
    <n v="200"/>
    <n v="200"/>
    <n v="75"/>
    <n v="25"/>
    <n v="25"/>
    <n v="25"/>
    <n v="25"/>
    <n v="25"/>
    <n v="25"/>
    <n v="25"/>
    <n v="25"/>
    <n v="25"/>
    <n v="25"/>
    <n v="25"/>
    <n v="25"/>
    <n v="25"/>
    <n v="75"/>
  </r>
  <r>
    <s v="CM-SWVI [10]"/>
    <s v="Southwest Vancouver Island"/>
    <s v="PIPESTEAM CREEK_Chum"/>
    <x v="0"/>
    <x v="0"/>
    <x v="3"/>
    <x v="54"/>
    <x v="1"/>
    <m/>
    <m/>
    <n v="5"/>
    <n v="5"/>
    <n v="4"/>
    <n v="140.27501764798458"/>
    <n v="3500"/>
    <n v="391.97376325984442"/>
    <m/>
    <s v="Presence/Absence"/>
    <s v="Chum is the target species, last time stream was surveyed was in 1999"/>
    <n v="187.5"/>
    <s v="NI"/>
    <m/>
    <m/>
    <m/>
    <s v="NI"/>
    <s v="NI"/>
    <s v="NI"/>
    <s v="NI"/>
    <s v="NI"/>
    <s v="NI"/>
    <s v="NI"/>
    <s v="NI"/>
    <n v="175"/>
    <n v="295"/>
    <n v="250"/>
    <n v="30"/>
    <s v="NO"/>
    <n v="100"/>
    <s v="NO"/>
    <s v="NI"/>
    <s v="NI"/>
    <s v="NI"/>
    <s v="NI"/>
    <s v="NI"/>
    <s v="NI"/>
    <s v="NI"/>
    <n v="50"/>
    <s v="UK"/>
    <s v="UK"/>
    <n v="400"/>
    <n v="60"/>
    <s v="NI"/>
    <n v="160"/>
    <n v="500"/>
    <n v="180"/>
    <n v="280"/>
    <n v="400"/>
    <n v="1000"/>
    <n v="750"/>
    <n v="750"/>
    <n v="200"/>
    <n v="200"/>
    <n v="750"/>
    <n v="750"/>
    <n v="400"/>
    <n v="750"/>
    <n v="400"/>
    <n v="400"/>
    <n v="200"/>
    <n v="200"/>
    <n v="750"/>
    <n v="400"/>
    <n v="1500"/>
    <n v="1500"/>
    <n v="1500"/>
    <n v="3500"/>
    <n v="400"/>
    <n v="1500"/>
    <n v="1500"/>
  </r>
  <r>
    <s v="CO-JdF [16]"/>
    <s v="Georgia Strait Mainland"/>
    <s v="POETT NOOK CREEK_Coho"/>
    <x v="0"/>
    <x v="0"/>
    <x v="3"/>
    <x v="55"/>
    <x v="0"/>
    <m/>
    <m/>
    <n v="4"/>
    <n v="11"/>
    <n v="3"/>
    <n v="17.320508075688775"/>
    <n v="200"/>
    <n v="49.996498965367053"/>
    <m/>
    <s v="PL+D or Presence/Absence"/>
    <s v="Charter Patrol stream, chum is the target species"/>
    <n v="46.75"/>
    <n v="2"/>
    <m/>
    <m/>
    <m/>
    <s v="NI"/>
    <s v="NI"/>
    <n v="15"/>
    <s v="NO"/>
    <s v="NO"/>
    <s v="NO"/>
    <n v="20"/>
    <s v="NO"/>
    <s v="NO"/>
    <n v="150"/>
    <n v="2"/>
    <s v="NO"/>
    <s v="NO"/>
    <s v="UK"/>
    <s v="UK"/>
    <s v="NI"/>
    <n v="50"/>
    <s v="UK"/>
    <s v="NI"/>
    <s v="UK"/>
    <s v="NI"/>
    <s v="NI"/>
    <s v="UK"/>
    <s v="UK"/>
    <s v="UK"/>
    <n v="20"/>
    <s v="UK"/>
    <s v="NI"/>
    <n v="80"/>
    <n v="100"/>
    <n v="110"/>
    <n v="90"/>
    <n v="40"/>
    <n v="75"/>
    <n v="200"/>
    <n v="25"/>
    <n v="75"/>
    <n v="200"/>
    <n v="75"/>
    <n v="200"/>
    <n v="200"/>
    <n v="25"/>
    <n v="25"/>
    <n v="75"/>
    <n v="25"/>
    <n v="25"/>
    <n v="25"/>
    <n v="25"/>
    <n v="25"/>
    <n v="75"/>
    <n v="25"/>
    <n v="25"/>
    <n v="75"/>
    <n v="75"/>
    <n v="200"/>
  </r>
  <r>
    <s v="CM-SWVI [10]"/>
    <s v="Southwest Vancouver Island"/>
    <s v="POETT NOOK CREEK_Chum"/>
    <x v="0"/>
    <x v="0"/>
    <x v="3"/>
    <x v="55"/>
    <x v="1"/>
    <m/>
    <m/>
    <n v="4"/>
    <n v="11"/>
    <n v="9"/>
    <n v="297.33424626401489"/>
    <n v="1200"/>
    <n v="324.50011308329539"/>
    <m/>
    <s v="PL+D or Presence/Absence"/>
    <s v="Charter Patrol stream, chum is the target species"/>
    <n v="457.66666666666669"/>
    <n v="10"/>
    <m/>
    <m/>
    <m/>
    <s v="NI"/>
    <s v="NI"/>
    <n v="1059"/>
    <n v="550"/>
    <n v="550"/>
    <n v="900"/>
    <s v="NO"/>
    <n v="70"/>
    <s v="NO"/>
    <n v="500"/>
    <n v="300"/>
    <n v="40"/>
    <n v="150"/>
    <n v="100"/>
    <s v="AP"/>
    <s v="NI"/>
    <s v="NO"/>
    <s v="UK"/>
    <s v="NI"/>
    <n v="1200"/>
    <s v="NI"/>
    <s v="NI"/>
    <n v="255"/>
    <n v="50"/>
    <s v="UK"/>
    <n v="800"/>
    <n v="500"/>
    <s v="NI"/>
    <n v="100"/>
    <n v="1000"/>
    <n v="520"/>
    <n v="600"/>
    <n v="650"/>
    <n v="1000"/>
    <n v="400"/>
    <n v="750"/>
    <n v="750"/>
    <n v="750"/>
    <n v="400"/>
    <n v="750"/>
    <n v="200"/>
    <n v="400"/>
    <n v="75"/>
    <n v="200"/>
    <n v="25"/>
    <n v="400"/>
    <n v="75"/>
    <n v="200"/>
    <n v="400"/>
    <n v="750"/>
    <n v="400"/>
    <n v="750"/>
    <n v="200"/>
    <n v="400"/>
    <n v="200"/>
  </r>
  <r>
    <s v="CO-WVI [17]"/>
    <s v="West Vancouver Island"/>
    <s v="RITHERDON CREEK_Coho"/>
    <x v="0"/>
    <x v="0"/>
    <x v="3"/>
    <x v="56"/>
    <x v="0"/>
    <m/>
    <m/>
    <n v="4"/>
    <n v="8"/>
    <n v="3"/>
    <n v="10"/>
    <n v="50"/>
    <n v="10"/>
    <m/>
    <s v="Presence/Absence"/>
    <s v="Charter Patrol stream, chum is the target species"/>
    <n v="20.666666666666668"/>
    <s v="NO"/>
    <m/>
    <m/>
    <m/>
    <s v="NI"/>
    <s v="NI"/>
    <s v="NO"/>
    <s v="NI"/>
    <s v="NO"/>
    <s v="NO"/>
    <n v="10"/>
    <s v="AP"/>
    <s v="NO"/>
    <n v="50"/>
    <n v="2"/>
    <s v="NI"/>
    <s v="NI"/>
    <s v="NI"/>
    <s v="UK"/>
    <s v="NI"/>
    <s v="NO"/>
    <s v="NO"/>
    <s v="NI"/>
    <s v="NI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RITHERDON CREEK_Chum"/>
    <x v="0"/>
    <x v="0"/>
    <x v="3"/>
    <x v="56"/>
    <x v="1"/>
    <m/>
    <m/>
    <n v="4"/>
    <n v="8"/>
    <n v="5"/>
    <n v="112.47461131420948"/>
    <n v="1000"/>
    <n v="75.141308035501822"/>
    <m/>
    <s v="PL+D or Presence/Absence"/>
    <s v="Charter Patrol stream, chum is the target species"/>
    <n v="262"/>
    <n v="10"/>
    <m/>
    <m/>
    <m/>
    <s v="NI"/>
    <s v="NI"/>
    <n v="100"/>
    <s v="NI"/>
    <n v="20"/>
    <s v="NO"/>
    <n v="100"/>
    <n v="90"/>
    <s v="AP"/>
    <n v="1000"/>
    <s v="NO"/>
    <s v="NI"/>
    <s v="NI"/>
    <s v="NI"/>
    <s v="AP"/>
    <s v="NI"/>
    <s v="UK"/>
    <s v="UK"/>
    <s v="NI"/>
    <s v="NI"/>
    <s v="NI"/>
    <s v="NI"/>
    <n v="1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WVI [R10]"/>
    <s v="West Vancouver Island"/>
    <s v="SARITA RIVER_Sockeye"/>
    <x v="0"/>
    <x v="0"/>
    <x v="3"/>
    <x v="57"/>
    <x v="3"/>
    <m/>
    <m/>
    <n v="3"/>
    <n v="11"/>
    <n v="8"/>
    <n v="11.017167831298368"/>
    <n v="175"/>
    <n v="15.501285504808875"/>
    <s v="B. Other systems: wild or hatchery supplemented.     Intensively surveyed in 1995 and have a fairly complete historic database."/>
    <s v="AUC"/>
    <m/>
    <n v="36.625"/>
    <s v="NO"/>
    <n v="470"/>
    <n v="70"/>
    <s v="NO"/>
    <n v="3"/>
    <n v="3"/>
    <n v="2"/>
    <n v="44"/>
    <s v="NO"/>
    <n v="5"/>
    <n v="6"/>
    <s v="NO"/>
    <s v="NO"/>
    <n v="33"/>
    <n v="175"/>
    <n v="12"/>
    <n v="16"/>
    <s v="UK"/>
    <s v="UK"/>
    <n v="50"/>
    <s v="UK"/>
    <s v="UK"/>
    <s v="UK"/>
    <n v="6"/>
    <s v="NO"/>
    <n v="15"/>
    <n v="150"/>
    <s v="UK"/>
    <n v="25"/>
    <s v="NO"/>
    <s v="NO"/>
    <s v="UK"/>
    <s v="UK"/>
    <s v="UK"/>
    <s v="UK"/>
    <s v="UK"/>
    <s v="UK"/>
    <s v="UK"/>
    <s v="UK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SARITA RIVER_Coho"/>
    <x v="0"/>
    <x v="0"/>
    <x v="3"/>
    <x v="57"/>
    <x v="0"/>
    <m/>
    <m/>
    <n v="3"/>
    <n v="11"/>
    <n v="11"/>
    <n v="299.64050205826891"/>
    <n v="1863"/>
    <n v="346.37459547934549"/>
    <s v="B. Other systems: wild or hatchery supplemented.     Intensively surveyed in 1995 and have a fairly complete historic database."/>
    <s v="AUC"/>
    <s v="Average Esc from 1995-2005 from file: NEW ESCAPEMENT INDEX.XLS"/>
    <n v="620.1"/>
    <n v="745"/>
    <n v="1470"/>
    <n v="650"/>
    <n v="770"/>
    <n v="16"/>
    <n v="176"/>
    <s v="AP"/>
    <n v="314"/>
    <n v="184"/>
    <n v="1000"/>
    <n v="1863"/>
    <n v="814"/>
    <n v="786"/>
    <n v="895"/>
    <n v="162"/>
    <n v="58"/>
    <n v="125"/>
    <s v="UK"/>
    <n v="100"/>
    <n v="50"/>
    <s v="UK"/>
    <s v="UK"/>
    <s v="UK"/>
    <n v="50"/>
    <s v="UK"/>
    <n v="20"/>
    <s v="UK"/>
    <s v="UK"/>
    <n v="300"/>
    <n v="260"/>
    <n v="6"/>
    <s v="NO"/>
    <n v="500"/>
    <n v="750"/>
    <n v="650"/>
    <n v="450"/>
    <n v="1500"/>
    <n v="750"/>
    <n v="1500"/>
    <n v="400"/>
    <n v="1500"/>
    <n v="1500"/>
    <n v="750"/>
    <n v="1500"/>
    <n v="1500"/>
    <n v="400"/>
    <n v="400"/>
    <n v="750"/>
    <n v="200"/>
    <n v="400"/>
    <n v="750"/>
    <n v="200"/>
    <n v="400"/>
    <n v="750"/>
    <n v="200"/>
    <n v="400"/>
    <n v="400"/>
    <n v="400"/>
    <n v="400"/>
  </r>
  <r>
    <s v="Pkodd-WVI [6]"/>
    <s v="West Vancouver Island"/>
    <s v="SARITA RIVER_Pink"/>
    <x v="0"/>
    <x v="0"/>
    <x v="3"/>
    <x v="57"/>
    <x v="4"/>
    <m/>
    <m/>
    <n v="3"/>
    <n v="11"/>
    <n v="8"/>
    <n v="4.9310525060881041"/>
    <n v="750"/>
    <n v="23.226219823221594"/>
    <s v="B. Other systems: wild or hatchery supplemented.     Intensively surveyed in 1995 and have a fairly complete historic database."/>
    <s v="AUC"/>
    <m/>
    <n v="7.25"/>
    <n v="9"/>
    <m/>
    <m/>
    <n v="3"/>
    <s v="NO"/>
    <s v="NO"/>
    <s v="NO"/>
    <n v="3"/>
    <n v="6"/>
    <n v="19"/>
    <s v="NO"/>
    <n v="1"/>
    <n v="4"/>
    <n v="5"/>
    <n v="6"/>
    <s v="NO"/>
    <n v="14"/>
    <s v="UK"/>
    <s v="UK"/>
    <s v="UK"/>
    <s v="UK"/>
    <s v="UK"/>
    <s v="UK"/>
    <s v="NO"/>
    <s v="NO"/>
    <n v="12"/>
    <n v="50"/>
    <s v="UK"/>
    <s v="UK"/>
    <s v="UK"/>
    <s v="NO"/>
    <s v="NO"/>
    <n v="50"/>
    <n v="40"/>
    <s v="NO"/>
    <n v="250"/>
    <s v="UK"/>
    <n v="100"/>
    <s v="UK"/>
    <s v="UK"/>
    <s v="UK"/>
    <s v="UK"/>
    <s v="UK"/>
    <s v="UK"/>
    <s v="UK"/>
    <s v="UK"/>
    <s v="UK"/>
    <s v="UK"/>
    <s v="UK"/>
    <n v="25"/>
    <s v="UK"/>
    <n v="200"/>
    <n v="25"/>
    <n v="750"/>
    <s v="NO"/>
    <n v="400"/>
    <s v="UK"/>
    <n v="25"/>
    <s v="UK"/>
  </r>
  <r>
    <s v="CM-SWVI [10]"/>
    <s v="Southwest Vancouver Island"/>
    <s v="SARITA RIVER_Chum"/>
    <x v="0"/>
    <x v="0"/>
    <x v="3"/>
    <x v="57"/>
    <x v="1"/>
    <m/>
    <m/>
    <n v="3"/>
    <n v="11"/>
    <n v="11"/>
    <n v="8416.2284166754944"/>
    <n v="75000"/>
    <n v="19079.761240788393"/>
    <s v="B. Other systems: wild or hatchery supplemented.     Intensively surveyed in 1995 and have a fairly complete historic database."/>
    <s v="AUC"/>
    <s v="Average Esc from 1995-2005 from file: NEW ESCAPEMENT INDEX.XLS"/>
    <n v="14625.90909090909"/>
    <n v="33671"/>
    <n v="6400"/>
    <n v="7655"/>
    <n v="4089"/>
    <n v="2500"/>
    <n v="2529"/>
    <n v="15000"/>
    <n v="22231"/>
    <n v="10000"/>
    <n v="35000"/>
    <n v="5321"/>
    <n v="3266"/>
    <n v="11896"/>
    <n v="31566"/>
    <n v="14411"/>
    <n v="8473"/>
    <n v="3721"/>
    <s v="NI"/>
    <n v="35000"/>
    <n v="32000"/>
    <n v="5000"/>
    <n v="7000"/>
    <n v="20000"/>
    <n v="31500"/>
    <s v="UK"/>
    <n v="20000"/>
    <n v="46000"/>
    <n v="1000"/>
    <n v="14500"/>
    <n v="35000"/>
    <n v="16600"/>
    <n v="40000"/>
    <n v="17000"/>
    <n v="67000"/>
    <n v="38000"/>
    <n v="72000"/>
    <n v="40000"/>
    <n v="55000"/>
    <n v="50000"/>
    <n v="70000"/>
    <n v="50000"/>
    <n v="35000"/>
    <n v="65000"/>
    <n v="75000"/>
    <n v="40000"/>
    <n v="35000"/>
    <n v="15000"/>
    <n v="35000"/>
    <n v="7500"/>
    <n v="15000"/>
    <n v="7500"/>
    <n v="15000"/>
    <n v="15000"/>
    <n v="35000"/>
    <n v="35000"/>
    <n v="35000"/>
    <n v="15000"/>
    <n v="75000"/>
    <n v="15000"/>
  </r>
  <r>
    <s v="CK-SWVI [31]"/>
    <s v="Southwest Vancouver Island"/>
    <s v="SARITA RIVER_Chinook"/>
    <x v="0"/>
    <x v="1"/>
    <x v="3"/>
    <x v="57"/>
    <x v="2"/>
    <m/>
    <m/>
    <n v="3"/>
    <n v="11"/>
    <n v="11"/>
    <n v="1056.3937419515139"/>
    <n v="3380"/>
    <n v="465.18554217670624"/>
    <s v="B. Other systems: wild or hatchery supplemented.     Intensively surveyed in 1995 and have a fairly complete historic database."/>
    <s v="AUC"/>
    <s v="Average Esc from 1995-2005 from file: NEW ESCAPEMENT INDEX.XLS"/>
    <n v="1528.3636363636363"/>
    <n v="1300"/>
    <n v="725"/>
    <n v="505"/>
    <n v="718"/>
    <n v="1300"/>
    <n v="2904"/>
    <n v="1000"/>
    <n v="3104"/>
    <n v="3380"/>
    <n v="2968"/>
    <n v="1247"/>
    <n v="175"/>
    <n v="570"/>
    <n v="2231"/>
    <n v="1570"/>
    <n v="431"/>
    <n v="136"/>
    <n v="800"/>
    <n v="1200"/>
    <n v="750"/>
    <n v="1500"/>
    <n v="550"/>
    <n v="600"/>
    <n v="300"/>
    <s v="UK"/>
    <n v="350"/>
    <n v="300"/>
    <n v="90"/>
    <n v="127"/>
    <n v="145"/>
    <n v="160"/>
    <n v="300"/>
    <n v="400"/>
    <n v="25"/>
    <n v="390"/>
    <n v="475"/>
    <n v="400"/>
    <n v="700"/>
    <n v="75"/>
    <n v="400"/>
    <n v="750"/>
    <n v="400"/>
    <n v="400"/>
    <n v="750"/>
    <n v="400"/>
    <n v="750"/>
    <n v="750"/>
    <n v="400"/>
    <n v="750"/>
    <n v="200"/>
    <n v="400"/>
    <n v="200"/>
    <n v="200"/>
    <n v="200"/>
    <n v="200"/>
    <n v="200"/>
    <n v="200"/>
    <n v="750"/>
    <n v="750"/>
  </r>
  <r>
    <s v="CO-WVI [17]"/>
    <s v="West Vancouver Island"/>
    <s v="SECHART CREEK_Coho"/>
    <x v="0"/>
    <x v="0"/>
    <x v="3"/>
    <x v="58"/>
    <x v="0"/>
    <m/>
    <m/>
    <n v="5"/>
    <n v="5"/>
    <n v="1"/>
    <n v="20"/>
    <n v="75"/>
    <n v="36.615717231544899"/>
    <m/>
    <s v="Presence/Absence"/>
    <s v="Last time stream was surveyed was in 2000, only time fish was observed was in between 1995 and 2005 was in 1998"/>
    <n v="20"/>
    <s v="NI"/>
    <m/>
    <m/>
    <m/>
    <s v="NI"/>
    <s v="NI"/>
    <s v="NI"/>
    <s v="NI"/>
    <s v="NI"/>
    <s v="NI"/>
    <s v="NI"/>
    <s v="NO"/>
    <s v="NI"/>
    <n v="20"/>
    <s v="NO"/>
    <s v="NO"/>
    <s v="NO"/>
    <s v="NO"/>
    <s v="NI"/>
    <s v="NI"/>
    <s v="NI"/>
    <s v="NI"/>
    <s v="NI"/>
    <s v="NI"/>
    <s v="NI"/>
    <s v="NO"/>
    <s v="UK"/>
    <s v="UK"/>
    <s v="UK"/>
    <s v="NI"/>
    <s v="UK"/>
    <s v="NI"/>
    <n v="40"/>
    <n v="30"/>
    <n v="35"/>
    <n v="30"/>
    <n v="25"/>
    <n v="75"/>
    <n v="75"/>
    <s v="UK"/>
    <s v="UK"/>
    <n v="25"/>
    <n v="75"/>
    <n v="75"/>
    <s v="UK"/>
    <n v="25"/>
    <n v="25"/>
    <s v="UK"/>
    <s v="UK"/>
    <s v="UK"/>
    <s v="UK"/>
    <s v="UK"/>
    <s v="UK"/>
    <s v="UK"/>
    <s v="UK"/>
    <s v="UK"/>
    <s v="NO"/>
    <n v="25"/>
    <s v="UK"/>
  </r>
  <r>
    <s v="CM-SWVI [10]"/>
    <s v="Southwest Vancouver Island"/>
    <s v="SECHART CREEK_Chum"/>
    <x v="0"/>
    <x v="0"/>
    <x v="3"/>
    <x v="58"/>
    <x v="1"/>
    <m/>
    <m/>
    <n v="5"/>
    <n v="5"/>
    <n v="1"/>
    <n v="30"/>
    <n v="400"/>
    <n v="98.660885761651386"/>
    <m/>
    <s v="Presence/Absence"/>
    <s v="Last time stream was surveyed was in 2000, only time fish was observed was in between 1995 and 2005 was in 1998"/>
    <n v="30"/>
    <s v="NI"/>
    <m/>
    <m/>
    <m/>
    <s v="NI"/>
    <s v="NI"/>
    <s v="NI"/>
    <s v="NI"/>
    <s v="NI"/>
    <s v="NI"/>
    <s v="NI"/>
    <s v="NO"/>
    <s v="NI"/>
    <n v="30"/>
    <s v="NO"/>
    <s v="NO"/>
    <s v="NO"/>
    <s v="NO"/>
    <s v="NI"/>
    <s v="NI"/>
    <s v="NI"/>
    <s v="NI"/>
    <s v="NI"/>
    <s v="NI"/>
    <s v="NI"/>
    <n v="200"/>
    <n v="170"/>
    <s v="UK"/>
    <n v="78"/>
    <s v="NI"/>
    <n v="6"/>
    <s v="NI"/>
    <n v="30"/>
    <n v="100"/>
    <n v="80"/>
    <n v="140"/>
    <n v="50"/>
    <n v="75"/>
    <n v="200"/>
    <n v="200"/>
    <n v="25"/>
    <n v="200"/>
    <n v="400"/>
    <n v="200"/>
    <n v="75"/>
    <n v="400"/>
    <n v="25"/>
    <n v="75"/>
    <n v="200"/>
    <n v="25"/>
    <n v="75"/>
    <n v="25"/>
    <n v="200"/>
    <n v="200"/>
    <n v="400"/>
    <n v="25"/>
    <n v="200"/>
    <n v="400"/>
    <n v="400"/>
  </r>
  <r>
    <s v="CO-WVI [17]"/>
    <s v="West Vancouver Island"/>
    <s v="SMITH CREEK_Coho"/>
    <x v="0"/>
    <x v="0"/>
    <x v="3"/>
    <x v="59"/>
    <x v="0"/>
    <m/>
    <m/>
    <n v="4"/>
    <n v="10"/>
    <n v="9"/>
    <n v="31.573832840392257"/>
    <n v="400"/>
    <n v="46.126864445705237"/>
    <m/>
    <s v="PL+D or Presence/Absence"/>
    <m/>
    <n v="50.111111111111114"/>
    <s v="NI"/>
    <m/>
    <m/>
    <m/>
    <m/>
    <s v="NO"/>
    <n v="20"/>
    <n v="55"/>
    <s v="NI"/>
    <n v="45"/>
    <n v="100"/>
    <n v="40"/>
    <n v="60"/>
    <n v="105"/>
    <n v="25"/>
    <n v="1"/>
    <s v="NO"/>
    <s v="UK"/>
    <s v="UK"/>
    <s v="UK"/>
    <n v="20"/>
    <n v="6"/>
    <s v="UK"/>
    <s v="NO"/>
    <s v="NI"/>
    <s v="NI"/>
    <n v="30"/>
    <s v="UK"/>
    <s v="UK"/>
    <s v="UK"/>
    <s v="NI"/>
    <s v="NI"/>
    <n v="100"/>
    <n v="100"/>
    <n v="105"/>
    <n v="70"/>
    <n v="75"/>
    <n v="150"/>
    <n v="200"/>
    <n v="75"/>
    <n v="75"/>
    <n v="400"/>
    <n v="75"/>
    <n v="200"/>
    <n v="25"/>
    <n v="25"/>
    <n v="25"/>
    <n v="25"/>
    <s v="UK"/>
    <n v="25"/>
    <n v="25"/>
    <s v="UK"/>
    <n v="25"/>
    <s v="UK"/>
    <s v="UK"/>
    <s v="UK"/>
    <s v="UK"/>
    <s v="UK"/>
    <s v="UK"/>
  </r>
  <r>
    <s v="CM-SWVI [10]"/>
    <s v="Southwest Vancouver Island"/>
    <s v="SMITH CREEK_Chum"/>
    <x v="0"/>
    <x v="0"/>
    <x v="3"/>
    <x v="59"/>
    <x v="1"/>
    <m/>
    <m/>
    <n v="4"/>
    <n v="10"/>
    <n v="10"/>
    <n v="982.16306856904407"/>
    <n v="15000"/>
    <n v="1314.0943814300424"/>
    <m/>
    <s v="PL+D or Presence/Absence"/>
    <m/>
    <n v="2310"/>
    <s v="NI"/>
    <m/>
    <m/>
    <m/>
    <m/>
    <s v="700"/>
    <n v="4000"/>
    <n v="4500"/>
    <s v="NI"/>
    <n v="4625"/>
    <n v="6000"/>
    <n v="350"/>
    <n v="606"/>
    <n v="1900"/>
    <n v="840"/>
    <n v="260"/>
    <n v="19"/>
    <n v="50"/>
    <n v="250"/>
    <n v="800"/>
    <n v="200"/>
    <n v="75"/>
    <s v="UK"/>
    <n v="300"/>
    <s v="NI"/>
    <s v="NI"/>
    <n v="500"/>
    <n v="4743"/>
    <s v="UK"/>
    <n v="2400"/>
    <s v="NI"/>
    <s v="NI"/>
    <n v="1000"/>
    <n v="3500"/>
    <n v="5000"/>
    <n v="5700"/>
    <n v="400"/>
    <n v="3500"/>
    <n v="3500"/>
    <n v="15000"/>
    <n v="1500"/>
    <n v="7500"/>
    <n v="1500"/>
    <n v="3500"/>
    <n v="1500"/>
    <n v="3500"/>
    <n v="200"/>
    <n v="750"/>
    <n v="750"/>
    <n v="750"/>
    <n v="400"/>
    <n v="1500"/>
    <n v="7500"/>
    <n v="7500"/>
    <n v="3500"/>
    <n v="1500"/>
    <n v="1500"/>
    <n v="7500"/>
    <n v="3500"/>
  </r>
  <r>
    <s v="CK-SWVI [31]"/>
    <s v="Southwest Vancouver Island"/>
    <s v="SMITH CREEK_Chinook"/>
    <x v="0"/>
    <x v="0"/>
    <x v="3"/>
    <x v="59"/>
    <x v="2"/>
    <m/>
    <m/>
    <n v="4"/>
    <n v="10"/>
    <n v="6"/>
    <n v="8.1264103377747627"/>
    <n v="40"/>
    <n v="8.1264103377747627"/>
    <m/>
    <s v="PL+D or Presence/Absence"/>
    <m/>
    <n v="14.833333333333334"/>
    <s v="NI"/>
    <m/>
    <m/>
    <m/>
    <m/>
    <s v="NO"/>
    <s v="NO"/>
    <s v="NO"/>
    <s v="NI"/>
    <n v="16"/>
    <n v="40"/>
    <n v="25"/>
    <n v="3"/>
    <s v="NO"/>
    <n v="3"/>
    <n v="2"/>
    <s v="NO"/>
    <s v="UK"/>
    <s v="UK"/>
    <s v="UK"/>
    <s v="UK"/>
    <s v="UK"/>
    <s v="UK"/>
    <s v="UK"/>
    <s v="NI"/>
    <s v="NI"/>
    <s v="UK"/>
    <s v="UK"/>
    <s v="UK"/>
    <s v="UK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SNUG BASIN CREEK_Coho"/>
    <x v="0"/>
    <x v="0"/>
    <x v="3"/>
    <x v="60"/>
    <x v="0"/>
    <m/>
    <m/>
    <n v="4"/>
    <n v="11"/>
    <n v="8"/>
    <n v="19.634587827508486"/>
    <n v="200"/>
    <n v="31.86153605825648"/>
    <m/>
    <s v="PL+D or Presence/Absence"/>
    <s v="Charter Patrol stream, chum is the target species"/>
    <n v="22.857142857142858"/>
    <s v="NI"/>
    <m/>
    <m/>
    <m/>
    <s v="NI"/>
    <s v="NI"/>
    <s v="NO"/>
    <n v="15"/>
    <n v="25"/>
    <n v="10"/>
    <n v="10"/>
    <s v="AP"/>
    <n v="50"/>
    <s v="NO"/>
    <s v="NO"/>
    <n v="30"/>
    <n v="20"/>
    <n v="10"/>
    <s v="NI"/>
    <s v="NI"/>
    <s v="NI"/>
    <s v="UK"/>
    <s v="NI"/>
    <s v="UK"/>
    <s v="NI"/>
    <s v="NI"/>
    <s v="UK"/>
    <s v="UK"/>
    <s v="UK"/>
    <n v="14"/>
    <n v="50"/>
    <s v="NO"/>
    <n v="50"/>
    <n v="80"/>
    <n v="60"/>
    <n v="40"/>
    <n v="25"/>
    <n v="150"/>
    <n v="200"/>
    <n v="25"/>
    <n v="25"/>
    <n v="75"/>
    <n v="25"/>
    <n v="75"/>
    <n v="25"/>
    <n v="25"/>
    <n v="25"/>
    <n v="25"/>
    <n v="25"/>
    <n v="25"/>
    <n v="25"/>
    <n v="25"/>
    <n v="25"/>
    <n v="75"/>
    <n v="25"/>
    <n v="25"/>
    <n v="75"/>
    <n v="25"/>
    <n v="25"/>
  </r>
  <r>
    <s v="CM-SWVI [10]"/>
    <s v="Southwest Vancouver Island"/>
    <s v="SNUG BASIN CREEK_Chum"/>
    <x v="0"/>
    <x v="0"/>
    <x v="3"/>
    <x v="60"/>
    <x v="1"/>
    <m/>
    <m/>
    <n v="4"/>
    <n v="11"/>
    <n v="7"/>
    <n v="114.52453965267588"/>
    <n v="3500"/>
    <n v="344.97166100380173"/>
    <m/>
    <s v="PL+D or Presence/Absence"/>
    <s v="Charter Patrol stream, chum is the target species"/>
    <n v="217.14285714285714"/>
    <s v="NI"/>
    <m/>
    <m/>
    <m/>
    <s v="NI"/>
    <s v="NI"/>
    <s v="NO"/>
    <n v="75"/>
    <n v="625"/>
    <n v="525"/>
    <s v="NO"/>
    <n v="100"/>
    <s v="NO"/>
    <s v="NO"/>
    <n v="25"/>
    <n v="140"/>
    <n v="30"/>
    <n v="150"/>
    <s v="NI"/>
    <s v="NI"/>
    <s v="NI"/>
    <n v="200"/>
    <s v="NI"/>
    <n v="120"/>
    <s v="NI"/>
    <s v="NI"/>
    <n v="400"/>
    <s v="UK"/>
    <s v="UK"/>
    <n v="1050"/>
    <n v="400"/>
    <n v="2000"/>
    <n v="200"/>
    <n v="750"/>
    <n v="550"/>
    <n v="1700"/>
    <n v="900"/>
    <n v="2500"/>
    <n v="1500"/>
    <n v="1500"/>
    <n v="200"/>
    <n v="750"/>
    <n v="750"/>
    <n v="1500"/>
    <n v="200"/>
    <n v="400"/>
    <n v="25"/>
    <n v="75"/>
    <n v="25"/>
    <n v="75"/>
    <n v="75"/>
    <n v="200"/>
    <n v="200"/>
    <n v="1500"/>
    <n v="1500"/>
    <n v="400"/>
    <n v="750"/>
    <n v="3500"/>
    <n v="1500"/>
  </r>
  <r>
    <s v="SK-L-13-10"/>
    <s v="Great Central/Sproat"/>
    <s v="SOMASS SYSTEM_Sockeye"/>
    <x v="0"/>
    <x v="0"/>
    <x v="3"/>
    <x v="61"/>
    <x v="3"/>
    <m/>
    <m/>
    <n v="1"/>
    <n v="11"/>
    <n v="11"/>
    <n v="173213.03523480141"/>
    <n v="304911"/>
    <n v="47391.480510314301"/>
    <s v="E.   Systems extensively surveyed, with major hatcheries or considerable hatchery contribution"/>
    <s v="AUC"/>
    <s v="Sockeye estimate includes counts from GCL and Sproat Lake"/>
    <m/>
    <m/>
    <m/>
    <m/>
    <n v="124922"/>
    <n v="119699"/>
    <n v="197433"/>
    <n v="304911"/>
    <m/>
    <m/>
    <m/>
    <m/>
    <m/>
    <m/>
    <m/>
    <m/>
    <m/>
    <m/>
    <m/>
    <m/>
    <m/>
    <m/>
    <m/>
    <m/>
    <m/>
    <m/>
    <m/>
    <n v="44000"/>
    <s v="NI"/>
    <s v="UK"/>
    <n v="8035"/>
    <s v="UK"/>
    <s v="NO"/>
    <n v="35000"/>
    <n v="32000"/>
    <n v="31200"/>
    <n v="35000"/>
    <n v="40000"/>
    <n v="125000"/>
    <n v="130000"/>
    <n v="30000"/>
    <n v="85000"/>
    <n v="120000"/>
    <n v="35000"/>
    <n v="60000"/>
    <n v="75000"/>
    <n v="75000"/>
    <n v="35000"/>
    <n v="35000"/>
    <n v="35000"/>
    <n v="35000"/>
    <n v="35000"/>
    <n v="15000"/>
    <n v="35000"/>
    <n v="35000"/>
    <n v="15000"/>
    <n v="35000"/>
    <n v="35000"/>
    <n v="35000"/>
    <n v="35000"/>
  </r>
  <r>
    <s v="CO-WVI [17]"/>
    <s v="West Vancouver Island"/>
    <s v="SOMASS SYSTEM_Coho"/>
    <x v="0"/>
    <x v="0"/>
    <x v="3"/>
    <x v="61"/>
    <x v="0"/>
    <m/>
    <m/>
    <n v="1"/>
    <n v="11"/>
    <n v="11"/>
    <e v="#NUM!"/>
    <n v="130000"/>
    <n v="39633.42595250989"/>
    <s v="E.   Systems extensively surveyed, with major hatcheries or considerable hatchery contribution"/>
    <s v="AUC"/>
    <s v="Need to get past estimates from Jeff to do 1995-2005 average. Total escapement estimate includes counts from Somass River; Upper &amp; Lower Stamp River; Upper and Lower Sproat River; Ash River; Taylor River; McBride Creek; and Drinkwater Creek."/>
    <m/>
    <m/>
    <s v="AP"/>
    <s v="AP"/>
    <s v="NO"/>
    <m/>
    <s v="NI"/>
    <s v="NI"/>
    <m/>
    <m/>
    <m/>
    <m/>
    <m/>
    <m/>
    <m/>
    <m/>
    <m/>
    <m/>
    <m/>
    <m/>
    <m/>
    <m/>
    <m/>
    <m/>
    <m/>
    <m/>
    <m/>
    <n v="44000"/>
    <s v="NI"/>
    <s v="UK"/>
    <n v="8035"/>
    <s v="UK"/>
    <s v="NO"/>
    <n v="35000"/>
    <n v="32000"/>
    <n v="31200"/>
    <n v="35000"/>
    <n v="40000"/>
    <n v="125000"/>
    <n v="130000"/>
    <n v="30000"/>
    <n v="85000"/>
    <n v="120000"/>
    <n v="35000"/>
    <n v="60000"/>
    <n v="75000"/>
    <n v="75000"/>
    <n v="35000"/>
    <n v="35000"/>
    <n v="35000"/>
    <n v="35000"/>
    <n v="35000"/>
    <n v="15000"/>
    <n v="35000"/>
    <n v="35000"/>
    <n v="15000"/>
    <n v="35000"/>
    <n v="35000"/>
    <n v="35000"/>
    <n v="35000"/>
  </r>
  <r>
    <s v="Pkodd-WVI [6]"/>
    <s v="West Vancouver Island"/>
    <s v="SOMASS SYSTEM_Pink"/>
    <x v="0"/>
    <x v="0"/>
    <x v="3"/>
    <x v="61"/>
    <x v="4"/>
    <m/>
    <m/>
    <n v="1"/>
    <n v="11"/>
    <n v="9"/>
    <e v="#NUM!"/>
    <n v="3500"/>
    <e v="#NUM!"/>
    <s v="E.   Systems extensively surveyed, with major hatcheries or considerable hatchery contribution"/>
    <s v="AUC"/>
    <s v="Not a reliable average because pink is not a target species in the Somass. Total escapement estimate includes counts from Somass River; Upper &amp; Lower Stamp River; Upper and Lower Sproat River; Ash River; Taylor River; McBride Creek; and Drinkwater Creek."/>
    <n v="6.125"/>
    <m/>
    <m/>
    <m/>
    <m/>
    <m/>
    <s v="NI"/>
    <s v="NI"/>
    <n v="1"/>
    <n v="7"/>
    <n v="0"/>
    <n v="6"/>
    <n v="5"/>
    <n v="4"/>
    <n v="12"/>
    <n v="14"/>
    <s v="NI"/>
    <s v="NI"/>
    <m/>
    <m/>
    <m/>
    <m/>
    <m/>
    <m/>
    <m/>
    <m/>
    <m/>
    <s v="UK"/>
    <s v="NI"/>
    <n v="2"/>
    <s v="UK"/>
    <s v="UK"/>
    <s v="UK"/>
    <s v="NO"/>
    <s v="NO"/>
    <s v="NO"/>
    <n v="500"/>
    <n v="100"/>
    <n v="400"/>
    <s v="UK"/>
    <n v="400"/>
    <n v="200"/>
    <n v="100"/>
    <n v="25"/>
    <n v="400"/>
    <n v="200"/>
    <n v="1500"/>
    <n v="3500"/>
    <n v="75"/>
    <n v="3500"/>
    <n v="750"/>
    <n v="75"/>
    <n v="400"/>
    <s v="NO"/>
    <n v="400"/>
    <s v="UK"/>
    <n v="75"/>
    <s v="UK"/>
    <s v="UK"/>
    <s v="UK"/>
  </r>
  <r>
    <s v="CM-SWVI [10]"/>
    <s v="Southwest Vancouver Island"/>
    <s v="SOMASS SYSTEM_Chum"/>
    <x v="0"/>
    <x v="0"/>
    <x v="3"/>
    <x v="61"/>
    <x v="1"/>
    <m/>
    <m/>
    <n v="1"/>
    <n v="11"/>
    <n v="11"/>
    <e v="#NUM!"/>
    <n v="8392"/>
    <e v="#NUM!"/>
    <s v="E.   Systems extensively surveyed, with major hatcheries or considerable hatchery contribution"/>
    <s v="AUC"/>
    <s v="Not a reliable average because chum is not a target species in the Somass. Total escapement estimate includes counts from Somass River; Upper &amp; Lower Stamp River; Upper and Lower Sproat River; Ash River; Taylor River; McBride Creek; and Drinkwater Creek."/>
    <n v="1016.5454545454545"/>
    <n v="5021"/>
    <n v="4300"/>
    <n v="3035"/>
    <s v="NO"/>
    <m/>
    <n v="159"/>
    <n v="81"/>
    <n v="66"/>
    <n v="224"/>
    <n v="91"/>
    <n v="914"/>
    <n v="32"/>
    <n v="77"/>
    <n v="8392"/>
    <n v="1305"/>
    <n v="0"/>
    <n v="0"/>
    <m/>
    <m/>
    <m/>
    <m/>
    <m/>
    <m/>
    <m/>
    <m/>
    <m/>
    <n v="2000"/>
    <s v="NI"/>
    <n v="1"/>
    <s v="NO"/>
    <n v="1000"/>
    <s v="UK"/>
    <n v="350"/>
    <n v="300"/>
    <n v="500"/>
    <n v="4500"/>
    <n v="750"/>
    <n v="3500"/>
    <n v="7000"/>
    <n v="4000"/>
    <n v="1500"/>
    <n v="3000"/>
    <n v="2500"/>
    <n v="3500"/>
    <n v="1500"/>
    <n v="1500"/>
    <n v="1500"/>
    <n v="750"/>
    <n v="1500"/>
    <n v="3500"/>
    <n v="3500"/>
    <n v="1500"/>
    <n v="3500"/>
    <n v="7500"/>
    <n v="7500"/>
    <n v="1500"/>
    <n v="3500"/>
    <n v="7500"/>
    <n v="7500"/>
  </r>
  <r>
    <s v="CK-SWVI [31]"/>
    <s v="Southwest Vancouver Island"/>
    <s v="SOMASS SYSTEM_Chinook"/>
    <x v="0"/>
    <x v="0"/>
    <x v="3"/>
    <x v="61"/>
    <x v="2"/>
    <m/>
    <m/>
    <n v="1"/>
    <n v="11"/>
    <n v="11"/>
    <n v="30815"/>
    <n v="54500"/>
    <n v="10358.888252330458"/>
    <s v="E.   Systems extensively surveyed, with major hatcheries or considerable hatchery contribution"/>
    <s v="AUC"/>
    <s v="Average Esc from 1995-2005 from file: ESCINDEX.XLS. Total escapement estimate includes counts from Somass River; Upper &amp; Lower Stamp River; Upper and Lower Sproat River; Ash River; Taylor River; McBride Creek; and Drinkwater Creek."/>
    <m/>
    <m/>
    <m/>
    <m/>
    <s v=" 19220"/>
    <s v=" 13956"/>
    <s v=" 37687"/>
    <n v="30815"/>
    <m/>
    <m/>
    <m/>
    <m/>
    <m/>
    <m/>
    <m/>
    <m/>
    <m/>
    <m/>
    <m/>
    <m/>
    <m/>
    <m/>
    <m/>
    <m/>
    <m/>
    <m/>
    <m/>
    <n v="54500"/>
    <n v="6500"/>
    <n v="11000"/>
    <n v="8474"/>
    <n v="7500"/>
    <n v="4000"/>
    <n v="10200"/>
    <n v="9000"/>
    <n v="12300"/>
    <n v="13000"/>
    <n v="15000"/>
    <n v="12500"/>
    <n v="11000"/>
    <n v="9000"/>
    <n v="13500"/>
    <n v="8500"/>
    <n v="13000"/>
    <n v="12500"/>
    <n v="15000"/>
    <n v="7500"/>
    <n v="7500"/>
    <n v="15000"/>
    <n v="7500"/>
    <n v="7500"/>
    <n v="7500"/>
    <n v="7500"/>
    <n v="7500"/>
    <n v="15000"/>
    <n v="7500"/>
    <n v="15000"/>
    <n v="7500"/>
    <n v="7500"/>
    <n v="7500"/>
  </r>
  <r>
    <s v="CO-JdF [16]"/>
    <s v="Georgia Strait Mainland"/>
    <s v="SUGSAW CREEK_Coho"/>
    <x v="0"/>
    <x v="0"/>
    <x v="3"/>
    <x v="62"/>
    <x v="0"/>
    <m/>
    <m/>
    <n v="4"/>
    <n v="3"/>
    <n v="2"/>
    <n v="2.4494897427831779"/>
    <n v="200"/>
    <n v="36.8280884098833"/>
    <m/>
    <s v="PL+D or Presence/Absence"/>
    <s v="Missing estimates for 1998, 1999, 2000, 2004 &amp; 2005"/>
    <n v="2.5"/>
    <s v="NI"/>
    <m/>
    <m/>
    <m/>
    <m/>
    <s v="NI"/>
    <m/>
    <m/>
    <s v="NI"/>
    <s v="NI"/>
    <n v="3"/>
    <m/>
    <m/>
    <m/>
    <n v="2"/>
    <s v="NI"/>
    <s v="NO"/>
    <s v="NO"/>
    <s v="UK"/>
    <s v="NI"/>
    <s v="NI"/>
    <s v="NI"/>
    <s v="NI"/>
    <s v="NO"/>
    <s v="NI"/>
    <s v="UK"/>
    <s v="UK"/>
    <s v="UK"/>
    <s v="UK"/>
    <s v="UK"/>
    <s v="UK"/>
    <s v="NO"/>
    <n v="75"/>
    <n v="140"/>
    <n v="160"/>
    <n v="50"/>
    <n v="40"/>
    <n v="75"/>
    <n v="200"/>
    <n v="25"/>
    <n v="75"/>
    <n v="75"/>
    <n v="75"/>
    <n v="200"/>
    <n v="75"/>
    <n v="25"/>
    <n v="25"/>
    <n v="25"/>
    <n v="25"/>
    <n v="25"/>
    <n v="25"/>
    <n v="25"/>
    <n v="25"/>
    <n v="25"/>
    <n v="25"/>
    <n v="25"/>
    <n v="25"/>
    <n v="25"/>
    <s v="UK"/>
  </r>
  <r>
    <s v="CM-SWVI [10]"/>
    <s v="Southwest Vancouver Island"/>
    <s v="SUGSAW CREEK_Chum"/>
    <x v="0"/>
    <x v="0"/>
    <x v="3"/>
    <x v="62"/>
    <x v="1"/>
    <m/>
    <m/>
    <n v="4"/>
    <n v="3"/>
    <n v="3"/>
    <n v="264.82208189575385"/>
    <n v="14000"/>
    <n v="1612.0413268925645"/>
    <m/>
    <s v="PL+D or Presence/Absence"/>
    <s v="Missing estimates for 1998, 1999, 2000, 2004 &amp; 2005"/>
    <n v="263.33333333333331"/>
    <s v="NI"/>
    <m/>
    <m/>
    <m/>
    <n v="414"/>
    <s v="NI"/>
    <m/>
    <m/>
    <s v="NI"/>
    <s v="NI"/>
    <n v="220"/>
    <m/>
    <m/>
    <m/>
    <n v="450"/>
    <s v="NI"/>
    <n v="120"/>
    <n v="250"/>
    <n v="1200"/>
    <s v="NI"/>
    <s v="NI"/>
    <s v="NI"/>
    <s v="NI"/>
    <n v="2000"/>
    <s v="NI"/>
    <n v="1000"/>
    <n v="500"/>
    <s v="UK"/>
    <s v="UK"/>
    <n v="3200"/>
    <n v="7000"/>
    <n v="11000"/>
    <n v="2000"/>
    <n v="14000"/>
    <n v="6000"/>
    <n v="400"/>
    <n v="4000"/>
    <n v="4000"/>
    <n v="1500"/>
    <n v="750"/>
    <n v="1500"/>
    <n v="400"/>
    <n v="3500"/>
    <n v="1500"/>
    <n v="750"/>
    <n v="1500"/>
    <n v="750"/>
    <n v="1500"/>
    <n v="1500"/>
    <n v="1500"/>
    <n v="1500"/>
    <n v="1500"/>
    <n v="3500"/>
    <n v="3500"/>
    <n v="3500"/>
    <n v="3500"/>
    <n v="7500"/>
    <n v="3500"/>
    <n v="3500"/>
  </r>
  <r>
    <s v="CK-SWVI [31]"/>
    <s v="Southwest Vancouver Island"/>
    <s v="SUGSAW CREEK_Chinook"/>
    <x v="0"/>
    <x v="0"/>
    <x v="3"/>
    <x v="62"/>
    <x v="2"/>
    <m/>
    <m/>
    <n v="4"/>
    <n v="3"/>
    <n v="2"/>
    <n v="4.4721359549995796"/>
    <n v="10"/>
    <n v="4.4721359549995796"/>
    <m/>
    <s v="PL+D or Presence/Absence"/>
    <s v="Missing estimates for 1998, 1999, 2000, 2004 &amp; 2005"/>
    <n v="6"/>
    <s v="NI"/>
    <m/>
    <m/>
    <m/>
    <m/>
    <s v="NI"/>
    <m/>
    <m/>
    <s v="NI"/>
    <s v="NI"/>
    <n v="10"/>
    <m/>
    <m/>
    <m/>
    <n v="2"/>
    <s v="NI"/>
    <s v="NO"/>
    <s v="UK"/>
    <s v="UK"/>
    <s v="NI"/>
    <s v="NI"/>
    <s v="NI"/>
    <s v="NI"/>
    <s v="UK"/>
    <s v="NI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THORNTON CREEK_Coho"/>
    <x v="0"/>
    <x v="0"/>
    <x v="3"/>
    <x v="63"/>
    <x v="0"/>
    <m/>
    <m/>
    <n v="4"/>
    <n v="10"/>
    <n v="10"/>
    <n v="592.85362247213004"/>
    <n v="2903"/>
    <n v="702.65717535098406"/>
    <m/>
    <s v="PL+D or Presence/Absence"/>
    <s v="Missing escapement estimate for 2003"/>
    <n v="750"/>
    <s v="NI"/>
    <m/>
    <m/>
    <m/>
    <s v="NO"/>
    <n v="125"/>
    <n v="220"/>
    <n v="700"/>
    <m/>
    <n v="720"/>
    <n v="1200"/>
    <n v="600"/>
    <n v="800"/>
    <n v="1050"/>
    <n v="725"/>
    <n v="575"/>
    <n v="910"/>
    <n v="225"/>
    <n v="750"/>
    <n v="700"/>
    <n v="1078"/>
    <n v="736"/>
    <n v="2903"/>
    <n v="201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Pkodd-WVI [6]"/>
    <s v="West Vancouver Island"/>
    <s v="THORNTON CREEK_Pink"/>
    <x v="0"/>
    <x v="0"/>
    <x v="3"/>
    <x v="63"/>
    <x v="4"/>
    <m/>
    <m/>
    <n v="4"/>
    <n v="10"/>
    <n v="3"/>
    <n v="2.6207413942088964"/>
    <n v="3"/>
    <n v="2.6207413942088964"/>
    <m/>
    <s v="PL+D or Presence/Absence"/>
    <s v="Missing escapement estimate for 2003"/>
    <n v="2.6666666666666665"/>
    <s v="NI"/>
    <m/>
    <m/>
    <m/>
    <s v="NO"/>
    <s v="NO"/>
    <s v="NO"/>
    <s v="NO"/>
    <m/>
    <s v="NO"/>
    <s v="NO"/>
    <s v="NO"/>
    <n v="3"/>
    <s v="NO"/>
    <n v="3"/>
    <n v="2"/>
    <s v="NO"/>
    <s v="UK"/>
    <s v="UK"/>
    <s v="UK"/>
    <s v="UK"/>
    <s v="UK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THORNTON CREEK_Chum"/>
    <x v="0"/>
    <x v="0"/>
    <x v="3"/>
    <x v="63"/>
    <x v="1"/>
    <m/>
    <m/>
    <n v="4"/>
    <n v="10"/>
    <n v="10"/>
    <n v="44.873389199124276"/>
    <n v="583"/>
    <n v="36.442910003713656"/>
    <m/>
    <s v="PL+D or Presence/Absence"/>
    <s v="Missing escapement estimate for 2003"/>
    <n v="87.9"/>
    <s v="NI"/>
    <m/>
    <m/>
    <m/>
    <n v="50"/>
    <n v="55"/>
    <n v="235"/>
    <n v="300"/>
    <m/>
    <n v="75"/>
    <n v="125"/>
    <n v="35"/>
    <n v="35"/>
    <n v="47"/>
    <n v="13"/>
    <n v="7"/>
    <n v="7"/>
    <n v="7"/>
    <s v="UK"/>
    <n v="25"/>
    <n v="45"/>
    <n v="6"/>
    <n v="7"/>
    <n v="583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K-SWVI [31]"/>
    <s v="Southwest Vancouver Island"/>
    <s v="THORNTON CREEK_Chinook"/>
    <x v="0"/>
    <x v="0"/>
    <x v="3"/>
    <x v="63"/>
    <x v="2"/>
    <m/>
    <m/>
    <n v="4"/>
    <n v="10"/>
    <n v="10"/>
    <n v="1056.7575183796889"/>
    <n v="3000"/>
    <n v="865.55879175238135"/>
    <m/>
    <s v="PL+D or Presence/Absence"/>
    <s v="Missing escapement estimate for 2003"/>
    <n v="1288.7"/>
    <s v="NI"/>
    <m/>
    <m/>
    <m/>
    <n v="507"/>
    <n v="2000"/>
    <n v="850"/>
    <n v="1500"/>
    <m/>
    <n v="2360"/>
    <n v="3000"/>
    <n v="800"/>
    <n v="600"/>
    <n v="750"/>
    <n v="1500"/>
    <n v="1200"/>
    <n v="327"/>
    <n v="650"/>
    <n v="1500"/>
    <n v="1000"/>
    <n v="511"/>
    <n v="270"/>
    <s v="NO"/>
    <n v="28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L-13-17"/>
    <s v="Maggie"/>
    <s v="TOQUART RIVER_Sockeye"/>
    <x v="0"/>
    <x v="0"/>
    <x v="3"/>
    <x v="64"/>
    <x v="3"/>
    <m/>
    <m/>
    <n v="3"/>
    <n v="10"/>
    <n v="10"/>
    <n v="10.333969676574528"/>
    <n v="100"/>
    <n v="12.651113924733886"/>
    <s v="C.  Other systems surveyed extensively since 1995, but due to lack of historic info, not included in expanded group (B)"/>
    <s v="AUC"/>
    <m/>
    <n v="17"/>
    <s v="NI"/>
    <n v="30"/>
    <m/>
    <m/>
    <s v="NI"/>
    <n v="3"/>
    <s v="NI"/>
    <n v="26"/>
    <n v="3"/>
    <n v="17"/>
    <n v="48"/>
    <n v="6"/>
    <n v="12"/>
    <n v="29"/>
    <n v="15"/>
    <n v="12"/>
    <n v="2"/>
    <s v="UK"/>
    <n v="100"/>
    <n v="20"/>
    <n v="25"/>
    <n v="20"/>
    <n v="3"/>
    <s v="UK"/>
    <s v="NO"/>
    <s v="NI"/>
    <s v="NO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TOQUART RIVER_Coho"/>
    <x v="0"/>
    <x v="0"/>
    <x v="3"/>
    <x v="64"/>
    <x v="0"/>
    <m/>
    <m/>
    <n v="3"/>
    <n v="10"/>
    <n v="10"/>
    <n v="747.95577664859468"/>
    <n v="35000"/>
    <n v="1326.7616512828781"/>
    <s v="C.  Other systems surveyed extensively since 1995, but due to lack of historic info, not included in expanded group (B)"/>
    <s v="AUC"/>
    <s v="Average Esc from 1995-2005 from file: NEW ESCAPEMENT INDEX.XLS"/>
    <n v="1244.9000000000001"/>
    <s v="NI"/>
    <n v="122"/>
    <m/>
    <m/>
    <n v="140"/>
    <n v="83"/>
    <s v="NI"/>
    <n v="583"/>
    <n v="929"/>
    <n v="2465"/>
    <n v="1332"/>
    <n v="987"/>
    <n v="1922"/>
    <n v="2000"/>
    <n v="600"/>
    <n v="931"/>
    <n v="700"/>
    <n v="125"/>
    <n v="300"/>
    <n v="500"/>
    <n v="700"/>
    <n v="850"/>
    <n v="750"/>
    <n v="500"/>
    <s v="UK"/>
    <s v="NI"/>
    <s v="UK"/>
    <s v="UK"/>
    <s v="UK"/>
    <n v="25"/>
    <n v="30"/>
    <s v="NO"/>
    <n v="1500"/>
    <n v="2000"/>
    <n v="1950"/>
    <n v="1200"/>
    <n v="1500"/>
    <n v="750"/>
    <n v="3500"/>
    <n v="1500"/>
    <n v="1500"/>
    <n v="3500"/>
    <n v="750"/>
    <n v="3500"/>
    <n v="3500"/>
    <n v="3500"/>
    <n v="3500"/>
    <n v="3500"/>
    <n v="3500"/>
    <n v="3500"/>
    <n v="3500"/>
    <n v="3500"/>
    <n v="3500"/>
    <n v="7500"/>
    <n v="3500"/>
    <n v="3500"/>
    <n v="7500"/>
    <n v="35000"/>
    <n v="7500"/>
  </r>
  <r>
    <s v="Pkodd-WVI [6]"/>
    <s v="West Vancouver Island"/>
    <s v="TOQUART RIVER_Pink"/>
    <x v="0"/>
    <x v="0"/>
    <x v="3"/>
    <x v="64"/>
    <x v="4"/>
    <m/>
    <m/>
    <n v="3"/>
    <n v="10"/>
    <n v="8"/>
    <n v="7.568701853783228"/>
    <n v="200"/>
    <n v="19.07879007463006"/>
    <s v="C.  Other systems surveyed extensively since 1995, but due to lack of historic info, not included in expanded group (B)"/>
    <s v="AUC"/>
    <m/>
    <n v="18.625"/>
    <s v="NI"/>
    <m/>
    <m/>
    <m/>
    <s v="NI"/>
    <s v="NO"/>
    <s v="NI"/>
    <s v="NO"/>
    <n v="1"/>
    <n v="12"/>
    <n v="38"/>
    <n v="6"/>
    <n v="41"/>
    <n v="48"/>
    <n v="1"/>
    <s v="NO"/>
    <n v="2"/>
    <s v="UK"/>
    <s v="UK"/>
    <s v="UK"/>
    <s v="UK"/>
    <s v="UK"/>
    <s v="UK"/>
    <s v="UK"/>
    <s v="NO"/>
    <s v="NI"/>
    <s v="UK"/>
    <s v="NO"/>
    <s v="UK"/>
    <s v="UK"/>
    <n v="2"/>
    <s v="UK"/>
    <s v="UK"/>
    <s v="UK"/>
    <s v="NO"/>
    <n v="150"/>
    <s v="UK"/>
    <s v="UK"/>
    <s v="UK"/>
    <s v="UK"/>
    <s v="UK"/>
    <s v="UK"/>
    <s v="UK"/>
    <s v="UK"/>
    <s v="NO"/>
    <s v="NO"/>
    <s v="NO"/>
    <s v="NO"/>
    <n v="25"/>
    <n v="25"/>
    <s v="NO"/>
    <n v="200"/>
    <s v="NO"/>
    <n v="200"/>
    <s v="UK"/>
    <n v="200"/>
    <s v="UK"/>
    <s v="NO"/>
    <s v="NO"/>
  </r>
  <r>
    <s v="CM-SWVI [10]"/>
    <s v="Southwest Vancouver Island"/>
    <s v="TOQUART RIVER_Chum"/>
    <x v="0"/>
    <x v="0"/>
    <x v="3"/>
    <x v="64"/>
    <x v="1"/>
    <m/>
    <m/>
    <n v="3"/>
    <n v="10"/>
    <n v="10"/>
    <n v="3835.3294160835562"/>
    <n v="75000"/>
    <n v="8193.6781711154235"/>
    <s v="C.  Other systems surveyed extensively since 1995, but due to lack of historic info, not included in expanded group (B)"/>
    <s v="AUC"/>
    <s v="Average Esc from 1995-2005 from file: NEW ESCAPEMENT INDEX.XLS"/>
    <n v="5418.7"/>
    <s v="NI"/>
    <n v="1725"/>
    <m/>
    <m/>
    <n v="7500"/>
    <n v="2091"/>
    <s v="NI"/>
    <n v="1713"/>
    <n v="8921"/>
    <n v="1340"/>
    <n v="791"/>
    <n v="3772"/>
    <n v="9950"/>
    <n v="11000"/>
    <n v="10000"/>
    <n v="4600"/>
    <n v="2100"/>
    <n v="22500"/>
    <n v="20000"/>
    <n v="30000"/>
    <n v="8000"/>
    <n v="3000"/>
    <n v="3500"/>
    <n v="7000"/>
    <s v="UK"/>
    <s v="NI"/>
    <n v="25000"/>
    <n v="10190"/>
    <n v="3000"/>
    <n v="11500"/>
    <n v="10000"/>
    <s v="NO"/>
    <n v="10000"/>
    <n v="4500"/>
    <n v="17000"/>
    <n v="19000"/>
    <n v="20000"/>
    <n v="15000"/>
    <n v="10000"/>
    <n v="18000"/>
    <n v="5000"/>
    <n v="11000"/>
    <n v="5000"/>
    <n v="7500"/>
    <n v="25000"/>
    <n v="15000"/>
    <n v="3500"/>
    <n v="7500"/>
    <n v="1500"/>
    <n v="7500"/>
    <n v="7500"/>
    <n v="7500"/>
    <n v="15000"/>
    <n v="35000"/>
    <n v="15000"/>
    <n v="7500"/>
    <n v="3500"/>
    <n v="75000"/>
    <n v="35000"/>
  </r>
  <r>
    <s v="CK-SWVI [31]"/>
    <s v="Southwest Vancouver Island"/>
    <s v="TOQUART RIVER_Chinook"/>
    <x v="0"/>
    <x v="0"/>
    <x v="3"/>
    <x v="64"/>
    <x v="2"/>
    <m/>
    <m/>
    <n v="3"/>
    <n v="10"/>
    <n v="10"/>
    <n v="266.52943135301115"/>
    <n v="864"/>
    <n v="73.121180339392396"/>
    <s v="C.  Other systems surveyed extensively since 1995, but due to lack of historic info, not included in expanded group (B)"/>
    <s v="AUC"/>
    <s v="Average Esc from 1995-2005 from file: NEW ESCAPEMENT INDEX.XLS"/>
    <n v="285.5"/>
    <s v="NI"/>
    <n v="317"/>
    <m/>
    <m/>
    <m/>
    <n v="864"/>
    <s v="NI"/>
    <n v="704"/>
    <n v="463"/>
    <n v="202"/>
    <n v="168"/>
    <n v="100"/>
    <n v="160"/>
    <n v="308"/>
    <n v="382"/>
    <n v="268"/>
    <n v="100"/>
    <n v="95"/>
    <n v="15"/>
    <n v="3"/>
    <n v="4"/>
    <n v="3"/>
    <n v="3"/>
    <n v="25"/>
    <s v="UK"/>
    <s v="NI"/>
    <n v="300"/>
    <s v="UK"/>
    <n v="25"/>
    <s v="UK"/>
    <n v="10"/>
    <s v="UK"/>
    <n v="50"/>
    <n v="50"/>
    <n v="60"/>
    <n v="45"/>
    <n v="75"/>
    <n v="40"/>
    <n v="75"/>
    <n v="25"/>
    <n v="25"/>
    <n v="25"/>
    <s v="UK"/>
    <s v="UK"/>
    <n v="25"/>
    <n v="200"/>
    <n v="25"/>
    <n v="25"/>
    <n v="25"/>
    <n v="75"/>
    <n v="200"/>
    <n v="200"/>
    <n v="75"/>
    <n v="200"/>
    <n v="200"/>
    <n v="200"/>
    <n v="400"/>
    <n v="750"/>
    <n v="400"/>
  </r>
  <r>
    <s v="CO-WVI [17]"/>
    <s v="West Vancouver Island"/>
    <s v="TWIN RIVERS EAST CREEK_Coho"/>
    <x v="0"/>
    <x v="0"/>
    <x v="3"/>
    <x v="65"/>
    <x v="0"/>
    <m/>
    <m/>
    <n v="4"/>
    <n v="9"/>
    <n v="4"/>
    <n v="8.8405391544249472"/>
    <n v="400"/>
    <n v="38.814237008553576"/>
    <m/>
    <s v="PL+D or Presence/Absence"/>
    <s v="Missing estimate for 2003. Chum is the target species"/>
    <n v="13.25"/>
    <s v="NI"/>
    <m/>
    <m/>
    <m/>
    <s v="NO"/>
    <n v="5"/>
    <s v="NI"/>
    <n v="30"/>
    <m/>
    <s v="NO"/>
    <s v="NO"/>
    <s v="NO"/>
    <s v="NO"/>
    <n v="9"/>
    <n v="10"/>
    <s v="NO"/>
    <n v="4"/>
    <s v="NO"/>
    <s v="UK"/>
    <s v="UK"/>
    <s v="NO"/>
    <s v="NI"/>
    <s v="NI"/>
    <s v="NI"/>
    <s v="NI"/>
    <s v="NI"/>
    <s v="NI"/>
    <s v="UK"/>
    <s v="UK"/>
    <s v="UK"/>
    <s v="NI"/>
    <s v="NI"/>
    <n v="80"/>
    <n v="100"/>
    <n v="85"/>
    <n v="75"/>
    <n v="75"/>
    <n v="75"/>
    <n v="200"/>
    <n v="75"/>
    <s v="UK"/>
    <n v="200"/>
    <n v="400"/>
    <n v="75"/>
    <n v="75"/>
    <n v="75"/>
    <n v="25"/>
    <n v="25"/>
    <n v="25"/>
    <n v="25"/>
    <n v="25"/>
    <n v="25"/>
    <n v="25"/>
    <n v="25"/>
    <n v="25"/>
    <n v="25"/>
    <n v="25"/>
    <n v="25"/>
    <s v="NI"/>
  </r>
  <r>
    <s v="CM-SWVI [10]"/>
    <s v="Southwest Vancouver Island"/>
    <s v="TWIN RIVERS EAST CREEK_Chum"/>
    <x v="0"/>
    <x v="0"/>
    <x v="3"/>
    <x v="65"/>
    <x v="1"/>
    <m/>
    <m/>
    <n v="4"/>
    <n v="9"/>
    <n v="9"/>
    <n v="250.60103236964042"/>
    <n v="7500"/>
    <n v="684.63861131816225"/>
    <m/>
    <s v="PL+D or Presence/Absence"/>
    <s v="Missing estimate for 2003. Chum is the target species"/>
    <n v="692.22222222222217"/>
    <s v="NI"/>
    <m/>
    <m/>
    <m/>
    <n v="75"/>
    <n v="128"/>
    <s v="NI"/>
    <n v="850"/>
    <m/>
    <n v="160"/>
    <n v="500"/>
    <n v="100"/>
    <n v="100"/>
    <n v="2500"/>
    <n v="1500"/>
    <n v="500"/>
    <n v="20"/>
    <n v="450"/>
    <n v="3000"/>
    <n v="2000"/>
    <n v="450"/>
    <s v="NI"/>
    <s v="NI"/>
    <s v="NI"/>
    <s v="NI"/>
    <s v="NI"/>
    <s v="NI"/>
    <s v="UK"/>
    <s v="UK"/>
    <n v="300"/>
    <s v="NI"/>
    <s v="NI"/>
    <n v="350"/>
    <n v="50"/>
    <n v="500"/>
    <n v="700"/>
    <n v="750"/>
    <n v="3500"/>
    <n v="1500"/>
    <n v="3500"/>
    <s v="UK"/>
    <n v="3500"/>
    <n v="3500"/>
    <n v="750"/>
    <n v="200"/>
    <n v="3500"/>
    <n v="400"/>
    <n v="400"/>
    <n v="750"/>
    <n v="400"/>
    <n v="400"/>
    <n v="400"/>
    <n v="3500"/>
    <n v="7500"/>
    <n v="3500"/>
    <n v="3500"/>
    <n v="200"/>
    <n v="7500"/>
    <s v="NI"/>
  </r>
  <r>
    <s v="CO-WVI [17]"/>
    <s v="West Vancouver Island"/>
    <s v="TWIN RIVERS WEST CREEK_Coho"/>
    <x v="0"/>
    <x v="0"/>
    <x v="3"/>
    <x v="66"/>
    <x v="0"/>
    <m/>
    <m/>
    <n v="5"/>
    <n v="4"/>
    <n v="3"/>
    <n v="1.7320508075688774"/>
    <n v="400"/>
    <n v="41.729961243506061"/>
    <m/>
    <s v="Presence/Absence"/>
    <s v="Missing data for 2000 &amp; 2001, last time species was observed was in 1999."/>
    <n v="2"/>
    <s v="NI"/>
    <m/>
    <m/>
    <m/>
    <s v="NI"/>
    <s v="NI"/>
    <s v="NI"/>
    <s v="NI"/>
    <s v="NI"/>
    <s v="NI"/>
    <m/>
    <m/>
    <n v="1"/>
    <n v="3"/>
    <s v="NO"/>
    <s v="AP"/>
    <s v="NI"/>
    <s v="NI"/>
    <s v="UK"/>
    <s v="UK"/>
    <s v="NO"/>
    <n v="2"/>
    <s v="UK"/>
    <s v="NI"/>
    <s v="NI"/>
    <s v="NI"/>
    <s v="NI"/>
    <s v="UK"/>
    <s v="UK"/>
    <n v="32"/>
    <s v="UK"/>
    <s v="NI"/>
    <n v="150"/>
    <n v="180"/>
    <n v="150"/>
    <n v="175"/>
    <n v="200"/>
    <n v="75"/>
    <n v="400"/>
    <n v="200"/>
    <s v="UK"/>
    <n v="200"/>
    <n v="200"/>
    <n v="25"/>
    <n v="75"/>
    <n v="75"/>
    <n v="25"/>
    <n v="25"/>
    <n v="25"/>
    <n v="25"/>
    <n v="25"/>
    <n v="25"/>
    <n v="25"/>
    <n v="25"/>
    <n v="25"/>
    <n v="25"/>
    <n v="25"/>
    <n v="25"/>
    <n v="75"/>
  </r>
  <r>
    <s v="CM-SWVI [10]"/>
    <s v="Southwest Vancouver Island"/>
    <s v="TWIN RIVERS WEST CREEK_Chum"/>
    <x v="0"/>
    <x v="0"/>
    <x v="3"/>
    <x v="66"/>
    <x v="1"/>
    <m/>
    <m/>
    <n v="5"/>
    <n v="4"/>
    <n v="4"/>
    <n v="45.269723865652168"/>
    <n v="9000"/>
    <n v="303.83321551962138"/>
    <m/>
    <s v="Presence/Absence"/>
    <s v="Missing data for 2000 &amp; 2001, last time species was observed was in 1999."/>
    <n v="53.5"/>
    <s v="NI"/>
    <m/>
    <m/>
    <m/>
    <n v="75"/>
    <s v="NI"/>
    <s v="NI"/>
    <s v="NI"/>
    <s v="NI"/>
    <s v="NI"/>
    <m/>
    <m/>
    <n v="10"/>
    <n v="39"/>
    <n v="100"/>
    <n v="65"/>
    <s v="NI"/>
    <s v="NI"/>
    <n v="50"/>
    <n v="150"/>
    <n v="30"/>
    <n v="45"/>
    <s v="UK"/>
    <s v="NI"/>
    <s v="NI"/>
    <s v="NI"/>
    <s v="NI"/>
    <s v="UK"/>
    <n v="750"/>
    <n v="9000"/>
    <n v="500"/>
    <s v="NI"/>
    <n v="450"/>
    <n v="150"/>
    <n v="2200"/>
    <n v="4800"/>
    <n v="3000"/>
    <n v="3500"/>
    <n v="750"/>
    <n v="3500"/>
    <n v="200"/>
    <n v="3500"/>
    <n v="3500"/>
    <n v="400"/>
    <n v="200"/>
    <n v="750"/>
    <n v="25"/>
    <n v="200"/>
    <n v="400"/>
    <n v="75"/>
    <n v="25"/>
    <n v="75"/>
    <n v="750"/>
    <n v="400"/>
    <n v="200"/>
    <n v="75"/>
    <n v="200"/>
    <n v="400"/>
    <n v="3500"/>
  </r>
  <r>
    <s v="CO-WVI [17]"/>
    <s v="West Vancouver Island"/>
    <s v="UCHUCK CREEK_Coho"/>
    <x v="0"/>
    <x v="0"/>
    <x v="3"/>
    <x v="67"/>
    <x v="0"/>
    <m/>
    <m/>
    <n v="4"/>
    <n v="11"/>
    <n v="2"/>
    <n v="51.234753829797988"/>
    <n v="3500"/>
    <n v="156.3376381578704"/>
    <m/>
    <s v="PL+D or Presence/Absence"/>
    <s v="Chum is the target species"/>
    <n v="55"/>
    <s v="NI"/>
    <m/>
    <m/>
    <m/>
    <s v="NI"/>
    <s v="NI"/>
    <s v="NO"/>
    <s v="NO"/>
    <s v="NO"/>
    <s v="NO"/>
    <n v="75"/>
    <s v="NO"/>
    <s v="NO"/>
    <s v="NO"/>
    <s v="NO"/>
    <s v="NO"/>
    <n v="35"/>
    <s v="NO"/>
    <s v="UK"/>
    <s v="NI"/>
    <s v="NI"/>
    <s v="UK"/>
    <s v="NI"/>
    <s v="NO"/>
    <s v="NI"/>
    <s v="NI"/>
    <s v="UK"/>
    <s v="UK"/>
    <s v="UK"/>
    <s v="UK"/>
    <s v="UK"/>
    <s v="UK"/>
    <n v="360"/>
    <n v="500"/>
    <n v="390"/>
    <n v="325"/>
    <n v="200"/>
    <n v="400"/>
    <n v="400"/>
    <n v="200"/>
    <n v="400"/>
    <n v="400"/>
    <n v="400"/>
    <n v="200"/>
    <n v="25"/>
    <n v="25"/>
    <n v="75"/>
    <n v="25"/>
    <n v="25"/>
    <n v="200"/>
    <n v="200"/>
    <n v="25"/>
    <n v="75"/>
    <n v="200"/>
    <n v="25"/>
    <n v="75"/>
    <n v="400"/>
    <n v="750"/>
    <n v="3500"/>
  </r>
  <r>
    <s v="CM-SWVI [10]"/>
    <s v="Southwest Vancouver Island"/>
    <s v="UCHUCK CREEK_Chum"/>
    <x v="0"/>
    <x v="0"/>
    <x v="3"/>
    <x v="67"/>
    <x v="1"/>
    <m/>
    <m/>
    <n v="4"/>
    <n v="11"/>
    <n v="8"/>
    <n v="1456.1521142007714"/>
    <n v="10000"/>
    <n v="2451.8749559469306"/>
    <m/>
    <s v="PL+D or Presence/Absence"/>
    <s v="Chum is the target species"/>
    <n v="2464.625"/>
    <s v="NI"/>
    <m/>
    <m/>
    <m/>
    <s v="NI"/>
    <s v="NI"/>
    <n v="7500"/>
    <n v="4267"/>
    <n v="2750"/>
    <n v="1500"/>
    <n v="500"/>
    <s v="NO"/>
    <s v="NO"/>
    <s v="NO"/>
    <n v="500"/>
    <n v="2450"/>
    <n v="250"/>
    <n v="2500"/>
    <n v="5500"/>
    <s v="NI"/>
    <s v="NI"/>
    <n v="250"/>
    <s v="NI"/>
    <n v="1000"/>
    <s v="NI"/>
    <s v="NI"/>
    <n v="1000"/>
    <n v="1010"/>
    <s v="UK"/>
    <n v="2700"/>
    <n v="1000"/>
    <n v="5000"/>
    <n v="500"/>
    <n v="2500"/>
    <n v="3500"/>
    <n v="4400"/>
    <n v="6000"/>
    <n v="10000"/>
    <n v="5500"/>
    <n v="3500"/>
    <n v="7500"/>
    <n v="7500"/>
    <n v="7500"/>
    <n v="3500"/>
    <n v="1500"/>
    <n v="3500"/>
    <n v="1500"/>
    <n v="1500"/>
    <n v="750"/>
    <n v="3500"/>
    <n v="1500"/>
    <n v="1500"/>
    <n v="3500"/>
    <n v="7500"/>
    <n v="7500"/>
    <n v="3500"/>
    <n v="3500"/>
    <n v="7500"/>
    <n v="3500"/>
  </r>
  <r>
    <s v="CK-SWVI [31]"/>
    <s v="Southwest Vancouver Island"/>
    <s v="UCHUCK CREEK_Chinook"/>
    <x v="0"/>
    <x v="0"/>
    <x v="3"/>
    <x v="67"/>
    <x v="2"/>
    <m/>
    <m/>
    <n v="4"/>
    <n v="11"/>
    <n v="0"/>
    <e v="#NUM!"/>
    <n v="25"/>
    <n v="25"/>
    <m/>
    <s v="PL+D or Presence/Absence"/>
    <s v="Chum is the target species"/>
    <m/>
    <s v="NI"/>
    <m/>
    <m/>
    <m/>
    <s v="NI"/>
    <s v="NI"/>
    <s v="NO"/>
    <s v="NO"/>
    <s v="NO"/>
    <s v="NO"/>
    <s v="NO"/>
    <s v="NO"/>
    <s v="NO"/>
    <s v="NO"/>
    <s v="NO"/>
    <s v="NO"/>
    <s v="NO"/>
    <s v="UK"/>
    <s v="UK"/>
    <s v="NI"/>
    <s v="NI"/>
    <s v="UK"/>
    <s v="NI"/>
    <s v="UK"/>
    <s v="NI"/>
    <s v="NI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n v="25"/>
    <s v="UK"/>
    <s v="UK"/>
    <s v="UK"/>
    <n v="25"/>
  </r>
  <r>
    <s v="CO-WVI [17]"/>
    <s v="West Vancouver Island"/>
    <s v="USELESS CREEK_Coho"/>
    <x v="0"/>
    <x v="0"/>
    <x v="3"/>
    <x v="68"/>
    <x v="0"/>
    <m/>
    <m/>
    <n v="5"/>
    <n v="6"/>
    <n v="1"/>
    <e v="#NUM!"/>
    <n v="75"/>
    <n v="35.391958210856387"/>
    <m/>
    <s v="Presence/Absence"/>
    <s v="Sureyed by Charter Patrol"/>
    <m/>
    <s v="NI"/>
    <m/>
    <m/>
    <m/>
    <s v="NI"/>
    <s v="NI"/>
    <s v="NI"/>
    <s v="NO"/>
    <s v="NI"/>
    <s v="NI"/>
    <s v="NI"/>
    <s v="NO"/>
    <s v="NI"/>
    <s v="NO"/>
    <s v="AP"/>
    <s v="NO"/>
    <s v="NO"/>
    <s v="NO"/>
    <s v="NI"/>
    <s v="NI"/>
    <s v="NO"/>
    <s v="NI"/>
    <s v="NI"/>
    <s v="NI"/>
    <s v="NI"/>
    <s v="UK"/>
    <s v="NI"/>
    <s v="UK"/>
    <s v="UK"/>
    <s v="NI"/>
    <s v="UK"/>
    <s v="UK"/>
    <n v="50"/>
    <n v="60"/>
    <n v="50"/>
    <n v="45"/>
    <n v="25"/>
    <n v="75"/>
    <n v="75"/>
    <n v="25"/>
    <n v="25"/>
    <n v="75"/>
    <n v="75"/>
    <n v="75"/>
    <n v="25"/>
    <n v="25"/>
    <n v="25"/>
    <s v="NO"/>
    <n v="25"/>
    <n v="25"/>
    <n v="25"/>
    <s v="NO"/>
    <s v="UK"/>
    <n v="25"/>
    <n v="25"/>
    <n v="25"/>
    <n v="25"/>
    <n v="25"/>
    <n v="25"/>
  </r>
  <r>
    <s v="CM-SWVI [10]"/>
    <s v="Southwest Vancouver Island"/>
    <s v="USELESS CREEK_Chum"/>
    <x v="0"/>
    <x v="0"/>
    <x v="3"/>
    <x v="68"/>
    <x v="1"/>
    <m/>
    <m/>
    <n v="5"/>
    <n v="6"/>
    <n v="3"/>
    <n v="34.641016151377549"/>
    <n v="750"/>
    <n v="142.53164294927632"/>
    <m/>
    <s v="Presence/Absence"/>
    <s v="Sureyed by Charter Patrol"/>
    <n v="56"/>
    <s v="NI"/>
    <m/>
    <m/>
    <m/>
    <s v="NI"/>
    <s v="NI"/>
    <s v="NI"/>
    <s v="NO"/>
    <s v="NI"/>
    <s v="NI"/>
    <s v="NI"/>
    <s v="NO"/>
    <s v="NI"/>
    <n v="100"/>
    <s v="AP"/>
    <n v="12"/>
    <s v="NO"/>
    <n v="15"/>
    <s v="NI"/>
    <s v="NI"/>
    <s v="UK"/>
    <s v="NI"/>
    <s v="NI"/>
    <s v="NI"/>
    <s v="NI"/>
    <n v="200"/>
    <s v="NI"/>
    <s v="UK"/>
    <s v="UK"/>
    <s v="NI"/>
    <s v="UK"/>
    <s v="UK"/>
    <n v="30"/>
    <n v="300"/>
    <n v="685"/>
    <n v="700"/>
    <n v="75"/>
    <n v="200"/>
    <n v="750"/>
    <n v="400"/>
    <n v="25"/>
    <n v="750"/>
    <n v="750"/>
    <n v="200"/>
    <n v="75"/>
    <n v="75"/>
    <n v="75"/>
    <n v="75"/>
    <n v="25"/>
    <n v="25"/>
    <n v="75"/>
    <n v="75"/>
    <n v="400"/>
    <n v="200"/>
    <n v="400"/>
    <n v="200"/>
    <n v="75"/>
    <n v="750"/>
    <n v="750"/>
  </r>
  <r>
    <s v="CO-WVI [17]"/>
    <s v="West Vancouver Island"/>
    <s v="VERNON BAY CREEK_Coho"/>
    <x v="0"/>
    <x v="0"/>
    <x v="3"/>
    <x v="69"/>
    <x v="0"/>
    <m/>
    <m/>
    <n v="5"/>
    <n v="9"/>
    <n v="5"/>
    <n v="14.416868484808525"/>
    <n v="200"/>
    <n v="35.708725285770569"/>
    <m/>
    <s v="Presence/Absence"/>
    <s v="Charter Patrol stream, chum is the target species"/>
    <n v="18.25"/>
    <s v="NI"/>
    <m/>
    <m/>
    <m/>
    <s v="NI"/>
    <s v="NI"/>
    <s v="NI"/>
    <n v="12"/>
    <s v="NO"/>
    <s v="NO"/>
    <n v="6"/>
    <s v="NO"/>
    <s v="NI"/>
    <s v="AP"/>
    <n v="15"/>
    <n v="40"/>
    <s v="NO"/>
    <s v="UK"/>
    <s v="NI"/>
    <s v="NI"/>
    <s v="NI"/>
    <s v="UK"/>
    <s v="NI"/>
    <s v="NI"/>
    <s v="NI"/>
    <s v="NI"/>
    <s v="UK"/>
    <s v="UK"/>
    <s v="NI"/>
    <s v="NI"/>
    <s v="NI"/>
    <s v="NI"/>
    <n v="60"/>
    <n v="70"/>
    <n v="45"/>
    <n v="35"/>
    <n v="75"/>
    <n v="75"/>
    <n v="75"/>
    <n v="25"/>
    <n v="25"/>
    <n v="75"/>
    <n v="75"/>
    <n v="200"/>
    <s v="UK"/>
    <s v="NO"/>
    <s v="NO"/>
    <s v="NO"/>
    <n v="25"/>
    <s v="NO"/>
    <s v="NO"/>
    <s v="NO"/>
    <n v="25"/>
    <n v="25"/>
    <n v="25"/>
    <n v="25"/>
    <n v="25"/>
    <n v="25"/>
    <s v="UK"/>
  </r>
  <r>
    <s v="CM-SWVI [10]"/>
    <s v="Southwest Vancouver Island"/>
    <s v="VERNON BAY CREEK_Chum"/>
    <x v="0"/>
    <x v="0"/>
    <x v="3"/>
    <x v="69"/>
    <x v="1"/>
    <m/>
    <m/>
    <n v="5"/>
    <n v="9"/>
    <n v="5"/>
    <n v="35.341188430493951"/>
    <n v="2700"/>
    <n v="133.97309914675057"/>
    <m/>
    <s v="Presence/Absence"/>
    <s v="Charter Patrol stream, chum is the target species"/>
    <n v="43.25"/>
    <s v="NI"/>
    <m/>
    <m/>
    <m/>
    <s v="NI"/>
    <s v="NI"/>
    <s v="NI"/>
    <n v="50"/>
    <s v="NO"/>
    <s v="NO"/>
    <n v="13"/>
    <s v="NO"/>
    <s v="NI"/>
    <s v="AP"/>
    <n v="80"/>
    <n v="30"/>
    <s v="NO"/>
    <s v="UK"/>
    <s v="NI"/>
    <s v="NI"/>
    <s v="NI"/>
    <n v="20"/>
    <s v="NI"/>
    <s v="NI"/>
    <s v="NI"/>
    <s v="NI"/>
    <n v="800"/>
    <s v="UK"/>
    <s v="NI"/>
    <s v="NI"/>
    <s v="NI"/>
    <s v="NI"/>
    <n v="750"/>
    <n v="400"/>
    <n v="2700"/>
    <n v="450"/>
    <n v="200"/>
    <n v="400"/>
    <n v="200"/>
    <n v="400"/>
    <n v="25"/>
    <n v="200"/>
    <n v="750"/>
    <n v="400"/>
    <n v="75"/>
    <n v="200"/>
    <n v="200"/>
    <n v="75"/>
    <n v="25"/>
    <n v="25"/>
    <n v="200"/>
    <n v="75"/>
    <n v="75"/>
    <n v="200"/>
    <n v="75"/>
    <n v="25"/>
    <n v="75"/>
    <n v="200"/>
    <n v="200"/>
  </r>
  <r>
    <s v="CO-WVI [17]"/>
    <s v="West Vancouver Island"/>
    <s v="WALLACE CREEK_Coho"/>
    <x v="0"/>
    <x v="0"/>
    <x v="3"/>
    <x v="70"/>
    <x v="0"/>
    <m/>
    <m/>
    <n v="4"/>
    <n v="9"/>
    <n v="5"/>
    <n v="22.081667224484562"/>
    <n v="200"/>
    <n v="38.290222433170747"/>
    <m/>
    <s v="PL+D or Presence/Absence"/>
    <s v="Charter Patrol stream, chum is the target species"/>
    <n v="30"/>
    <s v="NI"/>
    <m/>
    <m/>
    <m/>
    <s v="NI"/>
    <s v="NI"/>
    <s v="NI"/>
    <s v="NO"/>
    <s v="NO"/>
    <s v="NO"/>
    <s v="NI"/>
    <s v="NO"/>
    <n v="50"/>
    <n v="50"/>
    <n v="4"/>
    <n v="21"/>
    <n v="25"/>
    <s v="NO"/>
    <n v="30"/>
    <s v="UK"/>
    <s v="NO"/>
    <s v="UK"/>
    <s v="NI"/>
    <s v="UK"/>
    <s v="NI"/>
    <s v="NI"/>
    <s v="UK"/>
    <s v="UK"/>
    <s v="UK"/>
    <s v="UK"/>
    <s v="UK"/>
    <n v="20"/>
    <n v="80"/>
    <n v="100"/>
    <n v="50"/>
    <n v="30"/>
    <n v="25"/>
    <n v="200"/>
    <n v="200"/>
    <n v="25"/>
    <n v="25"/>
    <n v="75"/>
    <n v="75"/>
    <n v="200"/>
    <n v="75"/>
    <n v="25"/>
    <n v="25"/>
    <n v="25"/>
    <n v="25"/>
    <n v="25"/>
    <n v="25"/>
    <n v="25"/>
    <n v="25"/>
    <n v="25"/>
    <n v="25"/>
    <n v="25"/>
    <n v="25"/>
    <n v="75"/>
    <n v="75"/>
  </r>
  <r>
    <s v="CM-SWVI [10]"/>
    <s v="Southwest Vancouver Island"/>
    <s v="WALLACE CREEK_Chum"/>
    <x v="0"/>
    <x v="0"/>
    <x v="3"/>
    <x v="70"/>
    <x v="1"/>
    <m/>
    <m/>
    <n v="4"/>
    <n v="9"/>
    <n v="9"/>
    <n v="2653.1228936772604"/>
    <n v="11685"/>
    <n v="2135.1715756869535"/>
    <m/>
    <s v="PL+D or Presence/Absence"/>
    <s v="Charter Patrol stream, chum is the target species"/>
    <n v="4301.333333333333"/>
    <s v="NI"/>
    <m/>
    <m/>
    <m/>
    <s v="NI"/>
    <s v="NI"/>
    <s v="NI"/>
    <n v="3360"/>
    <n v="2667"/>
    <n v="11685"/>
    <s v="NI"/>
    <n v="1300"/>
    <n v="10000"/>
    <n v="2500"/>
    <n v="1100"/>
    <n v="5800"/>
    <n v="300"/>
    <n v="1800"/>
    <n v="1200"/>
    <n v="3500"/>
    <s v="UK"/>
    <n v="500"/>
    <s v="NI"/>
    <n v="1175"/>
    <s v="NI"/>
    <s v="NI"/>
    <n v="6000"/>
    <s v="UK"/>
    <n v="455"/>
    <s v="UK"/>
    <n v="2000"/>
    <n v="10000"/>
    <n v="1500"/>
    <n v="5000"/>
    <n v="3200"/>
    <n v="3500"/>
    <n v="3000"/>
    <n v="3500"/>
    <n v="3500"/>
    <n v="3500"/>
    <n v="3500"/>
    <n v="7500"/>
    <n v="3500"/>
    <n v="7500"/>
    <n v="750"/>
    <n v="1500"/>
    <n v="1500"/>
    <n v="3500"/>
    <n v="400"/>
    <n v="750"/>
    <n v="75"/>
    <n v="1500"/>
    <n v="400"/>
    <n v="7500"/>
    <n v="1500"/>
    <n v="7500"/>
    <n v="1500"/>
    <n v="7500"/>
    <n v="750"/>
  </r>
  <r>
    <s v="CK-SWVI [31]"/>
    <s v="Southwest Vancouver Island"/>
    <s v="WALLACE CREEK_Chinook"/>
    <x v="0"/>
    <x v="0"/>
    <x v="3"/>
    <x v="70"/>
    <x v="2"/>
    <m/>
    <m/>
    <n v="4"/>
    <n v="9"/>
    <n v="0"/>
    <e v="#NUM!"/>
    <n v="25"/>
    <n v="25"/>
    <m/>
    <s v="PL+D or Presence/Absence"/>
    <s v="Charter Patrol stream, chum is the target species"/>
    <m/>
    <s v="NI"/>
    <m/>
    <m/>
    <m/>
    <s v="NI"/>
    <s v="NI"/>
    <s v="NI"/>
    <s v="NO"/>
    <s v="NO"/>
    <s v="NO"/>
    <s v="NI"/>
    <s v="NO"/>
    <s v="NO"/>
    <s v="NO"/>
    <s v="NO"/>
    <s v="NO"/>
    <s v="NO"/>
    <s v="UK"/>
    <s v="UK"/>
    <s v="UK"/>
    <s v="UK"/>
    <s v="UK"/>
    <s v="NI"/>
    <s v="UK"/>
    <s v="NI"/>
    <s v="NI"/>
    <s v="UK"/>
    <s v="NO"/>
    <s v="UK"/>
    <s v="UK"/>
    <s v="UK"/>
    <s v="UK"/>
    <s v="UK"/>
    <s v="UK"/>
    <s v="UK"/>
    <s v="UK"/>
    <s v="UK"/>
    <s v="UK"/>
    <s v="UK"/>
    <s v="UK"/>
    <n v="25"/>
    <s v="UK"/>
    <s v="UK"/>
    <s v="UK"/>
    <s v="UK"/>
    <s v="UK"/>
    <s v="UK"/>
    <s v="UK"/>
    <n v="25"/>
    <s v="UK"/>
    <s v="NO"/>
    <s v="UK"/>
    <s v="UK"/>
    <n v="25"/>
    <n v="25"/>
    <s v="UK"/>
    <s v="UK"/>
    <s v="UK"/>
    <s v="UK"/>
  </r>
  <r>
    <s v="CO-CLAY [18]"/>
    <s v="Clayoquot"/>
    <s v="ANGORA CREEK_Coho"/>
    <x v="0"/>
    <x v="0"/>
    <x v="4"/>
    <x v="71"/>
    <x v="0"/>
    <m/>
    <m/>
    <n v="5"/>
    <n v="6"/>
    <n v="6"/>
    <n v="171.61592846293161"/>
    <n v="575"/>
    <n v="158.87273298704775"/>
    <m/>
    <s v="PL+D or Presence/Absence"/>
    <s v="Missing data for 1995 &amp; 1998."/>
    <n v="261.16666666666669"/>
    <s v="NI"/>
    <m/>
    <m/>
    <m/>
    <s v="NI"/>
    <s v="NI"/>
    <s v="NI"/>
    <n v="193"/>
    <s v="NI"/>
    <n v="352"/>
    <n v="327"/>
    <s v="NI"/>
    <n v="575"/>
    <m/>
    <n v="100"/>
    <n v="20"/>
    <m/>
    <s v="UK"/>
    <s v="NI"/>
    <s v="NI"/>
    <s v="NI"/>
    <s v="NI"/>
    <s v="NI"/>
    <s v="NI"/>
    <s v="NI"/>
    <n v="1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ANGORA CREEK_Chum"/>
    <x v="0"/>
    <x v="0"/>
    <x v="4"/>
    <x v="71"/>
    <x v="1"/>
    <m/>
    <m/>
    <n v="5"/>
    <n v="6"/>
    <n v="0"/>
    <e v="#NUM!"/>
    <n v="0"/>
    <e v="#NUM!"/>
    <m/>
    <s v="PL+D or Presence/Absence"/>
    <s v="Missing data for 1995 &amp; 1998."/>
    <m/>
    <s v="NI"/>
    <m/>
    <m/>
    <m/>
    <s v="NI"/>
    <s v="NI"/>
    <s v="NI"/>
    <s v="NO"/>
    <s v="NI"/>
    <s v="NO"/>
    <s v="NO"/>
    <s v="NI"/>
    <s v="NO"/>
    <m/>
    <s v="NO"/>
    <s v="NO"/>
    <m/>
    <s v="UK"/>
    <s v="NI"/>
    <s v="NI"/>
    <s v="NI"/>
    <s v="NI"/>
    <s v="NI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CLAY [18]"/>
    <s v="Clayoquot"/>
    <s v="ATLEO RIVER_Coho"/>
    <x v="0"/>
    <x v="0"/>
    <x v="4"/>
    <x v="72"/>
    <x v="0"/>
    <m/>
    <m/>
    <n v="4"/>
    <n v="5"/>
    <n v="2"/>
    <n v="165.22711641858305"/>
    <n v="750"/>
    <n v="216.40051155349028"/>
    <m/>
    <s v="PL+D or Presence/Absence"/>
    <s v="Chum is the target species. Missing escapement estimate for 1995. Last time stream was surveyed was in 2002."/>
    <n v="650"/>
    <s v="NI"/>
    <m/>
    <m/>
    <n v="42"/>
    <s v="NI"/>
    <s v="NI"/>
    <s v="NI"/>
    <s v="NI"/>
    <s v="NI"/>
    <s v="NO"/>
    <n v="650"/>
    <s v="AP"/>
    <s v="NI"/>
    <s v="NO"/>
    <s v="NO"/>
    <s v="NI"/>
    <m/>
    <n v="100"/>
    <s v="UK"/>
    <s v="UK"/>
    <n v="120"/>
    <n v="150"/>
    <n v="200"/>
    <n v="90"/>
    <n v="90"/>
    <n v="180"/>
    <n v="100"/>
    <s v="UK"/>
    <s v="UK"/>
    <s v="UK"/>
    <s v="NO"/>
    <n v="300"/>
    <n v="500"/>
    <n v="300"/>
    <n v="400"/>
    <s v="UK"/>
    <n v="200"/>
    <n v="200"/>
    <n v="200"/>
    <n v="25"/>
    <n v="200"/>
    <n v="25"/>
    <n v="400"/>
    <n v="45"/>
    <n v="25"/>
    <n v="750"/>
    <n v="200"/>
    <n v="300"/>
    <n v="200"/>
    <n v="400"/>
    <n v="400"/>
    <n v="400"/>
    <n v="750"/>
    <n v="750"/>
    <n v="750"/>
    <n v="750"/>
    <n v="750"/>
    <n v="400"/>
    <n v="400"/>
  </r>
  <r>
    <s v="CM-SWVI [10]"/>
    <s v="Southwest Vancouver Island"/>
    <s v="ATLEO RIVER_Chum"/>
    <x v="0"/>
    <x v="0"/>
    <x v="4"/>
    <x v="72"/>
    <x v="1"/>
    <m/>
    <m/>
    <n v="4"/>
    <n v="5"/>
    <n v="5"/>
    <n v="1164.0349384296394"/>
    <n v="75000"/>
    <n v="6444.9013522668865"/>
    <m/>
    <s v="PL+D or Presence/Absence"/>
    <s v="Chum is the target species. Missing escapement estimate for 1995. Last time stream was surveyed was in 2002."/>
    <n v="11288.5"/>
    <s v="NI"/>
    <m/>
    <m/>
    <n v="17"/>
    <s v="NI"/>
    <s v="NI"/>
    <s v="NI"/>
    <s v="NI"/>
    <s v="NI"/>
    <n v="35714"/>
    <n v="440"/>
    <n v="1000"/>
    <s v="NI"/>
    <s v="AP"/>
    <n v="8000"/>
    <s v="NI"/>
    <m/>
    <n v="3000"/>
    <n v="4000"/>
    <s v="UK"/>
    <n v="12000"/>
    <n v="4000"/>
    <n v="2000"/>
    <n v="12000"/>
    <n v="5200"/>
    <n v="30000"/>
    <n v="38500"/>
    <n v="22000"/>
    <n v="25000"/>
    <n v="18000"/>
    <n v="30000"/>
    <n v="34000"/>
    <n v="9000"/>
    <n v="35000"/>
    <n v="27000"/>
    <n v="18000"/>
    <n v="9000"/>
    <n v="25000"/>
    <n v="15000"/>
    <n v="75000"/>
    <n v="1500"/>
    <n v="3500"/>
    <n v="3500"/>
    <n v="18500"/>
    <n v="1500"/>
    <n v="1500"/>
    <n v="500"/>
    <n v="4000"/>
    <n v="3000"/>
    <n v="7500"/>
    <n v="750"/>
    <n v="15000"/>
    <n v="7500"/>
    <n v="7500"/>
    <n v="7500"/>
    <n v="7500"/>
    <n v="7500"/>
    <n v="7500"/>
    <n v="3500"/>
  </r>
  <r>
    <s v="CO-CLAY [18]"/>
    <s v="Clayoquot"/>
    <s v="BAWDEN CREEK_Coho"/>
    <x v="0"/>
    <x v="0"/>
    <x v="4"/>
    <x v="73"/>
    <x v="0"/>
    <m/>
    <m/>
    <n v="4"/>
    <n v="7"/>
    <n v="1"/>
    <n v="28"/>
    <n v="200"/>
    <n v="71.496451790023755"/>
    <m/>
    <s v="PL+D or Presence/Absence"/>
    <s v="Chum is the target species. Missing escapement data from 1999. Last time stream was surveyed was in 2002."/>
    <n v="28"/>
    <s v="NI"/>
    <m/>
    <m/>
    <m/>
    <s v="NI"/>
    <s v="NI"/>
    <s v="NI"/>
    <s v="NI"/>
    <s v="NI"/>
    <s v="NO"/>
    <s v="NO"/>
    <s v="NO"/>
    <m/>
    <s v="NO"/>
    <s v="NO"/>
    <n v="28"/>
    <s v="NO"/>
    <s v="UK"/>
    <s v="UK"/>
    <s v="UK"/>
    <s v="NI"/>
    <n v="120"/>
    <n v="60"/>
    <s v="NO"/>
    <n v="2"/>
    <n v="2"/>
    <s v="NO"/>
    <s v="NO"/>
    <s v="UK"/>
    <s v="UK"/>
    <s v="UK"/>
    <s v="UK"/>
    <s v="UK"/>
    <s v="UK"/>
    <s v="NO"/>
    <s v="NO"/>
    <s v="NO"/>
    <s v="NO"/>
    <s v="NO"/>
    <s v="UK"/>
    <s v="NO"/>
    <n v="25"/>
    <s v="NO"/>
    <n v="20"/>
    <s v="NO"/>
    <n v="200"/>
    <n v="75"/>
    <n v="100"/>
    <n v="100"/>
    <n v="200"/>
    <n v="75"/>
    <n v="75"/>
    <n v="200"/>
    <n v="200"/>
    <n v="200"/>
    <n v="200"/>
    <n v="200"/>
    <n v="200"/>
    <n v="200"/>
  </r>
  <r>
    <s v="CM-SWVI [10]"/>
    <s v="Southwest Vancouver Island"/>
    <s v="BAWDEN CREEK_Chum"/>
    <x v="0"/>
    <x v="0"/>
    <x v="4"/>
    <x v="73"/>
    <x v="1"/>
    <m/>
    <m/>
    <n v="4"/>
    <n v="7"/>
    <n v="6"/>
    <n v="330.50517107063638"/>
    <n v="15000"/>
    <n v="1696.6234336158516"/>
    <m/>
    <s v="PL+D or Presence/Absence"/>
    <s v="Chum is the target species. Missing escapement data from 1999. Last time stream was surveyed was in 2002."/>
    <n v="564.20000000000005"/>
    <s v="NI"/>
    <m/>
    <m/>
    <m/>
    <s v="NI"/>
    <s v="NI"/>
    <s v="NI"/>
    <s v="NI"/>
    <s v="NI"/>
    <n v="769"/>
    <s v="AP"/>
    <n v="222"/>
    <m/>
    <s v="NO"/>
    <n v="1100"/>
    <n v="700"/>
    <n v="30"/>
    <n v="10"/>
    <n v="2000"/>
    <s v="UK"/>
    <s v="NI"/>
    <n v="1400"/>
    <n v="900"/>
    <n v="2800"/>
    <n v="1100"/>
    <n v="6000"/>
    <n v="1700"/>
    <n v="5600"/>
    <n v="2800"/>
    <n v="8500"/>
    <n v="7000"/>
    <n v="6000"/>
    <n v="2400"/>
    <n v="3500"/>
    <n v="3000"/>
    <n v="3000"/>
    <n v="500"/>
    <n v="3500"/>
    <n v="3500"/>
    <n v="1500"/>
    <n v="750"/>
    <n v="3500"/>
    <n v="1500"/>
    <n v="10000"/>
    <n v="1500"/>
    <n v="200"/>
    <n v="250"/>
    <n v="2000"/>
    <n v="600"/>
    <n v="7500"/>
    <n v="750"/>
    <n v="15000"/>
    <n v="3500"/>
    <n v="3500"/>
    <n v="3500"/>
    <n v="3500"/>
    <n v="1500"/>
    <n v="7500"/>
    <n v="3500"/>
  </r>
  <r>
    <s v="CO-CLAY [18]"/>
    <s v="Clayoquot"/>
    <s v="BEDINGFIELD BAY CREEK_Coho"/>
    <x v="0"/>
    <x v="0"/>
    <x v="4"/>
    <x v="74"/>
    <x v="0"/>
    <m/>
    <m/>
    <n v="5"/>
    <n v="1"/>
    <m/>
    <e v="#NUM!"/>
    <n v="0"/>
    <e v="#NUM!"/>
    <m/>
    <s v="Presence/Absence"/>
    <s v="Only one survey in 1998 - No coho observed."/>
    <m/>
    <s v="NI"/>
    <m/>
    <m/>
    <m/>
    <s v="NI"/>
    <s v="NI"/>
    <s v="NI"/>
    <s v="NI"/>
    <s v="NI"/>
    <s v="NI"/>
    <s v="NI"/>
    <s v="NI"/>
    <s v="NI"/>
    <s v="NO"/>
    <s v="NI"/>
    <s v="NI"/>
    <s v="NI"/>
    <s v="NI"/>
    <s v="NI"/>
    <s v="NI"/>
    <s v="NI"/>
    <s v="NI"/>
    <s v="NI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BEDINGFIELD BAY CREEK_Chum"/>
    <x v="0"/>
    <x v="0"/>
    <x v="4"/>
    <x v="74"/>
    <x v="1"/>
    <m/>
    <m/>
    <n v="5"/>
    <n v="1"/>
    <n v="1"/>
    <e v="#NUM!"/>
    <n v="40"/>
    <n v="40"/>
    <m/>
    <s v="Presence/Absence"/>
    <s v="Only one survey in 1998 - AP entered as the estimate."/>
    <m/>
    <s v="NI"/>
    <m/>
    <m/>
    <m/>
    <s v="NI"/>
    <s v="NI"/>
    <s v="NI"/>
    <s v="NI"/>
    <s v="NI"/>
    <s v="NI"/>
    <s v="NI"/>
    <s v="NI"/>
    <s v="NI"/>
    <s v="AP"/>
    <s v="NI"/>
    <s v="NI"/>
    <s v="NI"/>
    <s v="NI"/>
    <s v="NI"/>
    <s v="NI"/>
    <s v="NI"/>
    <s v="NI"/>
    <s v="NI"/>
    <s v="NI"/>
    <s v="NI"/>
    <n v="4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WVI [R10]"/>
    <s v="West Vancouver Island"/>
    <s v="BEDWELL/URSUS_Sockeye"/>
    <x v="0"/>
    <x v="0"/>
    <x v="4"/>
    <x v="75"/>
    <x v="3"/>
    <m/>
    <m/>
    <n v="3"/>
    <n v="11"/>
    <n v="11"/>
    <n v="259.73210754889919"/>
    <n v="1413"/>
    <n v="259.73210754889919"/>
    <s v="C.  Other systems surveyed extensively since 1995, but due to lack of historic info, not included in expanded group (B)"/>
    <s v="AUC"/>
    <s v="Estimate includes both the Bedwell River and the Ursus Creek."/>
    <n v="479.18181818181819"/>
    <n v="335"/>
    <n v="1012"/>
    <n v="300"/>
    <n v="68"/>
    <n v="59"/>
    <n v="179"/>
    <n v="296"/>
    <n v="352"/>
    <n v="450"/>
    <n v="223"/>
    <n v="129"/>
    <n v="104"/>
    <n v="363"/>
    <n v="1293"/>
    <n v="1413"/>
    <n v="423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BEDWELL/URSUS_Coho"/>
    <x v="0"/>
    <x v="0"/>
    <x v="4"/>
    <x v="75"/>
    <x v="0"/>
    <m/>
    <m/>
    <n v="3"/>
    <n v="11"/>
    <n v="11"/>
    <n v="1224.0389479764367"/>
    <n v="3689"/>
    <n v="1224.0389479764367"/>
    <s v="C.  Other systems surveyed extensively since 1995, but due to lack of historic info, not included in expanded group (B)"/>
    <s v="AUC"/>
    <s v="Estimate includes both the Bedwell River and the Ursus Creek.   Average Esc from 1995-2005 from file: NEW ESCAPEMENT INDEX.XLS"/>
    <n v="1625"/>
    <n v="1457"/>
    <n v="1300"/>
    <n v="1925"/>
    <n v="1553"/>
    <n v="605"/>
    <n v="426"/>
    <n v="830"/>
    <n v="1030"/>
    <n v="1286"/>
    <n v="1831"/>
    <n v="1707"/>
    <n v="1429"/>
    <n v="2682"/>
    <n v="3689"/>
    <n v="908"/>
    <n v="479"/>
    <n v="2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kodd-WVI [6]"/>
    <s v="West Vancouver Island"/>
    <s v="BEDWELL/URSUS_Pink"/>
    <x v="0"/>
    <x v="0"/>
    <x v="4"/>
    <x v="75"/>
    <x v="4"/>
    <m/>
    <m/>
    <n v="3"/>
    <n v="11"/>
    <n v="10"/>
    <n v="10.273741542314243"/>
    <n v="55"/>
    <n v="10.273741542314243"/>
    <s v="C.  Other systems surveyed extensively since 1995, but due to lack of historic info, not included in expanded group (B)"/>
    <s v="AUC"/>
    <s v="Estimate includes both the Bedwell River and the Ursus Creek."/>
    <n v="21.5"/>
    <n v="34"/>
    <n v="42"/>
    <n v="30"/>
    <n v="3"/>
    <n v="3"/>
    <s v="NO"/>
    <n v="8"/>
    <n v="2"/>
    <n v="9"/>
    <n v="43"/>
    <n v="19"/>
    <n v="14"/>
    <n v="8"/>
    <n v="53"/>
    <n v="55"/>
    <s v="NO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BEDWELL/URSUS_Chum"/>
    <x v="0"/>
    <x v="0"/>
    <x v="4"/>
    <x v="75"/>
    <x v="1"/>
    <m/>
    <m/>
    <n v="3"/>
    <n v="11"/>
    <n v="11"/>
    <n v="2599.3122342795432"/>
    <n v="8111"/>
    <n v="2599.3122342795432"/>
    <s v="C.  Other systems surveyed extensively since 1995, but due to lack of historic info, not included in expanded group (B)"/>
    <s v="AUC"/>
    <s v="Estimate includes both the Bedwell River and the Ursus Creek.   Average Esc from 1995-2005 from file: NEW ESCAPEMENT INDEX.XLS"/>
    <n v="3569.090909090909"/>
    <n v="6701"/>
    <n v="3370"/>
    <n v="1480"/>
    <n v="578"/>
    <n v="1535"/>
    <n v="5643"/>
    <n v="1913"/>
    <n v="8111"/>
    <n v="4839"/>
    <n v="4655"/>
    <n v="3866"/>
    <n v="1989"/>
    <n v="2299"/>
    <n v="6513"/>
    <n v="1375"/>
    <n v="29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SWVI [31]"/>
    <s v="Southwest Vancouver Island"/>
    <s v="BEDWELL/URSUS_Chinook"/>
    <x v="0"/>
    <x v="1"/>
    <x v="4"/>
    <x v="75"/>
    <x v="2"/>
    <m/>
    <m/>
    <n v="3"/>
    <n v="11"/>
    <n v="11"/>
    <n v="152.49860249605658"/>
    <n v="528"/>
    <n v="152.49860249605658"/>
    <s v="C.  Other systems surveyed extensively since 1995, but due to lack of historic info, not included in expanded group (B)"/>
    <s v="AUC"/>
    <s v="Estimate includes both the Bedwell River and the Ursus Creek.   Average Esc from 1995-2005 from file: NEW ESCAPEMENT INDEX.XLS"/>
    <n v="221.54545454545453"/>
    <n v="85"/>
    <n v="50"/>
    <n v="44"/>
    <n v="69"/>
    <n v="41"/>
    <n v="104"/>
    <n v="65"/>
    <n v="141"/>
    <n v="137"/>
    <n v="128"/>
    <n v="263"/>
    <n v="143"/>
    <n v="160"/>
    <n v="306"/>
    <n v="275"/>
    <n v="528"/>
    <n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BULSON CREEK_Coho"/>
    <x v="0"/>
    <x v="0"/>
    <x v="4"/>
    <x v="76"/>
    <x v="0"/>
    <m/>
    <m/>
    <n v="4"/>
    <n v="5"/>
    <n v="1"/>
    <e v="#NUM!"/>
    <n v="50"/>
    <n v="50"/>
    <m/>
    <s v="PL+D or Presence/Absence"/>
    <s v="Chum is the target species.  2001 was the last time the steam was surveyed.  Missing 1999 date."/>
    <m/>
    <s v="NI"/>
    <m/>
    <m/>
    <m/>
    <s v="NI"/>
    <s v="NI"/>
    <s v="NI"/>
    <s v="NI"/>
    <s v="NI"/>
    <s v="NI"/>
    <s v="NO"/>
    <s v="NO"/>
    <m/>
    <s v="AP"/>
    <s v="NO"/>
    <s v="NI"/>
    <s v="NO"/>
    <s v="UK"/>
    <s v="NI"/>
    <s v="UK"/>
    <s v="NI"/>
    <s v="UK"/>
    <s v="NI"/>
    <s v="UK"/>
    <s v="UK"/>
    <s v="UK"/>
    <s v="NI"/>
    <s v="NI"/>
    <s v="NI"/>
    <s v="NI"/>
    <s v="NO"/>
    <s v="UK"/>
    <s v="NO"/>
    <s v="NO"/>
    <s v="NO"/>
    <s v="NI"/>
    <s v="NO"/>
    <s v="NO"/>
    <s v="NO"/>
    <s v="NI"/>
    <s v="NO"/>
    <s v="NO"/>
    <s v="UK"/>
    <s v="UK"/>
    <s v="UK"/>
    <s v="NI"/>
    <n v="50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BULSON CREEK_Chum"/>
    <x v="0"/>
    <x v="0"/>
    <x v="4"/>
    <x v="76"/>
    <x v="1"/>
    <m/>
    <m/>
    <n v="4"/>
    <n v="5"/>
    <n v="4"/>
    <n v="116.34833857252811"/>
    <n v="700"/>
    <n v="98.160652394051439"/>
    <m/>
    <s v="PL+D or Presence/Absence"/>
    <s v="Chum is the target species.  2001 was the last time the steam was surveyed.  Missing 1999 date."/>
    <n v="288.33333333333331"/>
    <s v="NI"/>
    <m/>
    <m/>
    <m/>
    <s v="NI"/>
    <s v="NI"/>
    <s v="NI"/>
    <s v="NI"/>
    <s v="NI"/>
    <s v="NI"/>
    <s v="NO"/>
    <n v="15"/>
    <m/>
    <s v="AP"/>
    <n v="150"/>
    <s v="NI"/>
    <n v="700"/>
    <n v="450"/>
    <s v="NI"/>
    <s v="UK"/>
    <s v="NI"/>
    <s v="UK"/>
    <s v="NI"/>
    <s v="NO"/>
    <n v="250"/>
    <n v="300"/>
    <s v="NI"/>
    <s v="NI"/>
    <s v="NI"/>
    <s v="NI"/>
    <s v="NO"/>
    <s v="UK"/>
    <s v="UK"/>
    <s v="UK"/>
    <s v="UK"/>
    <s v="NI"/>
    <s v="UK"/>
    <s v="UK"/>
    <s v="UK"/>
    <s v="NI"/>
    <s v="UK"/>
    <s v="UK"/>
    <n v="25"/>
    <n v="25"/>
    <n v="25"/>
    <s v="NI"/>
    <n v="100"/>
    <s v="NI"/>
    <s v="NI"/>
    <s v="NI"/>
    <s v="NI"/>
    <s v="NI"/>
    <s v="NI"/>
    <s v="NI"/>
    <s v="NI"/>
    <s v="NI"/>
    <s v="NI"/>
    <s v="NI"/>
    <s v="NI"/>
  </r>
  <r>
    <s v="CO-CLAY [18]"/>
    <s v="Clayoquot"/>
    <s v="CECILIA CREEK_Coho"/>
    <x v="0"/>
    <x v="0"/>
    <x v="4"/>
    <x v="77"/>
    <x v="0"/>
    <m/>
    <m/>
    <n v="4"/>
    <n v="6"/>
    <m/>
    <n v="20"/>
    <n v="750"/>
    <n v="124.57309396155173"/>
    <m/>
    <s v="PL+D or Presence/Absence"/>
    <s v="2001 was the last time this stream was surveyed."/>
    <n v="20"/>
    <s v="NI"/>
    <m/>
    <m/>
    <m/>
    <s v="NI"/>
    <s v="NI"/>
    <s v="NI"/>
    <s v="NI"/>
    <s v="NI"/>
    <s v="NI"/>
    <s v="NO"/>
    <s v="NO"/>
    <s v="NI"/>
    <s v="NO"/>
    <s v="NO"/>
    <n v="20"/>
    <s v="NO"/>
    <n v="100"/>
    <s v="NI"/>
    <s v="UK"/>
    <s v="NI"/>
    <s v="NO"/>
    <s v="NO"/>
    <s v="NO"/>
    <s v="NO"/>
    <n v="2"/>
    <s v="NO"/>
    <s v="NO"/>
    <s v="UK"/>
    <s v="UK"/>
    <s v="UK"/>
    <s v="UK"/>
    <s v="UK"/>
    <s v="UK"/>
    <s v="UK"/>
    <s v="UK"/>
    <s v="UK"/>
    <s v="NO"/>
    <s v="NO"/>
    <s v="UK"/>
    <s v="NO"/>
    <n v="25"/>
    <s v="UK"/>
    <n v="200"/>
    <n v="25"/>
    <n v="25"/>
    <n v="100"/>
    <n v="200"/>
    <n v="200"/>
    <n v="750"/>
    <n v="750"/>
    <n v="400"/>
    <n v="400"/>
    <n v="750"/>
    <n v="200"/>
    <n v="400"/>
    <n v="200"/>
    <n v="75"/>
    <n v="200"/>
  </r>
  <r>
    <s v="CM-SWVI [10]"/>
    <s v="Southwest Vancouver Island"/>
    <s v="CECILIA CREEK_Chum"/>
    <x v="0"/>
    <x v="0"/>
    <x v="4"/>
    <x v="77"/>
    <x v="1"/>
    <m/>
    <m/>
    <n v="4"/>
    <n v="6"/>
    <n v="6"/>
    <n v="139.16165654610072"/>
    <n v="1400"/>
    <n v="181.82028038226611"/>
    <m/>
    <s v="PL+D or Presence/Absence"/>
    <s v="2001 was the last time this stream was surveyed."/>
    <n v="176.66666666666666"/>
    <s v="NI"/>
    <m/>
    <m/>
    <m/>
    <s v="NI"/>
    <s v="NI"/>
    <s v="NI"/>
    <s v="NI"/>
    <s v="NI"/>
    <s v="NI"/>
    <n v="350"/>
    <s v="AP"/>
    <s v="NI"/>
    <s v="AP"/>
    <s v="NO"/>
    <n v="110"/>
    <n v="70"/>
    <n v="1400"/>
    <s v="NI"/>
    <s v="UK"/>
    <s v="NI"/>
    <n v="75"/>
    <s v="NO"/>
    <n v="10"/>
    <n v="5"/>
    <n v="36"/>
    <n v="300"/>
    <n v="150"/>
    <n v="100"/>
    <n v="100"/>
    <n v="500"/>
    <n v="400"/>
    <n v="250"/>
    <n v="400"/>
    <n v="200"/>
    <n v="75"/>
    <n v="200"/>
    <s v="NO"/>
    <n v="200"/>
    <n v="200"/>
    <n v="200"/>
    <n v="750"/>
    <n v="400"/>
    <n v="200"/>
    <n v="25"/>
    <s v="NO"/>
    <n v="50"/>
    <n v="200"/>
    <n v="200"/>
    <n v="400"/>
    <n v="200"/>
    <n v="750"/>
    <n v="750"/>
    <n v="750"/>
    <n v="200"/>
    <n v="200"/>
    <n v="200"/>
    <n v="750"/>
    <n v="200"/>
  </r>
  <r>
    <s v="SK-L-13-7"/>
    <s v="Clayoquot"/>
    <s v="CLAYOQUOT RIVER_Sockeye"/>
    <x v="0"/>
    <x v="0"/>
    <x v="4"/>
    <x v="78"/>
    <x v="3"/>
    <m/>
    <m/>
    <n v="3"/>
    <n v="7"/>
    <n v="7"/>
    <n v="1568.3102149660178"/>
    <n v="5594"/>
    <n v="1568.3102149660178"/>
    <m/>
    <s v="AUC estimate providing we get enough surveys if not then PL+D"/>
    <s v="The estimates include both the Upper and Lower River. Missing data for 3 years (1997, 1998, &amp; 2004)."/>
    <n v="2283.8571428571427"/>
    <s v="NI"/>
    <n v="6665"/>
    <m/>
    <m/>
    <s v="NI"/>
    <s v="NI"/>
    <s v="NI"/>
    <m/>
    <n v="1614"/>
    <n v="1416"/>
    <n v="2022"/>
    <n v="4270"/>
    <n v="5594"/>
    <m/>
    <m/>
    <n v="810"/>
    <n v="2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CLAYOQUOT RIVER_Coho"/>
    <x v="0"/>
    <x v="0"/>
    <x v="4"/>
    <x v="78"/>
    <x v="0"/>
    <m/>
    <m/>
    <n v="3"/>
    <n v="7"/>
    <n v="6"/>
    <n v="1204.2771027570654"/>
    <n v="2299"/>
    <n v="1204.2771027570654"/>
    <m/>
    <s v="AUC estimate providing we get enough surveys if not then PL+D"/>
    <s v="The estimates include both the Upper and Lower River. Missing data for 3 years (1997, 1998, &amp; 2004)."/>
    <n v="1353.1666666666667"/>
    <s v="NI"/>
    <m/>
    <m/>
    <m/>
    <s v="NI"/>
    <s v="NI"/>
    <s v="NI"/>
    <m/>
    <s v="NO"/>
    <n v="968"/>
    <n v="916"/>
    <n v="2258"/>
    <n v="2299"/>
    <m/>
    <m/>
    <n v="636"/>
    <n v="1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LAYOQUOT RIVER_Chum"/>
    <x v="0"/>
    <x v="0"/>
    <x v="4"/>
    <x v="78"/>
    <x v="1"/>
    <m/>
    <m/>
    <n v="3"/>
    <n v="7"/>
    <n v="5"/>
    <n v="5.0914597900436611"/>
    <n v="16"/>
    <n v="5.0914597900436611"/>
    <m/>
    <s v="AUC estimate providing we get enough surveys if not then PL+D"/>
    <s v="The estimates include both the Upper and Lower River. Missing data for 3 years (1997, 1998, &amp; 2004)."/>
    <n v="7"/>
    <s v="NI"/>
    <m/>
    <m/>
    <m/>
    <s v="NI"/>
    <s v="NI"/>
    <s v="NI"/>
    <m/>
    <s v="NO"/>
    <n v="16"/>
    <n v="7"/>
    <s v="AP"/>
    <n v="2"/>
    <m/>
    <m/>
    <s v="NO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SWVI [31]"/>
    <s v="Southwest Vancouver Island"/>
    <s v="CLAYOQUOT RIVER_Chinook"/>
    <x v="0"/>
    <x v="0"/>
    <x v="4"/>
    <x v="78"/>
    <x v="2"/>
    <m/>
    <m/>
    <n v="3"/>
    <n v="7"/>
    <n v="6"/>
    <n v="8.0990778145913822"/>
    <n v="22"/>
    <n v="8.0990778145913822"/>
    <m/>
    <s v="AUC estimate providing we get enough surveys if not then PL+D"/>
    <s v="The estimates include both the Upper and Lower River. Missing data for 3 years (1997, 1998, &amp; 2004)."/>
    <n v="12.6"/>
    <s v="NI"/>
    <m/>
    <m/>
    <m/>
    <s v="NI"/>
    <s v="NI"/>
    <s v="NI"/>
    <m/>
    <s v="NO"/>
    <n v="1"/>
    <n v="6"/>
    <s v="AP"/>
    <n v="22"/>
    <m/>
    <m/>
    <n v="1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CLOSE CREEKS (2)_Coho"/>
    <x v="0"/>
    <x v="0"/>
    <x v="4"/>
    <x v="79"/>
    <x v="0"/>
    <m/>
    <m/>
    <n v="5"/>
    <n v="2"/>
    <n v="1"/>
    <n v="1"/>
    <n v="1"/>
    <n v="1"/>
    <m/>
    <s v="Presence/Absence"/>
    <s v="Chum is the target species. Missing data for 3 years (1997, 1998 &amp; 1999). 1996 was the last time this stream was inspected."/>
    <n v="1"/>
    <s v="NI"/>
    <m/>
    <m/>
    <m/>
    <s v="NI"/>
    <s v="NI"/>
    <s v="NI"/>
    <s v="NI"/>
    <s v="NI"/>
    <s v="NI"/>
    <s v="NI"/>
    <s v="NI"/>
    <m/>
    <m/>
    <m/>
    <s v="NO"/>
    <n v="1"/>
    <s v="UK"/>
    <s v="UK"/>
    <s v="NI"/>
    <s v="NI"/>
    <s v="NI"/>
    <s v="NI"/>
    <s v="NI"/>
    <s v="NI"/>
    <s v="NI"/>
    <s v="NO"/>
    <s v="NO"/>
    <s v="UK"/>
    <s v="NI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CLOSE CREEKS (2)_Chum"/>
    <x v="0"/>
    <x v="0"/>
    <x v="4"/>
    <x v="79"/>
    <x v="1"/>
    <m/>
    <m/>
    <n v="5"/>
    <n v="2"/>
    <n v="2"/>
    <n v="139.64240043768942"/>
    <n v="310"/>
    <n v="134.54045463832571"/>
    <m/>
    <s v="Presence/Absence"/>
    <s v="Chum is the target species. Missing data for 3 years (1997, 1998 &amp; 1999). 1996 was the last time this stream was inspected."/>
    <n v="140"/>
    <s v="NI"/>
    <m/>
    <m/>
    <m/>
    <s v="NI"/>
    <s v="NI"/>
    <s v="NI"/>
    <s v="NI"/>
    <s v="NI"/>
    <s v="NI"/>
    <s v="NI"/>
    <s v="NI"/>
    <m/>
    <m/>
    <m/>
    <n v="150"/>
    <n v="130"/>
    <n v="310"/>
    <s v="NO"/>
    <s v="NI"/>
    <s v="NI"/>
    <s v="NI"/>
    <s v="NI"/>
    <s v="NI"/>
    <s v="NI"/>
    <s v="NI"/>
    <n v="75"/>
    <n v="220"/>
    <n v="80"/>
    <s v="NI"/>
    <s v="NI"/>
    <n v="1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WVI [R10]"/>
    <s v="West Vancouver Island"/>
    <s v="COLD CREEK_Sockeye"/>
    <x v="0"/>
    <x v="0"/>
    <x v="4"/>
    <x v="80"/>
    <x v="3"/>
    <m/>
    <m/>
    <n v="5"/>
    <n v="4"/>
    <n v="2"/>
    <n v="18.734993995195193"/>
    <n v="7500"/>
    <n v="648.51676273974135"/>
    <m/>
    <s v="Presence/Absence"/>
    <s v="Missing data for 4 years (1995, 1997, 1998 &amp; 2000)."/>
    <n v="60"/>
    <s v="NO"/>
    <n v="87"/>
    <n v="8"/>
    <s v="no"/>
    <s v="NI"/>
    <s v="NI"/>
    <s v="NI"/>
    <s v="NO"/>
    <s v="NI"/>
    <s v="NI"/>
    <n v="3"/>
    <m/>
    <s v="NO"/>
    <m/>
    <m/>
    <n v="117"/>
    <m/>
    <s v="UK"/>
    <s v="NI"/>
    <s v="NI"/>
    <n v="3500"/>
    <n v="250"/>
    <n v="200"/>
    <n v="1200"/>
    <n v="3000"/>
    <n v="600"/>
    <n v="150"/>
    <n v="25"/>
    <n v="350"/>
    <n v="350"/>
    <n v="250"/>
    <n v="600"/>
    <n v="200"/>
    <n v="500"/>
    <n v="400"/>
    <n v="335"/>
    <n v="700"/>
    <n v="4400"/>
    <n v="300"/>
    <n v="400"/>
    <n v="750"/>
    <n v="25"/>
    <n v="400"/>
    <n v="70"/>
    <n v="1500"/>
    <n v="75"/>
    <n v="250"/>
    <n v="2500"/>
    <n v="2000"/>
    <n v="3500"/>
    <n v="3500"/>
    <n v="3500"/>
    <n v="7500"/>
    <n v="7500"/>
    <n v="7500"/>
    <n v="7500"/>
    <n v="3500"/>
    <n v="3500"/>
    <n v="3500"/>
  </r>
  <r>
    <s v="CO-CLAY [18]"/>
    <s v="Clayoquot"/>
    <s v="COLD CREEK_Coho"/>
    <x v="0"/>
    <x v="0"/>
    <x v="4"/>
    <x v="80"/>
    <x v="0"/>
    <m/>
    <m/>
    <n v="5"/>
    <n v="4"/>
    <n v="3"/>
    <n v="8.0617806492788979"/>
    <n v="50"/>
    <n v="15.481542968736774"/>
    <m/>
    <s v="Presence/Absence"/>
    <s v="Missing data for 4 years (1995, 1997, 1998 &amp; 2000)."/>
    <n v="13"/>
    <n v="16"/>
    <n v="19"/>
    <n v="15"/>
    <n v="16"/>
    <s v="NI"/>
    <s v="NI"/>
    <s v="NI"/>
    <n v="2"/>
    <s v="NI"/>
    <s v="NI"/>
    <n v="4"/>
    <m/>
    <n v="33"/>
    <m/>
    <m/>
    <s v="NO"/>
    <m/>
    <s v="UK"/>
    <s v="NI"/>
    <s v="NI"/>
    <s v="UK"/>
    <s v="UK"/>
    <s v="UK"/>
    <s v="UK"/>
    <s v="NO"/>
    <s v="NO"/>
    <s v="NO"/>
    <s v="UK"/>
    <s v="UK"/>
    <s v="UK"/>
    <s v="UK"/>
    <s v="UK"/>
    <s v="UK"/>
    <s v="UK"/>
    <s v="UK"/>
    <s v="UK"/>
    <s v="UK"/>
    <s v="NO"/>
    <s v="UK"/>
    <s v="UK"/>
    <s v="NO"/>
    <s v="NO"/>
    <s v="NO"/>
    <n v="25"/>
    <n v="25"/>
    <n v="25"/>
    <s v="UK"/>
    <n v="50"/>
    <s v="UK"/>
    <s v="UK"/>
    <s v="UK"/>
    <s v="UK"/>
    <s v="UK"/>
    <s v="UK"/>
    <s v="UK"/>
    <s v="UK"/>
    <s v="UK"/>
    <s v="UK"/>
    <s v="UK"/>
  </r>
  <r>
    <s v="CM-SWVI [10]"/>
    <s v="Southwest Vancouver Island"/>
    <s v="COLD CREEK_Chum"/>
    <x v="0"/>
    <x v="0"/>
    <x v="4"/>
    <x v="80"/>
    <x v="1"/>
    <m/>
    <m/>
    <n v="5"/>
    <n v="4"/>
    <n v="0"/>
    <e v="#NUM!"/>
    <n v="0"/>
    <e v="#NUM!"/>
    <m/>
    <s v="Presence/Absence"/>
    <s v="Missing data for 4 years (1995, 1997, 1998 &amp; 2000)."/>
    <m/>
    <s v="NO"/>
    <m/>
    <m/>
    <s v="NO"/>
    <s v="NI"/>
    <s v="NI"/>
    <s v="NI"/>
    <s v="NO"/>
    <s v="NI"/>
    <s v="NI"/>
    <s v="NO"/>
    <m/>
    <s v="NO"/>
    <m/>
    <m/>
    <s v="NO"/>
    <m/>
    <s v="UK"/>
    <s v="NI"/>
    <s v="NI"/>
    <s v="UK"/>
    <s v="UK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CONE CREEKS (2)_Coho"/>
    <x v="0"/>
    <x v="0"/>
    <x v="4"/>
    <x v="81"/>
    <x v="0"/>
    <m/>
    <m/>
    <n v="5"/>
    <n v="4"/>
    <n v="0"/>
    <e v="#NUM!"/>
    <n v="0"/>
    <e v="#NUM!"/>
    <m/>
    <s v="PL+D or Presence/Absence"/>
    <s v="1997 - 1999 no data. Chum is the target species, 2002 was the last time this stream was surveyed"/>
    <m/>
    <s v="NI"/>
    <m/>
    <m/>
    <m/>
    <s v="NI"/>
    <s v="NI"/>
    <s v="NI"/>
    <s v="NI"/>
    <s v="NI"/>
    <s v="NO"/>
    <s v="NO"/>
    <s v="NI"/>
    <m/>
    <m/>
    <m/>
    <s v="NO"/>
    <s v="NO"/>
    <s v="UK"/>
    <s v="UK"/>
    <s v="UK"/>
    <s v="UK"/>
    <s v="UK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CONE CREEKS (2)_Chum"/>
    <x v="0"/>
    <x v="0"/>
    <x v="4"/>
    <x v="81"/>
    <x v="1"/>
    <m/>
    <m/>
    <n v="5"/>
    <n v="4"/>
    <n v="4"/>
    <n v="1066.4755002205065"/>
    <n v="3500"/>
    <n v="847.32251786773986"/>
    <m/>
    <s v="PL+D or Presence/Absence"/>
    <s v="1997 - 1999 no data. Chum is the target species, 2002 was the last time this stream was surveyed"/>
    <n v="1221.75"/>
    <s v="NI"/>
    <m/>
    <n v="90"/>
    <m/>
    <s v="NI"/>
    <s v="NI"/>
    <s v="NI"/>
    <s v="NI"/>
    <s v="NI"/>
    <n v="2187"/>
    <n v="1400"/>
    <s v="NI"/>
    <m/>
    <m/>
    <m/>
    <n v="650"/>
    <n v="650"/>
    <n v="850"/>
    <n v="800"/>
    <n v="600"/>
    <n v="650"/>
    <n v="50"/>
    <s v="NO"/>
    <n v="250"/>
    <n v="320"/>
    <n v="175"/>
    <n v="1000"/>
    <n v="900"/>
    <n v="500"/>
    <n v="900"/>
    <n v="1300"/>
    <n v="1700"/>
    <n v="1750"/>
    <n v="2500"/>
    <n v="600"/>
    <n v="1000"/>
    <n v="1100"/>
    <n v="2000"/>
    <n v="1500"/>
    <n v="1500"/>
    <n v="400"/>
    <n v="3500"/>
    <n v="1500"/>
    <n v="3000"/>
    <n v="750"/>
    <n v="400"/>
    <n v="800"/>
    <s v="NI"/>
    <s v="NI"/>
    <s v="NI"/>
    <s v="NI"/>
    <s v="NI"/>
    <s v="NI"/>
    <s v="NI"/>
    <s v="NI"/>
    <s v="NI"/>
    <s v="NI"/>
    <s v="NI"/>
    <s v="NI"/>
  </r>
  <r>
    <s v="CO-CLAY [18]"/>
    <s v="Clayoquot"/>
    <s v="COW CREEK_Coho"/>
    <x v="0"/>
    <x v="0"/>
    <x v="4"/>
    <x v="82"/>
    <x v="0"/>
    <m/>
    <m/>
    <n v="5"/>
    <n v="5"/>
    <n v="5"/>
    <n v="86.615361839105276"/>
    <n v="130"/>
    <n v="86.615361839105276"/>
    <m/>
    <s v="Presence/Absence"/>
    <s v="No data for 1995. Last time this stream was surveyed was in 2000."/>
    <n v="92"/>
    <n v="73"/>
    <m/>
    <m/>
    <m/>
    <s v="NI"/>
    <s v="NI"/>
    <s v="NI"/>
    <s v="NI"/>
    <s v="NI"/>
    <s v="NI"/>
    <s v="NI"/>
    <n v="130"/>
    <n v="75"/>
    <n v="125"/>
    <n v="8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COW CREEK_Chum"/>
    <x v="0"/>
    <x v="0"/>
    <x v="4"/>
    <x v="82"/>
    <x v="1"/>
    <m/>
    <m/>
    <n v="5"/>
    <n v="5"/>
    <n v="5"/>
    <n v="32.008686688809426"/>
    <n v="70"/>
    <n v="32.008686688809426"/>
    <m/>
    <s v="Presence/Absence"/>
    <s v="No data for 1995. Last time this stream was surveyed was in 2000."/>
    <n v="36"/>
    <n v="73"/>
    <m/>
    <m/>
    <m/>
    <s v="NI"/>
    <s v="NI"/>
    <s v="NI"/>
    <s v="NI"/>
    <s v="NI"/>
    <s v="NI"/>
    <s v="NI"/>
    <n v="40"/>
    <n v="20"/>
    <n v="30"/>
    <n v="7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K-WVI [R10]"/>
    <s v="West Vancouver Island"/>
    <s v="CYPRE RIVER_Sockeye"/>
    <x v="0"/>
    <x v="0"/>
    <x v="4"/>
    <x v="83"/>
    <x v="3"/>
    <m/>
    <m/>
    <n v="4"/>
    <n v="10"/>
    <n v="5"/>
    <n v="7.0436381117200551"/>
    <n v="40"/>
    <n v="4.82587343561626"/>
    <m/>
    <s v="AUC or PL+D depending on the number and timing of surveys"/>
    <s v="Missing 2000 data."/>
    <n v="13.4"/>
    <n v="3"/>
    <n v="37"/>
    <m/>
    <n v="2"/>
    <s v="NO"/>
    <n v="8"/>
    <n v="7"/>
    <n v="40"/>
    <n v="12"/>
    <s v="NO"/>
    <n v="4"/>
    <m/>
    <s v="NO"/>
    <s v="NO"/>
    <s v="NO"/>
    <n v="4"/>
    <s v="NO"/>
    <n v="4"/>
    <n v="6"/>
    <n v="10"/>
    <n v="3"/>
    <s v="UK"/>
    <s v="UK"/>
    <s v="UK"/>
    <s v="UK"/>
    <s v="UK"/>
    <n v="3"/>
    <s v="NO"/>
    <n v="1"/>
    <s v="UK"/>
    <s v="UK"/>
    <n v="2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CYPRE RIVER_Coho"/>
    <x v="0"/>
    <x v="0"/>
    <x v="4"/>
    <x v="83"/>
    <x v="0"/>
    <m/>
    <m/>
    <n v="4"/>
    <n v="10"/>
    <n v="10"/>
    <n v="953.2140140409183"/>
    <n v="3500"/>
    <n v="497.51658323895225"/>
    <m/>
    <s v="AUC or PL+D depending on the number and timing of surveys"/>
    <s v="Missing 2000 data."/>
    <n v="1199"/>
    <n v="1631"/>
    <n v="1660"/>
    <n v="1725"/>
    <n v="939"/>
    <n v="1570"/>
    <n v="501"/>
    <n v="2003"/>
    <n v="607"/>
    <n v="1479"/>
    <n v="1765"/>
    <n v="2761"/>
    <m/>
    <n v="650"/>
    <n v="1000"/>
    <n v="425"/>
    <n v="300"/>
    <n v="1000"/>
    <n v="400"/>
    <n v="150"/>
    <n v="150"/>
    <n v="200"/>
    <n v="800"/>
    <n v="650"/>
    <n v="400"/>
    <n v="350"/>
    <n v="620"/>
    <n v="500"/>
    <n v="250"/>
    <s v="UK"/>
    <n v="400"/>
    <n v="30"/>
    <n v="100"/>
    <n v="100"/>
    <n v="100"/>
    <n v="500"/>
    <n v="200"/>
    <n v="500"/>
    <n v="1000"/>
    <n v="3500"/>
    <n v="750"/>
    <n v="400"/>
    <n v="75"/>
    <n v="75"/>
    <n v="60"/>
    <n v="25"/>
    <n v="400"/>
    <n v="500"/>
    <n v="1000"/>
    <n v="150"/>
    <n v="1500"/>
    <n v="1500"/>
    <n v="750"/>
    <n v="3500"/>
    <n v="1500"/>
    <n v="3500"/>
    <n v="3500"/>
    <n v="1500"/>
    <n v="750"/>
    <n v="400"/>
  </r>
  <r>
    <s v="Pkodd-WVI [6]"/>
    <s v="West Vancouver Island"/>
    <s v="CYPRE RIVER_Pink"/>
    <x v="0"/>
    <x v="0"/>
    <x v="4"/>
    <x v="83"/>
    <x v="4"/>
    <m/>
    <m/>
    <n v="4"/>
    <n v="10"/>
    <n v="2"/>
    <n v="1.4422495703074083"/>
    <n v="3500"/>
    <n v="65.45583181004254"/>
    <m/>
    <s v="AUC or PL+D depending on the number and timing of surveys"/>
    <s v="Missing 2000 data."/>
    <n v="1"/>
    <n v="2"/>
    <m/>
    <m/>
    <s v="NO"/>
    <n v="3"/>
    <s v="NO"/>
    <s v="NO"/>
    <s v="NO"/>
    <n v="1"/>
    <s v="NO"/>
    <n v="1"/>
    <m/>
    <s v="NO"/>
    <s v="NO"/>
    <s v="NO"/>
    <s v="NO"/>
    <s v="NO"/>
    <s v="UK"/>
    <s v="UK"/>
    <s v="UK"/>
    <s v="UK"/>
    <s v="UK"/>
    <s v="UK"/>
    <s v="UK"/>
    <s v="UK"/>
    <s v="UK"/>
    <s v="UK"/>
    <s v="NO"/>
    <s v="UK"/>
    <s v="UK"/>
    <s v="UK"/>
    <n v="400"/>
    <s v="UK"/>
    <n v="900"/>
    <s v="UK"/>
    <n v="500"/>
    <s v="UK"/>
    <n v="3500"/>
    <s v="NO"/>
    <n v="400"/>
    <s v="NO"/>
    <n v="25"/>
    <s v="NO"/>
    <n v="200"/>
    <s v="UK"/>
    <n v="25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CYPRE RIVER_Chum"/>
    <x v="0"/>
    <x v="0"/>
    <x v="4"/>
    <x v="83"/>
    <x v="1"/>
    <m/>
    <m/>
    <n v="4"/>
    <n v="10"/>
    <n v="10"/>
    <n v="2518.4714260103592"/>
    <n v="7500"/>
    <n v="2460.1141000509897"/>
    <m/>
    <s v="AUC or PL+D depending on the number and timing of surveys"/>
    <s v="Missing 2000 data."/>
    <n v="3635.6"/>
    <n v="5159"/>
    <n v="1580"/>
    <n v="1930"/>
    <n v="500"/>
    <n v="3268"/>
    <n v="4295"/>
    <n v="567"/>
    <n v="4614"/>
    <n v="6009"/>
    <n v="6315"/>
    <n v="5751"/>
    <m/>
    <n v="700"/>
    <n v="2800"/>
    <n v="2000"/>
    <n v="5800"/>
    <n v="1800"/>
    <n v="1200"/>
    <n v="1200"/>
    <n v="4000"/>
    <n v="2000"/>
    <n v="1500"/>
    <n v="400"/>
    <n v="3200"/>
    <n v="2000"/>
    <n v="2000"/>
    <n v="3000"/>
    <n v="2400"/>
    <n v="3500"/>
    <n v="4000"/>
    <n v="2300"/>
    <n v="5000"/>
    <n v="850"/>
    <n v="5000"/>
    <n v="4000"/>
    <n v="1200"/>
    <n v="1200"/>
    <n v="1500"/>
    <n v="3500"/>
    <n v="3500"/>
    <n v="400"/>
    <n v="750"/>
    <n v="3500"/>
    <n v="5100"/>
    <n v="3500"/>
    <n v="750"/>
    <n v="1200"/>
    <n v="5000"/>
    <n v="2000"/>
    <n v="7500"/>
    <n v="1500"/>
    <n v="7500"/>
    <n v="7500"/>
    <n v="3500"/>
    <n v="3500"/>
    <n v="3500"/>
    <n v="3500"/>
    <n v="7500"/>
    <n v="3500"/>
  </r>
  <r>
    <s v="CK-SWVI [31]"/>
    <s v="Southwest Vancouver Island"/>
    <s v="CYPRE RIVER_Chinook"/>
    <x v="0"/>
    <x v="0"/>
    <x v="4"/>
    <x v="83"/>
    <x v="2"/>
    <m/>
    <m/>
    <n v="4"/>
    <n v="10"/>
    <n v="10"/>
    <n v="97.758262625340635"/>
    <n v="869"/>
    <n v="57.35789191458543"/>
    <m/>
    <s v="AUC or PL+D depending on the number and timing of surveys"/>
    <s v="Missing 2000 data."/>
    <n v="222.4"/>
    <n v="1326"/>
    <n v="440"/>
    <n v="245"/>
    <n v="449"/>
    <n v="869"/>
    <n v="422"/>
    <n v="500"/>
    <n v="490"/>
    <n v="500"/>
    <n v="32"/>
    <n v="641"/>
    <m/>
    <n v="10"/>
    <n v="20"/>
    <n v="15"/>
    <n v="10"/>
    <n v="6"/>
    <n v="1"/>
    <n v="16"/>
    <n v="20"/>
    <n v="25"/>
    <s v="UK"/>
    <n v="12"/>
    <n v="25"/>
    <n v="26"/>
    <n v="28"/>
    <n v="11"/>
    <n v="30"/>
    <n v="25"/>
    <n v="15"/>
    <n v="10"/>
    <s v="NO"/>
    <n v="15"/>
    <n v="10"/>
    <n v="25"/>
    <n v="25"/>
    <n v="15"/>
    <n v="25"/>
    <n v="200"/>
    <n v="75"/>
    <n v="75"/>
    <n v="25"/>
    <n v="25"/>
    <n v="80"/>
    <n v="25"/>
    <n v="25"/>
    <n v="50"/>
    <n v="50"/>
    <n v="70"/>
    <n v="400"/>
    <n v="400"/>
    <n v="400"/>
    <n v="750"/>
    <n v="750"/>
    <n v="400"/>
    <n v="200"/>
    <n v="400"/>
    <n v="200"/>
    <n v="200"/>
  </r>
  <r>
    <s v="CO-CLAY [18]"/>
    <s v="Clayoquot"/>
    <s v="FUNDY CREEK_Coho"/>
    <x v="0"/>
    <x v="0"/>
    <x v="4"/>
    <x v="84"/>
    <x v="0"/>
    <m/>
    <m/>
    <n v="4"/>
    <n v="8"/>
    <n v="1"/>
    <e v="#NUM!"/>
    <n v="0"/>
    <e v="#NUM!"/>
    <m/>
    <s v="PL+D or Presence/Absence"/>
    <s v="Chum is the target species.   Missing 1997 data."/>
    <m/>
    <s v="NO"/>
    <m/>
    <m/>
    <m/>
    <s v="NO"/>
    <s v="NO"/>
    <s v="NO"/>
    <s v="NO"/>
    <s v="NO"/>
    <s v="NO"/>
    <s v="AP"/>
    <s v="NI"/>
    <s v="NI"/>
    <s v="NO"/>
    <m/>
    <s v="NO"/>
    <s v="NO"/>
    <s v="UK"/>
    <s v="UK"/>
    <s v="NI"/>
    <s v="NI"/>
    <s v="NI"/>
    <s v="NI"/>
    <s v="NI"/>
    <s v="NI"/>
    <s v="NI"/>
    <s v="NI"/>
    <s v="NO"/>
    <s v="UK"/>
    <s v="UK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FUNDY CREEK_Chum"/>
    <x v="0"/>
    <x v="0"/>
    <x v="4"/>
    <x v="84"/>
    <x v="1"/>
    <m/>
    <m/>
    <n v="4"/>
    <n v="8"/>
    <n v="8"/>
    <n v="99.2264917211522"/>
    <n v="520"/>
    <n v="148.7747681385172"/>
    <m/>
    <s v="PL+D or Presence/Absence"/>
    <s v="Chum is the target species.   Missing 1997 data."/>
    <n v="203"/>
    <n v="35"/>
    <n v="9"/>
    <m/>
    <m/>
    <n v="5"/>
    <n v="141"/>
    <n v="192"/>
    <n v="337"/>
    <n v="63"/>
    <n v="169"/>
    <n v="240"/>
    <s v="NI"/>
    <s v="NI"/>
    <s v="AP"/>
    <m/>
    <n v="400"/>
    <n v="20"/>
    <n v="520"/>
    <n v="200"/>
    <s v="NI"/>
    <s v="NI"/>
    <s v="NI"/>
    <s v="NI"/>
    <s v="NI"/>
    <s v="NI"/>
    <s v="NI"/>
    <s v="NI"/>
    <n v="240"/>
    <n v="150"/>
    <n v="300"/>
    <n v="250"/>
    <n v="22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CLAY [18]"/>
    <s v="Clayoquot"/>
    <s v="HESQUIAT HARBOUR #1 CREEKS_Coho"/>
    <x v="0"/>
    <x v="0"/>
    <x v="4"/>
    <x v="85"/>
    <x v="0"/>
    <m/>
    <m/>
    <n v="4"/>
    <n v="1"/>
    <n v="0"/>
    <e v="#NUM!"/>
    <n v="0"/>
    <e v="#NUM!"/>
    <m/>
    <s v="PL+D or Presence/Absence"/>
    <s v="Missing data for 5 years (1995, 1996, 1998, 1999 and 2001), record shown one estimate in 1997 - no fish were observed."/>
    <m/>
    <s v="NI"/>
    <m/>
    <m/>
    <m/>
    <s v="NI"/>
    <s v="NI"/>
    <s v="NI"/>
    <s v="NI"/>
    <s v="NI"/>
    <s v="NI"/>
    <m/>
    <s v="NI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HESQUIAT HARBOUR #1 CREEKS_Chum"/>
    <x v="0"/>
    <x v="0"/>
    <x v="4"/>
    <x v="85"/>
    <x v="1"/>
    <m/>
    <m/>
    <n v="4"/>
    <n v="1"/>
    <n v="0"/>
    <e v="#NUM!"/>
    <n v="0"/>
    <e v="#NUM!"/>
    <m/>
    <s v="PL+D or Presence/Absence"/>
    <s v="Missing data for 5 years (1995, 1996, 1998, 1999 and 2001), records indicate one estimate in 1997 - no fish were observed."/>
    <m/>
    <s v="NI"/>
    <m/>
    <m/>
    <m/>
    <s v="NI"/>
    <s v="NI"/>
    <s v="NI"/>
    <s v="NI"/>
    <s v="NI"/>
    <s v="NI"/>
    <m/>
    <s v="NI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HESQUIAT HARBOUR #2 CREEKS_Coho"/>
    <x v="0"/>
    <x v="0"/>
    <x v="4"/>
    <x v="86"/>
    <x v="0"/>
    <m/>
    <m/>
    <n v="4"/>
    <n v="5"/>
    <n v="3"/>
    <n v="10"/>
    <n v="300"/>
    <n v="51.362087353024826"/>
    <m/>
    <s v="PL+D or Presence/Absence"/>
    <s v="Chum is the target species. Missing 3 years of data (1998, 1999 &amp; 2001). 2002 was the last time the stream was surveyed."/>
    <n v="10"/>
    <n v="47"/>
    <m/>
    <m/>
    <m/>
    <s v="NI"/>
    <s v="NI"/>
    <s v="NI"/>
    <s v="NI"/>
    <s v="NI"/>
    <s v="NO"/>
    <m/>
    <s v="AP"/>
    <m/>
    <m/>
    <n v="10"/>
    <n v="10"/>
    <s v="NO"/>
    <s v="NI"/>
    <s v="NI"/>
    <s v="NI"/>
    <s v="NI"/>
    <s v="NI"/>
    <s v="NI"/>
    <s v="NI"/>
    <n v="25"/>
    <n v="35"/>
    <s v="UK"/>
    <s v="NI"/>
    <s v="UK"/>
    <s v="UK"/>
    <s v="UK"/>
    <s v="NI"/>
    <n v="50"/>
    <n v="50"/>
    <s v="UK"/>
    <n v="50"/>
    <n v="50"/>
    <n v="200"/>
    <n v="200"/>
    <s v="NI"/>
    <s v="NI"/>
    <s v="NI"/>
    <s v="NI"/>
    <s v="NI"/>
    <s v="NI"/>
    <s v="NI"/>
    <n v="300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HESQUIAT HARBOUR #2 CREEKS_Chum"/>
    <x v="0"/>
    <x v="0"/>
    <x v="4"/>
    <x v="86"/>
    <x v="1"/>
    <m/>
    <m/>
    <n v="4"/>
    <n v="5"/>
    <n v="5"/>
    <n v="101.10408014734367"/>
    <n v="750"/>
    <n v="144.20314998715338"/>
    <m/>
    <s v="PL+D or Presence/Absence"/>
    <s v="Chum is the target species. Missing 3 years of data (1998, 1999 &amp; 2001).  2002 was the last time the stream was surveyed."/>
    <n v="160.75"/>
    <n v="636"/>
    <m/>
    <m/>
    <m/>
    <s v="NI"/>
    <s v="NI"/>
    <s v="NI"/>
    <s v="NI"/>
    <s v="NI"/>
    <n v="43"/>
    <m/>
    <n v="30"/>
    <m/>
    <m/>
    <n v="300"/>
    <n v="270"/>
    <s v="AP"/>
    <s v="NI"/>
    <s v="NI"/>
    <s v="NI"/>
    <s v="NI"/>
    <s v="NI"/>
    <s v="NI"/>
    <s v="NI"/>
    <n v="100"/>
    <n v="100"/>
    <s v="UK"/>
    <s v="NI"/>
    <s v="NO"/>
    <n v="100"/>
    <s v="UK"/>
    <s v="NI"/>
    <n v="100"/>
    <n v="100"/>
    <n v="50"/>
    <n v="250"/>
    <n v="550"/>
    <n v="450"/>
    <n v="750"/>
    <s v="NI"/>
    <s v="NI"/>
    <s v="NI"/>
    <s v="NI"/>
    <s v="NI"/>
    <s v="NI"/>
    <s v="NI"/>
    <n v="100"/>
    <s v="NI"/>
    <s v="NI"/>
    <s v="NI"/>
    <s v="NI"/>
    <s v="NI"/>
    <s v="NI"/>
    <s v="NI"/>
    <s v="NI"/>
    <s v="NI"/>
    <s v="NI"/>
    <s v="NI"/>
    <s v="NI"/>
  </r>
  <r>
    <s v="CO-CLAY [18]"/>
    <s v="Clayoquot"/>
    <s v="HESQUIAT HARBOUR #3 CREEKS_Coho"/>
    <x v="0"/>
    <x v="0"/>
    <x v="4"/>
    <x v="87"/>
    <x v="0"/>
    <m/>
    <m/>
    <n v="4"/>
    <n v="5"/>
    <n v="0"/>
    <e v="#NUM!"/>
    <n v="0"/>
    <e v="#NUM!"/>
    <m/>
    <s v="PL+D or Presence/Absence"/>
    <s v="Missing 3 years of data (1998, 1999 &amp; 2001). No coho were observed during the 5 surveys.  2002 was the last time the stream was surveyed."/>
    <m/>
    <n v="3"/>
    <m/>
    <m/>
    <m/>
    <s v="NI"/>
    <s v="NI"/>
    <s v="NI"/>
    <s v="NI"/>
    <s v="NI"/>
    <s v="NO"/>
    <m/>
    <s v="NO"/>
    <m/>
    <m/>
    <s v="NO"/>
    <s v="NO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HESQUIAT HARBOUR #3 CREEKS_Chum"/>
    <x v="0"/>
    <x v="0"/>
    <x v="4"/>
    <x v="87"/>
    <x v="1"/>
    <m/>
    <m/>
    <n v="4"/>
    <n v="5"/>
    <n v="1"/>
    <e v="#NUM!"/>
    <n v="0"/>
    <e v="#NUM!"/>
    <m/>
    <s v="PL+D or Presence/Absence"/>
    <s v="Missing 3 years of data (1998, 1999 &amp; 2001). Chum was only observed once during the five surveys and AP was entered as the estimate. 2002 was the last time the stream was surveyed."/>
    <m/>
    <n v="30"/>
    <m/>
    <m/>
    <m/>
    <s v="NI"/>
    <s v="NI"/>
    <s v="NI"/>
    <s v="NI"/>
    <s v="NI"/>
    <s v="NO"/>
    <m/>
    <s v="AP"/>
    <m/>
    <m/>
    <s v="NO"/>
    <s v="NO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HESQUIAT HARBOUR #4 CREEKS_Coho"/>
    <x v="0"/>
    <x v="0"/>
    <x v="4"/>
    <x v="88"/>
    <x v="0"/>
    <m/>
    <m/>
    <n v="4"/>
    <n v="5"/>
    <n v="1"/>
    <n v="79"/>
    <n v="79"/>
    <n v="79"/>
    <m/>
    <s v="PL+D or Presence/Absence"/>
    <s v="Chum is the target species.  Missing 3 years of data (1998, 1999 &amp; 2001). 1995 was the only year coho was observed - 79 was entered as the estimate.  2002 was the last time the stream was surveyed."/>
    <n v="79"/>
    <n v="2"/>
    <m/>
    <m/>
    <m/>
    <s v="NI"/>
    <s v="NI"/>
    <s v="NI"/>
    <s v="NI"/>
    <s v="NI"/>
    <s v="NO"/>
    <m/>
    <s v="NO"/>
    <m/>
    <m/>
    <s v="NO"/>
    <s v="NO"/>
    <n v="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HESQUIAT HARBOUR #4 CREEKS_Chum"/>
    <x v="0"/>
    <x v="0"/>
    <x v="4"/>
    <x v="88"/>
    <x v="1"/>
    <m/>
    <m/>
    <n v="4"/>
    <n v="5"/>
    <n v="4"/>
    <n v="32.020000771987867"/>
    <n v="219"/>
    <n v="32.020000771987867"/>
    <m/>
    <s v="PL+D or Presence/Absence"/>
    <s v="Chum is the target species.  Missing 3 years of data (1998, 1999 &amp; 2001).  2002 was the last time the stream was surveyed."/>
    <n v="90.25"/>
    <n v="144"/>
    <m/>
    <m/>
    <m/>
    <s v="NI"/>
    <s v="NI"/>
    <s v="NI"/>
    <s v="NI"/>
    <s v="NI"/>
    <n v="2"/>
    <m/>
    <n v="120"/>
    <m/>
    <m/>
    <s v="NO"/>
    <n v="20"/>
    <n v="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HESQUIAT LAKE CREEK_Coho"/>
    <x v="0"/>
    <x v="0"/>
    <x v="4"/>
    <x v="89"/>
    <x v="0"/>
    <m/>
    <m/>
    <n v="5"/>
    <n v="6"/>
    <n v="1"/>
    <n v="140"/>
    <n v="3500"/>
    <n v="495.1217661549714"/>
    <m/>
    <s v="PL+D or Presence/Absence"/>
    <s v="Chum is the target species.  Missing 2 years of data (1998 &amp; 1999). 2001 was the only year an estimate was made, the other 3 years coho was observed - Adults Present was entered as the estimate. Last survey was in 20002."/>
    <n v="140"/>
    <n v="300"/>
    <m/>
    <m/>
    <m/>
    <s v="NI"/>
    <s v="NI"/>
    <s v="NI"/>
    <s v="NI"/>
    <s v="NI"/>
    <s v="NO"/>
    <n v="140"/>
    <s v="AP"/>
    <m/>
    <m/>
    <s v="NO"/>
    <s v="AP"/>
    <s v="AP"/>
    <s v="UK"/>
    <s v="NI"/>
    <s v="NI"/>
    <s v="NI"/>
    <s v="NI"/>
    <s v="UK"/>
    <s v="UK"/>
    <s v="UK"/>
    <n v="400"/>
    <s v="UK"/>
    <s v="UK"/>
    <s v="NI"/>
    <s v="UK"/>
    <s v="NO"/>
    <s v="NO"/>
    <n v="50"/>
    <n v="50"/>
    <s v="UK"/>
    <s v="NI"/>
    <n v="25"/>
    <n v="200"/>
    <n v="400"/>
    <n v="400"/>
    <n v="400"/>
    <n v="750"/>
    <n v="400"/>
    <n v="750"/>
    <n v="200"/>
    <n v="400"/>
    <n v="500"/>
    <n v="1000"/>
    <n v="100"/>
    <n v="3500"/>
    <n v="3500"/>
    <n v="400"/>
    <n v="1500"/>
    <n v="3500"/>
    <n v="3500"/>
    <n v="3500"/>
    <n v="1500"/>
    <n v="400"/>
    <n v="750"/>
  </r>
  <r>
    <s v="CM-SWVI [10]"/>
    <s v="Southwest Vancouver Island"/>
    <s v="HESQUIAT LAKE CREEK_Chum"/>
    <x v="0"/>
    <x v="0"/>
    <x v="4"/>
    <x v="89"/>
    <x v="1"/>
    <m/>
    <m/>
    <n v="5"/>
    <n v="6"/>
    <n v="5"/>
    <n v="735.8140837284202"/>
    <n v="7500"/>
    <n v="747.54992025270951"/>
    <m/>
    <s v="PL+D or Presence/Absence"/>
    <s v="Chum is the target species.  Missing 2 years of data (1998 &amp; 1999).  Our records indicate that 2002 was the last time the stream was surveyed."/>
    <n v="1173.5999999999999"/>
    <n v="2641"/>
    <m/>
    <m/>
    <m/>
    <s v="NI"/>
    <s v="NI"/>
    <s v="NI"/>
    <s v="NI"/>
    <s v="NI"/>
    <n v="74"/>
    <n v="694"/>
    <n v="1000"/>
    <m/>
    <m/>
    <s v="NO"/>
    <n v="2100"/>
    <n v="2000"/>
    <s v="UK"/>
    <s v="NI"/>
    <s v="NI"/>
    <s v="NI"/>
    <s v="NI"/>
    <n v="200"/>
    <n v="500"/>
    <n v="350"/>
    <n v="1000"/>
    <n v="700"/>
    <n v="800"/>
    <s v="NI"/>
    <n v="1400"/>
    <n v="1250"/>
    <n v="1500"/>
    <n v="300"/>
    <n v="3000"/>
    <n v="2000"/>
    <s v="NI"/>
    <n v="1000"/>
    <n v="1500"/>
    <n v="25"/>
    <n v="200"/>
    <n v="75"/>
    <n v="75"/>
    <n v="200"/>
    <n v="3500"/>
    <n v="400"/>
    <n v="75"/>
    <n v="500"/>
    <n v="1000"/>
    <n v="100"/>
    <n v="1500"/>
    <n v="750"/>
    <n v="1500"/>
    <n v="3500"/>
    <n v="3500"/>
    <n v="3500"/>
    <n v="3500"/>
    <n v="1500"/>
    <n v="7500"/>
    <n v="3500"/>
  </r>
  <r>
    <s v="CO-CLAY [18]"/>
    <s v="Clayoquot"/>
    <s v="HESQUIAT POINT CREEK_Coho"/>
    <x v="0"/>
    <x v="0"/>
    <x v="4"/>
    <x v="90"/>
    <x v="0"/>
    <m/>
    <m/>
    <n v="5"/>
    <n v="1"/>
    <n v="0"/>
    <e v="#NUM!"/>
    <n v="0"/>
    <e v="#NUM!"/>
    <m/>
    <s v="Presence/Absence"/>
    <s v="Missing 4 years data (1996, 1997, 1998 &amp; 1999) . 1995 - None Observed was entered as the escapement estimate."/>
    <m/>
    <n v="7"/>
    <m/>
    <m/>
    <m/>
    <s v="NI"/>
    <s v="NI"/>
    <s v="NI"/>
    <s v="NI"/>
    <s v="NI"/>
    <s v="NI"/>
    <s v="NI"/>
    <s v="NI"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HESQUIAT POINT CREEK_Chum"/>
    <x v="0"/>
    <x v="0"/>
    <x v="4"/>
    <x v="90"/>
    <x v="1"/>
    <m/>
    <m/>
    <n v="5"/>
    <n v="1"/>
    <n v="0"/>
    <e v="#NUM!"/>
    <n v="0"/>
    <e v="#NUM!"/>
    <m/>
    <s v="Presence/Absence"/>
    <s v="Missing 4 years data (1996, 1997, 1998 &amp; 1999) . 1995 - None Observed was entered as the escapement estimate."/>
    <m/>
    <s v="NO"/>
    <m/>
    <m/>
    <m/>
    <s v="NI"/>
    <s v="NI"/>
    <s v="NI"/>
    <s v="NI"/>
    <s v="NI"/>
    <s v="NI"/>
    <s v="NI"/>
    <s v="NI"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HOOTLA KOOTLA CREEK_Coho"/>
    <x v="0"/>
    <x v="0"/>
    <x v="4"/>
    <x v="91"/>
    <x v="0"/>
    <m/>
    <m/>
    <n v="4"/>
    <n v="5"/>
    <n v="3"/>
    <n v="34.341427276599958"/>
    <n v="7500"/>
    <n v="151.98428779279203"/>
    <m/>
    <s v="PL+D or Presence/Absence"/>
    <s v="Missing data for 1999. Last time stream was inspected was in 2001."/>
    <n v="35"/>
    <s v="NI"/>
    <m/>
    <m/>
    <m/>
    <s v="NI"/>
    <s v="NI"/>
    <s v="NI"/>
    <s v="NI"/>
    <s v="NI"/>
    <s v="NI"/>
    <n v="45"/>
    <s v="NI"/>
    <m/>
    <s v="NO"/>
    <s v="NO"/>
    <n v="30"/>
    <n v="30"/>
    <s v="UK"/>
    <s v="UK"/>
    <s v="NI"/>
    <n v="30"/>
    <s v="UK"/>
    <s v="UK"/>
    <s v="NI"/>
    <s v="NI"/>
    <n v="100"/>
    <s v="UK"/>
    <s v="UK"/>
    <s v="UK"/>
    <n v="50"/>
    <n v="200"/>
    <n v="50"/>
    <n v="300"/>
    <n v="50"/>
    <n v="250"/>
    <n v="20"/>
    <n v="250"/>
    <n v="500"/>
    <s v="UK"/>
    <n v="400"/>
    <n v="750"/>
    <n v="750"/>
    <n v="7500"/>
    <n v="450"/>
    <s v="NI"/>
    <s v="NI"/>
    <n v="100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HOOTLA KOOTLA CREEK_Chum"/>
    <x v="0"/>
    <x v="0"/>
    <x v="4"/>
    <x v="91"/>
    <x v="1"/>
    <m/>
    <m/>
    <n v="4"/>
    <n v="5"/>
    <n v="3"/>
    <n v="135.72088082974534"/>
    <n v="500"/>
    <n v="78.793038334225287"/>
    <m/>
    <s v="PL+D or Presence/Absence"/>
    <s v="Missing data for 1999. Last time stream was inspected was in 2001."/>
    <n v="166.66666666666666"/>
    <s v="NI"/>
    <m/>
    <m/>
    <m/>
    <s v="NI"/>
    <s v="NI"/>
    <s v="NI"/>
    <s v="NI"/>
    <s v="NI"/>
    <s v="NI"/>
    <n v="200"/>
    <s v="NI"/>
    <m/>
    <s v="NO"/>
    <s v="NO"/>
    <n v="250"/>
    <n v="50"/>
    <s v="NO"/>
    <n v="40"/>
    <s v="NI"/>
    <n v="25"/>
    <s v="UK"/>
    <s v="UK"/>
    <s v="NI"/>
    <s v="NI"/>
    <n v="110"/>
    <n v="100"/>
    <s v="NO"/>
    <n v="500"/>
    <s v="UK"/>
    <s v="UK"/>
    <s v="UK"/>
    <s v="UK"/>
    <s v="UK"/>
    <s v="NO"/>
    <s v="UK"/>
    <s v="NO"/>
    <s v="NO"/>
    <n v="25"/>
    <n v="25"/>
    <n v="75"/>
    <n v="200"/>
    <s v="NO"/>
    <n v="35"/>
    <s v="NI"/>
    <s v="NI"/>
    <s v="UK"/>
    <s v="NI"/>
    <s v="NI"/>
    <s v="NI"/>
    <s v="NI"/>
    <s v="NI"/>
    <s v="NI"/>
    <s v="NI"/>
    <s v="NI"/>
    <s v="NI"/>
    <s v="NI"/>
    <s v="NI"/>
    <s v="NI"/>
  </r>
  <r>
    <s v="CO-CLAY [18]"/>
    <s v="Clayoquot"/>
    <s v="HOT SPRINGS COVE CREEK_Coho"/>
    <x v="0"/>
    <x v="0"/>
    <x v="4"/>
    <x v="92"/>
    <x v="0"/>
    <m/>
    <m/>
    <n v="5"/>
    <n v="2"/>
    <n v="146"/>
    <n v="107.08874824182044"/>
    <n v="400"/>
    <n v="49.025799539324659"/>
    <m/>
    <s v="PL+D or Presence/Absence"/>
    <s v="Chum is the target species. Missing 3 years of data (1995, 1998 &amp; 1999).  Last time stream was inspected was in 2002."/>
    <n v="145.5"/>
    <s v="NO"/>
    <m/>
    <m/>
    <m/>
    <s v="NI"/>
    <s v="NI"/>
    <s v="NI"/>
    <s v="NI"/>
    <s v="NI"/>
    <n v="47"/>
    <n v="244"/>
    <s v="NO"/>
    <m/>
    <m/>
    <s v="NO"/>
    <s v="NO"/>
    <m/>
    <s v="NO"/>
    <s v="NI"/>
    <s v="NI"/>
    <s v="NI"/>
    <s v="NI"/>
    <s v="NI"/>
    <s v="NI"/>
    <s v="UK"/>
    <s v="UK"/>
    <s v="NO"/>
    <s v="NO"/>
    <s v="UK"/>
    <s v="UK"/>
    <s v="UK"/>
    <s v="UK"/>
    <s v="UK"/>
    <s v="UK"/>
    <s v="UK"/>
    <s v="UK"/>
    <s v="UK"/>
    <s v="UK"/>
    <s v="UK"/>
    <s v="UK"/>
    <s v="NO"/>
    <s v="NO"/>
    <n v="25"/>
    <n v="10"/>
    <n v="25"/>
    <n v="25"/>
    <n v="50"/>
    <n v="100"/>
    <n v="50"/>
    <n v="25"/>
    <n v="75"/>
    <n v="25"/>
    <n v="25"/>
    <n v="200"/>
    <n v="200"/>
    <n v="400"/>
    <n v="25"/>
    <n v="25"/>
    <n v="25"/>
  </r>
  <r>
    <s v="CM-SWVI [10]"/>
    <s v="Southwest Vancouver Island"/>
    <s v="HOT SPRINGS COVE CREEK_Chum"/>
    <x v="0"/>
    <x v="0"/>
    <x v="4"/>
    <x v="92"/>
    <x v="1"/>
    <m/>
    <m/>
    <n v="5"/>
    <n v="4"/>
    <n v="1372"/>
    <n v="1337.4408398131111"/>
    <n v="3500"/>
    <n v="437.20091511321448"/>
    <m/>
    <s v="PL+D or Presence/Absence"/>
    <s v="Chum is the target species. Missing 3 years of data (1995, 1998 &amp; 1999).  Last time stream was inspected was in 2002. 2 of the estimates are Adults present."/>
    <n v="1372"/>
    <n v="1210"/>
    <m/>
    <m/>
    <s v="NO"/>
    <s v="NI"/>
    <s v="NI"/>
    <s v="NI"/>
    <s v="NI"/>
    <s v="NI"/>
    <n v="1678"/>
    <n v="1066"/>
    <s v="AP"/>
    <m/>
    <m/>
    <s v="AP"/>
    <s v="NO"/>
    <m/>
    <s v="NO"/>
    <s v="NI"/>
    <s v="NI"/>
    <s v="NI"/>
    <s v="NI"/>
    <s v="NI"/>
    <s v="NI"/>
    <n v="200"/>
    <n v="50"/>
    <n v="100"/>
    <n v="70"/>
    <n v="150"/>
    <n v="350"/>
    <n v="82"/>
    <n v="2000"/>
    <n v="175"/>
    <n v="600"/>
    <n v="400"/>
    <n v="500"/>
    <n v="500"/>
    <n v="600"/>
    <n v="1500"/>
    <n v="1500"/>
    <n v="3500"/>
    <n v="3500"/>
    <n v="3500"/>
    <n v="2000"/>
    <n v="200"/>
    <n v="400"/>
    <n v="150"/>
    <n v="300"/>
    <n v="100"/>
    <n v="200"/>
    <n v="200"/>
    <n v="200"/>
    <n v="400"/>
    <n v="400"/>
    <n v="400"/>
    <n v="400"/>
    <n v="200"/>
    <n v="3500"/>
    <n v="750"/>
  </r>
  <r>
    <s v="SK-WVI [R10]"/>
    <s v="West Vancouver Island"/>
    <s v="ICE RIVER_Sockeye"/>
    <x v="0"/>
    <x v="0"/>
    <x v="4"/>
    <x v="93"/>
    <x v="3"/>
    <m/>
    <m/>
    <n v="4"/>
    <n v="7"/>
    <n v="3"/>
    <n v="44.721359549995796"/>
    <n v="50"/>
    <n v="15.518455739153596"/>
    <m/>
    <s v="PL+D or Presence/Absence"/>
    <s v="Missing data for 1999.  Last time stream was inspected was in 2002. Adult present entered as the estimate in 2001."/>
    <n v="45"/>
    <s v="NI"/>
    <n v="1"/>
    <s v="AP"/>
    <s v="NO"/>
    <s v="NI"/>
    <s v="NI"/>
    <s v="NI"/>
    <s v="NI"/>
    <s v="NI"/>
    <s v="NO"/>
    <s v="AP"/>
    <s v="NO"/>
    <m/>
    <s v="NO"/>
    <s v="NO"/>
    <n v="40"/>
    <n v="50"/>
    <s v="UK"/>
    <n v="6"/>
    <s v="UK"/>
    <n v="5"/>
    <s v="UK"/>
    <s v="UK"/>
    <s v="UK"/>
    <s v="UK"/>
    <s v="UK"/>
    <n v="15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ICE RIVER_Coho"/>
    <x v="0"/>
    <x v="0"/>
    <x v="4"/>
    <x v="93"/>
    <x v="0"/>
    <m/>
    <m/>
    <n v="4"/>
    <n v="7"/>
    <n v="4"/>
    <n v="71.090852983330223"/>
    <n v="750"/>
    <n v="87.080786702837727"/>
    <m/>
    <s v="PL+D or Presence/Absence"/>
    <s v="Missing data for 1999.  Last time stream was inspected was in 2002. Adult present entered as the estimate in 1998."/>
    <n v="108.33333333333333"/>
    <s v="NI"/>
    <n v="43"/>
    <n v="64"/>
    <n v="86"/>
    <s v="NI"/>
    <s v="NI"/>
    <s v="NI"/>
    <s v="NI"/>
    <s v="NI"/>
    <s v="NO"/>
    <n v="15"/>
    <s v="NO"/>
    <m/>
    <s v="AP"/>
    <s v="NO"/>
    <n v="220"/>
    <n v="90"/>
    <s v="NO"/>
    <n v="60"/>
    <n v="20"/>
    <n v="20"/>
    <s v="UK"/>
    <n v="50"/>
    <n v="50"/>
    <s v="NO"/>
    <n v="40"/>
    <s v="UK"/>
    <s v="NO"/>
    <s v="UK"/>
    <s v="UK"/>
    <s v="UK"/>
    <s v="UK"/>
    <s v="NO"/>
    <n v="10"/>
    <s v="NO"/>
    <s v="NO"/>
    <s v="NO"/>
    <s v="NO"/>
    <s v="NO"/>
    <s v="UK"/>
    <s v="NO"/>
    <n v="25"/>
    <n v="25"/>
    <n v="35"/>
    <n v="25"/>
    <n v="25"/>
    <n v="50"/>
    <n v="50"/>
    <n v="50"/>
    <n v="400"/>
    <n v="400"/>
    <n v="200"/>
    <n v="200"/>
    <n v="400"/>
    <n v="750"/>
    <n v="750"/>
    <n v="750"/>
    <n v="400"/>
    <n v="400"/>
  </r>
  <r>
    <s v="CM-SWVI [10]"/>
    <s v="Southwest Vancouver Island"/>
    <s v="ICE RIVER_Chum"/>
    <x v="0"/>
    <x v="0"/>
    <x v="4"/>
    <x v="93"/>
    <x v="1"/>
    <m/>
    <m/>
    <n v="4"/>
    <n v="7"/>
    <n v="7"/>
    <n v="641.58775772295917"/>
    <n v="4924"/>
    <n v="592.41451656716163"/>
    <m/>
    <s v="PL+D or Presence/Absence"/>
    <s v="Missing data for 1999.  Last time stream was inspected was in 2002. Adult present entered as the estimate in 1998."/>
    <n v="1618.3333333333333"/>
    <s v="NI"/>
    <n v="149"/>
    <n v="62"/>
    <n v="140"/>
    <s v="NI"/>
    <s v="NI"/>
    <s v="NI"/>
    <s v="NI"/>
    <s v="NI"/>
    <n v="4924"/>
    <n v="1400"/>
    <n v="36"/>
    <m/>
    <s v="AP"/>
    <n v="1400"/>
    <n v="1150"/>
    <n v="800"/>
    <n v="2000"/>
    <n v="400"/>
    <n v="350"/>
    <n v="80"/>
    <n v="500"/>
    <n v="90"/>
    <n v="150"/>
    <n v="150"/>
    <n v="600"/>
    <n v="1200"/>
    <n v="750"/>
    <n v="600"/>
    <n v="1100"/>
    <n v="400"/>
    <n v="650"/>
    <n v="250"/>
    <n v="2000"/>
    <n v="750"/>
    <s v="NO"/>
    <n v="400"/>
    <n v="1200"/>
    <n v="750"/>
    <n v="200"/>
    <n v="400"/>
    <n v="750"/>
    <n v="1500"/>
    <n v="3500"/>
    <n v="400"/>
    <n v="400"/>
    <n v="600"/>
    <n v="800"/>
    <n v="800"/>
    <n v="1500"/>
    <n v="750"/>
    <n v="3500"/>
    <n v="1500"/>
    <n v="3500"/>
    <n v="750"/>
    <n v="200"/>
    <n v="200"/>
    <n v="400"/>
    <n v="200"/>
  </r>
  <r>
    <s v="CK-SWVI [31]"/>
    <s v="Southwest Vancouver Island"/>
    <s v="ICE RIVER_Chinook"/>
    <x v="0"/>
    <x v="0"/>
    <x v="4"/>
    <x v="93"/>
    <x v="2"/>
    <m/>
    <m/>
    <n v="4"/>
    <n v="7"/>
    <n v="4"/>
    <n v="27.144176165949062"/>
    <n v="400"/>
    <n v="47.330635765484004"/>
    <m/>
    <s v="PL+D or Presence/Absence"/>
    <s v="Missing data for 1999.  Last time stream was inspected was in 2002. Adult present entered as the estimate in 1998."/>
    <n v="28.333333333333332"/>
    <s v="NI"/>
    <n v="3"/>
    <n v="11"/>
    <s v="NO"/>
    <s v="NI"/>
    <s v="NI"/>
    <s v="NI"/>
    <s v="NI"/>
    <s v="NI"/>
    <s v="NO"/>
    <n v="20"/>
    <s v="NO"/>
    <m/>
    <s v="AP"/>
    <s v="NO"/>
    <n v="25"/>
    <n v="40"/>
    <s v="UK"/>
    <s v="UK"/>
    <s v="UK"/>
    <n v="5"/>
    <s v="UK"/>
    <s v="UK"/>
    <s v="UK"/>
    <s v="UK"/>
    <s v="UK"/>
    <s v="UK"/>
    <s v="NO"/>
    <s v="NO"/>
    <s v="NO"/>
    <s v="UK"/>
    <s v="UK"/>
    <s v="NO"/>
    <n v="6"/>
    <s v="UK"/>
    <s v="UK"/>
    <s v="NO"/>
    <s v="NO"/>
    <s v="NO"/>
    <n v="25"/>
    <n v="25"/>
    <n v="25"/>
    <n v="25"/>
    <s v="NO"/>
    <n v="25"/>
    <s v="UK"/>
    <n v="10"/>
    <n v="10"/>
    <n v="20"/>
    <n v="75"/>
    <n v="75"/>
    <n v="200"/>
    <n v="400"/>
    <n v="200"/>
    <n v="200"/>
    <n v="200"/>
    <n v="200"/>
    <n v="200"/>
    <n v="200"/>
  </r>
  <r>
    <s v="SK-L-13-16"/>
    <s v="Kennedy"/>
    <s v="KENNEDY LAKE BEACHES_Sockeye"/>
    <x v="0"/>
    <x v="0"/>
    <x v="4"/>
    <x v="94"/>
    <x v="3"/>
    <m/>
    <m/>
    <n v="4"/>
    <n v="6"/>
    <n v="6"/>
    <n v="2801.9103843836942"/>
    <n v="35000"/>
    <n v="2999.636847164847"/>
    <m/>
    <s v="PL+D or Presence/Absence"/>
    <s v="Sockeye is the target Species. Missing estimates for 3 years. Includes CLAYOQUOT ARM BEACHES"/>
    <n v="5982.5"/>
    <n v="4167"/>
    <n v="18167"/>
    <n v="115"/>
    <m/>
    <s v="NI"/>
    <s v="NI"/>
    <n v="183"/>
    <s v="NI"/>
    <s v="NI"/>
    <n v="6455"/>
    <n v="4254"/>
    <n v="16500"/>
    <n v="753"/>
    <m/>
    <m/>
    <n v="7750"/>
    <m/>
    <s v="UK"/>
    <n v="20000"/>
    <n v="10000"/>
    <n v="4200"/>
    <n v="5100"/>
    <n v="4000"/>
    <n v="6650"/>
    <s v="NI"/>
    <n v="2400"/>
    <n v="3500"/>
    <n v="3000"/>
    <n v="5000"/>
    <n v="6000"/>
    <n v="2220"/>
    <n v="3120"/>
    <n v="1450"/>
    <n v="2000"/>
    <n v="5000"/>
    <n v="5800"/>
    <n v="1100"/>
    <n v="3575"/>
    <n v="6400"/>
    <n v="750"/>
    <n v="200"/>
    <n v="400"/>
    <n v="3500"/>
    <n v="3800"/>
    <n v="1500"/>
    <n v="400"/>
    <n v="800"/>
    <n v="7000"/>
    <n v="100"/>
    <n v="7500"/>
    <n v="7500"/>
    <n v="7500"/>
    <n v="15000"/>
    <n v="35000"/>
    <s v="NI"/>
    <s v="NI"/>
    <s v="NI"/>
    <s v="NI"/>
    <s v="NI"/>
  </r>
  <r>
    <s v="CO-CLAY [18]"/>
    <s v="Clayoquot"/>
    <s v="KENNEDY LAKE BEACHES_Coho"/>
    <x v="0"/>
    <x v="0"/>
    <x v="4"/>
    <x v="94"/>
    <x v="0"/>
    <m/>
    <m/>
    <n v="4"/>
    <n v="5"/>
    <n v="5"/>
    <n v="13.915788418568702"/>
    <n v="3500"/>
    <n v="76.271993081513244"/>
    <m/>
    <s v="PL+D or Presence/Absence"/>
    <s v="Sockeye is the target Species. Missing estimates for 5 years."/>
    <n v="21.5"/>
    <n v="335"/>
    <n v="73"/>
    <n v="60"/>
    <m/>
    <s v="NI"/>
    <s v="NI"/>
    <s v="NI"/>
    <m/>
    <m/>
    <n v="50"/>
    <n v="5"/>
    <s v="AP"/>
    <n v="25"/>
    <m/>
    <m/>
    <n v="6"/>
    <m/>
    <s v="UK"/>
    <s v="UK"/>
    <s v="UK"/>
    <s v="UK"/>
    <s v="UK"/>
    <s v="UK"/>
    <s v="UK"/>
    <s v="NI"/>
    <s v="UK"/>
    <s v="UK"/>
    <s v="NO"/>
    <s v="UK"/>
    <s v="UK"/>
    <s v="UK"/>
    <s v="UK"/>
    <s v="UK"/>
    <s v="UK"/>
    <s v="UK"/>
    <s v="UK"/>
    <s v="UK"/>
    <s v="UK"/>
    <s v="UK"/>
    <s v="UK"/>
    <s v="UK"/>
    <n v="3500"/>
    <n v="1500"/>
    <s v="UK"/>
    <s v="UK"/>
    <s v="UK"/>
    <s v="UK"/>
    <s v="UK"/>
    <s v="UK"/>
    <s v="UK"/>
    <s v="UK"/>
    <s v="UK"/>
    <s v="UK"/>
    <s v="UK"/>
    <s v="NI"/>
    <s v="NI"/>
    <s v="NI"/>
    <s v="NI"/>
    <s v="NI"/>
  </r>
  <r>
    <s v="CM-SWVI [10]"/>
    <s v="Southwest Vancouver Island"/>
    <s v="KENNEDY LAKE BEACHES_Chum"/>
    <x v="0"/>
    <x v="0"/>
    <x v="4"/>
    <x v="94"/>
    <x v="1"/>
    <m/>
    <m/>
    <n v="4"/>
    <n v="5"/>
    <n v="1"/>
    <n v="4"/>
    <n v="4"/>
    <n v="4"/>
    <m/>
    <s v="PL+D or Presence/Absence"/>
    <s v="Sockeye is the target Species. Missing estimates for 5 years."/>
    <n v="4"/>
    <n v="4240"/>
    <m/>
    <m/>
    <m/>
    <s v="NI"/>
    <s v="NI"/>
    <s v="NI"/>
    <s v="NO"/>
    <s v="NO"/>
    <s v="NO"/>
    <s v="NO"/>
    <s v="NO"/>
    <s v="NO"/>
    <m/>
    <m/>
    <n v="4"/>
    <m/>
    <s v="UK"/>
    <s v="UK"/>
    <s v="UK"/>
    <s v="UK"/>
    <s v="UK"/>
    <s v="UK"/>
    <s v="UK"/>
    <s v="NI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NI"/>
    <s v="NI"/>
    <s v="NI"/>
    <s v="NI"/>
    <s v="NI"/>
  </r>
  <r>
    <e v="#N/A"/>
    <e v="#N/A"/>
    <s v="KENNEDY LAKE FEEDER STREAMS_Sockeye"/>
    <x v="0"/>
    <x v="0"/>
    <x v="4"/>
    <x v="95"/>
    <x v="3"/>
    <m/>
    <m/>
    <n v="4"/>
    <n v="2"/>
    <n v="0"/>
    <e v="#NUM!"/>
    <n v="1500"/>
    <n v="1024.6950765959598"/>
    <m/>
    <s v="PL+D or Presence/Absence"/>
    <s v="Only have estimates for 2 years, coho was the only species observed."/>
    <m/>
    <s v="NI"/>
    <m/>
    <m/>
    <m/>
    <s v="NI"/>
    <s v="NI"/>
    <s v="NI"/>
    <m/>
    <m/>
    <s v="NO"/>
    <m/>
    <m/>
    <s v="NO"/>
    <m/>
    <m/>
    <m/>
    <m/>
    <s v="UK"/>
    <s v="NI"/>
    <s v="NI"/>
    <s v="NI"/>
    <s v="UK"/>
    <s v="UK"/>
    <s v="NI"/>
    <n v="700"/>
    <s v="UK"/>
    <s v="UK"/>
    <s v="NO"/>
    <s v="UK"/>
    <s v="NI"/>
    <s v="UK"/>
    <s v="UK"/>
    <s v="UK"/>
    <n v="1500"/>
    <s v="UK"/>
    <s v="UK"/>
    <s v="UK"/>
    <s v="UK"/>
    <s v="UK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CLAY [18]"/>
    <s v="Clayoquot"/>
    <s v="KENNEDY LAKE FEEDER STREAMS_Coho"/>
    <x v="0"/>
    <x v="0"/>
    <x v="4"/>
    <x v="95"/>
    <x v="0"/>
    <m/>
    <m/>
    <n v="4"/>
    <n v="2"/>
    <n v="2"/>
    <n v="27.055498516937366"/>
    <n v="1500"/>
    <n v="445.25700372070435"/>
    <m/>
    <s v="PL+D or Presence/Absence"/>
    <s v="Only have estimates for 2 years, coho was the only species observed."/>
    <n v="36.5"/>
    <s v="NI"/>
    <m/>
    <m/>
    <m/>
    <s v="NI"/>
    <s v="NI"/>
    <s v="NI"/>
    <m/>
    <m/>
    <n v="12"/>
    <m/>
    <m/>
    <n v="61"/>
    <m/>
    <m/>
    <m/>
    <m/>
    <s v="UK"/>
    <s v="NI"/>
    <s v="NI"/>
    <s v="NI"/>
    <s v="UK"/>
    <n v="100"/>
    <s v="NI"/>
    <s v="UK"/>
    <n v="100"/>
    <n v="250"/>
    <s v="UK"/>
    <s v="UK"/>
    <s v="NI"/>
    <s v="UK"/>
    <n v="700"/>
    <n v="1500"/>
    <n v="1500"/>
    <n v="1500"/>
    <s v="UK"/>
    <n v="1000"/>
    <n v="1500"/>
    <n v="1500"/>
    <n v="825"/>
    <n v="15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KENNEDY LAKE FEEDER STREAMS_Chum"/>
    <x v="0"/>
    <x v="0"/>
    <x v="4"/>
    <x v="95"/>
    <x v="1"/>
    <m/>
    <m/>
    <n v="4"/>
    <n v="2"/>
    <n v="0"/>
    <e v="#NUM!"/>
    <n v="0"/>
    <e v="#NUM!"/>
    <m/>
    <s v="PL+D or Presence/Absence"/>
    <s v="Only have estimates for 2 years, coho was the only species observed."/>
    <m/>
    <s v="NI"/>
    <m/>
    <m/>
    <m/>
    <s v="NI"/>
    <s v="NI"/>
    <s v="NI"/>
    <s v="NO"/>
    <s v="NO"/>
    <s v="NO"/>
    <m/>
    <m/>
    <s v="NO"/>
    <m/>
    <m/>
    <m/>
    <m/>
    <s v="UK"/>
    <s v="NI"/>
    <s v="NI"/>
    <s v="NI"/>
    <s v="UK"/>
    <s v="UK"/>
    <s v="NI"/>
    <s v="UK"/>
    <s v="UK"/>
    <s v="UK"/>
    <s v="NO"/>
    <s v="UK"/>
    <s v="NI"/>
    <s v="UK"/>
    <s v="UK"/>
    <s v="UK"/>
    <s v="UK"/>
    <s v="UK"/>
    <s v="UK"/>
    <s v="UK"/>
    <s v="UK"/>
    <s v="UK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L-13-16"/>
    <s v="Kennedy"/>
    <s v="KENNEDY RIVER (LOWER)_Sockeye"/>
    <x v="0"/>
    <x v="0"/>
    <x v="4"/>
    <x v="96"/>
    <x v="3"/>
    <m/>
    <m/>
    <n v="3"/>
    <n v="3"/>
    <n v="1"/>
    <n v="609"/>
    <n v="3500"/>
    <n v="1459.9657530229947"/>
    <m/>
    <s v="PL+D or Presence/Absence"/>
    <s v="Missing 1996, 1998 &amp; 2001 escapement data"/>
    <n v="609"/>
    <s v="NI"/>
    <m/>
    <m/>
    <m/>
    <s v="NI"/>
    <s v="NI"/>
    <s v="NI"/>
    <s v="NI"/>
    <s v="NI"/>
    <s v="NI"/>
    <m/>
    <s v="NO"/>
    <s v="NI"/>
    <m/>
    <s v="NO"/>
    <m/>
    <n v="609"/>
    <s v="UK"/>
    <s v="NI"/>
    <s v="NI"/>
    <s v="NI"/>
    <s v="UK"/>
    <s v="UK"/>
    <s v="UK"/>
    <s v="UK"/>
    <s v="UK"/>
    <n v="3500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KENNEDY RIVER (LOWER)_Coho"/>
    <x v="0"/>
    <x v="0"/>
    <x v="4"/>
    <x v="96"/>
    <x v="0"/>
    <m/>
    <m/>
    <n v="3"/>
    <n v="3"/>
    <n v="1"/>
    <n v="2760"/>
    <n v="2760"/>
    <n v="410.15659297023473"/>
    <m/>
    <s v="PL+D or Presence/Absence"/>
    <s v="Missing 1996, 1998 &amp; 2001 escapement data"/>
    <n v="2760"/>
    <s v="NI"/>
    <m/>
    <m/>
    <m/>
    <s v="NI"/>
    <s v="NI"/>
    <s v="NI"/>
    <s v="NI"/>
    <s v="NI"/>
    <s v="NI"/>
    <m/>
    <s v="NO"/>
    <s v="NI"/>
    <m/>
    <s v="NO"/>
    <m/>
    <n v="2760"/>
    <s v="UK"/>
    <s v="NI"/>
    <s v="NI"/>
    <s v="NI"/>
    <s v="UK"/>
    <s v="UK"/>
    <s v="UK"/>
    <s v="UK"/>
    <s v="UK"/>
    <s v="UK"/>
    <s v="NO"/>
    <s v="UK"/>
    <s v="UK"/>
    <s v="UK"/>
    <s v="UK"/>
    <n v="250"/>
    <s v="UK"/>
    <n v="100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M-SWVI [10]"/>
    <s v="Southwest Vancouver Island"/>
    <s v="KENNEDY RIVER (LOWER)_Chum"/>
    <x v="0"/>
    <x v="0"/>
    <x v="4"/>
    <x v="96"/>
    <x v="1"/>
    <m/>
    <m/>
    <n v="3"/>
    <n v="3"/>
    <n v="1"/>
    <n v="11"/>
    <n v="1500"/>
    <n v="236.21376779186372"/>
    <m/>
    <s v="PL+D or Presence/Absence"/>
    <s v="Missing 1996, 1998 &amp; 2001 escapement data"/>
    <n v="11"/>
    <s v="NI"/>
    <m/>
    <m/>
    <m/>
    <s v="NI"/>
    <s v="NI"/>
    <s v="NI"/>
    <s v="NI"/>
    <s v="NI"/>
    <s v="NI"/>
    <m/>
    <s v="NO"/>
    <s v="NI"/>
    <m/>
    <s v="NO"/>
    <m/>
    <n v="11"/>
    <s v="UK"/>
    <s v="NI"/>
    <s v="NI"/>
    <s v="NI"/>
    <s v="UK"/>
    <s v="UK"/>
    <s v="UK"/>
    <s v="UK"/>
    <s v="UK"/>
    <s v="UK"/>
    <s v="NO"/>
    <s v="NO"/>
    <s v="UK"/>
    <s v="UK"/>
    <s v="UK"/>
    <s v="UK"/>
    <s v="UK"/>
    <s v="UK"/>
    <s v="UK"/>
    <s v="UK"/>
    <s v="UK"/>
    <s v="UK"/>
    <s v="UK"/>
    <s v="UK"/>
    <s v="UK"/>
    <s v="UK"/>
    <s v="UK"/>
    <s v="NO"/>
    <s v="NO"/>
    <n v="50"/>
    <n v="300"/>
    <s v="UK"/>
    <n v="200"/>
    <n v="200"/>
    <n v="200"/>
    <n v="750"/>
    <n v="750"/>
    <n v="400"/>
    <n v="200"/>
    <n v="200"/>
    <n v="1500"/>
    <n v="400"/>
  </r>
  <r>
    <s v="CK-SWVI [31]"/>
    <s v="Southwest Vancouver Island"/>
    <s v="KENNEDY RIVER (LOWER)_Chinook"/>
    <x v="0"/>
    <x v="0"/>
    <x v="4"/>
    <x v="96"/>
    <x v="2"/>
    <m/>
    <m/>
    <n v="3"/>
    <n v="3"/>
    <n v="3"/>
    <n v="243.288079822936"/>
    <n v="1500"/>
    <n v="325.55985606901703"/>
    <m/>
    <s v="PL+D or Presence/Absence"/>
    <s v="Missing 1996, 1998 &amp; 2001 escapement data"/>
    <n v="513.33333333333337"/>
    <s v="NI"/>
    <m/>
    <m/>
    <m/>
    <m/>
    <s v="NI"/>
    <s v="NI"/>
    <s v="NI"/>
    <s v="NI"/>
    <s v="NI"/>
    <m/>
    <n v="300"/>
    <s v="NI"/>
    <m/>
    <n v="1200"/>
    <m/>
    <n v="40"/>
    <s v="UK"/>
    <s v="NI"/>
    <s v="NI"/>
    <s v="NI"/>
    <n v="146"/>
    <n v="300"/>
    <n v="300"/>
    <n v="200"/>
    <n v="150"/>
    <n v="100"/>
    <n v="300"/>
    <s v="NO"/>
    <n v="400"/>
    <s v="UK"/>
    <n v="100"/>
    <n v="250"/>
    <n v="75"/>
    <n v="100"/>
    <n v="200"/>
    <n v="500"/>
    <n v="75"/>
    <n v="75"/>
    <n v="200"/>
    <n v="200"/>
    <n v="400"/>
    <n v="750"/>
    <n v="750"/>
    <n v="750"/>
    <n v="400"/>
    <n v="450"/>
    <n v="500"/>
    <n v="50"/>
    <n v="750"/>
    <n v="750"/>
    <n v="750"/>
    <n v="1500"/>
    <n v="750"/>
    <n v="1500"/>
    <n v="1500"/>
    <n v="750"/>
    <n v="750"/>
    <n v="750"/>
  </r>
  <r>
    <s v="SK-L-13-16"/>
    <s v="Kennedy"/>
    <s v="KENNEDY RIVER (UPPER)_Sockeye"/>
    <x v="0"/>
    <x v="0"/>
    <x v="4"/>
    <x v="97"/>
    <x v="3"/>
    <m/>
    <m/>
    <n v="3"/>
    <n v="8"/>
    <n v="8"/>
    <n v="6028.9671510806847"/>
    <n v="37756"/>
    <n v="2122.7713365446393"/>
    <s v="D.  Other systems surveyed extensively since 1995.  Not included with group (C) or (B) due to irregular surveys (ie not every year) or due to extremely low total adult escapement"/>
    <s v="AUC"/>
    <s v="Missing 1995, 1997 &amp; 1998 escapement data"/>
    <n v="10624.375"/>
    <n v="9784"/>
    <n v="12580"/>
    <n v="4700"/>
    <n v="7730"/>
    <n v="2370"/>
    <n v="5165"/>
    <n v="2173"/>
    <n v="14128"/>
    <n v="8948"/>
    <n v="2847"/>
    <n v="7054"/>
    <n v="37756"/>
    <n v="1906"/>
    <m/>
    <m/>
    <n v="10183"/>
    <m/>
    <s v="UK"/>
    <n v="3000"/>
    <n v="9000"/>
    <n v="4829"/>
    <n v="1500"/>
    <n v="3000"/>
    <n v="4000"/>
    <n v="2200"/>
    <n v="800"/>
    <n v="1350"/>
    <n v="200"/>
    <s v="UK"/>
    <n v="3500"/>
    <n v="1000"/>
    <n v="850"/>
    <n v="200"/>
    <n v="600"/>
    <n v="1400"/>
    <n v="2300"/>
    <n v="1500"/>
    <n v="1400"/>
    <n v="3500"/>
    <n v="1500"/>
    <n v="750"/>
    <n v="750"/>
    <n v="400"/>
    <n v="7500"/>
    <n v="200"/>
    <n v="75"/>
    <n v="1500"/>
    <n v="1500"/>
    <n v="200"/>
    <n v="1500"/>
    <n v="500"/>
    <n v="3500"/>
    <n v="3500"/>
    <n v="3500"/>
    <n v="7500"/>
    <n v="7500"/>
    <n v="7500"/>
    <n v="7500"/>
    <n v="7500"/>
  </r>
  <r>
    <s v="CO-CLAY [18]"/>
    <s v="Clayoquot"/>
    <s v="KENNEDY RIVER (UPPER)_Coho"/>
    <x v="0"/>
    <x v="0"/>
    <x v="4"/>
    <x v="97"/>
    <x v="0"/>
    <m/>
    <m/>
    <n v="3"/>
    <n v="8"/>
    <n v="8"/>
    <n v="1291.4955281542289"/>
    <n v="3500"/>
    <n v="764.02196304372853"/>
    <s v="D.  Other systems surveyed extensively since 1995.  Not included with group (C) or (B) due to irregular surveys (ie not every year) or due to extremely low total adult escapement"/>
    <s v="AUC"/>
    <s v="Missing 1995, 1997 &amp; 1998 escapement data"/>
    <n v="1725"/>
    <n v="1672"/>
    <n v="2245"/>
    <n v="2015"/>
    <n v="2033"/>
    <n v="1185"/>
    <n v="274"/>
    <n v="2040"/>
    <n v="1801"/>
    <n v="1873"/>
    <n v="2724"/>
    <n v="1693"/>
    <n v="2114"/>
    <n v="1255"/>
    <m/>
    <m/>
    <n v="300"/>
    <m/>
    <s v="UK"/>
    <n v="250"/>
    <s v="UK"/>
    <n v="1400"/>
    <n v="1500"/>
    <n v="1800"/>
    <n v="1100"/>
    <n v="2500"/>
    <n v="2500"/>
    <n v="1200"/>
    <s v="UK"/>
    <s v="UK"/>
    <s v="UK"/>
    <s v="UK"/>
    <n v="600"/>
    <n v="2000"/>
    <n v="300"/>
    <n v="400"/>
    <n v="150"/>
    <n v="400"/>
    <n v="400"/>
    <n v="400"/>
    <n v="400"/>
    <n v="200"/>
    <n v="750"/>
    <n v="1500"/>
    <n v="300"/>
    <n v="25"/>
    <n v="750"/>
    <n v="300"/>
    <n v="1500"/>
    <n v="500"/>
    <n v="3500"/>
    <n v="400"/>
    <n v="750"/>
    <n v="750"/>
    <s v="UK"/>
    <s v="UK"/>
    <s v="UK"/>
    <s v="UK"/>
    <s v="UK"/>
    <s v="UK"/>
  </r>
  <r>
    <s v="CM-SWVI [10]"/>
    <s v="Southwest Vancouver Island"/>
    <s v="KENNEDY RIVER (UPPER)_Chum"/>
    <x v="0"/>
    <x v="0"/>
    <x v="4"/>
    <x v="97"/>
    <x v="1"/>
    <m/>
    <m/>
    <n v="3"/>
    <n v="8"/>
    <n v="7"/>
    <n v="2.779453841356549"/>
    <n v="22"/>
    <n v="2.779453841356549"/>
    <s v="D.  Other systems surveyed extensively since 1995.  Not included with group (C) or (B) due to irregular surveys (ie not every year) or due to extremely low total adult escapement"/>
    <s v="AUC"/>
    <s v="Missing 1995, 1997 &amp; 1998 escapement data"/>
    <n v="5.5714285714285712"/>
    <n v="1"/>
    <n v="3"/>
    <n v="3"/>
    <n v="1"/>
    <n v="5"/>
    <s v="NO"/>
    <n v="1"/>
    <n v="1"/>
    <n v="5"/>
    <n v="22"/>
    <n v="1"/>
    <n v="3"/>
    <n v="6"/>
    <m/>
    <m/>
    <s v="NO"/>
    <m/>
    <s v="UK"/>
    <s v="UK"/>
    <s v="UK"/>
    <s v="UK"/>
    <s v="UK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K-SWVI [31]"/>
    <s v="Southwest Vancouver Island"/>
    <s v="KENNEDY RIVER (UPPER)_Chinook"/>
    <x v="0"/>
    <x v="0"/>
    <x v="4"/>
    <x v="97"/>
    <x v="2"/>
    <m/>
    <m/>
    <n v="3"/>
    <n v="8"/>
    <n v="7"/>
    <n v="16.336227240591818"/>
    <n v="43"/>
    <n v="12.749371027891797"/>
    <s v="D.  Other systems surveyed extensively since 1995.  Not included with group (C) or (B) due to irregular surveys (ie not every year) or due to extremely low total adult escapement"/>
    <s v="AUC"/>
    <s v="Missing 1995, 1997 &amp; 1998 escapement data"/>
    <n v="28.857142857142858"/>
    <n v="11"/>
    <n v="9"/>
    <n v="16"/>
    <n v="22"/>
    <n v="8"/>
    <n v="1"/>
    <s v="NO"/>
    <n v="13"/>
    <n v="25"/>
    <n v="13"/>
    <n v="43"/>
    <n v="42"/>
    <n v="24"/>
    <m/>
    <m/>
    <n v="42"/>
    <m/>
    <s v="UK"/>
    <n v="20"/>
    <s v="UK"/>
    <n v="6"/>
    <n v="6"/>
    <s v="UK"/>
    <s v="UK"/>
    <s v="NO"/>
    <n v="2"/>
    <n v="10"/>
    <s v="NO"/>
    <s v="UK"/>
    <s v="UK"/>
    <s v="UK"/>
    <s v="NO"/>
    <n v="25"/>
    <s v="UK"/>
    <s v="UK"/>
    <s v="UK"/>
    <s v="UK"/>
    <s v="UK"/>
    <s v="UK"/>
    <s v="UK"/>
    <s v="UK"/>
    <s v="UK"/>
    <s v="UK"/>
    <s v="UK"/>
    <s v="UK"/>
    <s v="UK"/>
    <s v="UK"/>
    <s v="UK"/>
    <s v="NO"/>
    <s v="UK"/>
    <s v="UK"/>
    <s v="UK"/>
    <s v="UK"/>
    <s v="UK"/>
    <s v="UK"/>
    <s v="UK"/>
    <s v="UK"/>
    <s v="UK"/>
    <s v="UK"/>
  </r>
  <r>
    <s v="CO-CLAY [18]"/>
    <s v="Clayoquot"/>
    <s v="KOOTOWIS CREEK_Coho"/>
    <x v="0"/>
    <x v="0"/>
    <x v="4"/>
    <x v="98"/>
    <x v="0"/>
    <m/>
    <m/>
    <n v="4"/>
    <n v="7"/>
    <n v="7"/>
    <n v="1698.7551783752626"/>
    <n v="3500"/>
    <n v="631.36587205260867"/>
    <m/>
    <s v="PL+D or Presence/Absence"/>
    <s v="Missing 3 years of data (2001, 2003 &amp; 2004).  Stream was not inspected in 2005 &amp; 2006."/>
    <n v="1828.5714285714287"/>
    <s v="NI"/>
    <m/>
    <m/>
    <m/>
    <s v="NI"/>
    <s v="NI"/>
    <s v="NI"/>
    <m/>
    <m/>
    <n v="3500"/>
    <m/>
    <n v="2000"/>
    <n v="1800"/>
    <n v="1800"/>
    <n v="1200"/>
    <n v="1500"/>
    <n v="1000"/>
    <n v="1200"/>
    <n v="600"/>
    <n v="600"/>
    <n v="400"/>
    <n v="12"/>
    <n v="800"/>
    <n v="500"/>
    <n v="500"/>
    <n v="1000"/>
    <n v="3500"/>
    <s v="UK"/>
    <s v="UK"/>
    <n v="3000"/>
    <s v="UK"/>
    <n v="300"/>
    <n v="800"/>
    <n v="750"/>
    <n v="1000"/>
    <s v="NO"/>
    <n v="400"/>
    <n v="1500"/>
    <n v="400"/>
    <n v="400"/>
    <n v="400"/>
    <n v="750"/>
    <n v="1500"/>
    <n v="1000"/>
    <n v="200"/>
    <n v="1500"/>
    <n v="1200"/>
    <n v="2000"/>
    <n v="100"/>
    <s v="NI"/>
    <n v="200"/>
    <n v="400"/>
    <n v="400"/>
    <n v="400"/>
    <n v="400"/>
    <n v="400"/>
    <n v="200"/>
    <n v="200"/>
    <n v="200"/>
  </r>
  <r>
    <s v="CM-SWVI [10]"/>
    <s v="Southwest Vancouver Island"/>
    <s v="KOOTOWIS CREEK_Chum"/>
    <x v="0"/>
    <x v="0"/>
    <x v="4"/>
    <x v="98"/>
    <x v="1"/>
    <m/>
    <m/>
    <n v="4"/>
    <n v="7"/>
    <n v="7"/>
    <n v="412.02846304113535"/>
    <n v="5000"/>
    <n v="625.52272673986647"/>
    <m/>
    <s v="PL+D or Presence/Absence"/>
    <s v="Missing 3 years of data (2001, 2003 &amp; 2004).  Stream was not inspected in 2005 &amp; 2006."/>
    <n v="650"/>
    <s v="NI"/>
    <m/>
    <m/>
    <m/>
    <s v="NI"/>
    <s v="NI"/>
    <s v="NI"/>
    <m/>
    <m/>
    <n v="1200"/>
    <m/>
    <n v="2000"/>
    <n v="400"/>
    <n v="300"/>
    <n v="200"/>
    <n v="350"/>
    <n v="100"/>
    <n v="1500"/>
    <n v="200"/>
    <n v="50"/>
    <n v="150"/>
    <s v="UK"/>
    <n v="150"/>
    <n v="400"/>
    <n v="1500"/>
    <n v="1500"/>
    <n v="2000"/>
    <n v="800"/>
    <n v="70"/>
    <s v="UK"/>
    <n v="1500"/>
    <n v="5000"/>
    <n v="300"/>
    <n v="3500"/>
    <n v="1500"/>
    <n v="50"/>
    <n v="2500"/>
    <n v="1500"/>
    <n v="400"/>
    <n v="750"/>
    <n v="200"/>
    <n v="3500"/>
    <n v="750"/>
    <n v="2700"/>
    <n v="750"/>
    <n v="400"/>
    <n v="800"/>
    <n v="2000"/>
    <n v="600"/>
    <s v="NI"/>
    <n v="1500"/>
    <n v="750"/>
    <n v="750"/>
    <n v="1500"/>
    <n v="400"/>
    <n v="200"/>
    <n v="200"/>
    <n v="1500"/>
    <n v="750"/>
  </r>
  <r>
    <s v="CO-CLAY [18]"/>
    <s v="Clayoquot"/>
    <s v="LITTLE WHITEPINE COVE #1 CREEK_Coho"/>
    <x v="0"/>
    <x v="0"/>
    <x v="4"/>
    <x v="99"/>
    <x v="0"/>
    <m/>
    <m/>
    <n v="4"/>
    <n v="2"/>
    <n v="0"/>
    <e v="#NUM!"/>
    <n v="0"/>
    <e v="#NUM!"/>
    <m/>
    <s v="PL+D or Presence/Absence"/>
    <s v="Missing 2 years data (1995 &amp; 1999). Last time stream was inspected was in 1998."/>
    <m/>
    <s v="NI"/>
    <m/>
    <m/>
    <m/>
    <s v="NI"/>
    <s v="NI"/>
    <s v="NI"/>
    <s v="NI"/>
    <s v="NI"/>
    <s v="NI"/>
    <s v="NI"/>
    <s v="NI"/>
    <m/>
    <s v="NO"/>
    <s v="NO"/>
    <s v="NI"/>
    <m/>
    <s v="NI"/>
    <s v="UK"/>
    <s v="UK"/>
    <s v="NI"/>
    <s v="NI"/>
    <s v="NI"/>
    <s v="NI"/>
    <s v="NI"/>
    <s v="NO"/>
    <s v="NO"/>
    <s v="NO"/>
    <s v="UK"/>
    <s v="NI"/>
    <s v="UK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LITTLE WHITEPINE COVE #1 CREEK_Chum"/>
    <x v="0"/>
    <x v="0"/>
    <x v="4"/>
    <x v="99"/>
    <x v="1"/>
    <m/>
    <m/>
    <n v="4"/>
    <n v="2"/>
    <n v="2"/>
    <n v="350"/>
    <n v="1650"/>
    <n v="80.972536855608681"/>
    <m/>
    <s v="PL+D or Presence/Absence"/>
    <s v="Missing 2 years data (1995 &amp; 1999). Last time stream was inspected was in 1998. Adult presence was entered as the estimate in 1998."/>
    <n v="350"/>
    <s v="NI"/>
    <m/>
    <m/>
    <m/>
    <s v="NI"/>
    <s v="NI"/>
    <s v="NI"/>
    <s v="NI"/>
    <s v="NI"/>
    <s v="NI"/>
    <s v="NI"/>
    <s v="NI"/>
    <m/>
    <s v="AP"/>
    <n v="350"/>
    <s v="NI"/>
    <m/>
    <s v="NI"/>
    <n v="10"/>
    <s v="UK"/>
    <s v="NI"/>
    <s v="NI"/>
    <s v="NI"/>
    <s v="NI"/>
    <s v="NI"/>
    <n v="40"/>
    <n v="50"/>
    <n v="40"/>
    <n v="10"/>
    <s v="NI"/>
    <n v="400"/>
    <n v="165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CLAY [18]"/>
    <s v="Clayoquot"/>
    <s v="LOST SHOE CREEK_Coho"/>
    <x v="0"/>
    <x v="0"/>
    <x v="4"/>
    <x v="100"/>
    <x v="0"/>
    <m/>
    <m/>
    <n v="5"/>
    <n v="3"/>
    <n v="1"/>
    <n v="250"/>
    <n v="750"/>
    <n v="164.99483597791229"/>
    <m/>
    <s v="Presence/Absence"/>
    <s v="Missing data for 4 years (1998, 1999, 2000 &amp; 2001). Last inspection was in 1997."/>
    <n v="250"/>
    <s v="NI"/>
    <m/>
    <m/>
    <m/>
    <s v="NI"/>
    <s v="NI"/>
    <s v="NI"/>
    <s v="NI"/>
    <s v="NI"/>
    <s v="NI"/>
    <m/>
    <m/>
    <m/>
    <m/>
    <s v="NO"/>
    <n v="250"/>
    <s v="NO"/>
    <s v="NO"/>
    <s v="NI"/>
    <s v="NI"/>
    <n v="120"/>
    <s v="NI"/>
    <n v="100"/>
    <n v="150"/>
    <n v="100"/>
    <n v="150"/>
    <n v="100"/>
    <s v="UK"/>
    <s v="UK"/>
    <s v="UK"/>
    <n v="250"/>
    <n v="25"/>
    <s v="UK"/>
    <n v="300"/>
    <n v="400"/>
    <n v="200"/>
    <n v="200"/>
    <n v="400"/>
    <n v="75"/>
    <n v="400"/>
    <n v="400"/>
    <n v="200"/>
    <n v="400"/>
    <n v="500"/>
    <n v="200"/>
    <n v="750"/>
    <n v="25"/>
    <n v="75"/>
    <n v="25"/>
    <s v="UK"/>
    <s v="UK"/>
    <s v="UK"/>
    <s v="UK"/>
    <s v="UK"/>
    <s v="UK"/>
    <s v="NI"/>
    <s v="UK"/>
    <s v="UK"/>
    <s v="UK"/>
  </r>
  <r>
    <s v="CM-SWVI [10]"/>
    <s v="Southwest Vancouver Island"/>
    <s v="LOST SHOE CREEK_Chum"/>
    <x v="0"/>
    <x v="0"/>
    <x v="4"/>
    <x v="100"/>
    <x v="1"/>
    <m/>
    <m/>
    <n v="5"/>
    <n v="3"/>
    <n v="2"/>
    <n v="25.099800796022265"/>
    <n v="400"/>
    <n v="56.072329162507629"/>
    <m/>
    <s v="Presence/Absence"/>
    <s v="Missing data for 4 years (1998, 1999, 2000 &amp; 2001). Last inspection was in 1997."/>
    <n v="26.5"/>
    <s v="NI"/>
    <m/>
    <m/>
    <m/>
    <s v="NI"/>
    <s v="NI"/>
    <s v="NI"/>
    <s v="NI"/>
    <s v="NI"/>
    <s v="NI"/>
    <m/>
    <m/>
    <m/>
    <m/>
    <n v="35"/>
    <n v="18"/>
    <s v="NO"/>
    <n v="10"/>
    <n v="20"/>
    <s v="NI"/>
    <s v="UK"/>
    <s v="NI"/>
    <s v="UK"/>
    <s v="UK"/>
    <s v="UK"/>
    <s v="NO"/>
    <n v="25"/>
    <n v="20"/>
    <s v="UK"/>
    <s v="UK"/>
    <s v="UK"/>
    <n v="70"/>
    <s v="NO"/>
    <s v="NO"/>
    <s v="NO"/>
    <s v="NO"/>
    <s v="UK"/>
    <s v="NO"/>
    <n v="25"/>
    <s v="UK"/>
    <s v="NO"/>
    <n v="75"/>
    <n v="25"/>
    <n v="60"/>
    <n v="25"/>
    <n v="75"/>
    <n v="75"/>
    <n v="25"/>
    <n v="25"/>
    <n v="75"/>
    <n v="200"/>
    <n v="25"/>
    <n v="200"/>
    <n v="200"/>
    <n v="200"/>
    <s v="NI"/>
    <n v="200"/>
    <n v="400"/>
    <n v="200"/>
  </r>
  <r>
    <s v="SK-L-13-18"/>
    <s v="Megin"/>
    <s v="MEGIN RIVER_Sockeye"/>
    <x v="0"/>
    <x v="0"/>
    <x v="4"/>
    <x v="101"/>
    <x v="3"/>
    <m/>
    <m/>
    <n v="3"/>
    <n v="11"/>
    <n v="11"/>
    <n v="387.55139192047778"/>
    <n v="3500"/>
    <n v="591.5959911851246"/>
    <s v="C.  Other systems surveyed extensively since 1995, but due to lack of historic info, not included in expanded group (B)"/>
    <s v="AUC"/>
    <m/>
    <n v="745.27272727272725"/>
    <n v="2263"/>
    <n v="525"/>
    <m/>
    <n v="296"/>
    <n v="355"/>
    <n v="82"/>
    <n v="212"/>
    <n v="551"/>
    <n v="1561"/>
    <n v="1297"/>
    <n v="400"/>
    <n v="872"/>
    <n v="597"/>
    <n v="677"/>
    <n v="1607"/>
    <n v="415"/>
    <n v="9"/>
    <n v="1740"/>
    <n v="7"/>
    <s v="UK"/>
    <n v="200"/>
    <s v="UK"/>
    <s v="NO"/>
    <n v="1000"/>
    <n v="700"/>
    <n v="300"/>
    <n v="500"/>
    <s v="UK"/>
    <s v="UK"/>
    <n v="300"/>
    <n v="300"/>
    <n v="520"/>
    <n v="200"/>
    <n v="2500"/>
    <n v="1200"/>
    <n v="2000"/>
    <n v="200"/>
    <n v="2500"/>
    <n v="750"/>
    <n v="400"/>
    <n v="750"/>
    <n v="750"/>
    <n v="400"/>
    <n v="1500"/>
    <n v="200"/>
    <n v="750"/>
    <n v="200"/>
    <n v="2000"/>
    <n v="100"/>
    <n v="1500"/>
    <n v="1500"/>
    <n v="1500"/>
    <n v="1500"/>
    <n v="1500"/>
    <n v="1500"/>
    <n v="1500"/>
    <n v="3500"/>
    <n v="1500"/>
    <n v="3500"/>
  </r>
  <r>
    <s v="CO-CLAY [18]"/>
    <s v="Clayoquot"/>
    <s v="MEGIN RIVER_Coho"/>
    <x v="0"/>
    <x v="0"/>
    <x v="4"/>
    <x v="101"/>
    <x v="0"/>
    <m/>
    <m/>
    <n v="3"/>
    <n v="11"/>
    <n v="11"/>
    <n v="975.67661723956405"/>
    <n v="4000"/>
    <n v="569.98013109214764"/>
    <s v="C.  Other systems surveyed extensively since 1995, but due to lack of historic info, not included in expanded group (B)"/>
    <s v="AUC"/>
    <s v="Average Esc from 1995-2005 from file: NEW ESCAPEMENT INDEX.XLS"/>
    <n v="1369.5454545454545"/>
    <n v="1761"/>
    <n v="786"/>
    <n v="825"/>
    <n v="583"/>
    <n v="441"/>
    <n v="595"/>
    <n v="901"/>
    <n v="1105"/>
    <n v="1289"/>
    <n v="3911"/>
    <n v="1115"/>
    <n v="1207"/>
    <n v="1606"/>
    <n v="2007"/>
    <n v="649"/>
    <n v="357"/>
    <n v="918"/>
    <n v="132"/>
    <n v="50"/>
    <n v="50"/>
    <n v="125"/>
    <s v="UK"/>
    <n v="25"/>
    <s v="NO"/>
    <n v="50"/>
    <n v="300"/>
    <n v="100"/>
    <s v="UK"/>
    <s v="UK"/>
    <s v="UK"/>
    <n v="50"/>
    <n v="150"/>
    <n v="300"/>
    <n v="500"/>
    <n v="400"/>
    <n v="250"/>
    <n v="750"/>
    <n v="400"/>
    <n v="400"/>
    <n v="400"/>
    <n v="200"/>
    <n v="750"/>
    <n v="400"/>
    <n v="85"/>
    <n v="75"/>
    <n v="1500"/>
    <n v="3000"/>
    <n v="4000"/>
    <n v="800"/>
    <n v="3500"/>
    <n v="3500"/>
    <n v="750"/>
    <n v="3500"/>
    <n v="3500"/>
    <n v="3500"/>
    <n v="3500"/>
    <n v="3500"/>
    <n v="1500"/>
    <n v="1500"/>
  </r>
  <r>
    <s v="Pkodd-WVI [6]"/>
    <s v="West Vancouver Island"/>
    <s v="MEGIN RIVER_Pink"/>
    <x v="0"/>
    <x v="0"/>
    <x v="4"/>
    <x v="101"/>
    <x v="4"/>
    <m/>
    <m/>
    <n v="3"/>
    <n v="11"/>
    <n v="6"/>
    <n v="4.9877967249083053"/>
    <n v="3500"/>
    <n v="71.002603477899754"/>
    <s v="C.  Other systems surveyed extensively since 1995, but due to lack of historic info, not included in expanded group (B)"/>
    <s v="AUC"/>
    <m/>
    <n v="8"/>
    <n v="21"/>
    <m/>
    <n v="13"/>
    <s v="NO"/>
    <n v="2"/>
    <s v="NO"/>
    <n v="1"/>
    <s v="NO"/>
    <n v="4"/>
    <s v="NO"/>
    <s v="NO"/>
    <s v="NO"/>
    <n v="10"/>
    <s v="NO"/>
    <n v="16"/>
    <n v="12"/>
    <n v="5"/>
    <s v="UK"/>
    <s v="UK"/>
    <s v="UK"/>
    <s v="UK"/>
    <s v="UK"/>
    <s v="UK"/>
    <s v="UK"/>
    <s v="UK"/>
    <s v="UK"/>
    <s v="UK"/>
    <s v="NO"/>
    <s v="UK"/>
    <s v="NO"/>
    <n v="25"/>
    <s v="NO"/>
    <s v="UK"/>
    <n v="300"/>
    <s v="UK"/>
    <n v="400"/>
    <s v="UK"/>
    <n v="2000"/>
    <s v="NO"/>
    <n v="3500"/>
    <s v="NO"/>
    <n v="750"/>
    <s v="NO"/>
    <n v="3000"/>
    <s v="UK"/>
    <n v="400"/>
    <s v="UK"/>
    <n v="300"/>
    <s v="UK"/>
    <n v="400"/>
    <n v="25"/>
    <n v="25"/>
    <n v="75"/>
    <n v="25"/>
    <n v="200"/>
    <n v="25"/>
    <n v="25"/>
    <n v="750"/>
    <s v="UK"/>
  </r>
  <r>
    <s v="CM-SWVI [10]"/>
    <s v="Southwest Vancouver Island"/>
    <s v="MEGIN RIVER_Chum"/>
    <x v="0"/>
    <x v="0"/>
    <x v="4"/>
    <x v="101"/>
    <x v="1"/>
    <m/>
    <m/>
    <n v="3"/>
    <n v="11"/>
    <n v="11"/>
    <n v="1790.7143357708367"/>
    <n v="30000"/>
    <n v="3399.1464183945409"/>
    <s v="C.  Other systems surveyed extensively since 1995, but due to lack of historic info, not included in expanded group (B)"/>
    <s v="AUC"/>
    <s v="Average Esc from 1995-2005 from file: NEW ESCAPEMENT INDEX.XLS"/>
    <n v="3277.090909090909"/>
    <n v="5267"/>
    <n v="414"/>
    <n v="205"/>
    <n v="525"/>
    <n v="323"/>
    <n v="9036"/>
    <n v="97"/>
    <n v="2204"/>
    <n v="3119"/>
    <n v="3346"/>
    <n v="4332"/>
    <n v="1642"/>
    <n v="4383"/>
    <n v="12217"/>
    <n v="2673"/>
    <n v="1201"/>
    <n v="834"/>
    <n v="17000"/>
    <n v="4000"/>
    <n v="4500"/>
    <n v="5000"/>
    <n v="500"/>
    <n v="1300"/>
    <n v="2500"/>
    <n v="3000"/>
    <n v="9000"/>
    <n v="6000"/>
    <n v="6500"/>
    <n v="5000"/>
    <n v="13000"/>
    <n v="5000"/>
    <n v="22000"/>
    <n v="4800"/>
    <n v="30000"/>
    <n v="12000"/>
    <n v="11700"/>
    <n v="2000"/>
    <n v="10000"/>
    <n v="3500"/>
    <n v="7500"/>
    <n v="1500"/>
    <n v="3500"/>
    <n v="3500"/>
    <n v="10000"/>
    <n v="3500"/>
    <n v="75"/>
    <n v="400"/>
    <n v="2000"/>
    <n v="1000"/>
    <n v="7500"/>
    <n v="3500"/>
    <n v="15000"/>
    <n v="7500"/>
    <n v="7500"/>
    <n v="3500"/>
    <n v="3500"/>
    <n v="1500"/>
    <n v="15000"/>
    <n v="3500"/>
  </r>
  <r>
    <s v="CK-SWVI [31]"/>
    <s v="Southwest Vancouver Island"/>
    <s v="MEGIN RIVER_Chinook"/>
    <x v="0"/>
    <x v="1"/>
    <x v="4"/>
    <x v="101"/>
    <x v="2"/>
    <m/>
    <m/>
    <n v="3"/>
    <n v="10"/>
    <n v="10"/>
    <n v="84.892886260049281"/>
    <n v="1500"/>
    <n v="108.88252178031614"/>
    <s v="C.  Other systems surveyed extensively since 1995, but due to lack of historic info, not included in expanded group (B)"/>
    <s v="AUC"/>
    <s v="Average Esc from 1995-2005 from file: NEW ESCAPEMENT INDEX.XLS"/>
    <n v="167.6"/>
    <n v="48"/>
    <n v="9"/>
    <n v="15"/>
    <n v="24"/>
    <n v="13"/>
    <n v="117"/>
    <n v="36"/>
    <n v="72"/>
    <n v="28"/>
    <n v="23"/>
    <s v="AP"/>
    <n v="160"/>
    <n v="234"/>
    <n v="370"/>
    <n v="266"/>
    <n v="164"/>
    <n v="323"/>
    <n v="841"/>
    <n v="436"/>
    <n v="150"/>
    <n v="10"/>
    <s v="UK"/>
    <n v="26"/>
    <n v="30"/>
    <n v="25"/>
    <n v="30"/>
    <s v="NO"/>
    <s v="UK"/>
    <s v="UK"/>
    <n v="100"/>
    <n v="150"/>
    <n v="160"/>
    <n v="50"/>
    <n v="6"/>
    <n v="50"/>
    <n v="50"/>
    <n v="25"/>
    <n v="75"/>
    <n v="75"/>
    <n v="25"/>
    <n v="75"/>
    <n v="25"/>
    <n v="25"/>
    <n v="10"/>
    <n v="25"/>
    <n v="200"/>
    <n v="50"/>
    <n v="300"/>
    <n v="50"/>
    <n v="750"/>
    <n v="750"/>
    <n v="750"/>
    <n v="1500"/>
    <n v="750"/>
    <n v="1500"/>
    <n v="1500"/>
    <n v="1500"/>
    <n v="750"/>
    <n v="1500"/>
  </r>
  <r>
    <s v="SK-WVI [R10]"/>
    <s v="West Vancouver Island"/>
    <s v="MOYEHA RIVER_Sockeye"/>
    <x v="0"/>
    <x v="0"/>
    <x v="4"/>
    <x v="102"/>
    <x v="3"/>
    <m/>
    <m/>
    <n v="3"/>
    <n v="11"/>
    <n v="11"/>
    <n v="175.4792328077655"/>
    <n v="580"/>
    <n v="95.447063569675578"/>
    <s v="C.  Other systems surveyed extensively since 1995, but due to lack of historic info, not included in expanded group (B)"/>
    <s v="AUC"/>
    <m/>
    <n v="253.36363636363637"/>
    <n v="551"/>
    <n v="785"/>
    <n v="270"/>
    <n v="76"/>
    <n v="91"/>
    <n v="218"/>
    <n v="288"/>
    <n v="391"/>
    <n v="240"/>
    <n v="77"/>
    <n v="72"/>
    <n v="102"/>
    <n v="75"/>
    <n v="580"/>
    <n v="503"/>
    <n v="254"/>
    <n v="205"/>
    <n v="200"/>
    <n v="500"/>
    <s v="UK"/>
    <s v="UK"/>
    <s v="UK"/>
    <s v="UK"/>
    <s v="NO"/>
    <s v="NO"/>
    <n v="1"/>
    <n v="3"/>
    <s v="NO"/>
    <s v="UK"/>
    <s v="NO"/>
    <n v="25"/>
    <s v="UK"/>
    <s v="UK"/>
    <s v="UK"/>
    <n v="20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MOYEHA RIVER_Coho"/>
    <x v="0"/>
    <x v="0"/>
    <x v="4"/>
    <x v="102"/>
    <x v="0"/>
    <m/>
    <m/>
    <n v="3"/>
    <n v="11"/>
    <n v="11"/>
    <n v="2264.785417425076"/>
    <n v="5137"/>
    <n v="762.31322663134654"/>
    <s v="C.  Other systems surveyed extensively since 1995, but due to lack of historic info, not included in expanded group (B)"/>
    <s v="AUC"/>
    <s v="Average Esc from 1995-2005 from file: NEW ESCAPEMENT INDEX.XLS"/>
    <n v="2936.3636363636365"/>
    <n v="2891"/>
    <n v="4390"/>
    <n v="8175"/>
    <n v="2719"/>
    <n v="1628"/>
    <n v="1086"/>
    <n v="2754"/>
    <n v="4477"/>
    <n v="2807"/>
    <n v="3724"/>
    <n v="4002"/>
    <n v="3547"/>
    <n v="3079"/>
    <n v="5137"/>
    <n v="657"/>
    <n v="746"/>
    <n v="1370"/>
    <n v="1700"/>
    <n v="300"/>
    <n v="100"/>
    <n v="125"/>
    <s v="UK"/>
    <n v="250"/>
    <s v="NO"/>
    <n v="200"/>
    <n v="500"/>
    <n v="180"/>
    <s v="UK"/>
    <s v="UK"/>
    <s v="UK"/>
    <n v="300"/>
    <n v="450"/>
    <n v="800"/>
    <n v="250"/>
    <n v="400"/>
    <n v="565"/>
    <n v="500"/>
    <n v="400"/>
    <n v="200"/>
    <n v="750"/>
    <n v="200"/>
    <n v="750"/>
    <n v="200"/>
    <n v="300"/>
    <n v="75"/>
    <n v="750"/>
    <n v="200"/>
    <n v="500"/>
    <n v="250"/>
    <n v="1500"/>
    <n v="1500"/>
    <n v="750"/>
    <n v="1500"/>
    <n v="1500"/>
    <n v="3500"/>
    <n v="3500"/>
    <n v="1500"/>
    <n v="1500"/>
    <n v="1500"/>
  </r>
  <r>
    <s v="Pkodd-WVI [6]"/>
    <s v="West Vancouver Island"/>
    <s v="MOYEHA RIVER_Pink"/>
    <x v="0"/>
    <x v="0"/>
    <x v="4"/>
    <x v="102"/>
    <x v="4"/>
    <m/>
    <m/>
    <n v="3"/>
    <n v="11"/>
    <n v="10"/>
    <n v="5.2438647816018111"/>
    <n v="9000"/>
    <n v="47.287641190364866"/>
    <s v="C.  Other systems surveyed extensively since 1995, but due to lack of historic info, not included in expanded group (B)"/>
    <s v="P/A"/>
    <m/>
    <n v="12.1"/>
    <n v="17"/>
    <n v="11"/>
    <m/>
    <n v="5"/>
    <n v="2"/>
    <n v="1"/>
    <n v="6"/>
    <s v="NO"/>
    <n v="10"/>
    <n v="14"/>
    <n v="21"/>
    <n v="2"/>
    <n v="6"/>
    <n v="3"/>
    <n v="51"/>
    <n v="7"/>
    <n v="1"/>
    <n v="200"/>
    <s v="UK"/>
    <s v="UK"/>
    <s v="UK"/>
    <s v="UK"/>
    <s v="UK"/>
    <s v="UK"/>
    <s v="UK"/>
    <s v="UK"/>
    <n v="2"/>
    <s v="NO"/>
    <s v="UK"/>
    <s v="NO"/>
    <s v="UK"/>
    <n v="2500"/>
    <n v="10"/>
    <s v="NO"/>
    <n v="500"/>
    <n v="5500"/>
    <s v="UK"/>
    <n v="9000"/>
    <n v="25"/>
    <n v="1500"/>
    <s v="NO"/>
    <n v="3500"/>
    <s v="NO"/>
    <n v="2000"/>
    <n v="75"/>
    <n v="7500"/>
    <n v="20"/>
    <n v="100"/>
    <n v="6"/>
    <n v="750"/>
    <n v="25"/>
    <n v="25"/>
    <n v="75"/>
    <n v="25"/>
    <s v="NO"/>
    <s v="UK"/>
    <s v="UK"/>
    <s v="UK"/>
    <s v="UK"/>
  </r>
  <r>
    <s v="CM-SWVI [10]"/>
    <s v="Southwest Vancouver Island"/>
    <s v="MOYEHA RIVER_Chum"/>
    <x v="0"/>
    <x v="0"/>
    <x v="4"/>
    <x v="102"/>
    <x v="1"/>
    <m/>
    <m/>
    <n v="3"/>
    <n v="11"/>
    <n v="11"/>
    <n v="9589.8491634518741"/>
    <n v="24002"/>
    <n v="4312.6128396819922"/>
    <s v="C.  Other systems surveyed extensively since 1995, but due to lack of historic info, not included in expanded group (B)"/>
    <s v="PEAK"/>
    <s v="Average Esc from 1995-2005 from file: NEW ESCAPEMENT INDEX.XLS"/>
    <n v="9862.454545454546"/>
    <n v="31999"/>
    <n v="12170"/>
    <n v="7320"/>
    <n v="6619"/>
    <n v="24002"/>
    <n v="21580"/>
    <n v="7934"/>
    <n v="11857"/>
    <n v="15100"/>
    <n v="14645"/>
    <n v="8914"/>
    <n v="4652"/>
    <n v="12698"/>
    <n v="19086"/>
    <n v="5162"/>
    <n v="5883"/>
    <n v="2556"/>
    <n v="8600"/>
    <n v="7000"/>
    <n v="6000"/>
    <n v="3800"/>
    <s v="UK"/>
    <n v="1800"/>
    <n v="2500"/>
    <n v="2500"/>
    <n v="6000"/>
    <n v="6300"/>
    <n v="1250"/>
    <n v="2000"/>
    <n v="6000"/>
    <n v="5000"/>
    <n v="11250"/>
    <n v="2500"/>
    <n v="8000"/>
    <n v="5000"/>
    <n v="6800"/>
    <n v="6000"/>
    <n v="9500"/>
    <n v="7500"/>
    <n v="3500"/>
    <n v="3500"/>
    <n v="1500"/>
    <n v="1500"/>
    <n v="7500"/>
    <n v="1500"/>
    <n v="200"/>
    <n v="400"/>
    <n v="1500"/>
    <n v="1500"/>
    <n v="1500"/>
    <n v="1500"/>
    <n v="1500"/>
    <n v="7500"/>
    <n v="7500"/>
    <n v="3500"/>
    <n v="3500"/>
    <n v="1500"/>
    <n v="15000"/>
    <n v="3500"/>
  </r>
  <r>
    <s v="CK-SWVI [31]"/>
    <s v="Southwest Vancouver Island"/>
    <s v="MOYEHA RIVER_Chinook"/>
    <x v="0"/>
    <x v="1"/>
    <x v="4"/>
    <x v="102"/>
    <x v="2"/>
    <m/>
    <m/>
    <n v="3"/>
    <n v="11"/>
    <n v="11"/>
    <n v="129.15986056578828"/>
    <n v="750"/>
    <n v="106.84494436146005"/>
    <s v="C.  Other systems surveyed extensively since 1995, but due to lack of historic info, not included in expanded group (B)"/>
    <s v="AUC"/>
    <s v="Average Esc from 1995-2005 from file: NEW ESCAPEMENT INDEX.XLS"/>
    <n v="155"/>
    <n v="67"/>
    <n v="185"/>
    <n v="60"/>
    <n v="149"/>
    <n v="112"/>
    <n v="85"/>
    <n v="115"/>
    <n v="362"/>
    <n v="155"/>
    <n v="54"/>
    <n v="115"/>
    <n v="94"/>
    <n v="239"/>
    <n v="155"/>
    <n v="84"/>
    <n v="243"/>
    <n v="89"/>
    <n v="420"/>
    <n v="250"/>
    <s v="UK"/>
    <s v="UK"/>
    <s v="UK"/>
    <n v="80"/>
    <s v="NO"/>
    <s v="NO"/>
    <s v="UK"/>
    <s v="NO"/>
    <s v="NO"/>
    <s v="UK"/>
    <s v="NO"/>
    <n v="25"/>
    <n v="25"/>
    <n v="6"/>
    <n v="10"/>
    <n v="50"/>
    <n v="25"/>
    <n v="25"/>
    <n v="50"/>
    <n v="75"/>
    <n v="75"/>
    <n v="75"/>
    <n v="25"/>
    <n v="75"/>
    <n v="80"/>
    <n v="25"/>
    <n v="75"/>
    <n v="10"/>
    <n v="25"/>
    <n v="50"/>
    <n v="200"/>
    <n v="400"/>
    <n v="750"/>
    <n v="750"/>
    <n v="750"/>
    <n v="750"/>
    <n v="750"/>
    <n v="750"/>
    <n v="750"/>
    <n v="750"/>
  </r>
  <r>
    <s v="CO-CLAY [18]"/>
    <s v="Clayoquot"/>
    <s v="RILEY CREEK_Coho"/>
    <x v="0"/>
    <x v="0"/>
    <x v="4"/>
    <x v="103"/>
    <x v="0"/>
    <m/>
    <m/>
    <n v="4"/>
    <n v="5"/>
    <n v="1"/>
    <n v="20"/>
    <n v="100"/>
    <n v="35.739929263256613"/>
    <m/>
    <s v="PL+D or Presence/Absence"/>
    <s v="Last survey was in 2001, no fish were observed."/>
    <n v="20"/>
    <s v="NI"/>
    <m/>
    <m/>
    <m/>
    <s v="NI"/>
    <s v="NI"/>
    <s v="NI"/>
    <s v="NI"/>
    <s v="NI"/>
    <s v="NI"/>
    <s v="NO"/>
    <s v="NI"/>
    <s v="NI"/>
    <s v="NO"/>
    <s v="NO"/>
    <s v="NO"/>
    <n v="20"/>
    <s v="UK"/>
    <s v="NO"/>
    <s v="NI"/>
    <s v="NI"/>
    <s v="NI"/>
    <s v="NI"/>
    <s v="NI"/>
    <s v="NI"/>
    <s v="NI"/>
    <s v="UK"/>
    <s v="NI"/>
    <s v="UK"/>
    <s v="UK"/>
    <s v="NI"/>
    <s v="NO"/>
    <s v="NI"/>
    <s v="NI"/>
    <s v="NI"/>
    <s v="NO"/>
    <s v="NO"/>
    <s v="NO"/>
    <s v="NO"/>
    <s v="NI"/>
    <s v="NO"/>
    <s v="NO"/>
    <n v="25"/>
    <n v="30"/>
    <n v="25"/>
    <n v="25"/>
    <n v="50"/>
    <n v="100"/>
    <n v="25"/>
    <n v="25"/>
    <n v="25"/>
    <n v="25"/>
    <n v="75"/>
    <n v="75"/>
    <n v="75"/>
    <n v="75"/>
    <n v="25"/>
    <n v="25"/>
    <n v="25"/>
  </r>
  <r>
    <s v="CM-SWVI [10]"/>
    <s v="Southwest Vancouver Island"/>
    <s v="RILEY CREEK_Chum"/>
    <x v="0"/>
    <x v="0"/>
    <x v="4"/>
    <x v="103"/>
    <x v="1"/>
    <m/>
    <m/>
    <n v="4"/>
    <n v="5"/>
    <n v="2"/>
    <n v="2"/>
    <n v="1500"/>
    <n v="102.16674447660652"/>
    <m/>
    <s v="PL+D or Presence/Absence"/>
    <s v="One of the two estimates was Adult Present. Last survey was in 2001, no fish were observed."/>
    <n v="2"/>
    <s v="NI"/>
    <m/>
    <m/>
    <m/>
    <s v="NI"/>
    <s v="NI"/>
    <s v="NI"/>
    <s v="NI"/>
    <s v="NI"/>
    <s v="NI"/>
    <s v="NO"/>
    <s v="NI"/>
    <s v="NI"/>
    <s v="AP"/>
    <s v="NO"/>
    <s v="NO"/>
    <n v="2"/>
    <s v="UK"/>
    <s v="NO"/>
    <s v="NI"/>
    <s v="NI"/>
    <s v="NI"/>
    <s v="NI"/>
    <s v="NI"/>
    <s v="NI"/>
    <s v="NI"/>
    <s v="UK"/>
    <s v="NI"/>
    <s v="UK"/>
    <s v="UK"/>
    <s v="NI"/>
    <s v="UK"/>
    <s v="NI"/>
    <s v="NI"/>
    <s v="NI"/>
    <s v="NO"/>
    <s v="NO"/>
    <s v="NO"/>
    <s v="UK"/>
    <s v="NI"/>
    <s v="NO"/>
    <s v="NO"/>
    <s v="NO"/>
    <s v="NO"/>
    <s v="NO"/>
    <s v="UK"/>
    <n v="25"/>
    <n v="100"/>
    <n v="25"/>
    <n v="200"/>
    <n v="75"/>
    <n v="200"/>
    <n v="200"/>
    <n v="200"/>
    <n v="200"/>
    <n v="75"/>
    <n v="200"/>
    <n v="1500"/>
    <n v="200"/>
  </r>
  <r>
    <s v="SK-WVI [R10]"/>
    <s v="West Vancouver Island"/>
    <s v="SAND RIVER_Sockeye"/>
    <x v="0"/>
    <x v="0"/>
    <x v="4"/>
    <x v="104"/>
    <x v="3"/>
    <m/>
    <m/>
    <n v="4"/>
    <n v="5"/>
    <n v="4"/>
    <n v="45.535429540911288"/>
    <n v="562"/>
    <n v="45.535429540911288"/>
    <m/>
    <s v="PL+D or Presence/Absence"/>
    <s v="Missing data for 4 years (1995, 1997, 1998 &amp; 2000). Last survey was in 2004."/>
    <n v="170"/>
    <n v="34"/>
    <m/>
    <m/>
    <s v="NO"/>
    <s v="NI"/>
    <s v="NI"/>
    <s v="NI"/>
    <n v="85"/>
    <s v="NI"/>
    <s v="NO"/>
    <n v="562"/>
    <m/>
    <n v="3"/>
    <m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SAND RIVER_Coho"/>
    <x v="0"/>
    <x v="0"/>
    <x v="4"/>
    <x v="104"/>
    <x v="0"/>
    <m/>
    <m/>
    <n v="4"/>
    <n v="5"/>
    <n v="5"/>
    <n v="27.583104315684281"/>
    <n v="64"/>
    <n v="27.583104315684281"/>
    <m/>
    <s v="PL+D or Presence/Absence"/>
    <s v="Missing data for 4 years (1995, 1997, 1998 &amp; 2000). Last survey was in 2004."/>
    <n v="32"/>
    <n v="1"/>
    <n v="62"/>
    <n v="14"/>
    <s v="NO"/>
    <s v="NI"/>
    <s v="NI"/>
    <s v="NI"/>
    <n v="22"/>
    <s v="NI"/>
    <n v="64"/>
    <n v="27"/>
    <m/>
    <n v="35"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SAND RIVER_Chum"/>
    <x v="0"/>
    <x v="0"/>
    <x v="4"/>
    <x v="104"/>
    <x v="1"/>
    <m/>
    <m/>
    <n v="4"/>
    <n v="5"/>
    <n v="2"/>
    <n v="2"/>
    <n v="2"/>
    <n v="2"/>
    <m/>
    <s v="PL+D or Presence/Absence"/>
    <s v="Missing data for 4 years (1995, 1997, 1998 &amp; 2000). Last survey was in 2004. One of the two estimates was Adult Present."/>
    <n v="2"/>
    <s v="NO"/>
    <m/>
    <m/>
    <s v="NO"/>
    <s v="NI"/>
    <s v="NI"/>
    <s v="NI"/>
    <s v="NO"/>
    <s v="NI"/>
    <s v="AP"/>
    <n v="2"/>
    <m/>
    <s v="NO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SWVI [31]"/>
    <s v="Southwest Vancouver Island"/>
    <s v="SAND RIVER_Chinook"/>
    <x v="0"/>
    <x v="0"/>
    <x v="4"/>
    <x v="104"/>
    <x v="2"/>
    <m/>
    <m/>
    <n v="4"/>
    <n v="5"/>
    <n v="4"/>
    <n v="8.6355830668672571"/>
    <n v="58"/>
    <n v="8.6355830668672571"/>
    <m/>
    <s v="PL+D or Presence/Absence"/>
    <s v="Missing data for 4 years (1995, 1997, 1998 &amp; 2000). Last survey was in 2004."/>
    <n v="23.5"/>
    <n v="1"/>
    <n v="7"/>
    <m/>
    <n v="3"/>
    <s v="NI"/>
    <s v="NI"/>
    <s v="NI"/>
    <n v="1"/>
    <s v="NI"/>
    <n v="12"/>
    <n v="58"/>
    <m/>
    <s v="NO"/>
    <m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CLAY [18]"/>
    <s v="Clayoquot"/>
    <s v="SANDHILL CREEK_Coho"/>
    <x v="0"/>
    <x v="0"/>
    <x v="4"/>
    <x v="105"/>
    <x v="0"/>
    <m/>
    <m/>
    <n v="5"/>
    <n v="2"/>
    <n v="2"/>
    <n v="109.54451150103323"/>
    <n v="200"/>
    <n v="62.296852362194997"/>
    <m/>
    <s v="Presence/Absence"/>
    <s v="Missing data for 4 years (1995, 1998, 1999 &amp; 2000). Last survey was in 1997."/>
    <n v="130"/>
    <s v="NI"/>
    <m/>
    <m/>
    <m/>
    <s v="NI"/>
    <s v="NI"/>
    <s v="NI"/>
    <s v="NI"/>
    <s v="NI"/>
    <s v="NI"/>
    <s v="NI"/>
    <m/>
    <m/>
    <m/>
    <n v="200"/>
    <n v="60"/>
    <m/>
    <s v="NI"/>
    <s v="NI"/>
    <s v="NI"/>
    <s v="NI"/>
    <s v="NI"/>
    <s v="NI"/>
    <s v="NI"/>
    <n v="65"/>
    <n v="100"/>
    <n v="40"/>
    <s v="UK"/>
    <s v="UK"/>
    <s v="UK"/>
    <s v="UK"/>
    <s v="UK"/>
    <s v="NI"/>
    <s v="NO"/>
    <n v="50"/>
    <n v="50"/>
    <n v="75"/>
    <n v="75"/>
    <s v="NI"/>
    <s v="NI"/>
    <s v="NI"/>
    <s v="NI"/>
    <s v="NI"/>
    <s v="NI"/>
    <s v="NI"/>
    <s v="NI"/>
    <n v="25"/>
    <n v="50"/>
    <s v="NI"/>
    <s v="NI"/>
    <s v="NI"/>
    <s v="NI"/>
    <s v="NI"/>
    <s v="NI"/>
    <s v="NI"/>
    <s v="NI"/>
    <s v="NI"/>
    <s v="NI"/>
    <s v="NI"/>
  </r>
  <r>
    <s v="CM-SWVI [10]"/>
    <s v="Southwest Vancouver Island"/>
    <s v="SANDHILL CREEK_Chum"/>
    <x v="0"/>
    <x v="0"/>
    <x v="4"/>
    <x v="105"/>
    <x v="1"/>
    <m/>
    <m/>
    <n v="5"/>
    <n v="2"/>
    <n v="0"/>
    <e v="#NUM!"/>
    <n v="100"/>
    <n v="38.729833462074168"/>
    <m/>
    <s v="Presence/Absence"/>
    <s v="Missing data for 4 years (1995, 1998, 1999 &amp; 2000). Last survey was in 1997."/>
    <m/>
    <s v="NI"/>
    <m/>
    <m/>
    <m/>
    <s v="NI"/>
    <s v="NI"/>
    <s v="NI"/>
    <s v="NI"/>
    <s v="NI"/>
    <s v="NI"/>
    <s v="NI"/>
    <m/>
    <m/>
    <m/>
    <s v="NO"/>
    <s v="NO"/>
    <m/>
    <s v="NI"/>
    <s v="NI"/>
    <s v="NI"/>
    <s v="NI"/>
    <s v="NI"/>
    <s v="NI"/>
    <s v="NI"/>
    <s v="NO"/>
    <s v="NO"/>
    <s v="NO"/>
    <s v="NO"/>
    <s v="UK"/>
    <s v="UK"/>
    <n v="100"/>
    <n v="15"/>
    <s v="NI"/>
    <s v="UK"/>
    <s v="UK"/>
    <s v="UK"/>
    <s v="UK"/>
    <s v="UK"/>
    <s v="NI"/>
    <s v="NI"/>
    <s v="NI"/>
    <s v="NI"/>
    <s v="NI"/>
    <s v="NI"/>
    <s v="NI"/>
    <s v="NI"/>
    <s v="UK"/>
    <s v="UK"/>
    <s v="NI"/>
    <s v="NI"/>
    <s v="NI"/>
    <s v="NI"/>
    <s v="NI"/>
    <s v="NI"/>
    <s v="NI"/>
    <s v="NI"/>
    <s v="NI"/>
    <s v="NI"/>
    <s v="NI"/>
  </r>
  <r>
    <s v="CO-CLAY [18]"/>
    <s v="Clayoquot"/>
    <s v="SUTTON MILL CREEK_Coho"/>
    <x v="0"/>
    <x v="0"/>
    <x v="4"/>
    <x v="106"/>
    <x v="0"/>
    <m/>
    <m/>
    <n v="4"/>
    <n v="8"/>
    <n v="1"/>
    <e v="#NUM!"/>
    <n v="100"/>
    <n v="31.317975743392665"/>
    <m/>
    <s v="PL+D or Presence/Absence"/>
    <s v="Chum is the target species.  Missing 2 years data ( 1997 &amp; 1999). Adult Present was entered as the estimate in 2001."/>
    <m/>
    <s v="NO"/>
    <m/>
    <m/>
    <m/>
    <s v="NO"/>
    <s v="NO"/>
    <s v="NO"/>
    <s v="NO"/>
    <s v="NO"/>
    <s v="NO"/>
    <s v="AP"/>
    <s v="NI"/>
    <m/>
    <s v="NO"/>
    <m/>
    <s v="NO"/>
    <s v="NO"/>
    <s v="UK"/>
    <s v="UK"/>
    <s v="UK"/>
    <s v="UK"/>
    <s v="UK"/>
    <s v="NO"/>
    <s v="NO"/>
    <s v="NO"/>
    <s v="NO"/>
    <s v="NI"/>
    <s v="NO"/>
    <s v="UK"/>
    <s v="UK"/>
    <s v="UK"/>
    <s v="UK"/>
    <s v="UK"/>
    <s v="UK"/>
    <s v="UK"/>
    <s v="UK"/>
    <s v="NO"/>
    <s v="UK"/>
    <s v="NO"/>
    <s v="UK"/>
    <s v="UK"/>
    <s v="UK"/>
    <n v="25"/>
    <n v="20"/>
    <n v="25"/>
    <n v="75"/>
    <n v="50"/>
    <n v="100"/>
    <n v="20"/>
    <n v="25"/>
    <n v="25"/>
    <n v="25"/>
    <n v="25"/>
    <n v="25"/>
    <n v="25"/>
    <n v="75"/>
    <n v="25"/>
    <n v="25"/>
    <n v="25"/>
  </r>
  <r>
    <s v="CM-SWVI [10]"/>
    <s v="Southwest Vancouver Island"/>
    <s v="SUTTON MILL CREEK_Chum"/>
    <x v="0"/>
    <x v="0"/>
    <x v="4"/>
    <x v="106"/>
    <x v="1"/>
    <m/>
    <m/>
    <n v="4"/>
    <n v="8"/>
    <n v="8"/>
    <n v="167.66980770854423"/>
    <n v="3500"/>
    <n v="366.467715903022"/>
    <m/>
    <s v="PL+D or Presence/Absence"/>
    <s v="Chum is the target species.  Missing 2 years data ( 1997 &amp; 1999). "/>
    <n v="352.42857142857144"/>
    <n v="184"/>
    <n v="31"/>
    <n v="78"/>
    <m/>
    <n v="29"/>
    <n v="207"/>
    <n v="516"/>
    <n v="59"/>
    <n v="134"/>
    <n v="660"/>
    <n v="900"/>
    <s v="NI"/>
    <m/>
    <s v="AP"/>
    <m/>
    <n v="150"/>
    <n v="48"/>
    <n v="400"/>
    <n v="250"/>
    <n v="300"/>
    <n v="10"/>
    <s v="UK"/>
    <n v="50"/>
    <n v="50"/>
    <n v="20"/>
    <n v="225"/>
    <s v="NI"/>
    <n v="400"/>
    <n v="500"/>
    <n v="300"/>
    <n v="400"/>
    <n v="2150"/>
    <n v="960"/>
    <n v="1200"/>
    <n v="200"/>
    <n v="25"/>
    <n v="800"/>
    <n v="2000"/>
    <n v="750"/>
    <n v="200"/>
    <n v="200"/>
    <n v="3500"/>
    <n v="1500"/>
    <n v="2500"/>
    <n v="1500"/>
    <n v="1500"/>
    <n v="200"/>
    <n v="2000"/>
    <n v="400"/>
    <n v="750"/>
    <n v="400"/>
    <n v="1500"/>
    <n v="750"/>
    <n v="1500"/>
    <n v="750"/>
    <n v="400"/>
    <n v="200"/>
    <n v="1500"/>
    <n v="400"/>
  </r>
  <r>
    <s v="SK-WVI [R10]"/>
    <s v="West Vancouver Island"/>
    <s v="SYDNEY RIVER_Sockeye"/>
    <x v="0"/>
    <x v="0"/>
    <x v="4"/>
    <x v="107"/>
    <x v="3"/>
    <m/>
    <m/>
    <n v="4"/>
    <n v="7"/>
    <n v="4"/>
    <n v="32.582243049968447"/>
    <n v="100"/>
    <n v="15.655725305592764"/>
    <m/>
    <s v="PL+D or Presence/Absence"/>
    <s v="Chum is the target species.  Last time stream was surveyed was in 2002."/>
    <n v="37"/>
    <s v="NI"/>
    <n v="4"/>
    <n v="20"/>
    <s v="NO"/>
    <s v="NI"/>
    <s v="NI"/>
    <s v="NI"/>
    <s v="NI"/>
    <s v="NI"/>
    <s v="NO"/>
    <n v="20"/>
    <s v="NO"/>
    <s v="NI"/>
    <s v="NO"/>
    <n v="23"/>
    <n v="35"/>
    <n v="70"/>
    <s v="UK"/>
    <s v="UK"/>
    <s v="UK"/>
    <s v="UK"/>
    <s v="NI"/>
    <s v="UK"/>
    <s v="NO"/>
    <n v="8"/>
    <s v="UK"/>
    <s v="UK"/>
    <s v="UK"/>
    <n v="100"/>
    <n v="10"/>
    <s v="UK"/>
    <n v="4"/>
    <n v="6"/>
    <n v="16"/>
    <s v="UK"/>
    <n v="4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SYDNEY RIVER_Coho"/>
    <x v="0"/>
    <x v="0"/>
    <x v="4"/>
    <x v="107"/>
    <x v="0"/>
    <m/>
    <m/>
    <n v="4"/>
    <n v="7"/>
    <n v="5"/>
    <n v="276.58899214195191"/>
    <n v="1500"/>
    <n v="177.07705545150165"/>
    <m/>
    <s v="PL+D or Presence/Absence"/>
    <s v="Chum is the target species.  Last time stream was surveyed was in 2002."/>
    <n v="271.66666666666669"/>
    <s v="NI"/>
    <n v="129"/>
    <n v="300"/>
    <n v="333"/>
    <s v="NI"/>
    <s v="NI"/>
    <s v="NI"/>
    <s v="NI"/>
    <s v="NI"/>
    <s v="NO"/>
    <n v="380"/>
    <s v="AP"/>
    <s v="NI"/>
    <s v="AP"/>
    <s v="NO"/>
    <n v="185"/>
    <n v="250"/>
    <s v="NO"/>
    <n v="110"/>
    <n v="20"/>
    <s v="UK"/>
    <s v="NI"/>
    <s v="UK"/>
    <s v="NO"/>
    <n v="125"/>
    <n v="150"/>
    <n v="100"/>
    <s v="UK"/>
    <s v="UK"/>
    <n v="100"/>
    <n v="20"/>
    <s v="NO"/>
    <n v="16"/>
    <n v="50"/>
    <s v="NO"/>
    <n v="12"/>
    <n v="50"/>
    <n v="25"/>
    <n v="200"/>
    <n v="75"/>
    <n v="400"/>
    <n v="750"/>
    <n v="200"/>
    <n v="50"/>
    <n v="400"/>
    <n v="200"/>
    <n v="500"/>
    <n v="1200"/>
    <n v="50"/>
    <n v="750"/>
    <n v="1500"/>
    <n v="400"/>
    <n v="750"/>
    <n v="750"/>
    <n v="400"/>
    <n v="400"/>
    <n v="200"/>
    <n v="400"/>
    <n v="750"/>
  </r>
  <r>
    <s v="CM-SWVI [10]"/>
    <s v="Southwest Vancouver Island"/>
    <s v="SYDNEY RIVER_Chum"/>
    <x v="0"/>
    <x v="0"/>
    <x v="4"/>
    <x v="107"/>
    <x v="1"/>
    <m/>
    <m/>
    <n v="4"/>
    <n v="7"/>
    <n v="7"/>
    <n v="794.48109666233734"/>
    <n v="4000"/>
    <n v="553.55287355082476"/>
    <m/>
    <s v="PL+D or Presence/Absence"/>
    <s v="Chum is the target species.  Last time stream was surveyed was in 2002."/>
    <n v="1432.6666666666667"/>
    <s v="NI"/>
    <n v="330"/>
    <n v="205"/>
    <n v="260"/>
    <s v="NI"/>
    <s v="NI"/>
    <s v="NI"/>
    <s v="NI"/>
    <s v="NI"/>
    <n v="2202"/>
    <n v="2750"/>
    <n v="94"/>
    <s v="NI"/>
    <s v="AP"/>
    <n v="1800"/>
    <n v="1000"/>
    <n v="750"/>
    <n v="200"/>
    <n v="600"/>
    <n v="60"/>
    <n v="20"/>
    <s v="NI"/>
    <s v="UK"/>
    <n v="350"/>
    <n v="75"/>
    <n v="2500"/>
    <n v="500"/>
    <n v="800"/>
    <n v="70"/>
    <n v="600"/>
    <n v="1000"/>
    <n v="600"/>
    <n v="250"/>
    <n v="800"/>
    <n v="750"/>
    <n v="310"/>
    <n v="300"/>
    <n v="500"/>
    <n v="3500"/>
    <n v="400"/>
    <n v="200"/>
    <n v="3500"/>
    <n v="3500"/>
    <n v="4000"/>
    <n v="400"/>
    <n v="200"/>
    <n v="100"/>
    <n v="1100"/>
    <n v="1000"/>
    <n v="1500"/>
    <n v="3500"/>
    <n v="3500"/>
    <n v="750"/>
    <n v="750"/>
    <n v="400"/>
    <n v="400"/>
    <n v="200"/>
    <n v="400"/>
    <n v="400"/>
  </r>
  <r>
    <s v="CK-SWVI [31]"/>
    <s v="Southwest Vancouver Island"/>
    <s v="SYDNEY RIVER_Chinook"/>
    <x v="0"/>
    <x v="0"/>
    <x v="4"/>
    <x v="107"/>
    <x v="2"/>
    <m/>
    <m/>
    <n v="4"/>
    <n v="7"/>
    <n v="3"/>
    <n v="17.602234735867867"/>
    <n v="750"/>
    <n v="36.904397385637239"/>
    <m/>
    <s v="PL+D or Presence/Absence"/>
    <s v="Chum is the target species.  Last time stream was surveyed was in 2002."/>
    <n v="43.333333333333336"/>
    <s v="NI"/>
    <n v="6"/>
    <n v="6"/>
    <n v="2"/>
    <s v="NI"/>
    <s v="NI"/>
    <s v="NI"/>
    <s v="NI"/>
    <s v="NI"/>
    <s v="NO"/>
    <n v="80"/>
    <s v="NO"/>
    <s v="NI"/>
    <s v="NO"/>
    <s v="NO"/>
    <n v="30"/>
    <n v="20"/>
    <s v="UK"/>
    <n v="1"/>
    <s v="UK"/>
    <n v="10"/>
    <s v="NI"/>
    <s v="UK"/>
    <s v="NO"/>
    <n v="14"/>
    <s v="NO"/>
    <n v="1"/>
    <s v="NO"/>
    <s v="NO"/>
    <s v="UK"/>
    <n v="6"/>
    <s v="NO"/>
    <n v="10"/>
    <n v="19"/>
    <s v="NO"/>
    <n v="8"/>
    <n v="25"/>
    <n v="25"/>
    <n v="75"/>
    <n v="25"/>
    <n v="75"/>
    <s v="NO"/>
    <n v="25"/>
    <n v="40"/>
    <n v="25"/>
    <s v="NO"/>
    <n v="25"/>
    <n v="25"/>
    <n v="10"/>
    <n v="200"/>
    <n v="200"/>
    <n v="200"/>
    <n v="750"/>
    <n v="400"/>
    <n v="200"/>
    <n v="200"/>
    <n v="200"/>
    <n v="400"/>
    <n v="400"/>
  </r>
  <r>
    <s v="CO-CLAY [18]"/>
    <s v="Clayoquot"/>
    <s v="TOFINO CREEK_Coho"/>
    <x v="0"/>
    <x v="0"/>
    <x v="4"/>
    <x v="108"/>
    <x v="0"/>
    <m/>
    <m/>
    <n v="4"/>
    <n v="6"/>
    <n v="1"/>
    <n v="35"/>
    <n v="750"/>
    <n v="127.94847864444844"/>
    <m/>
    <s v="PL+D or Presence/Absence"/>
    <s v="Chum is the target species.  Missing data for 2 years (1999 &amp; 2000)."/>
    <n v="35"/>
    <s v="NI"/>
    <m/>
    <m/>
    <m/>
    <s v="NI"/>
    <s v="NI"/>
    <s v="NI"/>
    <s v="NI"/>
    <s v="NO"/>
    <s v="NO"/>
    <n v="35"/>
    <m/>
    <m/>
    <s v="NO"/>
    <s v="NO"/>
    <s v="NO"/>
    <s v="NI"/>
    <n v="45"/>
    <n v="130"/>
    <s v="UK"/>
    <s v="UK"/>
    <s v="UK"/>
    <s v="NO"/>
    <s v="NO"/>
    <s v="NO"/>
    <n v="15"/>
    <s v="NO"/>
    <s v="UK"/>
    <s v="UK"/>
    <s v="UK"/>
    <s v="UK"/>
    <s v="NO"/>
    <s v="UK"/>
    <s v="UK"/>
    <s v="NO"/>
    <s v="NO"/>
    <s v="NO"/>
    <s v="NO"/>
    <s v="NO"/>
    <s v="UK"/>
    <s v="NO"/>
    <n v="25"/>
    <s v="NO"/>
    <n v="20"/>
    <n v="25"/>
    <n v="200"/>
    <n v="100"/>
    <n v="100"/>
    <n v="50"/>
    <n v="200"/>
    <n v="400"/>
    <n v="400"/>
    <n v="400"/>
    <n v="400"/>
    <n v="200"/>
    <n v="200"/>
    <n v="400"/>
    <n v="750"/>
    <n v="750"/>
  </r>
  <r>
    <s v="CM-SWVI [10]"/>
    <s v="Southwest Vancouver Island"/>
    <s v="TOFINO CREEK_Chum"/>
    <x v="0"/>
    <x v="0"/>
    <x v="4"/>
    <x v="108"/>
    <x v="1"/>
    <m/>
    <m/>
    <n v="4"/>
    <n v="6"/>
    <n v="5"/>
    <n v="246.36488123195437"/>
    <n v="3500"/>
    <n v="190.49661838020921"/>
    <m/>
    <s v="PL+D or Presence/Absence"/>
    <s v="Chum is the target species.  Missing data for 2 years (1999 &amp; 2000)."/>
    <n v="1000"/>
    <s v="NI"/>
    <m/>
    <n v="210"/>
    <m/>
    <s v="NI"/>
    <s v="NI"/>
    <s v="NI"/>
    <s v="NI"/>
    <n v="31"/>
    <n v="3169"/>
    <n v="750"/>
    <m/>
    <m/>
    <s v="AP"/>
    <s v="NO"/>
    <n v="50"/>
    <s v="NI"/>
    <n v="40"/>
    <n v="300"/>
    <s v="UK"/>
    <n v="50"/>
    <s v="NO"/>
    <n v="50"/>
    <n v="200"/>
    <n v="250"/>
    <n v="50"/>
    <n v="50"/>
    <n v="80"/>
    <n v="100"/>
    <n v="100"/>
    <n v="100"/>
    <n v="50"/>
    <n v="25"/>
    <n v="75"/>
    <n v="250"/>
    <n v="300"/>
    <n v="250"/>
    <n v="2500"/>
    <n v="750"/>
    <n v="400"/>
    <n v="750"/>
    <n v="200"/>
    <n v="200"/>
    <n v="35"/>
    <n v="25"/>
    <s v="NO"/>
    <n v="50"/>
    <n v="200"/>
    <n v="100"/>
    <n v="200"/>
    <n v="200"/>
    <n v="750"/>
    <n v="400"/>
    <n v="1500"/>
    <n v="200"/>
    <n v="200"/>
    <n v="750"/>
    <n v="3500"/>
    <n v="1500"/>
  </r>
  <r>
    <s v="CK-SWVI [31]"/>
    <s v="Southwest Vancouver Island"/>
    <s v="TOFINO CREEK_Chinook"/>
    <x v="0"/>
    <x v="0"/>
    <x v="4"/>
    <x v="108"/>
    <x v="2"/>
    <m/>
    <m/>
    <n v="4"/>
    <n v="6"/>
    <n v="2"/>
    <n v="8"/>
    <n v="400"/>
    <n v="55.532451385546494"/>
    <m/>
    <s v="PL+D or Presence/Absence"/>
    <s v="Chum is the target species.  Missing data for 2 years (1999 &amp; 2000). One of the two estimates was entered as Adult Present."/>
    <n v="8"/>
    <s v="NI"/>
    <m/>
    <n v="5"/>
    <m/>
    <s v="NI"/>
    <s v="NI"/>
    <s v="NI"/>
    <s v="NI"/>
    <s v="NO"/>
    <s v="NO"/>
    <s v="AP"/>
    <m/>
    <m/>
    <s v="NO"/>
    <s v="NO"/>
    <n v="8"/>
    <s v="NI"/>
    <n v="10"/>
    <n v="60"/>
    <s v="UK"/>
    <s v="UK"/>
    <s v="UK"/>
    <s v="UK"/>
    <s v="NO"/>
    <s v="NO"/>
    <s v="NO"/>
    <s v="NO"/>
    <s v="NO"/>
    <s v="UK"/>
    <s v="UK"/>
    <s v="UK"/>
    <s v="NO"/>
    <s v="UK"/>
    <s v="UK"/>
    <s v="NO"/>
    <n v="10"/>
    <n v="25"/>
    <s v="NO"/>
    <s v="NO"/>
    <s v="UK"/>
    <s v="NO"/>
    <n v="25"/>
    <n v="25"/>
    <n v="8"/>
    <n v="25"/>
    <s v="NO"/>
    <n v="20"/>
    <n v="50"/>
    <s v="NO"/>
    <n v="75"/>
    <n v="75"/>
    <n v="200"/>
    <n v="200"/>
    <n v="200"/>
    <n v="200"/>
    <n v="200"/>
    <n v="200"/>
    <n v="200"/>
    <n v="400"/>
  </r>
  <r>
    <s v="SK-WVI [R10]"/>
    <s v="West Vancouver Island"/>
    <s v="TRANQUIL CREEK_Sockeye"/>
    <x v="0"/>
    <x v="0"/>
    <x v="4"/>
    <x v="109"/>
    <x v="3"/>
    <m/>
    <m/>
    <n v="1"/>
    <n v="11"/>
    <n v="9"/>
    <n v="19.277725461816122"/>
    <n v="150"/>
    <n v="11.675171334624395"/>
    <s v="E.   Systems extensively surveyed, with major hatcheries or considerable hatchery contribution"/>
    <s v="AUC"/>
    <s v="Tagging done in this stream to determine survey life for chinook and coho."/>
    <n v="52.222222222222221"/>
    <n v="15"/>
    <n v="122"/>
    <s v="AP"/>
    <n v="5"/>
    <n v="7"/>
    <n v="22"/>
    <n v="45"/>
    <n v="121"/>
    <n v="55"/>
    <n v="17"/>
    <n v="4"/>
    <n v="4"/>
    <s v="NO"/>
    <n v="70"/>
    <n v="150"/>
    <n v="4"/>
    <s v="NO"/>
    <n v="2"/>
    <n v="30"/>
    <s v="UK"/>
    <n v="5"/>
    <n v="3"/>
    <s v="UK"/>
    <s v="UK"/>
    <s v="UK"/>
    <s v="NO"/>
    <n v="8"/>
    <s v="NO"/>
    <n v="5"/>
    <s v="UK"/>
    <s v="UK"/>
    <s v="UK"/>
    <s v="UK"/>
    <n v="2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TRANQUIL CREEK_Coho"/>
    <x v="0"/>
    <x v="0"/>
    <x v="4"/>
    <x v="109"/>
    <x v="0"/>
    <m/>
    <m/>
    <n v="1"/>
    <n v="11"/>
    <n v="11"/>
    <n v="477.66432157906405"/>
    <n v="3500"/>
    <n v="317.21143145112575"/>
    <s v="E.   Systems extensively surveyed, with major hatcheries or considerable hatchery contribution"/>
    <s v="AUC"/>
    <s v="Tagging done in this stream to determine survey life for chinook and coho.   Average Esc from 1995-2005 from file: NEW ESCAPEMENT INDEX.XLS"/>
    <n v="638.27272727272725"/>
    <n v="984"/>
    <n v="955"/>
    <n v="1210"/>
    <n v="427"/>
    <n v="250"/>
    <n v="381"/>
    <n v="543"/>
    <n v="800"/>
    <n v="1114"/>
    <n v="786"/>
    <n v="978"/>
    <n v="985"/>
    <n v="450"/>
    <n v="800"/>
    <n v="240"/>
    <n v="125"/>
    <n v="200"/>
    <n v="200"/>
    <n v="70"/>
    <s v="UK"/>
    <n v="70"/>
    <n v="90"/>
    <n v="5"/>
    <n v="55"/>
    <n v="350"/>
    <n v="110"/>
    <n v="130"/>
    <s v="UK"/>
    <s v="UK"/>
    <n v="150"/>
    <n v="75"/>
    <n v="25"/>
    <n v="10"/>
    <n v="100"/>
    <n v="200"/>
    <n v="225"/>
    <n v="75"/>
    <n v="200"/>
    <n v="75"/>
    <n v="400"/>
    <n v="200"/>
    <n v="400"/>
    <n v="75"/>
    <n v="200"/>
    <n v="400"/>
    <n v="750"/>
    <n v="200"/>
    <n v="2000"/>
    <n v="250"/>
    <n v="3500"/>
    <n v="3500"/>
    <n v="750"/>
    <n v="3500"/>
    <n v="3500"/>
    <n v="3500"/>
    <n v="3500"/>
    <n v="1500"/>
    <n v="1500"/>
    <n v="1500"/>
  </r>
  <r>
    <s v="CM-SWVI [10]"/>
    <s v="Southwest Vancouver Island"/>
    <s v="TRANQUIL CREEK_Chum"/>
    <x v="0"/>
    <x v="0"/>
    <x v="4"/>
    <x v="109"/>
    <x v="1"/>
    <m/>
    <m/>
    <n v="1"/>
    <n v="11"/>
    <n v="11"/>
    <n v="5530.5930549439172"/>
    <n v="35000"/>
    <n v="3863.673423244064"/>
    <s v="E.   Systems extensively surveyed, with major hatcheries or considerable hatchery contribution"/>
    <s v="AUC"/>
    <s v="Tagging done in this stream to determine survey life for chinook and coho.   Average Esc from 1995-2005 from file: NEW ESCAPEMENT INDEX.XLS"/>
    <n v="7771.363636363636"/>
    <n v="15480"/>
    <n v="8675"/>
    <n v="5100"/>
    <n v="2631"/>
    <n v="6928"/>
    <n v="10695"/>
    <n v="11197"/>
    <n v="22368"/>
    <n v="8449"/>
    <n v="13856"/>
    <n v="6141"/>
    <n v="4643"/>
    <n v="3951"/>
    <n v="6500"/>
    <n v="4500"/>
    <n v="3500"/>
    <n v="380"/>
    <n v="700"/>
    <n v="1100"/>
    <s v="UK"/>
    <n v="3000"/>
    <n v="500"/>
    <n v="300"/>
    <n v="4400"/>
    <n v="500"/>
    <n v="1500"/>
    <n v="1500"/>
    <n v="3500"/>
    <n v="1700"/>
    <n v="6000"/>
    <n v="3000"/>
    <n v="7800"/>
    <n v="1850"/>
    <n v="5000"/>
    <n v="4000"/>
    <n v="2550"/>
    <n v="4500"/>
    <n v="7000"/>
    <n v="1500"/>
    <n v="3500"/>
    <n v="1500"/>
    <n v="1500"/>
    <n v="3500"/>
    <n v="5500"/>
    <n v="7500"/>
    <n v="1500"/>
    <n v="600"/>
    <n v="3000"/>
    <n v="2000"/>
    <n v="7500"/>
    <n v="7500"/>
    <n v="7500"/>
    <n v="7500"/>
    <n v="15000"/>
    <n v="15000"/>
    <n v="15000"/>
    <n v="15000"/>
    <n v="35000"/>
    <n v="35000"/>
  </r>
  <r>
    <s v="CK-SWVI [31]"/>
    <s v="Southwest Vancouver Island"/>
    <s v="TRANQUIL CREEK_Chinook"/>
    <x v="0"/>
    <x v="0"/>
    <x v="4"/>
    <x v="109"/>
    <x v="2"/>
    <m/>
    <m/>
    <n v="1"/>
    <n v="11"/>
    <n v="11"/>
    <n v="659.09214697702726"/>
    <n v="2080"/>
    <n v="144.80827441891998"/>
    <s v="E.   Systems extensively surveyed, with major hatcheries or considerable hatchery contribution"/>
    <s v="AUC"/>
    <s v="Tagging done in this stream to determine survey life for chinook and coho.   Average Esc from 1995-2005 from file: NEW ESCAPEMENT INDEX.XLS"/>
    <n v="1005.8181818181819"/>
    <n v="221"/>
    <n v="225"/>
    <n v="206"/>
    <n v="215"/>
    <n v="253"/>
    <n v="414"/>
    <n v="635"/>
    <n v="1127"/>
    <n v="1775"/>
    <n v="190"/>
    <n v="2080"/>
    <n v="1781"/>
    <n v="751"/>
    <n v="800"/>
    <n v="825"/>
    <n v="650"/>
    <n v="450"/>
    <n v="400"/>
    <n v="145"/>
    <s v="UK"/>
    <n v="23"/>
    <n v="45"/>
    <n v="28"/>
    <s v="NO"/>
    <n v="7"/>
    <n v="14"/>
    <n v="1"/>
    <s v="NO"/>
    <n v="20"/>
    <s v="UK"/>
    <n v="25"/>
    <n v="50"/>
    <n v="4"/>
    <s v="NO"/>
    <n v="25"/>
    <n v="25"/>
    <n v="25"/>
    <n v="25"/>
    <n v="200"/>
    <n v="25"/>
    <n v="75"/>
    <n v="25"/>
    <n v="25"/>
    <n v="45"/>
    <n v="200"/>
    <n v="200"/>
    <n v="100"/>
    <n v="250"/>
    <n v="50"/>
    <n v="400"/>
    <n v="400"/>
    <n v="750"/>
    <n v="750"/>
    <n v="750"/>
    <n v="750"/>
    <n v="750"/>
    <n v="750"/>
    <n v="750"/>
    <n v="750"/>
  </r>
  <r>
    <s v="CO-CLAY [18]"/>
    <s v="Clayoquot"/>
    <s v="WARN BAY CREEK_Coho"/>
    <x v="0"/>
    <x v="0"/>
    <x v="4"/>
    <x v="110"/>
    <x v="0"/>
    <m/>
    <m/>
    <n v="4"/>
    <n v="9"/>
    <n v="5"/>
    <n v="35.394279909029294"/>
    <n v="1500"/>
    <n v="64.429553005524767"/>
    <m/>
    <s v="PL+D or Presence/Absence"/>
    <s v="Chum is the target species.  Missing 1999 data."/>
    <n v="67.8"/>
    <n v="81"/>
    <n v="55"/>
    <n v="147"/>
    <n v="34"/>
    <n v="137"/>
    <n v="9"/>
    <s v="NI"/>
    <n v="3"/>
    <n v="20"/>
    <s v="NO"/>
    <n v="136"/>
    <s v="NO"/>
    <m/>
    <s v="NO"/>
    <s v="NO"/>
    <n v="60"/>
    <n v="120"/>
    <n v="130"/>
    <n v="50"/>
    <s v="UK"/>
    <n v="10"/>
    <n v="100"/>
    <n v="60"/>
    <n v="40"/>
    <n v="35"/>
    <n v="25"/>
    <n v="100"/>
    <s v="UK"/>
    <s v="UK"/>
    <s v="UK"/>
    <n v="50"/>
    <n v="25"/>
    <s v="UK"/>
    <s v="NO"/>
    <n v="150"/>
    <n v="24"/>
    <n v="75"/>
    <n v="75"/>
    <s v="NO"/>
    <n v="75"/>
    <n v="200"/>
    <n v="25"/>
    <n v="25"/>
    <s v="NO"/>
    <n v="25"/>
    <n v="1500"/>
    <n v="100"/>
    <n v="300"/>
    <n v="50"/>
    <n v="75"/>
    <n v="75"/>
    <n v="200"/>
    <n v="75"/>
    <n v="75"/>
    <n v="75"/>
    <n v="75"/>
    <n v="75"/>
    <n v="400"/>
    <n v="200"/>
  </r>
  <r>
    <s v="CM-SWVI [10]"/>
    <s v="Southwest Vancouver Island"/>
    <s v="WARN BAY CREEK_Chum"/>
    <x v="0"/>
    <x v="0"/>
    <x v="4"/>
    <x v="110"/>
    <x v="1"/>
    <m/>
    <m/>
    <n v="4"/>
    <n v="9"/>
    <n v="9"/>
    <n v="5579.5706897893724"/>
    <n v="24867"/>
    <n v="2614.3931354860615"/>
    <m/>
    <s v="PL+D or Presence/Absence"/>
    <s v="Chum is the target species.  Missing 1999 data."/>
    <n v="10654.375"/>
    <n v="4443"/>
    <n v="1400"/>
    <n v="2075"/>
    <n v="197"/>
    <n v="2542"/>
    <n v="8546"/>
    <s v="NI"/>
    <n v="12654"/>
    <n v="9414"/>
    <n v="24867"/>
    <n v="16000"/>
    <n v="5000"/>
    <m/>
    <s v="AP"/>
    <n v="7500"/>
    <n v="6500"/>
    <n v="3300"/>
    <n v="7000"/>
    <n v="6000"/>
    <s v="UK"/>
    <n v="1800"/>
    <n v="1250"/>
    <n v="500"/>
    <n v="2500"/>
    <n v="4500"/>
    <n v="5000"/>
    <n v="6000"/>
    <n v="5500"/>
    <n v="2000"/>
    <n v="4000"/>
    <n v="750"/>
    <n v="7650"/>
    <n v="1800"/>
    <n v="5000"/>
    <n v="2000"/>
    <n v="1300"/>
    <n v="2500"/>
    <n v="4500"/>
    <n v="3500"/>
    <n v="3500"/>
    <n v="750"/>
    <n v="3500"/>
    <n v="1500"/>
    <n v="2500"/>
    <n v="1500"/>
    <n v="1500"/>
    <n v="400"/>
    <n v="3000"/>
    <n v="1000"/>
    <n v="1500"/>
    <n v="400"/>
    <n v="3500"/>
    <n v="1500"/>
    <n v="1500"/>
    <n v="1500"/>
    <n v="1500"/>
    <n v="750"/>
    <n v="7500"/>
    <n v="1500"/>
  </r>
  <r>
    <s v="CK-SWVI [31]"/>
    <s v="Southwest Vancouver Island"/>
    <s v="WARN BAY CREEK_Chinook"/>
    <x v="0"/>
    <x v="0"/>
    <x v="4"/>
    <x v="110"/>
    <x v="2"/>
    <m/>
    <m/>
    <n v="4"/>
    <n v="9"/>
    <n v="5"/>
    <n v="6.9135924239888027"/>
    <n v="20"/>
    <n v="5.4376980101880275"/>
    <m/>
    <s v="PL+D or Presence/Absence"/>
    <s v="Chum is the target species.  Missing 1999 data."/>
    <n v="9.75"/>
    <n v="42"/>
    <n v="26"/>
    <n v="6"/>
    <n v="3"/>
    <n v="13"/>
    <s v="NO"/>
    <s v="NI"/>
    <n v="7"/>
    <n v="20"/>
    <s v="NO"/>
    <s v="AP"/>
    <s v="NO"/>
    <m/>
    <s v="NO"/>
    <s v="NO"/>
    <n v="2"/>
    <n v="10"/>
    <n v="1"/>
    <s v="UK"/>
    <s v="UK"/>
    <s v="UK"/>
    <s v="UK"/>
    <s v="UK"/>
    <s v="UK"/>
    <s v="UK"/>
    <s v="UK"/>
    <s v="UK"/>
    <s v="NO"/>
    <n v="7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CLAY [18]"/>
    <s v="Clayoquot"/>
    <s v="WATTA CREEK_Coho"/>
    <x v="0"/>
    <x v="0"/>
    <x v="4"/>
    <x v="111"/>
    <x v="0"/>
    <m/>
    <m/>
    <n v="4"/>
    <n v="7"/>
    <n v="5"/>
    <n v="247.78431817594844"/>
    <n v="400"/>
    <n v="101.66217159107697"/>
    <m/>
    <s v="PL+D or Presence/Absence"/>
    <s v="Chum is the target species.  Missing 1999 data.  Last survey was in 2002."/>
    <n v="250"/>
    <s v="NI"/>
    <n v="133"/>
    <n v="232"/>
    <n v="256"/>
    <s v="NI"/>
    <s v="NI"/>
    <s v="NI"/>
    <s v="NI"/>
    <s v="NI"/>
    <s v="NO"/>
    <n v="250"/>
    <s v="AP"/>
    <m/>
    <s v="AP"/>
    <s v="NO"/>
    <n v="310"/>
    <n v="190"/>
    <s v="UK"/>
    <s v="UK"/>
    <s v="UK"/>
    <n v="75"/>
    <n v="100"/>
    <n v="10"/>
    <n v="50"/>
    <s v="NO"/>
    <n v="50"/>
    <n v="100"/>
    <s v="UK"/>
    <s v="UK"/>
    <s v="UK"/>
    <n v="50"/>
    <n v="25"/>
    <n v="175"/>
    <n v="25"/>
    <n v="75"/>
    <n v="30"/>
    <n v="75"/>
    <n v="25"/>
    <n v="75"/>
    <n v="25"/>
    <n v="200"/>
    <n v="200"/>
    <n v="75"/>
    <n v="40"/>
    <n v="25"/>
    <n v="75"/>
    <n v="100"/>
    <n v="300"/>
    <n v="75"/>
    <n v="200"/>
    <n v="400"/>
    <n v="200"/>
    <n v="400"/>
    <n v="400"/>
    <n v="400"/>
    <n v="400"/>
    <n v="200"/>
    <n v="75"/>
    <n v="200"/>
  </r>
  <r>
    <s v="CM-SWVI [10]"/>
    <s v="Southwest Vancouver Island"/>
    <s v="WATTA CREEK_Chum"/>
    <x v="0"/>
    <x v="0"/>
    <x v="4"/>
    <x v="111"/>
    <x v="1"/>
    <m/>
    <m/>
    <n v="4"/>
    <n v="7"/>
    <n v="7"/>
    <n v="1791.3568038132385"/>
    <n v="8500"/>
    <n v="1869.7936076004955"/>
    <m/>
    <s v="PL+D or Presence/Absence"/>
    <s v="Chum is the target species.  Missing 1999 data.  Last survey was in 2002."/>
    <n v="2703"/>
    <s v="NI"/>
    <n v="257"/>
    <n v="38"/>
    <n v="679"/>
    <s v="NI"/>
    <s v="NI"/>
    <s v="NI"/>
    <s v="NI"/>
    <s v="NI"/>
    <n v="2018"/>
    <n v="3200"/>
    <n v="500"/>
    <m/>
    <s v="AP"/>
    <n v="3000"/>
    <n v="6000"/>
    <n v="1500"/>
    <n v="2500"/>
    <n v="1650"/>
    <s v="UK"/>
    <n v="1700"/>
    <n v="3800"/>
    <n v="1600"/>
    <n v="1400"/>
    <n v="1100"/>
    <n v="4500"/>
    <n v="5500"/>
    <n v="1200"/>
    <n v="800"/>
    <n v="5000"/>
    <n v="1500"/>
    <n v="5200"/>
    <n v="950"/>
    <n v="3000"/>
    <n v="3500"/>
    <n v="1900"/>
    <n v="750"/>
    <n v="3000"/>
    <n v="7500"/>
    <n v="1500"/>
    <n v="1500"/>
    <n v="3500"/>
    <n v="3500"/>
    <n v="8500"/>
    <n v="3500"/>
    <n v="750"/>
    <n v="500"/>
    <n v="2000"/>
    <n v="800"/>
    <n v="750"/>
    <n v="750"/>
    <n v="1500"/>
    <n v="3500"/>
    <n v="3500"/>
    <n v="1500"/>
    <n v="750"/>
    <n v="750"/>
    <n v="1500"/>
    <n v="1500"/>
  </r>
  <r>
    <s v="CK-SWVI [31]"/>
    <s v="Southwest Vancouver Island"/>
    <s v="WATTA CREEK_Chinook"/>
    <x v="0"/>
    <x v="0"/>
    <x v="4"/>
    <x v="111"/>
    <x v="2"/>
    <m/>
    <m/>
    <n v="4"/>
    <n v="7"/>
    <n v="2"/>
    <n v="9.2051640825158891"/>
    <n v="200"/>
    <n v="27.649735949578556"/>
    <m/>
    <s v="PL+D or Presence/Absence"/>
    <s v="Chum is the target species.  Missing 1999 data.  Last survey was in 2002."/>
    <n v="16.5"/>
    <s v="NI"/>
    <n v="6"/>
    <n v="8"/>
    <n v="3"/>
    <s v="NI"/>
    <s v="NI"/>
    <s v="NI"/>
    <s v="NI"/>
    <s v="NI"/>
    <s v="NO"/>
    <s v="NO"/>
    <s v="NO"/>
    <m/>
    <s v="NO"/>
    <s v="NO"/>
    <n v="13"/>
    <n v="20"/>
    <s v="UK"/>
    <s v="UK"/>
    <s v="UK"/>
    <n v="4"/>
    <s v="UK"/>
    <s v="NO"/>
    <n v="10"/>
    <s v="NO"/>
    <n v="40"/>
    <n v="3"/>
    <s v="UK"/>
    <s v="UK"/>
    <s v="NO"/>
    <n v="10"/>
    <s v="NO"/>
    <n v="55"/>
    <n v="15"/>
    <n v="25"/>
    <n v="40"/>
    <n v="25"/>
    <n v="25"/>
    <n v="25"/>
    <n v="75"/>
    <n v="75"/>
    <n v="75"/>
    <n v="25"/>
    <n v="40"/>
    <n v="25"/>
    <s v="UK"/>
    <n v="10"/>
    <n v="80"/>
    <n v="25"/>
    <n v="75"/>
    <n v="75"/>
    <n v="75"/>
    <n v="200"/>
    <n v="75"/>
    <s v="UK"/>
    <s v="UK"/>
    <s v="UK"/>
    <s v="UK"/>
    <s v="UK"/>
  </r>
  <r>
    <s v="CO-CLAY [18]"/>
    <s v="Clayoquot"/>
    <s v="WHITE PINE COVE CREEK_Coho"/>
    <x v="0"/>
    <x v="0"/>
    <x v="4"/>
    <x v="112"/>
    <x v="0"/>
    <m/>
    <m/>
    <n v="4"/>
    <n v="6"/>
    <n v="0"/>
    <e v="#NUM!"/>
    <n v="100"/>
    <n v="30.998615670459476"/>
    <m/>
    <s v="PL+D or Presence/Absence"/>
    <s v="Chum is the target Species.  Missing 1999 data.  Last survey 2002."/>
    <m/>
    <s v="NI"/>
    <m/>
    <m/>
    <m/>
    <s v="NI"/>
    <s v="NI"/>
    <s v="NI"/>
    <s v="NI"/>
    <s v="NI"/>
    <s v="NO"/>
    <s v="NO"/>
    <s v="NI"/>
    <m/>
    <s v="NO"/>
    <s v="NO"/>
    <s v="NO"/>
    <s v="NO"/>
    <s v="UK"/>
    <s v="UK"/>
    <s v="UK"/>
    <s v="UK"/>
    <s v="UK"/>
    <s v="UK"/>
    <s v="NO"/>
    <s v="NO"/>
    <s v="NO"/>
    <s v="NO"/>
    <s v="NO"/>
    <s v="UK"/>
    <s v="UK"/>
    <s v="UK"/>
    <s v="NO"/>
    <s v="NO"/>
    <s v="NO"/>
    <s v="NO"/>
    <s v="NO"/>
    <s v="NO"/>
    <s v="NO"/>
    <s v="NO"/>
    <n v="25"/>
    <n v="75"/>
    <n v="25"/>
    <s v="UK"/>
    <s v="UK"/>
    <n v="25"/>
    <n v="25"/>
    <n v="100"/>
    <n v="50"/>
    <n v="50"/>
    <n v="25"/>
    <n v="25"/>
    <n v="25"/>
    <n v="25"/>
    <n v="25"/>
    <n v="25"/>
    <n v="25"/>
    <n v="25"/>
    <n v="25"/>
    <n v="25"/>
  </r>
  <r>
    <s v="CM-SWVI [10]"/>
    <s v="Southwest Vancouver Island"/>
    <s v="WHITE PINE COVE CREEK_Chum"/>
    <x v="0"/>
    <x v="0"/>
    <x v="4"/>
    <x v="112"/>
    <x v="1"/>
    <m/>
    <m/>
    <n v="4"/>
    <n v="6"/>
    <n v="6"/>
    <n v="147.12579168128801"/>
    <n v="1500"/>
    <n v="280.41103962948068"/>
    <m/>
    <s v="PL+D or Presence/Absence"/>
    <s v="Chum is the target Species.  Missing 1999 data.  Last survey 2002."/>
    <n v="330.8"/>
    <s v="NI"/>
    <m/>
    <m/>
    <m/>
    <s v="NI"/>
    <s v="NI"/>
    <s v="NI"/>
    <s v="NI"/>
    <s v="NI"/>
    <n v="816"/>
    <n v="160"/>
    <s v="NI"/>
    <m/>
    <s v="AP"/>
    <n v="550"/>
    <n v="120"/>
    <n v="8"/>
    <n v="200"/>
    <n v="500"/>
    <s v="UK"/>
    <n v="125"/>
    <n v="10"/>
    <s v="UK"/>
    <n v="100"/>
    <n v="100"/>
    <n v="700"/>
    <n v="600"/>
    <n v="110"/>
    <n v="350"/>
    <n v="600"/>
    <n v="700"/>
    <n v="650"/>
    <n v="525"/>
    <n v="500"/>
    <n v="300"/>
    <n v="150"/>
    <n v="500"/>
    <n v="300"/>
    <n v="400"/>
    <n v="75"/>
    <n v="200"/>
    <n v="1500"/>
    <n v="400"/>
    <n v="800"/>
    <n v="200"/>
    <n v="75"/>
    <n v="150"/>
    <n v="100"/>
    <n v="250"/>
    <n v="400"/>
    <n v="400"/>
    <n v="1500"/>
    <n v="750"/>
    <n v="1500"/>
    <n v="200"/>
    <n v="200"/>
    <n v="200"/>
    <n v="1500"/>
    <n v="400"/>
  </r>
  <r>
    <s v="CK-SWVI [31]"/>
    <s v="Southwest Vancouver Island"/>
    <s v="WHITE PINE COVE CREEK_Chinook"/>
    <x v="0"/>
    <x v="0"/>
    <x v="4"/>
    <x v="112"/>
    <x v="2"/>
    <m/>
    <m/>
    <n v="4"/>
    <n v="6"/>
    <n v="0"/>
    <e v="#NUM!"/>
    <n v="0"/>
    <e v="#NUM!"/>
    <m/>
    <s v="PL+D or Presence/Absence"/>
    <s v="Chum is the target Species.  Missing 1999 data.  Last survey 2002."/>
    <m/>
    <s v="NI"/>
    <m/>
    <m/>
    <m/>
    <s v="NI"/>
    <s v="NI"/>
    <s v="NI"/>
    <s v="NI"/>
    <s v="NI"/>
    <s v="NO"/>
    <s v="NO"/>
    <s v="NI"/>
    <m/>
    <s v="NO"/>
    <s v="NO"/>
    <s v="NO"/>
    <s v="NO"/>
    <s v="UK"/>
    <s v="UK"/>
    <s v="UK"/>
    <s v="UK"/>
    <s v="UK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SK-WVI [R10]"/>
    <s v="West Vancouver Island"/>
    <s v="BEANO CREEK_Sockeye"/>
    <x v="0"/>
    <x v="0"/>
    <x v="5"/>
    <x v="113"/>
    <x v="3"/>
    <m/>
    <m/>
    <n v="5"/>
    <n v="2"/>
    <n v="1"/>
    <n v="55"/>
    <n v="55"/>
    <n v="55"/>
    <m/>
    <s v="PL+D or Presence/Absence"/>
    <s v="Only surveyed twice, once in 1997 and again in 2003."/>
    <n v="55"/>
    <s v="NI"/>
    <m/>
    <m/>
    <m/>
    <s v="NI"/>
    <s v="NI"/>
    <s v="NI"/>
    <s v="NI"/>
    <s v="NO"/>
    <s v="NI"/>
    <s v="NI"/>
    <s v="NI"/>
    <s v="NI"/>
    <s v="NI"/>
    <n v="5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WVI [17]"/>
    <s v="West Vancouver Island"/>
    <s v="BEANO CREEK_Coho"/>
    <x v="0"/>
    <x v="0"/>
    <x v="5"/>
    <x v="113"/>
    <x v="0"/>
    <m/>
    <m/>
    <n v="5"/>
    <n v="2"/>
    <n v="1"/>
    <n v="20"/>
    <n v="20"/>
    <n v="20"/>
    <m/>
    <s v="PL+D or Presence/Absence"/>
    <s v="Only surveyed twice, once in 1997 and again in 2003."/>
    <n v="20"/>
    <s v="NI"/>
    <m/>
    <m/>
    <m/>
    <s v="NI"/>
    <s v="NI"/>
    <s v="NI"/>
    <s v="NI"/>
    <n v="20"/>
    <s v="NI"/>
    <s v="NI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BEANO CREEK_Chum"/>
    <x v="0"/>
    <x v="0"/>
    <x v="5"/>
    <x v="113"/>
    <x v="1"/>
    <m/>
    <m/>
    <n v="5"/>
    <n v="2"/>
    <n v="2"/>
    <n v="144.22205101855957"/>
    <n v="260"/>
    <n v="144.22205101855957"/>
    <m/>
    <s v="PL+D or Presence/Absence"/>
    <s v="Only surveyed twice, once in 1997 and again in 2003."/>
    <n v="170"/>
    <s v="NI"/>
    <m/>
    <m/>
    <m/>
    <s v="NI"/>
    <s v="NI"/>
    <s v="NI"/>
    <s v="NI"/>
    <n v="80"/>
    <s v="NI"/>
    <s v="NI"/>
    <s v="NI"/>
    <s v="NI"/>
    <s v="NI"/>
    <n v="26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WVI [17]"/>
    <s v="West Vancouver Island"/>
    <s v="BINGO CREEK_Coho"/>
    <x v="0"/>
    <x v="0"/>
    <x v="5"/>
    <x v="114"/>
    <x v="0"/>
    <m/>
    <m/>
    <n v="5"/>
    <n v="3"/>
    <n v="1"/>
    <n v="150"/>
    <n v="150"/>
    <n v="82.54818122236567"/>
    <m/>
    <s v="PL+D or Presence/Absence"/>
    <s v="Last time stream was surveyed was in 2002, no fish were observed."/>
    <n v="150"/>
    <s v="NI"/>
    <m/>
    <m/>
    <m/>
    <s v="NI"/>
    <s v="NI"/>
    <s v="NI"/>
    <s v="NI"/>
    <s v="NI"/>
    <s v="NO"/>
    <n v="150"/>
    <s v="NI"/>
    <s v="NO"/>
    <s v="NI"/>
    <s v="NI"/>
    <s v="NI"/>
    <s v="NI"/>
    <s v="NI"/>
    <s v="NI"/>
    <s v="NI"/>
    <s v="NI"/>
    <s v="NI"/>
    <s v="NI"/>
    <s v="NI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n v="25"/>
    <s v="UK"/>
    <n v="150"/>
    <s v="UK"/>
  </r>
  <r>
    <s v="CM-SWVI [10]"/>
    <s v="Southwest Vancouver Island"/>
    <s v="BINGO CREEK_Chum"/>
    <x v="0"/>
    <x v="0"/>
    <x v="5"/>
    <x v="114"/>
    <x v="1"/>
    <m/>
    <m/>
    <n v="5"/>
    <n v="3"/>
    <n v="2"/>
    <n v="252.48762345905195"/>
    <n v="750"/>
    <n v="157.07761179092748"/>
    <m/>
    <s v="PL+D or Presence/Absence"/>
    <s v="Last time stream was surveyed was in 2002, no fish were observed."/>
    <n v="417.5"/>
    <s v="NI"/>
    <m/>
    <m/>
    <m/>
    <s v="NI"/>
    <s v="NI"/>
    <s v="NI"/>
    <s v="NI"/>
    <s v="NI"/>
    <s v="NO"/>
    <n v="85"/>
    <s v="NI"/>
    <n v="750"/>
    <s v="NI"/>
    <s v="NI"/>
    <s v="NI"/>
    <s v="NI"/>
    <s v="NI"/>
    <s v="NI"/>
    <s v="NI"/>
    <s v="NI"/>
    <s v="NI"/>
    <s v="NI"/>
    <s v="NI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n v="25"/>
    <s v="UK"/>
    <n v="300"/>
    <n v="200"/>
  </r>
  <r>
    <s v="SK-WVI [R10]"/>
    <s v="West Vancouver Island"/>
    <s v="BRODICK CREEK_Sockeye"/>
    <x v="0"/>
    <x v="0"/>
    <x v="5"/>
    <x v="115"/>
    <x v="3"/>
    <m/>
    <m/>
    <n v="5"/>
    <n v="6"/>
    <n v="1"/>
    <n v="175"/>
    <n v="175"/>
    <n v="93.541434669348533"/>
    <m/>
    <s v="PL+D or Presence/Absence"/>
    <s v="Chum is the target species."/>
    <n v="175"/>
    <n v="5"/>
    <m/>
    <m/>
    <s v="NO"/>
    <s v="NO"/>
    <s v="NO"/>
    <s v="NI"/>
    <s v="NI"/>
    <s v="NI"/>
    <s v="NO"/>
    <s v="NI"/>
    <s v="NO"/>
    <s v="NO"/>
    <s v="NO"/>
    <n v="175"/>
    <s v="NO"/>
    <s v="NI"/>
    <s v="UK"/>
    <n v="50"/>
    <s v="NI"/>
    <s v="UK"/>
    <s v="UK"/>
    <s v="NI"/>
    <s v="UK"/>
    <s v="UK"/>
    <s v="UK"/>
    <s v="NO"/>
    <s v="NO"/>
    <s v="UK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BRODICK CREEK_Coho"/>
    <x v="0"/>
    <x v="0"/>
    <x v="5"/>
    <x v="115"/>
    <x v="0"/>
    <m/>
    <m/>
    <n v="5"/>
    <n v="6"/>
    <n v="3"/>
    <n v="9.099906246356122"/>
    <n v="750"/>
    <n v="39.267001812268582"/>
    <m/>
    <s v="PL+D or Presence/Absence"/>
    <s v="Chum is the target species."/>
    <n v="36"/>
    <s v="NO"/>
    <m/>
    <m/>
    <s v="NO"/>
    <n v="2"/>
    <n v="4"/>
    <s v="NI"/>
    <s v="NI"/>
    <s v="NI"/>
    <s v="NO"/>
    <s v="NI"/>
    <s v="NO"/>
    <n v="65"/>
    <n v="40"/>
    <n v="3"/>
    <s v="NO"/>
    <s v="NI"/>
    <s v="NO"/>
    <s v="NO"/>
    <s v="NO"/>
    <s v="NO"/>
    <s v="NO"/>
    <s v="NI"/>
    <n v="25"/>
    <n v="50"/>
    <n v="50"/>
    <s v="NO"/>
    <s v="NO"/>
    <s v="UK"/>
    <s v="NI"/>
    <s v="NI"/>
    <s v="UK"/>
    <s v="UK"/>
    <s v="UK"/>
    <s v="UK"/>
    <s v="UK"/>
    <n v="25"/>
    <n v="25"/>
    <n v="75"/>
    <n v="25"/>
    <n v="25"/>
    <n v="100"/>
    <s v="NO"/>
    <n v="25"/>
    <n v="25"/>
    <n v="200"/>
    <n v="75"/>
    <n v="400"/>
    <n v="50"/>
    <n v="25"/>
    <n v="25"/>
    <n v="25"/>
    <n v="75"/>
    <n v="75"/>
    <n v="25"/>
    <n v="25"/>
    <n v="25"/>
    <n v="300"/>
    <n v="750"/>
  </r>
  <r>
    <s v="CM-SWVI [10]"/>
    <s v="Southwest Vancouver Island"/>
    <s v="BRODICK CREEK_Chum"/>
    <x v="0"/>
    <x v="0"/>
    <x v="5"/>
    <x v="115"/>
    <x v="1"/>
    <m/>
    <m/>
    <n v="5"/>
    <n v="6"/>
    <n v="4"/>
    <n v="145.60248383048037"/>
    <n v="4605"/>
    <n v="485.57205592658602"/>
    <m/>
    <s v="PL+D or Presence/Absence"/>
    <s v="Chum is the target species.  High chum estimate in 1998."/>
    <n v="1435"/>
    <n v="221"/>
    <n v="182"/>
    <n v="70"/>
    <n v="8"/>
    <n v="16"/>
    <n v="142"/>
    <s v="NI"/>
    <s v="NI"/>
    <s v="NI"/>
    <s v="NO"/>
    <s v="NI"/>
    <s v="NO"/>
    <n v="60"/>
    <n v="4605"/>
    <n v="425"/>
    <n v="650"/>
    <s v="NI"/>
    <n v="2700"/>
    <n v="1350"/>
    <n v="3500"/>
    <n v="11"/>
    <n v="1160"/>
    <s v="NI"/>
    <n v="1200"/>
    <n v="750"/>
    <n v="1400"/>
    <n v="1400"/>
    <n v="700"/>
    <n v="1050"/>
    <s v="NI"/>
    <s v="NI"/>
    <n v="750"/>
    <n v="242"/>
    <n v="400"/>
    <n v="100"/>
    <n v="400"/>
    <n v="200"/>
    <n v="750"/>
    <n v="1500"/>
    <n v="750"/>
    <n v="200"/>
    <n v="500"/>
    <n v="75"/>
    <n v="750"/>
    <n v="750"/>
    <n v="1500"/>
    <n v="400"/>
    <n v="3500"/>
    <n v="400"/>
    <n v="750"/>
    <n v="25"/>
    <n v="3500"/>
    <n v="750"/>
    <n v="1500"/>
    <n v="750"/>
    <n v="200"/>
    <n v="75"/>
    <n v="2500"/>
    <n v="3500"/>
  </r>
  <r>
    <s v="SK-WVI [R10]"/>
    <s v="West Vancouver Island"/>
    <s v="BURMAN RIVER_Sockeye"/>
    <x v="0"/>
    <x v="0"/>
    <x v="5"/>
    <x v="116"/>
    <x v="3"/>
    <m/>
    <m/>
    <n v="2"/>
    <n v="11"/>
    <n v="11"/>
    <n v="302.88512016305276"/>
    <n v="2000"/>
    <n v="204.22216733660068"/>
    <s v="A.  PSC Indicator stocks."/>
    <s v="AUC"/>
    <m/>
    <n v="631.72727272727275"/>
    <n v="1540"/>
    <n v="1015"/>
    <n v="450"/>
    <n v="195"/>
    <n v="173"/>
    <n v="122"/>
    <n v="472"/>
    <n v="1025"/>
    <n v="24"/>
    <n v="141"/>
    <n v="252"/>
    <n v="211"/>
    <n v="620"/>
    <n v="1762"/>
    <n v="1647"/>
    <n v="127"/>
    <n v="668"/>
    <n v="250"/>
    <n v="1000"/>
    <n v="2000"/>
    <n v="500"/>
    <n v="200"/>
    <n v="125"/>
    <n v="800"/>
    <n v="150"/>
    <n v="100"/>
    <s v="NI"/>
    <s v="NO"/>
    <n v="1000"/>
    <n v="250"/>
    <n v="200"/>
    <n v="216"/>
    <n v="325"/>
    <n v="1000"/>
    <n v="300"/>
    <n v="750"/>
    <n v="75"/>
    <n v="25"/>
    <n v="75"/>
    <s v="UK"/>
    <s v="UK"/>
    <s v="UK"/>
    <n v="25"/>
    <s v="UK"/>
    <s v="NO"/>
    <n v="25"/>
    <n v="25"/>
    <n v="200"/>
    <n v="75"/>
    <n v="75"/>
    <n v="25"/>
    <n v="400"/>
    <n v="200"/>
    <n v="75"/>
    <s v="NO"/>
    <n v="75"/>
    <s v="UK"/>
    <s v="UK"/>
    <s v="UK"/>
  </r>
  <r>
    <s v="CO-WVI [17]"/>
    <s v="West Vancouver Island"/>
    <s v="BURMAN RIVER_Coho"/>
    <x v="0"/>
    <x v="0"/>
    <x v="5"/>
    <x v="116"/>
    <x v="0"/>
    <m/>
    <m/>
    <n v="2"/>
    <n v="11"/>
    <n v="11"/>
    <n v="751.23964187189085"/>
    <n v="4000"/>
    <n v="739.84516247736497"/>
    <s v="A.  PSC Indicator stocks."/>
    <s v="AUC"/>
    <s v="Average Esc from 1995-2005 from file: NEW ESCAPEMENT INDEX.XLS"/>
    <n v="1060.2727272727273"/>
    <n v="1461"/>
    <n v="1565"/>
    <n v="1520"/>
    <n v="791"/>
    <n v="294"/>
    <n v="380"/>
    <n v="2513"/>
    <n v="2252"/>
    <n v="1719"/>
    <n v="326"/>
    <n v="477"/>
    <n v="750"/>
    <n v="654"/>
    <n v="860"/>
    <n v="510"/>
    <n v="714"/>
    <n v="888"/>
    <n v="75"/>
    <s v="NO"/>
    <n v="350"/>
    <n v="300"/>
    <n v="550"/>
    <n v="110"/>
    <n v="500"/>
    <n v="1000"/>
    <n v="200"/>
    <n v="200"/>
    <n v="200"/>
    <s v="UK"/>
    <n v="1750"/>
    <n v="1600"/>
    <n v="316"/>
    <n v="750"/>
    <n v="1000"/>
    <n v="900"/>
    <n v="75"/>
    <n v="750"/>
    <n v="1500"/>
    <n v="1500"/>
    <n v="1000"/>
    <n v="3500"/>
    <n v="1500"/>
    <n v="750"/>
    <n v="750"/>
    <n v="2000"/>
    <n v="2000"/>
    <n v="3500"/>
    <n v="4000"/>
    <n v="3000"/>
    <n v="3500"/>
    <n v="200"/>
    <n v="400"/>
    <n v="400"/>
    <n v="400"/>
    <n v="400"/>
    <n v="3500"/>
    <n v="200"/>
    <n v="1500"/>
    <n v="3500"/>
  </r>
  <r>
    <s v="Pkodd-WVI [6]"/>
    <s v="West Vancouver Island"/>
    <s v="BURMAN RIVER_Pink"/>
    <x v="0"/>
    <x v="0"/>
    <x v="5"/>
    <x v="116"/>
    <x v="4"/>
    <m/>
    <m/>
    <n v="2"/>
    <n v="11"/>
    <n v="7"/>
    <n v="4.7367928768793881"/>
    <n v="165000"/>
    <n v="516.66131731335554"/>
    <s v="A.  PSC Indicator stocks."/>
    <s v="AUC"/>
    <m/>
    <n v="7.8571428571428568"/>
    <n v="4"/>
    <m/>
    <m/>
    <n v="3"/>
    <s v="NO"/>
    <s v="NO"/>
    <n v="1"/>
    <s v="NO"/>
    <s v="NO"/>
    <s v="NO"/>
    <n v="24"/>
    <s v="NO"/>
    <n v="8"/>
    <n v="5"/>
    <n v="11"/>
    <n v="2"/>
    <n v="4"/>
    <s v="NO"/>
    <s v="NO"/>
    <n v="20"/>
    <s v="NO"/>
    <n v="60"/>
    <s v="UK"/>
    <s v="NO"/>
    <s v="NO"/>
    <n v="50"/>
    <s v="UK"/>
    <n v="400"/>
    <n v="100"/>
    <n v="17500"/>
    <s v="UK"/>
    <n v="20000"/>
    <n v="175"/>
    <n v="6000"/>
    <s v="UK"/>
    <n v="15000"/>
    <s v="UK"/>
    <n v="15000"/>
    <s v="UK"/>
    <n v="165000"/>
    <s v="NO"/>
    <n v="30000"/>
    <s v="NO"/>
    <n v="120000"/>
    <s v="NO"/>
    <n v="150000"/>
    <n v="25"/>
    <n v="30000"/>
    <s v="NO"/>
    <n v="75000"/>
    <n v="25"/>
    <n v="7500"/>
    <n v="25"/>
    <n v="10000"/>
    <s v="NO"/>
    <n v="7500"/>
    <s v="NO"/>
    <s v="UK"/>
    <n v="7500"/>
  </r>
  <r>
    <s v="CM-SWVI [10]"/>
    <s v="Southwest Vancouver Island"/>
    <s v="BURMAN RIVER_Chum"/>
    <x v="0"/>
    <x v="0"/>
    <x v="5"/>
    <x v="116"/>
    <x v="1"/>
    <m/>
    <m/>
    <n v="2"/>
    <n v="11"/>
    <n v="11"/>
    <n v="5796.3819662162596"/>
    <n v="25133"/>
    <n v="4352.4765928422712"/>
    <s v="A.  PSC Indicator stocks."/>
    <s v="AUC"/>
    <s v="Average Esc from 1995-2005 from file: NEW ESCAPEMENT INDEX.XLS"/>
    <n v="9673.2727272727279"/>
    <n v="1532"/>
    <n v="3835"/>
    <n v="2300"/>
    <n v="3362"/>
    <n v="717"/>
    <n v="5050"/>
    <n v="8289"/>
    <n v="7450"/>
    <n v="4457"/>
    <n v="25133"/>
    <n v="12225"/>
    <n v="2231"/>
    <n v="5325"/>
    <n v="22236"/>
    <n v="10135"/>
    <n v="6005"/>
    <n v="2920"/>
    <n v="1000"/>
    <n v="14000"/>
    <n v="9000"/>
    <n v="16000"/>
    <n v="750"/>
    <n v="700"/>
    <n v="1500"/>
    <n v="1700"/>
    <n v="500"/>
    <n v="1000"/>
    <n v="1000"/>
    <n v="3500"/>
    <n v="7500"/>
    <n v="7600"/>
    <n v="3000"/>
    <n v="720"/>
    <n v="6500"/>
    <n v="3500"/>
    <n v="7500"/>
    <n v="7500"/>
    <n v="7500"/>
    <n v="7500"/>
    <n v="1350"/>
    <n v="6700"/>
    <n v="3000"/>
    <n v="7500"/>
    <n v="7500"/>
    <n v="12000"/>
    <n v="4000"/>
    <n v="3500"/>
    <n v="5500"/>
    <n v="9000"/>
    <n v="7500"/>
    <n v="3500"/>
    <n v="15000"/>
    <n v="750"/>
    <n v="7500"/>
    <n v="3500"/>
    <n v="15000"/>
    <n v="3500"/>
    <n v="7500"/>
    <n v="7500"/>
  </r>
  <r>
    <s v="CK-NoKy [32]"/>
    <s v="Nootka and Kyuquot"/>
    <s v="BURMAN RIVER_Chinook"/>
    <x v="1"/>
    <x v="1"/>
    <x v="5"/>
    <x v="116"/>
    <x v="2"/>
    <m/>
    <m/>
    <n v="2"/>
    <n v="11"/>
    <n v="11"/>
    <n v="564.79750825030658"/>
    <n v="3500"/>
    <n v="710.13808097178571"/>
    <s v="A.  PSC Indicator stocks."/>
    <s v="AUC"/>
    <s v="Average Esc from 1995-2005 from file: NEW ESCAPEMENT INDEX.XLS"/>
    <n v="1159.1818181818182"/>
    <n v="2024"/>
    <n v="2825"/>
    <n v="1500"/>
    <n v="328"/>
    <n v="158"/>
    <n v="404"/>
    <n v="521"/>
    <n v="2389"/>
    <n v="571"/>
    <n v="440"/>
    <n v="96"/>
    <n v="149"/>
    <n v="2268"/>
    <n v="3065"/>
    <n v="2224"/>
    <n v="693"/>
    <n v="335"/>
    <n v="2200"/>
    <n v="1750"/>
    <n v="2000"/>
    <n v="2500"/>
    <n v="1100"/>
    <n v="700"/>
    <n v="400"/>
    <n v="100"/>
    <n v="400"/>
    <n v="500"/>
    <n v="700"/>
    <n v="475"/>
    <s v="UK"/>
    <n v="300"/>
    <n v="345"/>
    <n v="650"/>
    <n v="1000"/>
    <n v="500"/>
    <n v="400"/>
    <n v="200"/>
    <n v="750"/>
    <n v="750"/>
    <n v="1500"/>
    <n v="1000"/>
    <n v="900"/>
    <n v="1500"/>
    <n v="500"/>
    <n v="2800"/>
    <n v="3000"/>
    <n v="3500"/>
    <n v="3000"/>
    <n v="3000"/>
    <n v="3500"/>
    <n v="750"/>
    <n v="1500"/>
    <n v="200"/>
    <n v="200"/>
    <n v="200"/>
    <n v="200"/>
    <n v="750"/>
    <n v="75"/>
    <n v="3500"/>
  </r>
  <r>
    <s v="SK-WVI [R10]"/>
    <s v="West Vancouver Island"/>
    <s v="CANTON CREEK_Sockeye"/>
    <x v="0"/>
    <x v="0"/>
    <x v="5"/>
    <x v="117"/>
    <x v="3"/>
    <m/>
    <m/>
    <n v="1"/>
    <n v="7"/>
    <n v="7"/>
    <n v="26.939987741102705"/>
    <n v="200"/>
    <n v="34.365663337752238"/>
    <s v="E.   Systems extensively surveyed, with major hatcheries or considerable hatchery contribution"/>
    <s v="AUC"/>
    <s v="Chum is the target species.  2001 was the last year estimates were made for all species."/>
    <n v="62.857142857142854"/>
    <n v="190"/>
    <n v="8"/>
    <n v="10"/>
    <m/>
    <n v="1"/>
    <s v="NI"/>
    <s v="NI"/>
    <s v="NI"/>
    <s v="NI"/>
    <s v="NI"/>
    <n v="48"/>
    <n v="35"/>
    <n v="41"/>
    <n v="126"/>
    <n v="148"/>
    <n v="36"/>
    <n v="6"/>
    <s v="UK"/>
    <n v="200"/>
    <s v="NI"/>
    <s v="UK"/>
    <s v="UK"/>
    <s v="UK"/>
    <s v="UK"/>
    <s v="UK"/>
    <n v="20"/>
    <n v="100"/>
    <s v="NO"/>
    <s v="UK"/>
    <n v="100"/>
    <n v="25"/>
    <s v="UK"/>
    <n v="10"/>
    <n v="75"/>
    <s v="UK"/>
    <n v="25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CANTON CREEK_Coho"/>
    <x v="0"/>
    <x v="0"/>
    <x v="5"/>
    <x v="117"/>
    <x v="0"/>
    <m/>
    <m/>
    <n v="1"/>
    <n v="7"/>
    <n v="7"/>
    <n v="700.61920727999745"/>
    <n v="3418"/>
    <n v="237.11294563688639"/>
    <s v="E.   Systems extensively surveyed, with major hatcheries or considerable hatchery contribution"/>
    <s v="AUC"/>
    <s v="Chum is the target species.  2001 was the last year estimates were made for all species."/>
    <n v="1129.1428571428571"/>
    <n v="1141"/>
    <n v="910"/>
    <n v="1080"/>
    <m/>
    <n v="226"/>
    <s v="NI"/>
    <s v="NI"/>
    <s v="NI"/>
    <s v="NI"/>
    <s v="NI"/>
    <n v="1190"/>
    <n v="3418"/>
    <n v="662"/>
    <n v="1369"/>
    <n v="323"/>
    <n v="393"/>
    <n v="549"/>
    <s v="UK"/>
    <n v="100"/>
    <n v="30"/>
    <n v="30"/>
    <s v="UK"/>
    <s v="UK"/>
    <s v="UK"/>
    <n v="71"/>
    <n v="230"/>
    <s v="NI"/>
    <s v="NO"/>
    <s v="UK"/>
    <s v="UK"/>
    <n v="100"/>
    <s v="UK"/>
    <n v="30"/>
    <s v="NO"/>
    <s v="UK"/>
    <n v="200"/>
    <n v="200"/>
    <n v="200"/>
    <n v="25"/>
    <n v="200"/>
    <n v="750"/>
    <n v="300"/>
    <n v="75"/>
    <n v="200"/>
    <n v="500"/>
    <n v="600"/>
    <n v="750"/>
    <n v="400"/>
    <n v="400"/>
    <n v="750"/>
    <n v="75"/>
    <n v="75"/>
    <n v="200"/>
    <n v="200"/>
    <n v="75"/>
    <n v="75"/>
    <s v="NO"/>
    <n v="1000"/>
    <n v="1500"/>
  </r>
  <r>
    <s v="CM-SWVI [10]"/>
    <s v="Southwest Vancouver Island"/>
    <s v="CANTON CREEK_Chum"/>
    <x v="0"/>
    <x v="0"/>
    <x v="5"/>
    <x v="117"/>
    <x v="1"/>
    <m/>
    <m/>
    <n v="1"/>
    <n v="10"/>
    <n v="10"/>
    <n v="4916.056263019198"/>
    <n v="40629"/>
    <n v="2217.6422299979699"/>
    <s v="E.   Systems extensively surveyed, with major hatcheries or considerable hatchery contribution"/>
    <s v="AUC"/>
    <s v="Chum is the target species.  2001 was the last year estimates were made for all species."/>
    <n v="11510.7"/>
    <n v="903"/>
    <n v="3950"/>
    <n v="3500"/>
    <n v="1500"/>
    <n v="300"/>
    <s v="NI"/>
    <n v="6000"/>
    <s v="NI"/>
    <n v="11000"/>
    <n v="7000"/>
    <n v="2632"/>
    <n v="1496"/>
    <n v="9922"/>
    <n v="40629"/>
    <n v="25464"/>
    <n v="8000"/>
    <n v="2964"/>
    <n v="12000"/>
    <n v="28500"/>
    <n v="5900"/>
    <n v="5000"/>
    <n v="3200"/>
    <n v="5500"/>
    <n v="2500"/>
    <n v="300"/>
    <n v="4900"/>
    <n v="5500"/>
    <n v="4500"/>
    <n v="5000"/>
    <n v="8000"/>
    <n v="7000"/>
    <n v="5000"/>
    <n v="140"/>
    <n v="800"/>
    <n v="500"/>
    <n v="400"/>
    <n v="1500"/>
    <n v="3500"/>
    <n v="750"/>
    <n v="3500"/>
    <n v="500"/>
    <n v="700"/>
    <n v="3500"/>
    <n v="3500"/>
    <n v="900"/>
    <n v="550"/>
    <n v="750"/>
    <n v="1500"/>
    <n v="600"/>
    <n v="750"/>
    <n v="750"/>
    <n v="15000"/>
    <n v="750"/>
    <n v="1500"/>
    <n v="200"/>
    <n v="200"/>
    <n v="400"/>
    <n v="4500"/>
    <n v="3500"/>
  </r>
  <r>
    <s v="CK-NoKy [32]"/>
    <s v="Nootka and Kyuquot"/>
    <s v="CANTON CREEK_Chinook"/>
    <x v="0"/>
    <x v="0"/>
    <x v="5"/>
    <x v="117"/>
    <x v="2"/>
    <m/>
    <m/>
    <n v="1"/>
    <n v="7"/>
    <n v="7"/>
    <n v="370.29483276927289"/>
    <n v="5000"/>
    <n v="172.43282771719279"/>
    <s v="E.   Systems extensively surveyed, with major hatcheries or considerable hatchery contribution"/>
    <s v="AUC"/>
    <s v="Chum is the target species.  2001 was the last year estimates were made for all species."/>
    <n v="620.28571428571433"/>
    <n v="2150"/>
    <n v="347"/>
    <n v="170"/>
    <s v="NO"/>
    <n v="102"/>
    <s v="NI"/>
    <s v="NI"/>
    <s v="NI"/>
    <s v="NI"/>
    <s v="NI"/>
    <n v="456"/>
    <n v="973"/>
    <n v="140"/>
    <n v="620"/>
    <n v="140"/>
    <n v="398"/>
    <n v="1615"/>
    <n v="5000"/>
    <n v="800"/>
    <n v="900"/>
    <n v="100"/>
    <s v="UK"/>
    <s v="UK"/>
    <s v="UK"/>
    <s v="UK"/>
    <s v="NO"/>
    <n v="30"/>
    <n v="35"/>
    <s v="UK"/>
    <s v="UK"/>
    <n v="20"/>
    <s v="UK"/>
    <s v="UK"/>
    <s v="NO"/>
    <s v="UK"/>
    <n v="25"/>
    <n v="75"/>
    <n v="25"/>
    <n v="25"/>
    <n v="400"/>
    <n v="400"/>
    <n v="500"/>
    <n v="400"/>
    <n v="400"/>
    <n v="500"/>
    <n v="250"/>
    <n v="400"/>
    <n v="400"/>
    <n v="600"/>
    <n v="200"/>
    <n v="25"/>
    <n v="75"/>
    <n v="200"/>
    <n v="25"/>
    <n v="25"/>
    <n v="25"/>
    <n v="25"/>
    <n v="300"/>
    <n v="400"/>
  </r>
  <r>
    <s v="SK-WVI [R10]"/>
    <s v="West Vancouver Island"/>
    <s v="CHUM CREEK_Sockeye"/>
    <x v="0"/>
    <x v="0"/>
    <x v="5"/>
    <x v="118"/>
    <x v="3"/>
    <m/>
    <m/>
    <n v="4"/>
    <n v="8"/>
    <n v="2"/>
    <n v="48.062459362791664"/>
    <n v="77"/>
    <n v="28.479825673300656"/>
    <m/>
    <s v="PL+D or Presence/Absence"/>
    <s v="Chum is the target species."/>
    <n v="53.5"/>
    <n v="8"/>
    <m/>
    <n v="4"/>
    <s v="NO"/>
    <s v="NO"/>
    <s v="NO"/>
    <s v="NO"/>
    <s v="NO"/>
    <s v="NO"/>
    <s v="NO"/>
    <s v="NI"/>
    <s v="NI"/>
    <n v="30"/>
    <n v="77"/>
    <s v="NO"/>
    <s v="NI"/>
    <s v="NO"/>
    <s v="UK"/>
    <n v="10"/>
    <s v="NI"/>
    <s v="UK"/>
    <s v="UK"/>
    <s v="UK"/>
    <s v="NI"/>
    <s v="UK"/>
    <s v="UK"/>
    <s v="NI"/>
    <s v="NO"/>
    <s v="UK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NO"/>
    <s v="UK"/>
    <s v="UK"/>
    <s v="UK"/>
    <s v="UK"/>
    <s v="UK"/>
    <s v="UK"/>
  </r>
  <r>
    <s v="CO-WVI [17]"/>
    <s v="West Vancouver Island"/>
    <s v="CHUM CREEK_Coho"/>
    <x v="0"/>
    <x v="0"/>
    <x v="5"/>
    <x v="118"/>
    <x v="0"/>
    <m/>
    <m/>
    <n v="4"/>
    <n v="8"/>
    <n v="6"/>
    <n v="32.656604182919331"/>
    <n v="750"/>
    <n v="54.742052232673011"/>
    <m/>
    <s v="PL+D or Presence/Absence"/>
    <s v="Chum is the target species."/>
    <n v="50.666666666666664"/>
    <n v="67"/>
    <n v="62"/>
    <n v="7"/>
    <n v="39"/>
    <n v="16"/>
    <s v="NO"/>
    <n v="25"/>
    <n v="111"/>
    <s v="NO"/>
    <n v="15"/>
    <s v="NI"/>
    <s v="NI"/>
    <n v="60"/>
    <n v="83"/>
    <n v="10"/>
    <s v="NI"/>
    <s v="NO"/>
    <n v="10"/>
    <s v="NO"/>
    <s v="NI"/>
    <s v="UK"/>
    <s v="UK"/>
    <n v="25"/>
    <s v="NI"/>
    <n v="50"/>
    <n v="30"/>
    <s v="NI"/>
    <s v="NO"/>
    <s v="UK"/>
    <s v="NI"/>
    <n v="20"/>
    <s v="UK"/>
    <n v="30"/>
    <n v="10"/>
    <n v="75"/>
    <s v="UK"/>
    <n v="75"/>
    <n v="25"/>
    <n v="25"/>
    <n v="400"/>
    <n v="25"/>
    <n v="75"/>
    <n v="25"/>
    <n v="75"/>
    <n v="75"/>
    <n v="200"/>
    <n v="400"/>
    <n v="750"/>
    <n v="200"/>
    <n v="200"/>
    <n v="25"/>
    <n v="25"/>
    <n v="75"/>
    <n v="75"/>
    <n v="25"/>
    <n v="25"/>
    <s v="NO"/>
    <n v="500"/>
    <n v="400"/>
  </r>
  <r>
    <s v="CM-SWVI [10]"/>
    <s v="Southwest Vancouver Island"/>
    <s v="CHUM CREEK_Chum"/>
    <x v="0"/>
    <x v="0"/>
    <x v="5"/>
    <x v="118"/>
    <x v="1"/>
    <m/>
    <m/>
    <n v="4"/>
    <n v="8"/>
    <n v="8"/>
    <n v="1030.8984694505775"/>
    <n v="16208"/>
    <n v="1634.5212167904369"/>
    <m/>
    <s v="PL+D or Presence/Absence"/>
    <s v="Chum is the target species."/>
    <n v="3518.125"/>
    <n v="3115"/>
    <n v="1533"/>
    <n v="770"/>
    <n v="256"/>
    <n v="1043"/>
    <n v="2787"/>
    <n v="252"/>
    <n v="3537"/>
    <n v="2500"/>
    <n v="2869"/>
    <s v="NI"/>
    <s v="NI"/>
    <n v="2500"/>
    <n v="16208"/>
    <n v="250"/>
    <s v="NI"/>
    <n v="29"/>
    <n v="1750"/>
    <n v="1300"/>
    <n v="2850"/>
    <n v="4500"/>
    <n v="1500"/>
    <n v="500"/>
    <s v="NI"/>
    <n v="2500"/>
    <n v="2250"/>
    <s v="NI"/>
    <n v="870"/>
    <n v="2500"/>
    <s v="NI"/>
    <n v="500"/>
    <n v="1500"/>
    <n v="130"/>
    <n v="3000"/>
    <n v="3000"/>
    <n v="75"/>
    <n v="400"/>
    <n v="750"/>
    <n v="1500"/>
    <n v="750"/>
    <n v="1500"/>
    <n v="5500"/>
    <n v="1500"/>
    <n v="1500"/>
    <n v="1500"/>
    <n v="6000"/>
    <n v="3500"/>
    <n v="3500"/>
    <n v="6000"/>
    <n v="15000"/>
    <n v="3500"/>
    <n v="7500"/>
    <n v="1500"/>
    <n v="3500"/>
    <n v="3500"/>
    <n v="750"/>
    <n v="1500"/>
    <n v="7500"/>
    <n v="7500"/>
  </r>
  <r>
    <s v="CK-NoKy [32]"/>
    <s v="Nootka and Kyuquot"/>
    <s v="CHUM CREEK_Chinook"/>
    <x v="0"/>
    <x v="0"/>
    <x v="5"/>
    <x v="118"/>
    <x v="2"/>
    <m/>
    <m/>
    <n v="4"/>
    <n v="8"/>
    <n v="2"/>
    <n v="16.970562748477139"/>
    <n v="32"/>
    <n v="21.97145175683243"/>
    <m/>
    <s v="PL+D or Presence/Absence"/>
    <s v="Chum is the target species."/>
    <n v="20.5"/>
    <n v="1"/>
    <n v="4"/>
    <m/>
    <s v="NO"/>
    <s v="NO"/>
    <s v="NO"/>
    <s v="NO"/>
    <s v="NO"/>
    <s v="NO"/>
    <n v="9"/>
    <s v="NI"/>
    <s v="NI"/>
    <s v="NO"/>
    <n v="32"/>
    <s v="NO"/>
    <s v="NI"/>
    <s v="NO"/>
    <s v="UK"/>
    <s v="UK"/>
    <s v="NI"/>
    <s v="UK"/>
    <s v="UK"/>
    <s v="UK"/>
    <s v="NI"/>
    <s v="UK"/>
    <s v="UK"/>
    <s v="NI"/>
    <s v="NO"/>
    <s v="UK"/>
    <s v="NI"/>
    <s v="UK"/>
    <s v="UK"/>
    <s v="UK"/>
    <s v="UK"/>
    <s v="UK"/>
    <s v="UK"/>
    <n v="25"/>
    <s v="UK"/>
    <s v="UK"/>
    <s v="NO"/>
    <s v="NO"/>
    <n v="25"/>
    <s v="UK"/>
    <n v="25"/>
    <s v="NO"/>
    <n v="25"/>
    <s v="UK"/>
    <s v="UK"/>
    <s v="UK"/>
    <s v="UK"/>
    <s v="UK"/>
    <s v="UK"/>
    <s v="NO"/>
    <s v="UK"/>
    <s v="UK"/>
    <s v="UK"/>
    <s v="UK"/>
    <s v="UK"/>
    <s v="UK"/>
  </r>
  <r>
    <s v="SK-WVI [R10]"/>
    <s v="West Vancouver Island"/>
    <s v="CONUMA RIVER_Sockeye"/>
    <x v="0"/>
    <x v="0"/>
    <x v="5"/>
    <x v="119"/>
    <x v="3"/>
    <m/>
    <m/>
    <n v="1"/>
    <n v="10"/>
    <n v="10"/>
    <n v="162.2905419576573"/>
    <n v="1000"/>
    <n v="172.27971688367518"/>
    <s v="E.   Systems extensively surveyed, with major hatcheries or considerable hatchery contribution"/>
    <s v="AUC"/>
    <s v="In 2004, the only estimate was for chum &amp; chinook. All other species was not inspected."/>
    <n v="382.7"/>
    <n v="945"/>
    <n v="83"/>
    <n v="140"/>
    <n v="29"/>
    <n v="90"/>
    <n v="20"/>
    <n v="62"/>
    <m/>
    <n v="57"/>
    <n v="174"/>
    <n v="517"/>
    <n v="400"/>
    <n v="832"/>
    <n v="546"/>
    <n v="962"/>
    <n v="116"/>
    <n v="161"/>
    <s v="UK"/>
    <n v="200"/>
    <n v="100"/>
    <n v="90"/>
    <s v="UK"/>
    <s v="NO"/>
    <n v="600"/>
    <s v="UK"/>
    <n v="200"/>
    <n v="500"/>
    <s v="NO"/>
    <n v="200"/>
    <n v="500"/>
    <n v="550"/>
    <n v="1000"/>
    <n v="36"/>
    <n v="400"/>
    <n v="75"/>
    <n v="750"/>
    <n v="75"/>
    <n v="25"/>
    <s v="UK"/>
    <s v="UK"/>
    <s v="UK"/>
    <s v="UK"/>
    <s v="UK"/>
    <s v="UK"/>
    <s v="UK"/>
    <s v="UK"/>
    <s v="UK"/>
    <s v="UK"/>
    <s v="UK"/>
    <s v="UK"/>
    <s v="UK"/>
    <s v="UK"/>
    <s v="NO"/>
    <s v="UK"/>
    <n v="25"/>
    <s v="UK"/>
    <s v="UK"/>
    <s v="UK"/>
    <s v="UK"/>
  </r>
  <r>
    <s v="CO-WVI [17]"/>
    <s v="West Vancouver Island"/>
    <s v="CONUMA RIVER_Coho"/>
    <x v="0"/>
    <x v="0"/>
    <x v="5"/>
    <x v="119"/>
    <x v="0"/>
    <m/>
    <m/>
    <n v="1"/>
    <n v="10"/>
    <n v="10"/>
    <n v="2650.0767807413176"/>
    <n v="10445"/>
    <n v="1244.3620898810882"/>
    <s v="E.   Systems extensively surveyed, with major hatcheries or considerable hatchery contribution"/>
    <s v="AUC"/>
    <s v="Average Esc from 1995-2005 from file: NEW ESCAPEMENT INDEX.XLS.  In 2004, the only estimate was for chum &amp; chinook. All other species was not inspected."/>
    <n v="4448.2"/>
    <n v="2164"/>
    <n v="2162"/>
    <n v="4825"/>
    <n v="3217"/>
    <n v="1100"/>
    <n v="2681"/>
    <n v="1978"/>
    <m/>
    <n v="4851"/>
    <n v="10051"/>
    <n v="10445"/>
    <n v="10339"/>
    <n v="1094"/>
    <n v="1645"/>
    <n v="658"/>
    <n v="2167"/>
    <n v="1254"/>
    <n v="200"/>
    <n v="500"/>
    <n v="3500"/>
    <n v="10000"/>
    <n v="7300"/>
    <n v="4000"/>
    <n v="4000"/>
    <n v="5000"/>
    <n v="7020"/>
    <n v="600"/>
    <n v="580"/>
    <n v="500"/>
    <n v="550"/>
    <n v="600"/>
    <n v="1000"/>
    <n v="1000"/>
    <n v="400"/>
    <n v="400"/>
    <n v="200"/>
    <n v="750"/>
    <n v="400"/>
    <n v="750"/>
    <n v="1500"/>
    <n v="3000"/>
    <n v="1500"/>
    <n v="400"/>
    <n v="750"/>
    <n v="2500"/>
    <n v="5500"/>
    <n v="3500"/>
    <n v="3000"/>
    <n v="600"/>
    <n v="200"/>
    <n v="750"/>
    <n v="750"/>
    <n v="200"/>
    <n v="200"/>
    <n v="400"/>
    <n v="400"/>
    <n v="200"/>
    <n v="1000"/>
    <n v="3500"/>
  </r>
  <r>
    <s v="Pkodd-WVI [6]"/>
    <s v="West Vancouver Island"/>
    <s v="CONUMA RIVER_Pink"/>
    <x v="0"/>
    <x v="0"/>
    <x v="5"/>
    <x v="119"/>
    <x v="4"/>
    <m/>
    <m/>
    <n v="1"/>
    <n v="10"/>
    <n v="8"/>
    <n v="7.9121442347609348"/>
    <n v="7500"/>
    <n v="70.480414032131918"/>
    <s v="E.   Systems extensively surveyed, with major hatcheries or considerable hatchery contribution"/>
    <s v="AUC"/>
    <s v="In 2004, the only estimate was for chum &amp; chinook. All other species was not inspected."/>
    <n v="22.125"/>
    <n v="1"/>
    <n v="4"/>
    <m/>
    <s v="NO"/>
    <n v="7"/>
    <s v="NO"/>
    <n v="1"/>
    <m/>
    <n v="4"/>
    <n v="1"/>
    <n v="4"/>
    <n v="25"/>
    <n v="10"/>
    <s v="NO"/>
    <n v="70"/>
    <n v="62"/>
    <s v="NO"/>
    <s v="UK"/>
    <s v="NO"/>
    <s v="NI"/>
    <s v="UK"/>
    <s v="UK"/>
    <s v="UK"/>
    <s v="UK"/>
    <s v="UK"/>
    <s v="UK"/>
    <s v="UK"/>
    <s v="NO"/>
    <s v="UK"/>
    <s v="UK"/>
    <s v="UK"/>
    <n v="2000"/>
    <s v="UK"/>
    <n v="1000"/>
    <s v="UK"/>
    <n v="1500"/>
    <s v="UK"/>
    <n v="25"/>
    <s v="UK"/>
    <n v="7500"/>
    <s v="NO"/>
    <n v="400"/>
    <n v="25"/>
    <n v="2000"/>
    <s v="NO"/>
    <n v="800"/>
    <n v="25"/>
    <n v="25"/>
    <s v="UK"/>
    <n v="25"/>
    <n v="3500"/>
    <n v="25"/>
    <s v="UK"/>
    <n v="25"/>
    <s v="UK"/>
    <n v="75"/>
    <s v="UK"/>
    <s v="UK"/>
    <n v="400"/>
  </r>
  <r>
    <s v="CM-SWVI [10]"/>
    <s v="Southwest Vancouver Island"/>
    <s v="CONUMA RIVER_Chum"/>
    <x v="0"/>
    <x v="0"/>
    <x v="5"/>
    <x v="119"/>
    <x v="1"/>
    <m/>
    <m/>
    <n v="1"/>
    <n v="10"/>
    <n v="10"/>
    <n v="22057.221615183455"/>
    <n v="162252"/>
    <n v="11157.603318416579"/>
    <s v="E.   Systems extensively surveyed, with major hatcheries or considerable hatchery contribution"/>
    <s v="AUC"/>
    <s v="Average Esc from 1995-2005 from file: NEW ESCAPEMENT INDEX.XLS.  In 2004, the only estimate was for chum &amp; chinook. All other species was not inspected."/>
    <n v="46959.454545454544"/>
    <n v="6789"/>
    <n v="4400"/>
    <n v="4142"/>
    <n v="5494"/>
    <n v="3297"/>
    <n v="6602"/>
    <n v="7298"/>
    <n v="37221"/>
    <n v="33458"/>
    <n v="50000"/>
    <n v="60710"/>
    <n v="12248"/>
    <n v="32386"/>
    <n v="162252"/>
    <n v="74295"/>
    <n v="35000"/>
    <n v="11686"/>
    <n v="50000"/>
    <n v="20000"/>
    <n v="30000"/>
    <n v="12000"/>
    <n v="23350"/>
    <n v="30000"/>
    <n v="30500"/>
    <n v="22000"/>
    <n v="29900"/>
    <n v="21000"/>
    <n v="24000"/>
    <n v="36000"/>
    <n v="40000"/>
    <n v="30000"/>
    <n v="18000"/>
    <n v="2648"/>
    <n v="7500"/>
    <n v="4300"/>
    <n v="3500"/>
    <n v="7500"/>
    <n v="7500"/>
    <n v="7500"/>
    <n v="15000"/>
    <n v="3500"/>
    <n v="6500"/>
    <n v="3500"/>
    <n v="10000"/>
    <n v="7000"/>
    <n v="6000"/>
    <n v="3500"/>
    <n v="7000"/>
    <n v="3000"/>
    <n v="750"/>
    <n v="3500"/>
    <n v="35000"/>
    <n v="3500"/>
    <n v="7500"/>
    <n v="3500"/>
    <n v="3500"/>
    <n v="1500"/>
    <n v="5000"/>
    <n v="3500"/>
  </r>
  <r>
    <s v="CK-NoKy [32]"/>
    <s v="Nootka and Kyuquot"/>
    <s v="CONUMA RIVER_Chinook"/>
    <x v="0"/>
    <x v="0"/>
    <x v="5"/>
    <x v="119"/>
    <x v="2"/>
    <m/>
    <m/>
    <n v="1"/>
    <n v="11"/>
    <n v="11"/>
    <n v="16516.896411038415"/>
    <n v="41053"/>
    <n v="1520.6452497483122"/>
    <s v="E.   Systems extensively surveyed, with major hatcheries or considerable hatchery contribution"/>
    <s v="AUC"/>
    <s v="Average Esc from 1995-2005 from file: NEW ESCAPEMENT INDEX.XLS.  In 2004, the only estimate was for chum &amp; chinook. All other species was not inspected."/>
    <n v="20256.363636363636"/>
    <n v="21276"/>
    <n v="14940"/>
    <n v="17000"/>
    <n v="11786"/>
    <n v="7736"/>
    <n v="22030"/>
    <n v="5831"/>
    <n v="41053"/>
    <n v="32915"/>
    <n v="26210"/>
    <n v="14873"/>
    <n v="8645"/>
    <n v="14195"/>
    <n v="21865"/>
    <n v="18992"/>
    <n v="16313"/>
    <n v="21928"/>
    <n v="20000"/>
    <n v="11500"/>
    <n v="22000"/>
    <n v="15000"/>
    <n v="10700"/>
    <n v="7000"/>
    <n v="3000"/>
    <n v="200"/>
    <n v="210"/>
    <n v="800"/>
    <n v="718"/>
    <n v="300"/>
    <n v="500"/>
    <n v="300"/>
    <n v="500"/>
    <n v="120"/>
    <n v="500"/>
    <n v="120"/>
    <n v="400"/>
    <n v="75"/>
    <n v="200"/>
    <n v="400"/>
    <n v="1500"/>
    <n v="900"/>
    <n v="700"/>
    <n v="400"/>
    <n v="750"/>
    <n v="1000"/>
    <n v="1800"/>
    <n v="3500"/>
    <n v="300"/>
    <n v="1000"/>
    <n v="400"/>
    <n v="200"/>
    <n v="750"/>
    <n v="400"/>
    <n v="200"/>
    <n v="400"/>
    <n v="25"/>
    <n v="75"/>
    <n v="300"/>
    <n v="1500"/>
  </r>
  <r>
    <s v="CO-WVI [17]"/>
    <s v="West Vancouver Island"/>
    <s v="COUGAR CREEK_Coho"/>
    <x v="0"/>
    <x v="0"/>
    <x v="5"/>
    <x v="120"/>
    <x v="0"/>
    <m/>
    <m/>
    <n v="5"/>
    <n v="5"/>
    <n v="1"/>
    <n v="7"/>
    <n v="200"/>
    <n v="37.416573867739416"/>
    <m/>
    <s v="PL+D or Presence/Absence"/>
    <s v="Last survey was in 2002, no fish were observed."/>
    <n v="7"/>
    <s v="NO"/>
    <m/>
    <m/>
    <m/>
    <s v="NI"/>
    <s v="NI"/>
    <s v="NI"/>
    <s v="NI"/>
    <s v="NI"/>
    <s v="NO"/>
    <s v="NI"/>
    <n v="7"/>
    <s v="NI"/>
    <s v="NO"/>
    <s v="NO"/>
    <s v="NO"/>
    <s v="NI"/>
    <n v="2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COUGAR CREEK_Chum"/>
    <x v="0"/>
    <x v="0"/>
    <x v="5"/>
    <x v="120"/>
    <x v="1"/>
    <m/>
    <m/>
    <n v="5"/>
    <n v="5"/>
    <n v="4"/>
    <n v="129.50100320556757"/>
    <n v="13000"/>
    <n v="325.54211198730485"/>
    <m/>
    <s v="PL+D or Presence/Absence"/>
    <s v="Last survey was in 2002, no fish were observed."/>
    <n v="418.75"/>
    <n v="62"/>
    <m/>
    <m/>
    <m/>
    <s v="NI"/>
    <s v="NI"/>
    <s v="NI"/>
    <s v="NI"/>
    <s v="NI"/>
    <s v="NO"/>
    <s v="NI"/>
    <n v="50"/>
    <s v="NI"/>
    <n v="1500"/>
    <n v="50"/>
    <n v="75"/>
    <s v="NI"/>
    <n v="130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L-13-8"/>
    <s v="Deserted"/>
    <s v="DESERTED CREEK_Sockeye"/>
    <x v="0"/>
    <x v="0"/>
    <x v="5"/>
    <x v="121"/>
    <x v="3"/>
    <m/>
    <m/>
    <n v="4"/>
    <n v="8"/>
    <n v="3"/>
    <n v="12.018490013834734"/>
    <n v="400"/>
    <n v="40.342092510083866"/>
    <m/>
    <s v="PL+D or Presence/Absence"/>
    <s v="Chum is the target species.  2002 &amp; 2003 chum is the only species that an estimate was made for."/>
    <n v="85.333333333333329"/>
    <s v="NO"/>
    <m/>
    <m/>
    <s v="NO"/>
    <s v="NO"/>
    <s v="NO"/>
    <s v="NI"/>
    <s v="NO"/>
    <s v="NI"/>
    <s v="NI"/>
    <s v="NO"/>
    <s v="NO"/>
    <s v="NO"/>
    <n v="7"/>
    <n v="248"/>
    <n v="1"/>
    <s v="NO"/>
    <n v="50"/>
    <s v="NO"/>
    <n v="20"/>
    <s v="UK"/>
    <s v="UK"/>
    <s v="UK"/>
    <s v="UK"/>
    <s v="UK"/>
    <s v="UK"/>
    <s v="UK"/>
    <s v="NO"/>
    <s v="UK"/>
    <n v="100"/>
    <n v="70"/>
    <s v="UK"/>
    <s v="UK"/>
    <n v="10"/>
    <s v="UK"/>
    <s v="NI"/>
    <s v="UK"/>
    <n v="25"/>
    <n v="25"/>
    <n v="25"/>
    <n v="25"/>
    <s v="UK"/>
    <s v="UK"/>
    <s v="UK"/>
    <n v="25"/>
    <n v="75"/>
    <n v="75"/>
    <n v="75"/>
    <n v="400"/>
    <n v="400"/>
    <s v="UK"/>
    <s v="UK"/>
    <s v="UK"/>
    <s v="UK"/>
    <s v="UK"/>
    <s v="UK"/>
    <s v="UK"/>
    <s v="UK"/>
    <s v="UK"/>
  </r>
  <r>
    <s v="CO-WVI [17]"/>
    <s v="West Vancouver Island"/>
    <s v="DESERTED CREEK_Coho"/>
    <x v="0"/>
    <x v="0"/>
    <x v="5"/>
    <x v="121"/>
    <x v="0"/>
    <m/>
    <m/>
    <n v="4"/>
    <n v="8"/>
    <n v="6"/>
    <n v="25.516790645261771"/>
    <n v="750"/>
    <n v="83.949997494648116"/>
    <m/>
    <s v="PL+D or Presence/Absence"/>
    <s v="Chum is the target species.  2002 &amp; 2003 chum is the only species that an estimate was made for."/>
    <n v="42.666666666666664"/>
    <n v="6"/>
    <n v="1"/>
    <n v="5"/>
    <s v="NO"/>
    <s v="NO"/>
    <n v="28"/>
    <s v="NI"/>
    <n v="50"/>
    <s v="NI"/>
    <s v="NI"/>
    <n v="10"/>
    <s v="NO"/>
    <s v="NO"/>
    <n v="43"/>
    <n v="18"/>
    <n v="5"/>
    <n v="130"/>
    <n v="50"/>
    <s v="NO"/>
    <n v="144"/>
    <n v="120"/>
    <s v="UK"/>
    <s v="UK"/>
    <s v="NO"/>
    <n v="250"/>
    <n v="65"/>
    <s v="NO"/>
    <s v="NO"/>
    <s v="UK"/>
    <s v="UK"/>
    <s v="UK"/>
    <s v="UK"/>
    <s v="UK"/>
    <s v="UK"/>
    <n v="100"/>
    <s v="NI"/>
    <n v="200"/>
    <n v="25"/>
    <n v="25"/>
    <n v="75"/>
    <n v="25"/>
    <n v="75"/>
    <n v="25"/>
    <n v="75"/>
    <n v="250"/>
    <n v="300"/>
    <n v="200"/>
    <n v="200"/>
    <n v="300"/>
    <n v="750"/>
    <n v="75"/>
    <n v="75"/>
    <n v="200"/>
    <n v="75"/>
    <n v="75"/>
    <s v="UK"/>
    <s v="UK"/>
    <n v="250"/>
    <n v="750"/>
  </r>
  <r>
    <s v="CM-SWVI [10]"/>
    <s v="Southwest Vancouver Island"/>
    <s v="DESERTED CREEK_Chum"/>
    <x v="0"/>
    <x v="0"/>
    <x v="5"/>
    <x v="121"/>
    <x v="1"/>
    <m/>
    <m/>
    <n v="4"/>
    <n v="10"/>
    <n v="10"/>
    <n v="3130.9882868017753"/>
    <n v="38000"/>
    <n v="5347.8459635246172"/>
    <m/>
    <s v="PL+D or Presence/Absence"/>
    <s v="Chum is the target species.  2002 &amp; 2003 chum is the only species that an estimate was made for."/>
    <n v="7117.8"/>
    <n v="538"/>
    <n v="1730"/>
    <n v="3860"/>
    <n v="801"/>
    <n v="74"/>
    <n v="3384"/>
    <s v="NI"/>
    <n v="5400"/>
    <n v="20000"/>
    <n v="5023"/>
    <n v="2404"/>
    <n v="1205"/>
    <n v="5770"/>
    <n v="17246"/>
    <n v="6682"/>
    <n v="4505"/>
    <n v="2943"/>
    <n v="12500"/>
    <n v="38000"/>
    <n v="22000"/>
    <n v="20000"/>
    <n v="10600"/>
    <n v="20000"/>
    <n v="18000"/>
    <n v="5000"/>
    <n v="9000"/>
    <n v="12500"/>
    <n v="11987"/>
    <n v="18000"/>
    <n v="19000"/>
    <n v="9000"/>
    <n v="20000"/>
    <n v="7000"/>
    <n v="9000"/>
    <n v="6000"/>
    <s v="NI"/>
    <n v="3500"/>
    <n v="3500"/>
    <n v="3500"/>
    <n v="3500"/>
    <n v="3500"/>
    <n v="3500"/>
    <n v="7500"/>
    <n v="3500"/>
    <n v="4000"/>
    <n v="6500"/>
    <n v="3500"/>
    <n v="7500"/>
    <n v="6000"/>
    <n v="7500"/>
    <n v="750"/>
    <n v="15000"/>
    <n v="3500"/>
    <n v="3500"/>
    <n v="1500"/>
    <n v="3500"/>
    <n v="750"/>
    <n v="1000"/>
    <n v="7500"/>
  </r>
  <r>
    <s v="CK-NoKy [32]"/>
    <s v="Nootka and Kyuquot"/>
    <s v="DESERTED CREEK_Chinook"/>
    <x v="0"/>
    <x v="0"/>
    <x v="5"/>
    <x v="121"/>
    <x v="2"/>
    <m/>
    <m/>
    <n v="4"/>
    <n v="8"/>
    <n v="3"/>
    <n v="1.8171205928321397"/>
    <n v="750"/>
    <n v="65.524323323836953"/>
    <m/>
    <s v="PL+D or Presence/Absence"/>
    <s v="Chum is the target species.  2002 &amp; 2003 chum is the only species that an estimate was made for."/>
    <n v="2"/>
    <s v="NO"/>
    <m/>
    <m/>
    <s v="NO"/>
    <s v="NO"/>
    <n v="2"/>
    <s v="NI"/>
    <s v="NO"/>
    <s v="NI"/>
    <s v="NI"/>
    <n v="3"/>
    <s v="NO"/>
    <s v="NO"/>
    <n v="1"/>
    <s v="NO"/>
    <s v="NO"/>
    <s v="NO"/>
    <s v="UK"/>
    <s v="NO"/>
    <s v="NI"/>
    <s v="NO"/>
    <n v="4"/>
    <s v="UK"/>
    <s v="UK"/>
    <s v="NO"/>
    <s v="NO"/>
    <s v="NO"/>
    <s v="NO"/>
    <s v="UK"/>
    <n v="50"/>
    <s v="UK"/>
    <n v="25"/>
    <n v="25"/>
    <n v="200"/>
    <n v="300"/>
    <s v="NI"/>
    <n v="200"/>
    <n v="75"/>
    <n v="75"/>
    <n v="75"/>
    <n v="175"/>
    <n v="75"/>
    <n v="400"/>
    <n v="400"/>
    <n v="300"/>
    <n v="350"/>
    <n v="200"/>
    <n v="750"/>
    <n v="300"/>
    <n v="750"/>
    <n v="25"/>
    <n v="25"/>
    <n v="25"/>
    <n v="25"/>
    <s v="UK"/>
    <s v="UK"/>
    <s v="UK"/>
    <s v="UK"/>
    <s v="UK"/>
  </r>
  <r>
    <s v="CO-WVI [17]"/>
    <s v="West Vancouver Island"/>
    <s v="ELIZA CREEK_Coho"/>
    <x v="0"/>
    <x v="0"/>
    <x v="5"/>
    <x v="122"/>
    <x v="0"/>
    <m/>
    <m/>
    <n v="4"/>
    <n v="3"/>
    <n v="1"/>
    <n v="10"/>
    <n v="400"/>
    <n v="51.459954753363348"/>
    <m/>
    <s v="PL+D or Presence/Absence"/>
    <s v="Last time stream was surveyed was in 2000, no coho were observed and chum was entered as Adult Present (AP)."/>
    <n v="10"/>
    <n v="8"/>
    <m/>
    <m/>
    <m/>
    <s v="NI"/>
    <s v="NI"/>
    <s v="NI"/>
    <s v="NI"/>
    <s v="NI"/>
    <s v="NI"/>
    <s v="NI"/>
    <s v="NO"/>
    <s v="NI"/>
    <s v="NI"/>
    <n v="10"/>
    <s v="NO"/>
    <m/>
    <s v="NO"/>
    <s v="NO"/>
    <s v="NI"/>
    <s v="UK"/>
    <s v="UK"/>
    <s v="UK"/>
    <n v="100"/>
    <n v="200"/>
    <n v="50"/>
    <n v="50"/>
    <s v="NO"/>
    <s v="UK"/>
    <s v="UK"/>
    <s v="UK"/>
    <s v="UK"/>
    <n v="20"/>
    <n v="30"/>
    <s v="UK"/>
    <s v="UK"/>
    <n v="25"/>
    <n v="25"/>
    <n v="25"/>
    <n v="25"/>
    <n v="25"/>
    <n v="200"/>
    <n v="25"/>
    <n v="200"/>
    <n v="75"/>
    <n v="400"/>
    <n v="400"/>
    <n v="200"/>
    <n v="25"/>
    <n v="400"/>
    <n v="25"/>
    <n v="25"/>
    <n v="25"/>
    <n v="25"/>
    <n v="25"/>
    <n v="25"/>
    <n v="25"/>
    <n v="100"/>
    <s v="UK"/>
  </r>
  <r>
    <s v="CM-SWVI [10]"/>
    <s v="Southwest Vancouver Island"/>
    <s v="ELIZA CREEK_Chum"/>
    <x v="0"/>
    <x v="0"/>
    <x v="5"/>
    <x v="122"/>
    <x v="1"/>
    <m/>
    <m/>
    <n v="4"/>
    <n v="3"/>
    <n v="3"/>
    <n v="536.6563145999495"/>
    <n v="6500"/>
    <n v="1168.4161287300674"/>
    <m/>
    <s v="PL+D or Presence/Absence"/>
    <s v="Last time stream was surveyed was in 2000, no coho were observed and chum was entered as Adult Present (AP)."/>
    <n v="540"/>
    <n v="2304"/>
    <m/>
    <m/>
    <m/>
    <s v="NO"/>
    <s v="NI"/>
    <s v="NI"/>
    <s v="NI"/>
    <s v="NI"/>
    <s v="NI"/>
    <s v="NI"/>
    <s v="AP"/>
    <s v="NI"/>
    <s v="NI"/>
    <n v="600"/>
    <n v="480"/>
    <m/>
    <n v="1000"/>
    <n v="600"/>
    <n v="2775"/>
    <n v="1000"/>
    <n v="1400"/>
    <n v="250"/>
    <n v="500"/>
    <n v="2000"/>
    <n v="1300"/>
    <n v="1900"/>
    <n v="1500"/>
    <n v="1600"/>
    <n v="6500"/>
    <n v="4500"/>
    <n v="1400"/>
    <n v="642"/>
    <n v="3000"/>
    <n v="3000"/>
    <n v="75"/>
    <n v="200"/>
    <n v="3500"/>
    <n v="3500"/>
    <n v="1500"/>
    <n v="750"/>
    <n v="5500"/>
    <n v="1500"/>
    <n v="1500"/>
    <n v="400"/>
    <n v="3000"/>
    <n v="750"/>
    <n v="3500"/>
    <n v="3000"/>
    <n v="3500"/>
    <n v="400"/>
    <n v="1500"/>
    <n v="750"/>
    <n v="750"/>
    <n v="200"/>
    <n v="750"/>
    <n v="400"/>
    <n v="2000"/>
    <s v="UK"/>
  </r>
  <r>
    <s v="SK-WVI [R10]"/>
    <s v="West Vancouver Island"/>
    <s v="ESPINOSA CREEK_Sockeye"/>
    <x v="0"/>
    <x v="0"/>
    <x v="5"/>
    <x v="123"/>
    <x v="3"/>
    <m/>
    <m/>
    <n v="4"/>
    <n v="9"/>
    <n v="6"/>
    <n v="26.321027831390843"/>
    <n v="293"/>
    <n v="16.535847648206115"/>
    <m/>
    <s v="PL+D or Presence/Absence"/>
    <s v="1 of the 6 observations was entered as Adult Present (AP)."/>
    <n v="84.4"/>
    <n v="37"/>
    <n v="23"/>
    <n v="48"/>
    <n v="13"/>
    <n v="15"/>
    <n v="4"/>
    <s v="NI"/>
    <n v="30"/>
    <s v="NO"/>
    <n v="24"/>
    <s v="AP"/>
    <s v="NO"/>
    <n v="40"/>
    <n v="293"/>
    <n v="35"/>
    <s v="NI"/>
    <s v="NO"/>
    <n v="50"/>
    <s v="UK"/>
    <n v="5"/>
    <n v="2"/>
    <s v="UK"/>
    <s v="UK"/>
    <s v="NI"/>
    <s v="UK"/>
    <s v="UK"/>
    <s v="NO"/>
    <s v="NO"/>
    <s v="UK"/>
    <s v="UK"/>
    <n v="15"/>
    <s v="UK"/>
    <s v="UK"/>
    <n v="4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ESPINOSA CREEK_Coho"/>
    <x v="0"/>
    <x v="0"/>
    <x v="5"/>
    <x v="123"/>
    <x v="0"/>
    <m/>
    <m/>
    <n v="4"/>
    <n v="9"/>
    <n v="8"/>
    <n v="36.298480863747407"/>
    <n v="750"/>
    <n v="54.246837466855268"/>
    <m/>
    <s v="PL+D or Presence/Absence"/>
    <s v="2 of the 8 observations was entered as Adult Present (AP)."/>
    <n v="60.666666666666664"/>
    <n v="133"/>
    <n v="172"/>
    <n v="66"/>
    <n v="106"/>
    <n v="22"/>
    <n v="32"/>
    <s v="NI"/>
    <n v="113"/>
    <n v="20"/>
    <n v="7"/>
    <s v="AP"/>
    <s v="AP"/>
    <n v="117"/>
    <n v="99"/>
    <s v="NO"/>
    <s v="NI"/>
    <n v="8"/>
    <s v="NO"/>
    <s v="UK"/>
    <n v="5"/>
    <s v="NO"/>
    <s v="NO"/>
    <s v="NO"/>
    <s v="NI"/>
    <n v="200"/>
    <n v="50"/>
    <n v="50"/>
    <s v="NO"/>
    <s v="UK"/>
    <s v="UK"/>
    <s v="UK"/>
    <s v="UK"/>
    <n v="30"/>
    <n v="50"/>
    <n v="50"/>
    <s v="UK"/>
    <n v="25"/>
    <n v="25"/>
    <n v="25"/>
    <n v="25"/>
    <n v="25"/>
    <s v="NO"/>
    <n v="25"/>
    <n v="25"/>
    <n v="75"/>
    <n v="400"/>
    <n v="400"/>
    <n v="400"/>
    <n v="250"/>
    <n v="200"/>
    <n v="25"/>
    <n v="25"/>
    <n v="75"/>
    <n v="75"/>
    <n v="25"/>
    <n v="25"/>
    <s v="NO"/>
    <n v="300"/>
    <n v="750"/>
  </r>
  <r>
    <s v="Pkodd-WVI [6]"/>
    <s v="West Vancouver Island"/>
    <s v="ESPINOSA CREEK_Pink"/>
    <x v="0"/>
    <x v="0"/>
    <x v="5"/>
    <x v="123"/>
    <x v="4"/>
    <m/>
    <m/>
    <n v="4"/>
    <n v="9"/>
    <n v="3"/>
    <n v="5.2800917653597237"/>
    <n v="7500"/>
    <n v="155.04300454207325"/>
    <m/>
    <s v="PL+D or Presence/Absence"/>
    <m/>
    <n v="28.333333333333332"/>
    <n v="1"/>
    <n v="1"/>
    <m/>
    <n v="3"/>
    <s v="NO"/>
    <n v="1"/>
    <s v="NI"/>
    <n v="3"/>
    <s v="NO"/>
    <s v="NO"/>
    <s v="NO"/>
    <s v="NO"/>
    <n v="6"/>
    <s v="NO"/>
    <s v="NO"/>
    <s v="NI"/>
    <n v="76"/>
    <s v="UK"/>
    <s v="UK"/>
    <s v="NI"/>
    <s v="UK"/>
    <s v="UK"/>
    <s v="UK"/>
    <s v="NI"/>
    <s v="UK"/>
    <s v="UK"/>
    <s v="NO"/>
    <s v="NO"/>
    <s v="UK"/>
    <s v="UK"/>
    <s v="UK"/>
    <n v="1000"/>
    <s v="UK"/>
    <n v="1200"/>
    <s v="UK"/>
    <n v="7500"/>
    <n v="25"/>
    <n v="750"/>
    <s v="UK"/>
    <n v="3500"/>
    <s v="NO"/>
    <n v="600"/>
    <s v="NO"/>
    <n v="400"/>
    <s v="NO"/>
    <n v="1500"/>
    <n v="25"/>
    <n v="750"/>
    <s v="UK"/>
    <n v="3500"/>
    <s v="UK"/>
    <n v="75"/>
    <s v="NO"/>
    <n v="600"/>
    <s v="NO"/>
    <n v="25"/>
    <s v="UK"/>
    <s v="UK"/>
    <s v="UK"/>
  </r>
  <r>
    <s v="CM-SWVI [10]"/>
    <s v="Southwest Vancouver Island"/>
    <s v="ESPINOSA CREEK_Chum"/>
    <x v="0"/>
    <x v="0"/>
    <x v="5"/>
    <x v="123"/>
    <x v="1"/>
    <m/>
    <m/>
    <n v="4"/>
    <n v="9"/>
    <n v="7"/>
    <n v="3436.6130817682515"/>
    <n v="25538"/>
    <n v="2190.5518813015415"/>
    <m/>
    <s v="PL+D or Presence/Absence"/>
    <s v="2 of the 9 observations was entered as Adult Present (AP)."/>
    <n v="6184.4285714285716"/>
    <n v="6563"/>
    <n v="1531"/>
    <n v="2040"/>
    <n v="1375"/>
    <n v="5325"/>
    <n v="5579"/>
    <s v="NI"/>
    <n v="6215"/>
    <n v="2520"/>
    <n v="2660"/>
    <s v="AP"/>
    <s v="AP"/>
    <n v="3500"/>
    <n v="25538"/>
    <n v="700"/>
    <s v="NI"/>
    <n v="2158"/>
    <n v="1500"/>
    <n v="2000"/>
    <n v="2200"/>
    <n v="9000"/>
    <n v="740"/>
    <n v="750"/>
    <s v="NI"/>
    <n v="4500"/>
    <n v="2100"/>
    <n v="2500"/>
    <n v="1200"/>
    <n v="3500"/>
    <n v="2500"/>
    <n v="3500"/>
    <n v="3500"/>
    <n v="1750"/>
    <n v="12000"/>
    <n v="3000"/>
    <n v="400"/>
    <n v="750"/>
    <n v="1500"/>
    <n v="3500"/>
    <n v="3500"/>
    <n v="750"/>
    <n v="600"/>
    <n v="750"/>
    <n v="400"/>
    <n v="1500"/>
    <n v="1500"/>
    <n v="1500"/>
    <n v="1500"/>
    <n v="3000"/>
    <n v="750"/>
    <n v="3500"/>
    <n v="7500"/>
    <n v="3500"/>
    <n v="3500"/>
    <n v="3500"/>
    <n v="1500"/>
    <n v="1500"/>
    <n v="1000"/>
    <n v="7500"/>
  </r>
  <r>
    <s v="CK-NoKy [32]"/>
    <s v="Nootka and Kyuquot"/>
    <s v="ESPINOSA CREEK_Chinook"/>
    <x v="0"/>
    <x v="0"/>
    <x v="5"/>
    <x v="123"/>
    <x v="2"/>
    <m/>
    <m/>
    <n v="4"/>
    <n v="9"/>
    <n v="6"/>
    <n v="16.727094633133639"/>
    <n v="400"/>
    <n v="26.364496143316501"/>
    <m/>
    <s v="PL+D or Presence/Absence"/>
    <s v="1 of the 6 observations was entered as Adult Present (AP)."/>
    <n v="32.6"/>
    <n v="16"/>
    <n v="21"/>
    <n v="11"/>
    <n v="25"/>
    <n v="5"/>
    <n v="7"/>
    <s v="NI"/>
    <n v="12"/>
    <s v="NO"/>
    <n v="19"/>
    <s v="AP"/>
    <s v="NO"/>
    <n v="60"/>
    <n v="64"/>
    <s v="NO"/>
    <s v="NI"/>
    <n v="8"/>
    <s v="UK"/>
    <s v="UK"/>
    <s v="NI"/>
    <s v="UK"/>
    <s v="NO"/>
    <n v="5"/>
    <s v="NI"/>
    <s v="UK"/>
    <n v="10"/>
    <s v="NO"/>
    <s v="NO"/>
    <s v="UK"/>
    <s v="UK"/>
    <n v="20"/>
    <s v="UK"/>
    <s v="UK"/>
    <n v="85"/>
    <s v="UK"/>
    <s v="UK"/>
    <n v="25"/>
    <n v="25"/>
    <n v="25"/>
    <n v="25"/>
    <n v="25"/>
    <n v="25"/>
    <n v="25"/>
    <s v="NO"/>
    <n v="25"/>
    <n v="25"/>
    <n v="75"/>
    <n v="400"/>
    <n v="75"/>
    <n v="75"/>
    <s v="UK"/>
    <s v="UK"/>
    <s v="UK"/>
    <s v="UK"/>
    <s v="UK"/>
    <s v="UK"/>
    <s v="UK"/>
    <s v="UK"/>
    <s v="UK"/>
  </r>
  <r>
    <s v="SK-L-13-19"/>
    <s v="Muchalat"/>
    <s v="GOLD RIVER_Sockeye"/>
    <x v="0"/>
    <x v="0"/>
    <x v="5"/>
    <x v="124"/>
    <x v="3"/>
    <m/>
    <m/>
    <n v="2"/>
    <n v="5"/>
    <n v="3"/>
    <n v="2731.4552007808229"/>
    <n v="15000"/>
    <n v="2325.1833503104008"/>
    <s v="A.  PSC Indicator stocks."/>
    <s v="AUC"/>
    <s v="Missing data from 5 years (1999, 2000, 2002, 2003, &amp;2004)."/>
    <n v="5104.666666666667"/>
    <s v="AP"/>
    <m/>
    <m/>
    <m/>
    <s v="NI"/>
    <s v="NI"/>
    <s v="NI"/>
    <m/>
    <m/>
    <m/>
    <n v="394"/>
    <m/>
    <m/>
    <n v="5478"/>
    <n v="9442"/>
    <s v="NO"/>
    <s v="NO"/>
    <n v="3000"/>
    <n v="15000"/>
    <n v="7500"/>
    <n v="3000"/>
    <n v="4000"/>
    <n v="2000"/>
    <n v="6000"/>
    <n v="2500"/>
    <n v="10000"/>
    <n v="12000"/>
    <n v="539"/>
    <n v="4500"/>
    <s v="UK"/>
    <n v="670"/>
    <n v="6338"/>
    <n v="2335"/>
    <n v="8000"/>
    <n v="3000"/>
    <n v="75"/>
    <s v="UK"/>
    <s v="UK"/>
    <s v="UK"/>
    <s v="UK"/>
    <s v="UK"/>
    <s v="UK"/>
    <s v="UK"/>
    <n v="2000"/>
    <n v="3000"/>
    <n v="1500"/>
    <n v="750"/>
    <n v="7500"/>
    <n v="3000"/>
    <n v="1500"/>
    <n v="1500"/>
    <n v="3500"/>
    <n v="7500"/>
    <n v="400"/>
    <n v="200"/>
    <n v="750"/>
    <n v="1500"/>
    <n v="1500"/>
    <s v="UK"/>
  </r>
  <r>
    <s v="CO-WVI [17]"/>
    <s v="West Vancouver Island"/>
    <s v="GOLD RIVER_Coho"/>
    <x v="0"/>
    <x v="0"/>
    <x v="5"/>
    <x v="124"/>
    <x v="0"/>
    <m/>
    <m/>
    <n v="2"/>
    <n v="5"/>
    <n v="4"/>
    <n v="1335.5015699152159"/>
    <n v="10000"/>
    <n v="1454.7623749575832"/>
    <s v="A.  PSC Indicator stocks."/>
    <s v="AUC"/>
    <s v="Missing data from 5 years (1999, 2000, 2002, 2003, &amp;2004)."/>
    <n v="1524.6666666666667"/>
    <s v="AP"/>
    <m/>
    <m/>
    <m/>
    <s v="NI"/>
    <s v="NI"/>
    <s v="NI"/>
    <m/>
    <m/>
    <m/>
    <n v="934"/>
    <m/>
    <m/>
    <n v="2693"/>
    <n v="947"/>
    <s v="NO"/>
    <s v="NO"/>
    <n v="500"/>
    <n v="250"/>
    <n v="1080"/>
    <n v="425"/>
    <n v="5420"/>
    <n v="1500"/>
    <n v="1000"/>
    <n v="2000"/>
    <n v="1200"/>
    <n v="2000"/>
    <n v="101"/>
    <n v="2000"/>
    <s v="UK"/>
    <n v="1920"/>
    <n v="1000"/>
    <n v="755"/>
    <n v="500"/>
    <n v="1500"/>
    <n v="25"/>
    <n v="1500"/>
    <n v="1500"/>
    <n v="3500"/>
    <n v="10000"/>
    <n v="3500"/>
    <n v="3500"/>
    <n v="1000"/>
    <n v="3500"/>
    <n v="5000"/>
    <n v="7500"/>
    <n v="7500"/>
    <n v="7500"/>
    <n v="5000"/>
    <n v="1500"/>
    <n v="750"/>
    <n v="3500"/>
    <n v="750"/>
    <n v="750"/>
    <n v="400"/>
    <n v="3500"/>
    <n v="400"/>
    <n v="1500"/>
    <n v="7500"/>
  </r>
  <r>
    <s v="CM-SWVI [10]"/>
    <s v="Southwest Vancouver Island"/>
    <s v="GOLD RIVER_Chum"/>
    <x v="0"/>
    <x v="0"/>
    <x v="5"/>
    <x v="124"/>
    <x v="1"/>
    <m/>
    <m/>
    <n v="2"/>
    <n v="5"/>
    <n v="3"/>
    <n v="491.15272573813536"/>
    <n v="7500"/>
    <n v="1337.3830232655603"/>
    <s v="A.  PSC Indicator stocks."/>
    <s v="AUC"/>
    <s v="Missing data from 5 years (1999, 2000, 2002, 2003, &amp;2004). 1 of the 3 observations was entered as Adult Present (AP)."/>
    <n v="884"/>
    <s v="AP"/>
    <m/>
    <m/>
    <m/>
    <s v="NI"/>
    <s v="NI"/>
    <s v="NI"/>
    <m/>
    <m/>
    <m/>
    <n v="149"/>
    <m/>
    <m/>
    <n v="1619"/>
    <s v="AP"/>
    <s v="NO"/>
    <s v="NO"/>
    <s v="UK"/>
    <n v="150"/>
    <n v="1300"/>
    <n v="1000"/>
    <n v="550"/>
    <n v="500"/>
    <n v="500"/>
    <n v="400"/>
    <n v="165"/>
    <n v="1000"/>
    <n v="1000"/>
    <n v="2000"/>
    <n v="3500"/>
    <n v="2290"/>
    <n v="1000"/>
    <n v="130"/>
    <n v="3500"/>
    <n v="4000"/>
    <n v="25"/>
    <n v="7500"/>
    <n v="1500"/>
    <n v="7500"/>
    <n v="6000"/>
    <n v="1000"/>
    <n v="6000"/>
    <n v="3500"/>
    <n v="1500"/>
    <n v="3000"/>
    <n v="3500"/>
    <n v="1500"/>
    <n v="3500"/>
    <n v="2000"/>
    <n v="1500"/>
    <n v="1500"/>
    <n v="3500"/>
    <n v="750"/>
    <n v="3500"/>
    <n v="750"/>
    <n v="750"/>
    <n v="750"/>
    <n v="7500"/>
    <n v="7500"/>
  </r>
  <r>
    <s v="CK-NoKy [32]"/>
    <s v="Nootka and Kyuquot"/>
    <s v="GOLD RIVER_Chinook"/>
    <x v="0"/>
    <x v="0"/>
    <x v="5"/>
    <x v="124"/>
    <x v="2"/>
    <m/>
    <m/>
    <n v="2"/>
    <n v="10"/>
    <n v="10"/>
    <n v="2143.409358101856"/>
    <n v="14654"/>
    <n v="1202.4634886002407"/>
    <s v="A.  PSC Indicator stocks."/>
    <s v="AUC"/>
    <s v="Average Esc from 1995-2005 from file: NEW ESCAPEMENT INDEX.XLS"/>
    <n v="4555.636363636364"/>
    <n v="918"/>
    <m/>
    <m/>
    <m/>
    <s v="NI"/>
    <s v="NI"/>
    <n v="1000"/>
    <n v="3200"/>
    <n v="14654"/>
    <n v="12696"/>
    <n v="250"/>
    <n v="500"/>
    <n v="5038"/>
    <n v="9250"/>
    <n v="1874"/>
    <n v="900"/>
    <n v="750"/>
    <n v="3500"/>
    <n v="1700"/>
    <n v="2500"/>
    <n v="1000"/>
    <n v="1952"/>
    <n v="1000"/>
    <n v="1000"/>
    <n v="600"/>
    <n v="1900"/>
    <n v="1500"/>
    <n v="1500"/>
    <n v="1500"/>
    <n v="1000"/>
    <n v="560"/>
    <n v="750"/>
    <n v="803"/>
    <n v="3500"/>
    <n v="2000"/>
    <n v="25"/>
    <n v="400"/>
    <n v="750"/>
    <n v="3500"/>
    <n v="1100"/>
    <n v="1300"/>
    <n v="750"/>
    <n v="1000"/>
    <n v="750"/>
    <n v="2000"/>
    <n v="1500"/>
    <n v="1500"/>
    <n v="3500"/>
    <n v="1000"/>
    <n v="750"/>
    <n v="1500"/>
    <n v="750"/>
    <n v="750"/>
    <n v="200"/>
    <n v="200"/>
    <n v="400"/>
    <n v="1500"/>
    <n v="400"/>
    <n v="7500"/>
  </r>
  <r>
    <s v="CO-WVI [17]"/>
    <s v="West Vancouver Island"/>
    <s v="GUISE CREEK_Coho"/>
    <x v="0"/>
    <x v="0"/>
    <x v="5"/>
    <x v="125"/>
    <x v="0"/>
    <m/>
    <m/>
    <n v="5"/>
    <n v="3"/>
    <n v="1"/>
    <n v="3"/>
    <n v="10"/>
    <n v="5.4772255750516612"/>
    <m/>
    <s v="PL+D or Presence/Absence"/>
    <s v="Last time stream was surveyed was in 2002, no coho were observed."/>
    <n v="3"/>
    <s v="NO"/>
    <m/>
    <m/>
    <m/>
    <s v="NI"/>
    <s v="NI"/>
    <s v="NI"/>
    <s v="NI"/>
    <s v="NI"/>
    <s v="NO"/>
    <s v="NI"/>
    <s v="NI"/>
    <s v="NI"/>
    <s v="NI"/>
    <n v="3"/>
    <s v="NO"/>
    <s v="NI"/>
    <s v="NI"/>
    <s v="NI"/>
    <s v="NI"/>
    <s v="NO"/>
    <s v="NI"/>
    <s v="NI"/>
    <s v="NI"/>
    <s v="NI"/>
    <n v="10"/>
    <s v="NI"/>
    <s v="NO"/>
    <s v="NI"/>
    <s v="NI"/>
    <s v="NI"/>
    <s v="UK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GUISE CREEK_Chum"/>
    <x v="0"/>
    <x v="0"/>
    <x v="5"/>
    <x v="125"/>
    <x v="1"/>
    <m/>
    <m/>
    <n v="5"/>
    <n v="3"/>
    <n v="2"/>
    <n v="100.99504938362078"/>
    <n v="700"/>
    <n v="200.16223657932758"/>
    <m/>
    <s v="PL+D or Presence/Absence"/>
    <s v="Last time stream was surveyed was in 2002."/>
    <n v="109"/>
    <n v="39"/>
    <m/>
    <m/>
    <m/>
    <s v="NI"/>
    <s v="NI"/>
    <s v="NI"/>
    <s v="NI"/>
    <s v="NI"/>
    <n v="68"/>
    <s v="NI"/>
    <s v="NI"/>
    <s v="NI"/>
    <s v="NI"/>
    <n v="150"/>
    <s v="NO"/>
    <s v="NI"/>
    <s v="NI"/>
    <s v="NI"/>
    <s v="NI"/>
    <s v="NO"/>
    <s v="NI"/>
    <s v="NI"/>
    <s v="NI"/>
    <s v="NI"/>
    <n v="700"/>
    <s v="NI"/>
    <s v="NO"/>
    <s v="NI"/>
    <s v="NI"/>
    <s v="NI"/>
    <n v="150"/>
    <s v="NI"/>
    <n v="3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SK-WVI [R10]"/>
    <s v="West Vancouver Island"/>
    <s v="HAMMOND CREEK_Sockeye"/>
    <x v="0"/>
    <x v="0"/>
    <x v="5"/>
    <x v="126"/>
    <x v="3"/>
    <m/>
    <m/>
    <n v="4"/>
    <n v="9"/>
    <n v="5"/>
    <n v="18.169084221029262"/>
    <n v="150"/>
    <n v="13.875019406522908"/>
    <m/>
    <s v="PL+D or Presence/Absence"/>
    <m/>
    <n v="70.5"/>
    <n v="1"/>
    <m/>
    <n v="6"/>
    <n v="1"/>
    <s v="NO"/>
    <s v="NO"/>
    <s v="NI"/>
    <s v="NO"/>
    <s v="NO"/>
    <s v="NO"/>
    <s v="AP"/>
    <n v="10"/>
    <n v="12"/>
    <n v="110"/>
    <n v="150"/>
    <s v="NO"/>
    <s v="NI"/>
    <s v="UK"/>
    <n v="25"/>
    <s v="NI"/>
    <s v="UK"/>
    <s v="UK"/>
    <s v="UK"/>
    <s v="UK"/>
    <s v="UK"/>
    <s v="UK"/>
    <s v="UK"/>
    <s v="NO"/>
    <s v="UK"/>
    <s v="NI"/>
    <n v="2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HAMMOND CREEK_Coho"/>
    <x v="0"/>
    <x v="0"/>
    <x v="5"/>
    <x v="126"/>
    <x v="0"/>
    <m/>
    <m/>
    <n v="4"/>
    <n v="9"/>
    <n v="9"/>
    <n v="57.998032649796826"/>
    <n v="750"/>
    <n v="45.960982676359627"/>
    <m/>
    <s v="PL+D or Presence/Absence"/>
    <m/>
    <n v="107.22222222222223"/>
    <n v="54"/>
    <n v="151"/>
    <n v="115"/>
    <n v="83"/>
    <n v="51"/>
    <n v="21"/>
    <s v="NI"/>
    <n v="141"/>
    <n v="6"/>
    <n v="7"/>
    <n v="200"/>
    <n v="200"/>
    <n v="90"/>
    <n v="196"/>
    <n v="60"/>
    <n v="65"/>
    <s v="NI"/>
    <n v="30"/>
    <n v="20"/>
    <s v="NI"/>
    <n v="10"/>
    <n v="5"/>
    <n v="10"/>
    <n v="25"/>
    <n v="50"/>
    <n v="50"/>
    <n v="50"/>
    <s v="NO"/>
    <s v="UK"/>
    <s v="NI"/>
    <n v="10"/>
    <s v="UK"/>
    <n v="30"/>
    <s v="UK"/>
    <s v="UK"/>
    <n v="25"/>
    <n v="25"/>
    <n v="25"/>
    <n v="25"/>
    <n v="25"/>
    <n v="25"/>
    <n v="40"/>
    <n v="25"/>
    <n v="400"/>
    <n v="25"/>
    <n v="200"/>
    <n v="750"/>
    <n v="400"/>
    <n v="75"/>
    <n v="75"/>
    <n v="25"/>
    <n v="25"/>
    <n v="25"/>
    <n v="25"/>
    <n v="75"/>
    <n v="25"/>
    <s v="NO"/>
    <n v="300"/>
    <n v="400"/>
  </r>
  <r>
    <s v="CM-SWVI [10]"/>
    <s v="Southwest Vancouver Island"/>
    <s v="HAMMOND CREEK_Chum"/>
    <x v="0"/>
    <x v="0"/>
    <x v="5"/>
    <x v="126"/>
    <x v="1"/>
    <m/>
    <m/>
    <n v="4"/>
    <n v="9"/>
    <n v="8"/>
    <n v="305.30856950550515"/>
    <n v="7500"/>
    <n v="488.29091072955134"/>
    <m/>
    <s v="PL+D or Presence/Absence"/>
    <m/>
    <n v="671.125"/>
    <n v="729"/>
    <n v="408"/>
    <n v="1040"/>
    <n v="118"/>
    <n v="116"/>
    <n v="2603"/>
    <s v="NI"/>
    <n v="191"/>
    <n v="8"/>
    <s v="NO"/>
    <n v="465"/>
    <n v="550"/>
    <n v="200"/>
    <n v="2895"/>
    <n v="650"/>
    <n v="410"/>
    <s v="NI"/>
    <n v="600"/>
    <n v="500"/>
    <n v="1210"/>
    <n v="10"/>
    <n v="400"/>
    <n v="50"/>
    <n v="200"/>
    <n v="350"/>
    <n v="725"/>
    <n v="850"/>
    <s v="NO"/>
    <n v="500"/>
    <s v="NI"/>
    <s v="UK"/>
    <n v="900"/>
    <n v="645"/>
    <n v="1000"/>
    <n v="200"/>
    <n v="25"/>
    <n v="200"/>
    <n v="1500"/>
    <n v="750"/>
    <n v="1500"/>
    <n v="200"/>
    <n v="1500"/>
    <n v="1500"/>
    <n v="750"/>
    <n v="1500"/>
    <n v="2500"/>
    <n v="400"/>
    <n v="3500"/>
    <n v="1500"/>
    <n v="75"/>
    <n v="1500"/>
    <n v="7500"/>
    <n v="750"/>
    <n v="3500"/>
    <n v="200"/>
    <n v="200"/>
    <n v="25"/>
    <n v="4000"/>
    <n v="3500"/>
  </r>
  <r>
    <s v="CK-NoKy [32]"/>
    <s v="Nootka and Kyuquot"/>
    <s v="HAMMOND CREEK_Chinook"/>
    <x v="0"/>
    <x v="0"/>
    <x v="5"/>
    <x v="126"/>
    <x v="2"/>
    <m/>
    <m/>
    <n v="4"/>
    <n v="9"/>
    <n v="2"/>
    <n v="5.5178483527622415"/>
    <n v="25"/>
    <n v="10.069943706001002"/>
    <m/>
    <s v="PL+D or Presence/Absence"/>
    <m/>
    <n v="9.5"/>
    <n v="1"/>
    <m/>
    <m/>
    <n v="2"/>
    <s v="NO"/>
    <s v="NO"/>
    <s v="NI"/>
    <s v="NO"/>
    <s v="NO"/>
    <s v="NO"/>
    <s v="NO"/>
    <s v="NO"/>
    <s v="NO"/>
    <n v="7"/>
    <s v="NO"/>
    <n v="12"/>
    <s v="NI"/>
    <s v="UK"/>
    <s v="NO"/>
    <s v="NI"/>
    <s v="UK"/>
    <s v="UK"/>
    <s v="UK"/>
    <s v="UK"/>
    <s v="UK"/>
    <s v="UK"/>
    <s v="UK"/>
    <s v="NO"/>
    <s v="UK"/>
    <s v="NI"/>
    <s v="UK"/>
    <s v="UK"/>
    <s v="UK"/>
    <s v="UK"/>
    <s v="UK"/>
    <s v="UK"/>
    <n v="25"/>
    <s v="UK"/>
    <n v="25"/>
    <s v="NO"/>
    <s v="NO"/>
    <n v="10"/>
    <n v="10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SK-WVI [R10]"/>
    <s v="West Vancouver Island"/>
    <s v="HOISS CREEK_Sockeye"/>
    <x v="0"/>
    <x v="0"/>
    <x v="5"/>
    <x v="127"/>
    <x v="3"/>
    <m/>
    <m/>
    <n v="4"/>
    <n v="11"/>
    <n v="4"/>
    <n v="16.41939711447576"/>
    <n v="450"/>
    <n v="23.604774435999058"/>
    <m/>
    <s v="PL+D or Presence/Absence"/>
    <m/>
    <n v="41.25"/>
    <n v="4"/>
    <n v="3"/>
    <m/>
    <s v="NO"/>
    <n v="1"/>
    <s v="NO"/>
    <s v="NO"/>
    <n v="9"/>
    <s v="NO"/>
    <s v="NO"/>
    <s v="NO"/>
    <s v="NO"/>
    <n v="40"/>
    <n v="51"/>
    <n v="65"/>
    <s v="NO"/>
    <s v="NO"/>
    <s v="NO"/>
    <n v="10"/>
    <s v="NI"/>
    <s v="NI"/>
    <s v="UK"/>
    <s v="UK"/>
    <s v="UK"/>
    <s v="UK"/>
    <n v="20"/>
    <n v="450"/>
    <s v="NO"/>
    <n v="10"/>
    <s v="UK"/>
    <n v="50"/>
    <s v="UK"/>
    <s v="UK"/>
    <s v="UK"/>
    <s v="UK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HOISS CREEK_Coho"/>
    <x v="0"/>
    <x v="0"/>
    <x v="5"/>
    <x v="127"/>
    <x v="0"/>
    <m/>
    <m/>
    <n v="4"/>
    <n v="11"/>
    <n v="9"/>
    <n v="46.77294447910608"/>
    <n v="750"/>
    <n v="58.298383597692258"/>
    <m/>
    <s v="PL+D or Presence/Absence"/>
    <m/>
    <n v="82.222222222222229"/>
    <n v="48"/>
    <n v="23"/>
    <n v="85"/>
    <n v="56"/>
    <n v="17"/>
    <n v="20"/>
    <n v="75"/>
    <n v="208"/>
    <n v="20"/>
    <n v="32"/>
    <n v="120"/>
    <n v="90"/>
    <n v="100"/>
    <n v="89"/>
    <n v="6"/>
    <s v="NO"/>
    <s v="NO"/>
    <s v="NO"/>
    <s v="NO"/>
    <s v="NI"/>
    <s v="NI"/>
    <s v="UK"/>
    <s v="UK"/>
    <s v="UK"/>
    <s v="UK"/>
    <n v="40"/>
    <n v="50"/>
    <s v="NO"/>
    <s v="UK"/>
    <s v="NO"/>
    <s v="UK"/>
    <s v="UK"/>
    <s v="NO"/>
    <s v="UK"/>
    <s v="UK"/>
    <s v="NI"/>
    <n v="200"/>
    <n v="25"/>
    <n v="25"/>
    <n v="25"/>
    <n v="25"/>
    <n v="75"/>
    <n v="75"/>
    <n v="25"/>
    <n v="75"/>
    <n v="25"/>
    <n v="75"/>
    <n v="200"/>
    <n v="250"/>
    <s v="UK"/>
    <n v="25"/>
    <n v="25"/>
    <n v="25"/>
    <n v="75"/>
    <n v="75"/>
    <n v="75"/>
    <s v="NO"/>
    <n v="750"/>
    <n v="750"/>
  </r>
  <r>
    <s v="CM-SWVI [10]"/>
    <s v="Southwest Vancouver Island"/>
    <s v="HOISS CREEK_Chum"/>
    <x v="0"/>
    <x v="0"/>
    <x v="5"/>
    <x v="127"/>
    <x v="1"/>
    <m/>
    <m/>
    <n v="4"/>
    <n v="11"/>
    <n v="11"/>
    <n v="489.51847246897518"/>
    <n v="6210"/>
    <n v="678.73834263479796"/>
    <m/>
    <s v="PL+D or Presence/Absence"/>
    <m/>
    <n v="1396.1"/>
    <n v="361"/>
    <n v="610"/>
    <n v="565"/>
    <n v="338"/>
    <n v="69"/>
    <n v="142"/>
    <n v="1050"/>
    <n v="3296"/>
    <n v="1095"/>
    <n v="295"/>
    <n v="215"/>
    <n v="250"/>
    <n v="300"/>
    <n v="6210"/>
    <n v="1000"/>
    <n v="250"/>
    <s v="AP"/>
    <n v="900"/>
    <n v="2000"/>
    <n v="1500"/>
    <s v="NI"/>
    <n v="300"/>
    <n v="150"/>
    <n v="150"/>
    <n v="750"/>
    <n v="1700"/>
    <n v="2400"/>
    <n v="100"/>
    <n v="1050"/>
    <n v="2500"/>
    <n v="1500"/>
    <n v="500"/>
    <n v="110"/>
    <n v="300"/>
    <n v="150"/>
    <s v="NI"/>
    <n v="75"/>
    <n v="750"/>
    <n v="1500"/>
    <n v="3500"/>
    <n v="200"/>
    <n v="2200"/>
    <n v="750"/>
    <n v="400"/>
    <n v="1500"/>
    <n v="2000"/>
    <n v="400"/>
    <n v="400"/>
    <n v="700"/>
    <n v="1500"/>
    <n v="750"/>
    <n v="3500"/>
    <n v="400"/>
    <n v="3500"/>
    <n v="1500"/>
    <n v="3500"/>
    <n v="200"/>
    <n v="900"/>
    <n v="3500"/>
  </r>
  <r>
    <s v="CK-NoKy [32]"/>
    <s v="Nootka and Kyuquot"/>
    <s v="HOISS CREEK_Chinook"/>
    <x v="0"/>
    <x v="0"/>
    <x v="5"/>
    <x v="127"/>
    <x v="2"/>
    <m/>
    <m/>
    <n v="4"/>
    <n v="11"/>
    <n v="6"/>
    <n v="3.6986223885946474"/>
    <n v="50"/>
    <n v="10.187692651215061"/>
    <m/>
    <s v="PL+D or Presence/Absence"/>
    <m/>
    <n v="8.8000000000000007"/>
    <n v="1"/>
    <n v="21"/>
    <m/>
    <n v="2"/>
    <s v="NO"/>
    <s v="NO"/>
    <s v="NO"/>
    <n v="5"/>
    <n v="2"/>
    <n v="32"/>
    <n v="4"/>
    <s v="AP"/>
    <s v="NO"/>
    <n v="1"/>
    <s v="NO"/>
    <s v="NO"/>
    <s v="NO"/>
    <s v="UK"/>
    <s v="UK"/>
    <s v="NI"/>
    <s v="NI"/>
    <s v="UK"/>
    <s v="UK"/>
    <s v="UK"/>
    <s v="UK"/>
    <s v="UK"/>
    <s v="NO"/>
    <s v="NO"/>
    <s v="UK"/>
    <s v="NO"/>
    <s v="UK"/>
    <s v="UK"/>
    <s v="UK"/>
    <s v="UK"/>
    <s v="UK"/>
    <s v="NI"/>
    <n v="25"/>
    <s v="UK"/>
    <s v="UK"/>
    <n v="25"/>
    <s v="NO"/>
    <n v="25"/>
    <s v="NO"/>
    <s v="NO"/>
    <s v="NO"/>
    <n v="25"/>
    <n v="25"/>
    <s v="UK"/>
    <n v="50"/>
    <s v="UK"/>
    <s v="UK"/>
    <s v="UK"/>
    <s v="UK"/>
    <s v="UK"/>
    <s v="UK"/>
    <s v="UK"/>
    <s v="UK"/>
    <s v="UK"/>
    <s v="UK"/>
  </r>
  <r>
    <s v="SK-WVI [R10]"/>
    <s v="West Vancouver Island"/>
    <s v="INNER BASIN CREEK (Black C)_Sockeye"/>
    <x v="0"/>
    <x v="0"/>
    <x v="5"/>
    <x v="128"/>
    <x v="3"/>
    <m/>
    <m/>
    <n v="4"/>
    <n v="11"/>
    <n v="2"/>
    <n v="54.772255750516614"/>
    <n v="150"/>
    <n v="54.772255750516614"/>
    <m/>
    <s v="PL+D or Presence/Absence"/>
    <s v="Chum is the target species."/>
    <n v="85"/>
    <n v="14"/>
    <m/>
    <m/>
    <s v="NO"/>
    <s v="NO"/>
    <s v="NO"/>
    <s v="NO"/>
    <s v="NO"/>
    <s v="NO"/>
    <s v="NO"/>
    <s v="NO"/>
    <s v="NO"/>
    <s v="NO"/>
    <n v="20"/>
    <n v="150"/>
    <s v="NO"/>
    <s v="NO"/>
    <s v="UK"/>
    <s v="UK"/>
    <s v="NI"/>
    <s v="UK"/>
    <s v="UK"/>
    <s v="UK"/>
    <s v="UK"/>
    <s v="UK"/>
    <s v="NI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O-WVI [17]"/>
    <s v="West Vancouver Island"/>
    <s v="INNER BASIN CREEK (Black C)_Coho"/>
    <x v="0"/>
    <x v="0"/>
    <x v="5"/>
    <x v="128"/>
    <x v="0"/>
    <m/>
    <m/>
    <n v="4"/>
    <n v="11"/>
    <n v="9"/>
    <n v="41.27416708686264"/>
    <n v="200"/>
    <n v="55.51615816448232"/>
    <m/>
    <s v="PL+D or Presence/Absence"/>
    <s v="Chum is the target species."/>
    <n v="88.777777777777771"/>
    <n v="64"/>
    <n v="44"/>
    <n v="57"/>
    <n v="95"/>
    <n v="15"/>
    <n v="14"/>
    <s v="NO"/>
    <n v="169"/>
    <n v="20"/>
    <n v="31"/>
    <n v="100"/>
    <n v="200"/>
    <n v="120"/>
    <n v="116"/>
    <n v="42"/>
    <s v="AP"/>
    <n v="1"/>
    <s v="UK"/>
    <s v="UK"/>
    <s v="NI"/>
    <s v="UK"/>
    <s v="NO"/>
    <s v="NO"/>
    <n v="150"/>
    <n v="200"/>
    <s v="NI"/>
    <n v="20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s v="CM-SWVI [10]"/>
    <s v="Southwest Vancouver Island"/>
    <s v="INNER BASIN CREEK (Black C)_Chum"/>
    <x v="0"/>
    <x v="0"/>
    <x v="5"/>
    <x v="128"/>
    <x v="1"/>
    <m/>
    <m/>
    <n v="4"/>
    <n v="11"/>
    <n v="11"/>
    <n v="2936.7627638091526"/>
    <n v="20000"/>
    <n v="4170.0758467368778"/>
    <m/>
    <s v="PL+D or Presence/Absence"/>
    <s v="Chum is the target species."/>
    <n v="6263.727272727273"/>
    <n v="5987"/>
    <n v="3747"/>
    <n v="3900"/>
    <n v="3026"/>
    <n v="801"/>
    <n v="2825"/>
    <n v="150"/>
    <n v="13225"/>
    <n v="15700"/>
    <n v="7711"/>
    <n v="3000"/>
    <n v="1800"/>
    <n v="2500"/>
    <n v="16315"/>
    <n v="5000"/>
    <n v="2800"/>
    <n v="700"/>
    <n v="20000"/>
    <n v="10000"/>
    <n v="20000"/>
    <n v="3800"/>
    <n v="1900"/>
    <n v="3000"/>
    <n v="6000"/>
    <n v="7500"/>
    <s v="NI"/>
    <n v="13250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NI"/>
  </r>
  <r>
    <e v="#N/A"/>
    <e v="#N/A"/>
    <s v="INNER BASIN RIVER (Ransom C)_Sockeye"/>
    <x v="0"/>
    <x v="0"/>
    <x v="5"/>
    <x v="129"/>
    <x v="3"/>
    <m/>
    <m/>
    <n v="5"/>
    <n v="10"/>
    <n v="3"/>
    <n v="18.171205928321395"/>
    <n v="60"/>
    <n v="18.171205928321395"/>
    <m/>
    <s v="PL+D or Presence/Absence"/>
    <m/>
    <n v="29.666666666666668"/>
    <s v="NO"/>
    <m/>
    <n v="6"/>
    <s v="NO"/>
    <s v="NO"/>
    <s v="NO"/>
    <s v="NO"/>
    <s v="NO"/>
    <s v="NO"/>
    <n v="4"/>
    <s v="NO"/>
    <s v="NO"/>
    <s v="NO"/>
    <n v="25"/>
    <n v="60"/>
    <s v="NO"/>
    <m/>
    <s v="UK"/>
    <s v="UK"/>
    <s v="NI"/>
    <s v="UK"/>
    <s v="UK"/>
    <s v="UK"/>
    <s v="UK"/>
    <s v="UK"/>
    <s v="UK"/>
    <s v="UK"/>
    <s v="NO"/>
    <s v="UK"/>
    <s v="UK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INNER BASIN RIVER (Ransom C)_Coho"/>
    <x v="0"/>
    <x v="0"/>
    <x v="5"/>
    <x v="129"/>
    <x v="0"/>
    <m/>
    <m/>
    <n v="5"/>
    <n v="10"/>
    <n v="7"/>
    <n v="44.803680854217006"/>
    <n v="1500"/>
    <n v="97.760300527492049"/>
    <m/>
    <s v="PL+D or Presence/Absence"/>
    <m/>
    <n v="58"/>
    <n v="145"/>
    <n v="170"/>
    <n v="200"/>
    <s v="NO"/>
    <n v="81"/>
    <n v="48"/>
    <s v="NO"/>
    <n v="45"/>
    <s v="NO"/>
    <n v="15"/>
    <n v="35"/>
    <n v="90"/>
    <n v="160"/>
    <n v="50"/>
    <n v="11"/>
    <s v="NO"/>
    <m/>
    <s v="UK"/>
    <s v="NO"/>
    <s v="NI"/>
    <s v="NO"/>
    <s v="NO"/>
    <s v="NO"/>
    <n v="100"/>
    <n v="100"/>
    <n v="50"/>
    <n v="120"/>
    <s v="NO"/>
    <s v="UK"/>
    <s v="UK"/>
    <s v="NI"/>
    <s v="UK"/>
    <n v="60"/>
    <s v="UK"/>
    <s v="NO"/>
    <s v="UK"/>
    <n v="75"/>
    <s v="UK"/>
    <s v="UK"/>
    <s v="NO"/>
    <n v="25"/>
    <n v="200"/>
    <n v="25"/>
    <n v="200"/>
    <n v="400"/>
    <n v="400"/>
    <n v="400"/>
    <n v="400"/>
    <s v="UK"/>
    <s v="UK"/>
    <s v="UK"/>
    <s v="NO"/>
    <n v="200"/>
    <n v="75"/>
    <n v="25"/>
    <s v="UK"/>
    <s v="NO"/>
    <n v="750"/>
    <n v="1500"/>
  </r>
  <r>
    <s v="CM-SWVI [10]"/>
    <s v="Southwest Vancouver Island"/>
    <s v="INNER BASIN RIVER (Ransom C)_Chum"/>
    <x v="0"/>
    <x v="0"/>
    <x v="5"/>
    <x v="129"/>
    <x v="1"/>
    <m/>
    <m/>
    <n v="5"/>
    <n v="10"/>
    <n v="9"/>
    <n v="193.07671753004723"/>
    <n v="35000"/>
    <n v="2102.4944393412648"/>
    <m/>
    <s v="PL+D or Presence/Absence"/>
    <m/>
    <n v="520"/>
    <n v="140"/>
    <n v="100"/>
    <n v="220"/>
    <n v="51"/>
    <n v="66"/>
    <n v="32"/>
    <s v="NO"/>
    <n v="490"/>
    <n v="800"/>
    <n v="570"/>
    <n v="215"/>
    <n v="45"/>
    <n v="50"/>
    <n v="1732"/>
    <n v="524"/>
    <n v="254"/>
    <m/>
    <n v="1000"/>
    <n v="1500"/>
    <n v="5400"/>
    <n v="17000"/>
    <n v="100"/>
    <n v="100"/>
    <n v="2000"/>
    <n v="2000"/>
    <n v="2500"/>
    <n v="850"/>
    <n v="6000"/>
    <n v="10500"/>
    <n v="9000"/>
    <s v="NI"/>
    <n v="4000"/>
    <n v="5300"/>
    <n v="4500"/>
    <s v="NO"/>
    <n v="750"/>
    <n v="3500"/>
    <n v="3500"/>
    <n v="15000"/>
    <n v="4000"/>
    <n v="7500"/>
    <n v="15000"/>
    <n v="7500"/>
    <n v="7500"/>
    <n v="15000"/>
    <n v="12000"/>
    <n v="7500"/>
    <n v="15000"/>
    <n v="12000"/>
    <n v="15000"/>
    <n v="7500"/>
    <n v="35000"/>
    <n v="7500"/>
    <n v="1500"/>
    <n v="750"/>
    <n v="7500"/>
    <n v="7500"/>
    <n v="1500"/>
    <n v="15000"/>
  </r>
  <r>
    <s v="CK-NoKy [32]"/>
    <s v="Nootka and Kyuquot"/>
    <s v="INNER BASIN RIVER (Ransom C)_Chinook"/>
    <x v="0"/>
    <x v="0"/>
    <x v="5"/>
    <x v="129"/>
    <x v="2"/>
    <m/>
    <m/>
    <n v="5"/>
    <n v="10"/>
    <n v="0"/>
    <e v="#NUM!"/>
    <n v="25"/>
    <n v="25"/>
    <m/>
    <s v="PL+D or Presence/Absence"/>
    <m/>
    <m/>
    <n v="1"/>
    <n v="2"/>
    <m/>
    <s v="NO"/>
    <s v="NO"/>
    <s v="NO"/>
    <s v="NO"/>
    <s v="NO"/>
    <s v="NO"/>
    <s v="NO"/>
    <s v="NO"/>
    <s v="NO"/>
    <s v="NO"/>
    <s v="NO"/>
    <s v="NO"/>
    <s v="NO"/>
    <m/>
    <s v="UK"/>
    <s v="UK"/>
    <s v="NI"/>
    <s v="UK"/>
    <s v="UK"/>
    <s v="UK"/>
    <s v="UK"/>
    <s v="UK"/>
    <s v="UK"/>
    <s v="UK"/>
    <s v="NO"/>
    <s v="UK"/>
    <s v="UK"/>
    <s v="NI"/>
    <s v="UK"/>
    <s v="UK"/>
    <s v="UK"/>
    <s v="UK"/>
    <s v="UK"/>
    <n v="25"/>
    <s v="UK"/>
    <s v="UK"/>
    <s v="NO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KENDRICK CREEK_Coho"/>
    <x v="0"/>
    <x v="0"/>
    <x v="5"/>
    <x v="130"/>
    <x v="0"/>
    <m/>
    <m/>
    <n v="4"/>
    <n v="5"/>
    <n v="0"/>
    <e v="#NUM!"/>
    <n v="110"/>
    <n v="41.052515840380934"/>
    <m/>
    <s v="PL+D or Presence/Absence"/>
    <s v="Chum is the target species, no coho observed."/>
    <m/>
    <n v="28"/>
    <m/>
    <m/>
    <m/>
    <s v="NI"/>
    <s v="NI"/>
    <s v="NI"/>
    <s v="NI"/>
    <s v="NI"/>
    <s v="NI"/>
    <s v="NO"/>
    <s v="NI"/>
    <s v="NO"/>
    <s v="NI"/>
    <s v="NO"/>
    <s v="NO"/>
    <s v="NO"/>
    <s v="NI"/>
    <s v="NI"/>
    <s v="NI"/>
    <n v="110"/>
    <s v="NI"/>
    <s v="NI"/>
    <s v="NI"/>
    <s v="UK"/>
    <n v="30"/>
    <n v="25"/>
    <s v="NO"/>
    <s v="NI"/>
    <s v="NI"/>
    <s v="NI"/>
    <s v="NI"/>
    <s v="NI"/>
    <s v="NI"/>
    <s v="UK"/>
    <s v="UK"/>
    <n v="75"/>
    <n v="25"/>
    <n v="25"/>
    <n v="25"/>
    <n v="25"/>
    <s v="NO"/>
    <n v="75"/>
    <n v="75"/>
    <s v="UK"/>
    <s v="NI"/>
    <s v="NI"/>
    <s v="NI"/>
    <s v="NI"/>
    <s v="NI"/>
    <s v="NI"/>
    <s v="NI"/>
    <s v="UK"/>
    <s v="UK"/>
    <s v="NI"/>
    <s v="NI"/>
    <s v="NI"/>
    <s v="NI"/>
    <s v="NI"/>
  </r>
  <r>
    <s v="CM-SWVI [10]"/>
    <s v="Southwest Vancouver Island"/>
    <s v="KENDRICK CREEK_Chum"/>
    <x v="0"/>
    <x v="0"/>
    <x v="5"/>
    <x v="130"/>
    <x v="1"/>
    <m/>
    <m/>
    <n v="4"/>
    <n v="5"/>
    <n v="5"/>
    <n v="288.44991406148165"/>
    <n v="4000"/>
    <n v="485.59658150967755"/>
    <m/>
    <s v="PL+D or Presence/Absence"/>
    <s v="Chum is the target species. 2 of the 5 estimates are entered as Adult Present (AP)."/>
    <n v="383.33333333333331"/>
    <n v="656"/>
    <m/>
    <m/>
    <m/>
    <s v="NI"/>
    <s v="NI"/>
    <s v="NI"/>
    <s v="NI"/>
    <s v="NI"/>
    <s v="NI"/>
    <n v="200"/>
    <s v="NI"/>
    <s v="AP"/>
    <s v="NI"/>
    <n v="800"/>
    <n v="150"/>
    <s v="AP"/>
    <s v="NI"/>
    <s v="NI"/>
    <n v="565"/>
    <n v="14"/>
    <s v="NI"/>
    <s v="NI"/>
    <s v="NI"/>
    <n v="200"/>
    <n v="1150"/>
    <n v="1200"/>
    <n v="500"/>
    <s v="NI"/>
    <s v="NI"/>
    <s v="NI"/>
    <s v="NI"/>
    <s v="NI"/>
    <s v="NI"/>
    <n v="500"/>
    <n v="25"/>
    <n v="200"/>
    <n v="400"/>
    <n v="750"/>
    <n v="2100"/>
    <n v="750"/>
    <n v="4000"/>
    <n v="1500"/>
    <n v="1500"/>
    <n v="750"/>
    <s v="NI"/>
    <s v="NI"/>
    <s v="NI"/>
    <s v="NI"/>
    <s v="NI"/>
    <s v="NI"/>
    <s v="NI"/>
    <n v="400"/>
    <n v="1500"/>
    <s v="NI"/>
    <s v="NI"/>
    <s v="NI"/>
    <s v="NI"/>
    <s v="NI"/>
  </r>
  <r>
    <s v="SK-WVI [R10]"/>
    <s v="West Vancouver Island"/>
    <s v="KLEEPTEE CREEK_Sockeye"/>
    <x v="0"/>
    <x v="0"/>
    <x v="5"/>
    <x v="131"/>
    <x v="3"/>
    <m/>
    <m/>
    <n v="4"/>
    <n v="9"/>
    <n v="5"/>
    <n v="16.54544252816958"/>
    <n v="250"/>
    <n v="21.711865484129785"/>
    <m/>
    <s v="PL+D or Presence/Absence"/>
    <s v="Chum is the target species."/>
    <n v="50.4"/>
    <n v="44"/>
    <n v="52"/>
    <n v="30"/>
    <n v="25"/>
    <n v="2"/>
    <n v="4"/>
    <s v="NO"/>
    <n v="15"/>
    <n v="8"/>
    <n v="39"/>
    <s v="NO"/>
    <n v="40"/>
    <n v="150"/>
    <s v="NI"/>
    <s v="NI"/>
    <s v="NO"/>
    <s v="NO"/>
    <s v="UK"/>
    <n v="250"/>
    <s v="NI"/>
    <n v="4"/>
    <s v="UK"/>
    <s v="UK"/>
    <s v="UK"/>
    <s v="UK"/>
    <s v="UK"/>
    <s v="UK"/>
    <s v="NO"/>
    <s v="UK"/>
    <s v="UK"/>
    <n v="80"/>
    <s v="UK"/>
    <n v="10"/>
    <n v="25"/>
    <n v="40"/>
    <s v="NI"/>
    <s v="UK"/>
    <n v="25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KLEEPTEE CREEK_Coho"/>
    <x v="0"/>
    <x v="0"/>
    <x v="5"/>
    <x v="131"/>
    <x v="0"/>
    <m/>
    <m/>
    <n v="4"/>
    <n v="9"/>
    <n v="8"/>
    <n v="122.99315787121138"/>
    <n v="400"/>
    <n v="87.677487213331474"/>
    <m/>
    <s v="PL+D or Presence/Absence"/>
    <s v="Chum is the target species."/>
    <n v="147"/>
    <n v="284"/>
    <n v="475"/>
    <n v="330"/>
    <n v="203"/>
    <n v="224"/>
    <n v="84"/>
    <n v="110"/>
    <n v="235"/>
    <n v="65"/>
    <n v="173"/>
    <n v="180"/>
    <n v="250"/>
    <n v="150"/>
    <s v="NI"/>
    <s v="NI"/>
    <s v="NO"/>
    <n v="13"/>
    <n v="20"/>
    <s v="NO"/>
    <s v="NI"/>
    <n v="100"/>
    <n v="30"/>
    <n v="15"/>
    <n v="50"/>
    <n v="150"/>
    <n v="50"/>
    <n v="50"/>
    <n v="15"/>
    <s v="UK"/>
    <s v="UK"/>
    <n v="60"/>
    <s v="UK"/>
    <n v="50"/>
    <n v="20"/>
    <n v="30"/>
    <s v="NI"/>
    <s v="UK"/>
    <n v="75"/>
    <n v="25"/>
    <n v="75"/>
    <n v="200"/>
    <n v="200"/>
    <n v="75"/>
    <n v="200"/>
    <n v="400"/>
    <n v="400"/>
    <n v="400"/>
    <n v="200"/>
    <n v="350"/>
    <n v="200"/>
    <n v="200"/>
    <n v="25"/>
    <n v="25"/>
    <n v="25"/>
    <n v="75"/>
    <n v="200"/>
    <n v="25"/>
    <n v="300"/>
    <n v="200"/>
  </r>
  <r>
    <s v="CM-SWVI [10]"/>
    <s v="Southwest Vancouver Island"/>
    <s v="KLEEPTEE CREEK_Chum"/>
    <x v="0"/>
    <x v="0"/>
    <x v="5"/>
    <x v="131"/>
    <x v="1"/>
    <m/>
    <m/>
    <n v="4"/>
    <n v="9"/>
    <n v="9"/>
    <n v="1789.213310494373"/>
    <n v="15000"/>
    <n v="1487.5425064438775"/>
    <m/>
    <s v="PL+D or Presence/Absence"/>
    <s v="Chum is the target species."/>
    <n v="2355"/>
    <n v="717"/>
    <n v="6585"/>
    <n v="3130"/>
    <n v="1553"/>
    <n v="464"/>
    <n v="3607"/>
    <n v="1390"/>
    <n v="3693"/>
    <n v="2423"/>
    <n v="6021"/>
    <n v="1000"/>
    <n v="1800"/>
    <n v="2500"/>
    <s v="NI"/>
    <s v="NI"/>
    <n v="1600"/>
    <n v="768"/>
    <n v="1600"/>
    <n v="11000"/>
    <n v="15000"/>
    <n v="10000"/>
    <n v="200"/>
    <n v="188"/>
    <n v="700"/>
    <n v="265"/>
    <n v="2250"/>
    <n v="1000"/>
    <n v="1400"/>
    <n v="1700"/>
    <n v="3500"/>
    <n v="1000"/>
    <n v="400"/>
    <n v="250"/>
    <n v="850"/>
    <n v="500"/>
    <s v="NI"/>
    <n v="200"/>
    <n v="1500"/>
    <n v="1500"/>
    <n v="3500"/>
    <n v="750"/>
    <n v="5000"/>
    <n v="1500"/>
    <n v="1500"/>
    <n v="1500"/>
    <n v="3000"/>
    <n v="3500"/>
    <n v="1500"/>
    <n v="800"/>
    <n v="750"/>
    <n v="3500"/>
    <n v="15000"/>
    <n v="400"/>
    <n v="750"/>
    <n v="3500"/>
    <n v="7500"/>
    <n v="750"/>
    <n v="1000"/>
    <n v="1500"/>
  </r>
  <r>
    <s v="CK-NoKy [32]"/>
    <s v="Nootka and Kyuquot"/>
    <s v="KLEEPTEE CREEK_Chinook"/>
    <x v="0"/>
    <x v="0"/>
    <x v="5"/>
    <x v="131"/>
    <x v="2"/>
    <m/>
    <m/>
    <n v="4"/>
    <n v="9"/>
    <n v="5"/>
    <n v="42.08862706137068"/>
    <n v="300"/>
    <n v="33.879188393865981"/>
    <m/>
    <s v="PL+D or Presence/Absence"/>
    <s v="Chum is the target species."/>
    <n v="101.75"/>
    <n v="39"/>
    <n v="280"/>
    <n v="60"/>
    <n v="20"/>
    <n v="11"/>
    <n v="32"/>
    <s v="NO"/>
    <n v="39"/>
    <n v="75"/>
    <n v="247"/>
    <s v="NO"/>
    <s v="AP"/>
    <s v="NO"/>
    <s v="NI"/>
    <s v="NI"/>
    <s v="NO"/>
    <n v="46"/>
    <s v="UK"/>
    <s v="UK"/>
    <n v="300"/>
    <s v="NO"/>
    <n v="20"/>
    <n v="4"/>
    <s v="UK"/>
    <s v="UK"/>
    <s v="UK"/>
    <s v="UK"/>
    <n v="1"/>
    <s v="UK"/>
    <s v="UK"/>
    <s v="UK"/>
    <s v="UK"/>
    <s v="UK"/>
    <n v="5"/>
    <s v="UK"/>
    <s v="NI"/>
    <n v="25"/>
    <n v="25"/>
    <n v="75"/>
    <n v="25"/>
    <n v="50"/>
    <n v="25"/>
    <n v="25"/>
    <n v="75"/>
    <n v="200"/>
    <n v="75"/>
    <n v="75"/>
    <n v="25"/>
    <n v="50"/>
    <n v="25"/>
    <n v="75"/>
    <s v="UK"/>
    <s v="UK"/>
    <s v="UK"/>
    <s v="UK"/>
    <s v="UK"/>
    <s v="UK"/>
    <s v="UK"/>
    <s v="UK"/>
  </r>
  <r>
    <s v="SK-WVI [R10]"/>
    <s v="West Vancouver Island"/>
    <s v="LEINER RIVER_Sockeye"/>
    <x v="0"/>
    <x v="0"/>
    <x v="5"/>
    <x v="132"/>
    <x v="3"/>
    <m/>
    <m/>
    <n v="3"/>
    <n v="11"/>
    <n v="11"/>
    <n v="581.33504645730352"/>
    <n v="6417"/>
    <n v="390.40221869231522"/>
    <s v="B. Other systems: wild or hatchery supplemented.     Intensively surveyed in 1995 and have a fairly complete historic database."/>
    <s v="AUC"/>
    <m/>
    <n v="1257.4545454545455"/>
    <n v="2583"/>
    <n v="1475"/>
    <n v="1120"/>
    <n v="521"/>
    <n v="504"/>
    <n v="163"/>
    <n v="500"/>
    <n v="536"/>
    <n v="165"/>
    <n v="549"/>
    <n v="560"/>
    <n v="366"/>
    <n v="2436"/>
    <n v="1683"/>
    <n v="6417"/>
    <n v="231"/>
    <n v="389"/>
    <n v="2500"/>
    <n v="1200"/>
    <n v="500"/>
    <n v="1000"/>
    <n v="250"/>
    <n v="440"/>
    <n v="750"/>
    <n v="400"/>
    <n v="100"/>
    <n v="200"/>
    <n v="500"/>
    <n v="600"/>
    <n v="200"/>
    <n v="60"/>
    <n v="50"/>
    <n v="41"/>
    <n v="300"/>
    <n v="150"/>
    <n v="200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LEINER RIVER_Coho"/>
    <x v="0"/>
    <x v="0"/>
    <x v="5"/>
    <x v="132"/>
    <x v="0"/>
    <m/>
    <m/>
    <n v="3"/>
    <n v="11"/>
    <n v="11"/>
    <n v="457.43469984563575"/>
    <n v="7500"/>
    <n v="371.36360288402523"/>
    <s v="B. Other systems: wild or hatchery supplemented.     Intensively surveyed in 1995 and have a fairly complete historic database."/>
    <s v="AUC"/>
    <s v="Average Esc from 1995-2005 from file: NEW ESCAPEMENT INDEX.XLS"/>
    <n v="496.81818181818181"/>
    <n v="1755"/>
    <n v="680"/>
    <n v="1320"/>
    <n v="1051"/>
    <n v="440"/>
    <n v="746"/>
    <n v="232"/>
    <n v="575"/>
    <n v="497"/>
    <n v="886"/>
    <n v="434"/>
    <n v="1122"/>
    <n v="692"/>
    <n v="507"/>
    <n v="181"/>
    <n v="196"/>
    <n v="143"/>
    <n v="100"/>
    <n v="150"/>
    <n v="100"/>
    <n v="300"/>
    <n v="275"/>
    <n v="500"/>
    <n v="400"/>
    <n v="700"/>
    <n v="250"/>
    <n v="200"/>
    <n v="130"/>
    <n v="200"/>
    <n v="300"/>
    <s v="UK"/>
    <n v="400"/>
    <n v="50"/>
    <n v="500"/>
    <n v="200"/>
    <n v="750"/>
    <n v="750"/>
    <n v="3500"/>
    <n v="7500"/>
    <n v="2700"/>
    <n v="2000"/>
    <n v="750"/>
    <n v="75"/>
    <n v="400"/>
    <n v="400"/>
    <n v="600"/>
    <n v="750"/>
    <n v="1500"/>
    <n v="600"/>
    <n v="750"/>
    <n v="200"/>
    <n v="200"/>
    <n v="200"/>
    <n v="200"/>
    <n v="75"/>
    <n v="75"/>
    <n v="25"/>
    <n v="250"/>
    <n v="750"/>
  </r>
  <r>
    <s v="Pkodd-WVI [6]"/>
    <s v="West Vancouver Island"/>
    <s v="LEINER RIVER_Pink"/>
    <x v="0"/>
    <x v="0"/>
    <x v="5"/>
    <x v="132"/>
    <x v="4"/>
    <m/>
    <m/>
    <n v="3"/>
    <n v="11"/>
    <n v="8"/>
    <n v="4.0959098577410735"/>
    <n v="15000"/>
    <n v="109.68816004041288"/>
    <s v="B. Other systems: wild or hatchery supplemented.     Intensively surveyed in 1995 and have a fairly complete historic database."/>
    <s v="AUC"/>
    <m/>
    <n v="15.25"/>
    <n v="4"/>
    <n v="10"/>
    <m/>
    <n v="1"/>
    <n v="3"/>
    <n v="1"/>
    <n v="2"/>
    <s v="NO"/>
    <n v="5"/>
    <n v="4"/>
    <n v="2"/>
    <s v="NO"/>
    <n v="6"/>
    <n v="6"/>
    <n v="7"/>
    <n v="90"/>
    <s v="NO"/>
    <s v="UK"/>
    <n v="100"/>
    <s v="NI"/>
    <n v="130"/>
    <s v="UK"/>
    <s v="UK"/>
    <s v="NO"/>
    <s v="NO"/>
    <n v="90"/>
    <n v="20"/>
    <n v="5"/>
    <s v="UK"/>
    <n v="100"/>
    <s v="UK"/>
    <n v="2500"/>
    <s v="UK"/>
    <n v="15000"/>
    <s v="UK"/>
    <n v="1500"/>
    <s v="UK"/>
    <n v="7500"/>
    <s v="UK"/>
    <n v="4500"/>
    <s v="NO"/>
    <n v="3500"/>
    <s v="NO"/>
    <n v="12000"/>
    <s v="NO"/>
    <n v="1500"/>
    <n v="25"/>
    <n v="1500"/>
    <s v="UK"/>
    <n v="7500"/>
    <n v="200"/>
    <n v="1500"/>
    <s v="NO"/>
    <n v="1500"/>
    <s v="UK"/>
    <n v="200"/>
    <s v="UK"/>
    <s v="UK"/>
    <s v="UK"/>
  </r>
  <r>
    <s v="CM-SWVI [10]"/>
    <s v="Southwest Vancouver Island"/>
    <s v="LEINER RIVER_Chum"/>
    <x v="0"/>
    <x v="0"/>
    <x v="5"/>
    <x v="132"/>
    <x v="1"/>
    <m/>
    <m/>
    <n v="3"/>
    <n v="11"/>
    <n v="11"/>
    <n v="3653.6015168048866"/>
    <n v="22052"/>
    <n v="4511.8918316804311"/>
    <s v="B. Other systems: wild or hatchery supplemented.     Intensively surveyed in 1995 and have a fairly complete historic database."/>
    <s v="AUC"/>
    <s v="Average Esc from 1995-2005 from file: NEW ESCAPEMENT INDEX.XLS"/>
    <n v="6257.454545454545"/>
    <n v="1228"/>
    <n v="1235"/>
    <n v="2570"/>
    <n v="2084"/>
    <n v="1082"/>
    <n v="5138"/>
    <n v="3699"/>
    <n v="22052"/>
    <n v="1569"/>
    <n v="5719"/>
    <n v="1963"/>
    <n v="2229"/>
    <n v="7867"/>
    <n v="15713"/>
    <n v="3573"/>
    <n v="1643"/>
    <n v="2805"/>
    <n v="20000"/>
    <n v="6000"/>
    <n v="14000"/>
    <n v="14000"/>
    <n v="3600"/>
    <n v="3000"/>
    <n v="3000"/>
    <n v="7000"/>
    <n v="11650"/>
    <n v="5500"/>
    <n v="4200"/>
    <n v="6500"/>
    <n v="7500"/>
    <n v="5000"/>
    <n v="5000"/>
    <n v="3750"/>
    <n v="9000"/>
    <n v="4700"/>
    <n v="7500"/>
    <n v="3500"/>
    <n v="15000"/>
    <n v="15000"/>
    <n v="17500"/>
    <n v="13000"/>
    <n v="15000"/>
    <n v="7500"/>
    <n v="5000"/>
    <n v="1500"/>
    <n v="6000"/>
    <n v="1500"/>
    <n v="7500"/>
    <n v="5000"/>
    <n v="750"/>
    <n v="1500"/>
    <n v="3500"/>
    <n v="3500"/>
    <n v="3500"/>
    <n v="1500"/>
    <n v="750"/>
    <n v="1500"/>
    <n v="4500"/>
    <n v="1500"/>
  </r>
  <r>
    <s v="CK-NoKy [32]"/>
    <s v="Nootka and Kyuquot"/>
    <s v="LEINER RIVER_Chinook"/>
    <x v="0"/>
    <x v="1"/>
    <x v="5"/>
    <x v="132"/>
    <x v="2"/>
    <m/>
    <m/>
    <n v="3"/>
    <n v="11"/>
    <n v="11"/>
    <n v="359.04408521851042"/>
    <n v="1500"/>
    <n v="184.39624957675042"/>
    <s v="B. Other systems: wild or hatchery supplemented.     Intensively surveyed in 1995 and have a fairly complete historic database."/>
    <s v="AUC"/>
    <s v="Average Esc from 1995-2005 from file: NEW ESCAPEMENT INDEX.XLS"/>
    <n v="502"/>
    <n v="392"/>
    <n v="430"/>
    <n v="678"/>
    <n v="214"/>
    <n v="142"/>
    <n v="133"/>
    <n v="325"/>
    <n v="632"/>
    <n v="401"/>
    <n v="944"/>
    <n v="394"/>
    <n v="132"/>
    <n v="762"/>
    <n v="344"/>
    <n v="503"/>
    <n v="683"/>
    <n v="402"/>
    <n v="300"/>
    <n v="500"/>
    <n v="350"/>
    <n v="300"/>
    <n v="450"/>
    <n v="500"/>
    <n v="300"/>
    <n v="125"/>
    <n v="190"/>
    <n v="100"/>
    <n v="195"/>
    <n v="50"/>
    <n v="15"/>
    <s v="UK"/>
    <n v="400"/>
    <n v="200"/>
    <n v="60"/>
    <n v="70"/>
    <n v="25"/>
    <n v="200"/>
    <n v="1500"/>
    <n v="750"/>
    <n v="120"/>
    <n v="200"/>
    <n v="75"/>
    <n v="200"/>
    <n v="75"/>
    <n v="75"/>
    <n v="400"/>
    <n v="750"/>
    <n v="750"/>
    <n v="400"/>
    <n v="75"/>
    <n v="75"/>
    <n v="25"/>
    <n v="25"/>
    <n v="25"/>
    <n v="25"/>
    <n v="25"/>
    <n v="200"/>
    <n v="250"/>
    <n v="200"/>
  </r>
  <r>
    <s v="SK-WVI [R10]"/>
    <s v="West Vancouver Island"/>
    <s v="LITTLE ZEBALLOS RIVER_Sockeye"/>
    <x v="0"/>
    <x v="0"/>
    <x v="5"/>
    <x v="133"/>
    <x v="3"/>
    <m/>
    <m/>
    <n v="4"/>
    <n v="10"/>
    <n v="9"/>
    <n v="49.199633350250835"/>
    <n v="1629"/>
    <n v="53.928299200015317"/>
    <m/>
    <s v="PL+D or Presence/Absence"/>
    <m/>
    <n v="228.22222222222223"/>
    <n v="130"/>
    <n v="150"/>
    <n v="65"/>
    <n v="83"/>
    <n v="22"/>
    <s v="NO"/>
    <n v="6"/>
    <n v="39"/>
    <n v="18"/>
    <n v="18"/>
    <n v="35"/>
    <n v="35"/>
    <n v="74"/>
    <n v="1629"/>
    <n v="200"/>
    <s v="NO"/>
    <s v="NI"/>
    <s v="UK"/>
    <n v="750"/>
    <s v="NI"/>
    <n v="20"/>
    <s v="UK"/>
    <s v="UK"/>
    <s v="NI"/>
    <s v="UK"/>
    <s v="UK"/>
    <s v="UK"/>
    <s v="NO"/>
    <n v="150"/>
    <s v="UK"/>
    <n v="50"/>
    <s v="UK"/>
    <n v="60"/>
    <n v="10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LITTLE ZEBALLOS RIVER_Coho"/>
    <x v="0"/>
    <x v="0"/>
    <x v="5"/>
    <x v="133"/>
    <x v="0"/>
    <m/>
    <m/>
    <n v="4"/>
    <n v="10"/>
    <n v="10"/>
    <n v="395.59648098658727"/>
    <n v="3500"/>
    <n v="225.89383620733105"/>
    <m/>
    <s v="PL+D or Presence/Absence"/>
    <m/>
    <n v="496.55555555555554"/>
    <n v="717"/>
    <n v="800"/>
    <n v="835"/>
    <n v="531"/>
    <n v="164"/>
    <s v="NO"/>
    <n v="125"/>
    <n v="750"/>
    <n v="410"/>
    <n v="558"/>
    <n v="850"/>
    <n v="550"/>
    <n v="461"/>
    <n v="615"/>
    <n v="150"/>
    <s v="AP"/>
    <s v="NI"/>
    <s v="NO"/>
    <n v="100"/>
    <s v="NI"/>
    <n v="30"/>
    <n v="40"/>
    <s v="NO"/>
    <s v="NI"/>
    <n v="300"/>
    <n v="50"/>
    <n v="50"/>
    <s v="NO"/>
    <s v="UK"/>
    <s v="UK"/>
    <s v="UK"/>
    <s v="UK"/>
    <n v="120"/>
    <n v="100"/>
    <n v="200"/>
    <n v="25"/>
    <n v="200"/>
    <n v="25"/>
    <n v="25"/>
    <n v="1200"/>
    <n v="750"/>
    <n v="400"/>
    <n v="200"/>
    <n v="750"/>
    <n v="200"/>
    <n v="2500"/>
    <n v="3500"/>
    <n v="3500"/>
    <n v="250"/>
    <n v="200"/>
    <n v="200"/>
    <n v="200"/>
    <n v="200"/>
    <n v="25"/>
    <n v="200"/>
    <n v="75"/>
    <n v="200"/>
    <n v="100"/>
    <n v="1500"/>
  </r>
  <r>
    <s v="CM-SWVI [10]"/>
    <s v="Southwest Vancouver Island"/>
    <s v="LITTLE ZEBALLOS RIVER_Chum"/>
    <x v="0"/>
    <x v="0"/>
    <x v="5"/>
    <x v="133"/>
    <x v="1"/>
    <m/>
    <m/>
    <n v="4"/>
    <n v="10"/>
    <n v="10"/>
    <n v="1484.7447120462298"/>
    <n v="23580"/>
    <n v="1190.031548695827"/>
    <m/>
    <s v="PL+D or Presence/Absence"/>
    <m/>
    <n v="4255.1000000000004"/>
    <n v="12595"/>
    <n v="4930"/>
    <n v="4900"/>
    <n v="2231"/>
    <n v="3845"/>
    <n v="12"/>
    <n v="1507"/>
    <n v="7184"/>
    <n v="920"/>
    <n v="1383"/>
    <n v="900"/>
    <n v="800"/>
    <n v="3277"/>
    <n v="23580"/>
    <n v="1200"/>
    <n v="1800"/>
    <s v="NI"/>
    <n v="2200"/>
    <n v="7500"/>
    <n v="9800"/>
    <n v="10900"/>
    <n v="900"/>
    <n v="1000"/>
    <s v="NI"/>
    <n v="1200"/>
    <n v="1800"/>
    <n v="3500"/>
    <n v="4000"/>
    <n v="2050"/>
    <n v="1500"/>
    <n v="200"/>
    <n v="3200"/>
    <n v="400"/>
    <n v="2000"/>
    <n v="500"/>
    <n v="1500"/>
    <n v="75"/>
    <n v="3500"/>
    <n v="1500"/>
    <n v="1200"/>
    <n v="25"/>
    <n v="400"/>
    <n v="400"/>
    <n v="1500"/>
    <n v="400"/>
    <n v="600"/>
    <n v="750"/>
    <n v="3500"/>
    <n v="1500"/>
    <n v="400"/>
    <n v="750"/>
    <n v="3500"/>
    <n v="400"/>
    <n v="750"/>
    <n v="750"/>
    <n v="750"/>
    <n v="750"/>
    <n v="1000"/>
    <n v="3500"/>
  </r>
  <r>
    <s v="CK-NoKy [32]"/>
    <s v="Nootka and Kyuquot"/>
    <s v="LITTLE ZEBALLOS RIVER_Chinook"/>
    <x v="0"/>
    <x v="0"/>
    <x v="5"/>
    <x v="133"/>
    <x v="2"/>
    <m/>
    <m/>
    <n v="4"/>
    <n v="10"/>
    <n v="8"/>
    <n v="16.615695711315105"/>
    <n v="900"/>
    <n v="31.983203592092615"/>
    <m/>
    <s v="PL+D or Presence/Absence"/>
    <m/>
    <n v="28.625"/>
    <n v="46"/>
    <n v="15"/>
    <n v="35"/>
    <n v="5"/>
    <n v="7"/>
    <s v="NO"/>
    <n v="26"/>
    <n v="17"/>
    <n v="8"/>
    <n v="25"/>
    <n v="15"/>
    <n v="12"/>
    <n v="30"/>
    <n v="96"/>
    <s v="NO"/>
    <s v="NO"/>
    <s v="NI"/>
    <s v="UK"/>
    <s v="NO"/>
    <s v="NI"/>
    <s v="NO"/>
    <s v="UK"/>
    <s v="UK"/>
    <s v="NI"/>
    <s v="UK"/>
    <s v="UK"/>
    <s v="NO"/>
    <s v="NO"/>
    <s v="UK"/>
    <s v="UK"/>
    <s v="UK"/>
    <s v="UK"/>
    <n v="15"/>
    <n v="10"/>
    <n v="10"/>
    <n v="25"/>
    <n v="25"/>
    <n v="25"/>
    <n v="25"/>
    <n v="25"/>
    <n v="25"/>
    <n v="25"/>
    <n v="25"/>
    <n v="75"/>
    <n v="75"/>
    <n v="900"/>
    <n v="200"/>
    <n v="200"/>
    <n v="100"/>
    <n v="75"/>
    <n v="75"/>
    <n v="25"/>
    <n v="25"/>
    <s v="NO"/>
    <s v="NO"/>
    <s v="NO"/>
    <n v="25"/>
    <n v="30"/>
    <n v="75"/>
  </r>
  <r>
    <s v="SK-WVI [R10]"/>
    <s v="West Vancouver Island"/>
    <s v="LORD CREEK_Sockeye"/>
    <x v="0"/>
    <x v="0"/>
    <x v="5"/>
    <x v="134"/>
    <x v="3"/>
    <m/>
    <m/>
    <n v="4"/>
    <n v="10"/>
    <n v="2"/>
    <n v="18.165902124584949"/>
    <n v="30"/>
    <n v="18.757774553669034"/>
    <m/>
    <s v="PL+D or Presence/Absence"/>
    <s v="Chum is the target species."/>
    <n v="20.5"/>
    <n v="8"/>
    <m/>
    <m/>
    <s v="NO"/>
    <s v="NO"/>
    <s v="NO"/>
    <s v="NI"/>
    <s v="NO"/>
    <s v="NO"/>
    <s v="NO"/>
    <s v="NO"/>
    <s v="NO"/>
    <s v="NO"/>
    <n v="11"/>
    <n v="30"/>
    <s v="NO"/>
    <s v="NO"/>
    <s v="NI"/>
    <n v="20"/>
    <s v="NI"/>
    <s v="UK"/>
    <s v="NI"/>
    <s v="NI"/>
    <s v="NI"/>
    <s v="NI"/>
    <s v="UK"/>
    <s v="NO"/>
    <s v="NO"/>
    <s v="UK"/>
    <s v="UK"/>
    <s v="NI"/>
    <s v="NI"/>
    <s v="NI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LORD CREEK_Coho"/>
    <x v="0"/>
    <x v="0"/>
    <x v="5"/>
    <x v="134"/>
    <x v="0"/>
    <m/>
    <m/>
    <n v="4"/>
    <n v="10"/>
    <n v="6"/>
    <n v="13.335841376699976"/>
    <n v="75"/>
    <n v="24.558138359066991"/>
    <m/>
    <s v="PL+D or Presence/Absence"/>
    <s v="Chum is the target species."/>
    <n v="21.333333333333332"/>
    <n v="205"/>
    <m/>
    <m/>
    <s v="NO"/>
    <s v="NO"/>
    <s v="NO"/>
    <s v="NI"/>
    <n v="25"/>
    <s v="NO"/>
    <n v="15"/>
    <n v="12"/>
    <n v="50"/>
    <s v="NO"/>
    <n v="25"/>
    <s v="NO"/>
    <n v="1"/>
    <s v="NO"/>
    <s v="NI"/>
    <s v="NO"/>
    <s v="NI"/>
    <s v="UK"/>
    <s v="NI"/>
    <s v="NI"/>
    <s v="NI"/>
    <s v="NI"/>
    <n v="50"/>
    <n v="50"/>
    <s v="NO"/>
    <n v="30"/>
    <n v="25"/>
    <s v="NI"/>
    <s v="NI"/>
    <s v="NI"/>
    <s v="NI"/>
    <s v="UK"/>
    <s v="UK"/>
    <n v="25"/>
    <s v="UK"/>
    <n v="25"/>
    <s v="NO"/>
    <s v="NO"/>
    <n v="25"/>
    <n v="25"/>
    <n v="25"/>
    <n v="25"/>
    <n v="25"/>
    <n v="25"/>
    <n v="25"/>
    <n v="50"/>
    <n v="75"/>
    <s v="UK"/>
    <s v="NO"/>
    <n v="25"/>
    <n v="25"/>
    <s v="UK"/>
    <s v="UK"/>
    <s v="UK"/>
    <s v="UK"/>
    <s v="UK"/>
  </r>
  <r>
    <s v="CM-SWVI [10]"/>
    <s v="Southwest Vancouver Island"/>
    <s v="LORD CREEK_Chum"/>
    <x v="0"/>
    <x v="0"/>
    <x v="5"/>
    <x v="134"/>
    <x v="1"/>
    <m/>
    <m/>
    <n v="4"/>
    <n v="10"/>
    <n v="10"/>
    <n v="170.9076443547153"/>
    <n v="3500"/>
    <n v="340.24800237545634"/>
    <m/>
    <s v="PL+D or Presence/Absence"/>
    <s v="Chum is the target species."/>
    <n v="593.70000000000005"/>
    <n v="68"/>
    <n v="670"/>
    <n v="215"/>
    <n v="51"/>
    <n v="9"/>
    <n v="77"/>
    <s v="NI"/>
    <n v="700"/>
    <n v="557"/>
    <n v="208"/>
    <n v="250"/>
    <n v="200"/>
    <n v="250"/>
    <n v="3135"/>
    <n v="450"/>
    <n v="175"/>
    <n v="12"/>
    <s v="NI"/>
    <n v="100"/>
    <n v="900"/>
    <n v="1000"/>
    <s v="NI"/>
    <s v="NI"/>
    <s v="NI"/>
    <n v="1000"/>
    <n v="1000"/>
    <n v="3000"/>
    <n v="500"/>
    <n v="500"/>
    <n v="1500"/>
    <s v="NI"/>
    <s v="NI"/>
    <s v="NI"/>
    <s v="NI"/>
    <n v="800"/>
    <n v="400"/>
    <n v="75"/>
    <n v="750"/>
    <n v="400"/>
    <n v="1000"/>
    <n v="750"/>
    <n v="400"/>
    <n v="750"/>
    <n v="400"/>
    <n v="400"/>
    <n v="400"/>
    <n v="25"/>
    <n v="25"/>
    <n v="300"/>
    <n v="200"/>
    <n v="200"/>
    <n v="3500"/>
    <n v="400"/>
    <n v="1500"/>
    <n v="750"/>
    <n v="200"/>
    <n v="25"/>
    <n v="1000"/>
    <n v="1500"/>
  </r>
  <r>
    <s v="CO-WVI [17]"/>
    <s v="West Vancouver Island"/>
    <s v="MAMAT CREEK_Coho"/>
    <x v="0"/>
    <x v="0"/>
    <x v="5"/>
    <x v="135"/>
    <x v="0"/>
    <m/>
    <m/>
    <n v="4"/>
    <n v="9"/>
    <n v="7"/>
    <n v="29.033059524329214"/>
    <n v="3500"/>
    <n v="82.989987360628419"/>
    <m/>
    <s v="PL+D or Presence/Absence"/>
    <s v="Last time stream was surveyed was in 2004."/>
    <n v="35.857142857142854"/>
    <n v="129"/>
    <m/>
    <m/>
    <m/>
    <s v="NI"/>
    <s v="NI"/>
    <s v="NI"/>
    <n v="20"/>
    <n v="10"/>
    <s v="NI"/>
    <n v="90"/>
    <n v="35"/>
    <n v="30"/>
    <n v="46"/>
    <n v="20"/>
    <s v="NO"/>
    <s v="NO"/>
    <s v="NO"/>
    <s v="UK"/>
    <s v="NI"/>
    <s v="NO"/>
    <s v="NO"/>
    <n v="20"/>
    <s v="NI"/>
    <n v="250"/>
    <n v="75"/>
    <n v="50"/>
    <s v="NO"/>
    <s v="UK"/>
    <s v="UK"/>
    <n v="4"/>
    <s v="UK"/>
    <n v="71"/>
    <s v="UK"/>
    <n v="40"/>
    <s v="NI"/>
    <n v="25"/>
    <s v="UK"/>
    <n v="25"/>
    <s v="NO"/>
    <n v="200"/>
    <n v="25"/>
    <n v="25"/>
    <n v="200"/>
    <n v="400"/>
    <n v="750"/>
    <n v="3500"/>
    <n v="750"/>
    <n v="400"/>
    <n v="200"/>
    <s v="UK"/>
    <s v="NO"/>
    <n v="400"/>
    <n v="75"/>
    <n v="25"/>
    <n v="25"/>
    <s v="NO"/>
    <n v="500"/>
    <n v="750"/>
  </r>
  <r>
    <s v="CM-SWVI [10]"/>
    <s v="Southwest Vancouver Island"/>
    <s v="MAMAT CREEK_Chum"/>
    <x v="0"/>
    <x v="0"/>
    <x v="5"/>
    <x v="135"/>
    <x v="1"/>
    <m/>
    <m/>
    <n v="4"/>
    <n v="9"/>
    <n v="9"/>
    <n v="391.44562968477527"/>
    <n v="7500"/>
    <n v="549.4612696873595"/>
    <m/>
    <s v="PL+D or Presence/Absence"/>
    <s v="Last time stream was surveyed was in 2004."/>
    <n v="948.22222222222217"/>
    <n v="2425"/>
    <m/>
    <m/>
    <m/>
    <s v="NI"/>
    <s v="NI"/>
    <s v="NI"/>
    <n v="449"/>
    <n v="374"/>
    <s v="NI"/>
    <n v="750"/>
    <n v="100"/>
    <n v="400"/>
    <n v="2505"/>
    <n v="3000"/>
    <n v="950"/>
    <n v="6"/>
    <n v="250"/>
    <n v="300"/>
    <n v="308"/>
    <n v="850"/>
    <n v="230"/>
    <n v="75"/>
    <s v="NI"/>
    <n v="1000"/>
    <n v="1800"/>
    <n v="1000"/>
    <n v="750"/>
    <n v="800"/>
    <n v="1750"/>
    <n v="280"/>
    <n v="1100"/>
    <n v="94"/>
    <n v="550"/>
    <n v="300"/>
    <s v="NI"/>
    <n v="200"/>
    <n v="750"/>
    <n v="7500"/>
    <n v="20"/>
    <n v="750"/>
    <n v="1500"/>
    <n v="400"/>
    <n v="750"/>
    <n v="750"/>
    <n v="3500"/>
    <n v="400"/>
    <n v="750"/>
    <n v="700"/>
    <n v="750"/>
    <n v="1500"/>
    <n v="3500"/>
    <n v="1500"/>
    <n v="1500"/>
    <n v="750"/>
    <n v="75"/>
    <n v="25"/>
    <n v="1500"/>
    <n v="3500"/>
  </r>
  <r>
    <s v="CK-NoKy [32]"/>
    <s v="Nootka and Kyuquot"/>
    <s v="MAMAT CREEK_Chinook"/>
    <x v="0"/>
    <x v="0"/>
    <x v="5"/>
    <x v="135"/>
    <x v="2"/>
    <m/>
    <m/>
    <n v="4"/>
    <n v="9"/>
    <n v="0"/>
    <e v="#NUM!"/>
    <n v="75"/>
    <n v="32.292708552268664"/>
    <m/>
    <s v="PL+D or Presence/Absence"/>
    <s v="Last time stream was surveyed was in 2004."/>
    <m/>
    <s v="NO"/>
    <m/>
    <m/>
    <m/>
    <s v="NO"/>
    <s v="NI"/>
    <s v="NI"/>
    <s v="NO"/>
    <s v="NO"/>
    <s v="NI"/>
    <s v="NO"/>
    <s v="NO"/>
    <s v="NO"/>
    <s v="NO"/>
    <s v="NO"/>
    <s v="NO"/>
    <s v="NO"/>
    <s v="UK"/>
    <s v="UK"/>
    <s v="NI"/>
    <s v="UK"/>
    <s v="UK"/>
    <s v="UK"/>
    <s v="NI"/>
    <s v="UK"/>
    <s v="UK"/>
    <s v="UK"/>
    <s v="NO"/>
    <s v="UK"/>
    <s v="UK"/>
    <s v="UK"/>
    <s v="UK"/>
    <s v="UK"/>
    <s v="UK"/>
    <s v="UK"/>
    <s v="NI"/>
    <n v="25"/>
    <s v="UK"/>
    <s v="UK"/>
    <s v="NO"/>
    <s v="NO"/>
    <s v="NO"/>
    <s v="NO"/>
    <s v="NO"/>
    <n v="25"/>
    <n v="25"/>
    <n v="75"/>
    <n v="25"/>
    <n v="50"/>
    <n v="25"/>
    <s v="UK"/>
    <s v="UK"/>
    <s v="UK"/>
    <s v="UK"/>
    <s v="UK"/>
    <s v="UK"/>
    <s v="UK"/>
    <s v="UK"/>
    <s v="UK"/>
  </r>
  <r>
    <s v="SK-WVI [R10]"/>
    <s v="West Vancouver Island"/>
    <s v="MARVINAS BAY CREEK_Sockeye"/>
    <x v="0"/>
    <x v="0"/>
    <x v="5"/>
    <x v="136"/>
    <x v="3"/>
    <m/>
    <m/>
    <n v="4"/>
    <n v="11"/>
    <n v="8"/>
    <n v="19.490506543992538"/>
    <n v="100"/>
    <n v="13.398915851389605"/>
    <m/>
    <s v="PL+D or Presence/Absence"/>
    <m/>
    <n v="34.375"/>
    <s v="NO"/>
    <n v="4"/>
    <m/>
    <s v="NO"/>
    <s v="NO"/>
    <s v="NO"/>
    <n v="5"/>
    <s v="NO"/>
    <n v="7"/>
    <n v="10"/>
    <n v="8"/>
    <n v="35"/>
    <n v="25"/>
    <n v="85"/>
    <n v="100"/>
    <s v="NO"/>
    <s v="NO"/>
    <s v="UK"/>
    <s v="NI"/>
    <s v="NI"/>
    <s v="NI"/>
    <s v="NI"/>
    <s v="NI"/>
    <s v="NI"/>
    <s v="NI"/>
    <n v="3"/>
    <s v="NO"/>
    <s v="NO"/>
    <n v="20"/>
    <s v="UK"/>
    <s v="NI"/>
    <s v="NI"/>
    <s v="NI"/>
    <n v="2"/>
    <s v="NO"/>
    <s v="UK"/>
    <s v="UK"/>
    <s v="UK"/>
    <s v="NI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MARVINAS BAY CREEK_Coho"/>
    <x v="0"/>
    <x v="0"/>
    <x v="5"/>
    <x v="136"/>
    <x v="0"/>
    <m/>
    <m/>
    <n v="4"/>
    <n v="11"/>
    <n v="8"/>
    <n v="57.983814175240518"/>
    <n v="750"/>
    <n v="62.720956201598575"/>
    <m/>
    <s v="PL+D or Presence/Absence"/>
    <m/>
    <n v="77.875"/>
    <n v="94"/>
    <n v="87"/>
    <n v="29"/>
    <n v="100"/>
    <n v="35"/>
    <n v="29"/>
    <n v="46"/>
    <n v="100"/>
    <n v="25"/>
    <n v="18"/>
    <n v="160"/>
    <n v="95"/>
    <n v="75"/>
    <n v="104"/>
    <s v="NO"/>
    <s v="NO"/>
    <s v="NO"/>
    <s v="NO"/>
    <s v="NI"/>
    <s v="NI"/>
    <s v="NI"/>
    <s v="NI"/>
    <s v="NI"/>
    <s v="NI"/>
    <s v="NI"/>
    <n v="50"/>
    <n v="25"/>
    <s v="NO"/>
    <s v="UK"/>
    <s v="UK"/>
    <s v="NI"/>
    <s v="NI"/>
    <s v="NI"/>
    <n v="20"/>
    <n v="50"/>
    <s v="UK"/>
    <n v="25"/>
    <s v="UK"/>
    <s v="NI"/>
    <n v="20"/>
    <n v="25"/>
    <n v="25"/>
    <n v="75"/>
    <n v="200"/>
    <n v="75"/>
    <n v="400"/>
    <n v="400"/>
    <n v="750"/>
    <n v="150"/>
    <n v="25"/>
    <n v="25"/>
    <n v="25"/>
    <n v="25"/>
    <n v="25"/>
    <n v="25"/>
    <n v="75"/>
    <s v="NO"/>
    <n v="300"/>
    <n v="750"/>
  </r>
  <r>
    <s v="CM-SWVI [10]"/>
    <s v="Southwest Vancouver Island"/>
    <s v="MARVINAS BAY CREEK_Chum"/>
    <x v="0"/>
    <x v="0"/>
    <x v="5"/>
    <x v="136"/>
    <x v="1"/>
    <m/>
    <m/>
    <n v="4"/>
    <n v="11"/>
    <n v="10"/>
    <n v="151.09436348855141"/>
    <n v="7500"/>
    <n v="289.61031024680375"/>
    <m/>
    <s v="PL+D or Presence/Absence"/>
    <m/>
    <n v="645.79999999999995"/>
    <n v="135"/>
    <n v="80"/>
    <n v="65"/>
    <n v="7"/>
    <s v="NO"/>
    <n v="50"/>
    <n v="632"/>
    <n v="183"/>
    <n v="575"/>
    <n v="13"/>
    <n v="350"/>
    <n v="40"/>
    <n v="180"/>
    <n v="4045"/>
    <n v="270"/>
    <n v="170"/>
    <s v="NO"/>
    <n v="125"/>
    <s v="NI"/>
    <n v="175"/>
    <s v="NI"/>
    <s v="NI"/>
    <s v="NI"/>
    <s v="NI"/>
    <s v="NI"/>
    <n v="300"/>
    <n v="500"/>
    <n v="500"/>
    <n v="220"/>
    <n v="75"/>
    <s v="NI"/>
    <s v="NI"/>
    <s v="NI"/>
    <n v="75"/>
    <n v="75"/>
    <n v="25"/>
    <n v="75"/>
    <n v="25"/>
    <s v="NI"/>
    <n v="1500"/>
    <n v="200"/>
    <n v="2000"/>
    <n v="400"/>
    <n v="750"/>
    <n v="750"/>
    <n v="1800"/>
    <n v="400"/>
    <n v="750"/>
    <n v="400"/>
    <n v="400"/>
    <n v="1500"/>
    <n v="7500"/>
    <n v="200"/>
    <n v="1500"/>
    <n v="400"/>
    <n v="750"/>
    <n v="25"/>
    <n v="2000"/>
    <n v="3500"/>
  </r>
  <r>
    <s v="CK-NoKy [32]"/>
    <s v="Nootka and Kyuquot"/>
    <s v="MARVINAS BAY CREEK_Chinook"/>
    <x v="0"/>
    <x v="0"/>
    <x v="5"/>
    <x v="136"/>
    <x v="2"/>
    <m/>
    <m/>
    <n v="4"/>
    <n v="11"/>
    <n v="4"/>
    <n v="9.715595521393098"/>
    <n v="22"/>
    <n v="9.715595521393098"/>
    <m/>
    <s v="PL+D or Presence/Absence"/>
    <m/>
    <n v="12.25"/>
    <n v="3"/>
    <m/>
    <m/>
    <s v="NO"/>
    <s v="NO"/>
    <s v="NO"/>
    <n v="3"/>
    <s v="NO"/>
    <s v="NO"/>
    <n v="22"/>
    <n v="9"/>
    <s v="NO"/>
    <n v="15"/>
    <s v="NO"/>
    <s v="NO"/>
    <s v="NO"/>
    <s v="NO"/>
    <s v="UK"/>
    <s v="NI"/>
    <s v="NI"/>
    <s v="NI"/>
    <s v="NI"/>
    <s v="NI"/>
    <s v="NI"/>
    <s v="NI"/>
    <s v="UK"/>
    <s v="NO"/>
    <s v="NO"/>
    <s v="UK"/>
    <s v="UK"/>
    <s v="NI"/>
    <s v="NI"/>
    <s v="NI"/>
    <s v="UK"/>
    <s v="UK"/>
    <s v="UK"/>
    <s v="UK"/>
    <s v="UK"/>
    <s v="NI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MCCURDY CREEK_Coho"/>
    <x v="0"/>
    <x v="0"/>
    <x v="5"/>
    <x v="137"/>
    <x v="0"/>
    <m/>
    <m/>
    <n v="5"/>
    <n v="1"/>
    <n v="0"/>
    <e v="#NUM!"/>
    <n v="100"/>
    <n v="37.827143735572541"/>
    <m/>
    <s v="PL+D or Presence/Absence"/>
    <s v="Stream was only surveyed once in 1999, None Observed (NO) was entered for coho and Adult Present (AP) was entered for chum."/>
    <m/>
    <s v="NO"/>
    <m/>
    <m/>
    <m/>
    <s v="NI"/>
    <s v="NI"/>
    <s v="NI"/>
    <s v="NI"/>
    <s v="NI"/>
    <s v="NI"/>
    <s v="NI"/>
    <s v="NI"/>
    <s v="NO"/>
    <s v="NI"/>
    <s v="NI"/>
    <s v="NI"/>
    <s v="NI"/>
    <s v="NI"/>
    <s v="NI"/>
    <s v="NI"/>
    <s v="UK"/>
    <s v="NI"/>
    <s v="NI"/>
    <s v="NI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O"/>
    <s v="NO"/>
    <n v="25"/>
    <s v="NO"/>
    <n v="25"/>
    <s v="UK"/>
    <s v="NI"/>
    <s v="NO"/>
    <s v="NO"/>
    <n v="25"/>
    <s v="NO"/>
    <n v="25"/>
    <s v="UK"/>
    <s v="NO"/>
    <n v="100"/>
    <n v="75"/>
  </r>
  <r>
    <s v="CM-SWVI [10]"/>
    <s v="Southwest Vancouver Island"/>
    <s v="MCCURDY CREEK_Chum"/>
    <x v="0"/>
    <x v="0"/>
    <x v="5"/>
    <x v="137"/>
    <x v="1"/>
    <m/>
    <m/>
    <n v="5"/>
    <n v="1"/>
    <n v="1"/>
    <e v="#NUM!"/>
    <n v="300"/>
    <n v="64.863948349011622"/>
    <m/>
    <s v="PL+D or Presence/Absence"/>
    <s v="Stream was only surveyed once in 1999, None Observed (NO) was entered for coho and Adult Present (AP) was entered for chum."/>
    <m/>
    <n v="13"/>
    <m/>
    <m/>
    <m/>
    <s v="NI"/>
    <s v="NI"/>
    <s v="NI"/>
    <s v="NI"/>
    <s v="NI"/>
    <s v="NI"/>
    <s v="NI"/>
    <s v="NI"/>
    <s v="AP"/>
    <s v="NI"/>
    <s v="NI"/>
    <s v="NI"/>
    <s v="NI"/>
    <s v="NI"/>
    <s v="NI"/>
    <s v="NI"/>
    <n v="300"/>
    <s v="NI"/>
    <s v="NI"/>
    <s v="NI"/>
    <s v="NI"/>
    <s v="NI"/>
    <s v="NI"/>
    <s v="NO"/>
    <s v="NI"/>
    <s v="NI"/>
    <s v="NI"/>
    <s v="NI"/>
    <s v="NI"/>
    <s v="NI"/>
    <s v="NI"/>
    <s v="NI"/>
    <s v="NI"/>
    <s v="NI"/>
    <s v="NI"/>
    <s v="NI"/>
    <s v="NI"/>
    <s v="NI"/>
    <s v="NI"/>
    <s v="NO"/>
    <s v="NO"/>
    <n v="25"/>
    <s v="NO"/>
    <n v="25"/>
    <s v="UK"/>
    <s v="NI"/>
    <s v="NO"/>
    <n v="200"/>
    <n v="25"/>
    <n v="25"/>
    <n v="75"/>
    <n v="25"/>
    <s v="NO"/>
    <n v="150"/>
    <n v="200"/>
  </r>
  <r>
    <s v="CO-WVI [17]"/>
    <s v="West Vancouver Island"/>
    <s v="MIDDLE ELIZA CREEK_Coho"/>
    <x v="0"/>
    <x v="0"/>
    <x v="5"/>
    <x v="138"/>
    <x v="0"/>
    <m/>
    <m/>
    <n v="5"/>
    <n v="2"/>
    <n v="2"/>
    <n v="52.915026221291818"/>
    <n v="80"/>
    <n v="52.915026221291818"/>
    <m/>
    <s v="PL+D or Presence/Absence"/>
    <s v="Stream was only surveyed twice, once in 1996 then again in 1997."/>
    <n v="57.5"/>
    <s v="NI"/>
    <m/>
    <m/>
    <m/>
    <s v="NI"/>
    <s v="NI"/>
    <s v="NI"/>
    <s v="NI"/>
    <s v="NI"/>
    <s v="NI"/>
    <s v="NI"/>
    <s v="NI"/>
    <s v="NI"/>
    <s v="NI"/>
    <n v="35"/>
    <n v="80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SWVI [10]"/>
    <s v="Southwest Vancouver Island"/>
    <s v="MIDDLE ELIZA CREEK_Chum"/>
    <x v="0"/>
    <x v="0"/>
    <x v="5"/>
    <x v="138"/>
    <x v="1"/>
    <m/>
    <m/>
    <n v="5"/>
    <n v="2"/>
    <n v="2"/>
    <n v="351.78118198675719"/>
    <n v="825"/>
    <n v="351.78118198675719"/>
    <m/>
    <s v="PL+D or Presence/Absence"/>
    <s v="Stream was only surveyed twice, once in 1996 then again in 1997."/>
    <n v="487.5"/>
    <s v="NI"/>
    <m/>
    <m/>
    <m/>
    <s v="NI"/>
    <s v="NI"/>
    <s v="NI"/>
    <s v="NI"/>
    <s v="NI"/>
    <s v="NI"/>
    <s v="NI"/>
    <s v="NI"/>
    <s v="NI"/>
    <s v="NI"/>
    <n v="825"/>
    <n v="150"/>
    <s v="N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K-WVI [R10]"/>
    <s v="West Vancouver Island"/>
    <s v="MOOYAH RIVER_Sockeye"/>
    <x v="0"/>
    <x v="0"/>
    <x v="5"/>
    <x v="139"/>
    <x v="3"/>
    <m/>
    <m/>
    <n v="4"/>
    <n v="9"/>
    <n v="8"/>
    <n v="16.669827627188095"/>
    <n v="120"/>
    <n v="20.650412667842371"/>
    <m/>
    <s v="PL+D or Presence/Absence"/>
    <m/>
    <n v="41.125"/>
    <n v="45"/>
    <n v="35"/>
    <n v="26"/>
    <n v="2"/>
    <n v="9"/>
    <n v="5"/>
    <n v="11"/>
    <n v="24"/>
    <n v="3"/>
    <n v="61"/>
    <n v="30"/>
    <n v="35"/>
    <n v="55"/>
    <s v="NI"/>
    <n v="110"/>
    <s v="NI"/>
    <s v="NO"/>
    <n v="50"/>
    <n v="120"/>
    <s v="NI"/>
    <s v="UK"/>
    <s v="UK"/>
    <s v="UK"/>
    <s v="UK"/>
    <s v="UK"/>
    <n v="10"/>
    <n v="10"/>
    <s v="NO"/>
    <s v="UK"/>
    <s v="NI"/>
    <n v="40"/>
    <s v="UK"/>
    <n v="12"/>
    <n v="25"/>
    <n v="40"/>
    <s v="NI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MOOYAH RIVER_Coho"/>
    <x v="0"/>
    <x v="0"/>
    <x v="5"/>
    <x v="139"/>
    <x v="0"/>
    <m/>
    <m/>
    <n v="4"/>
    <n v="9"/>
    <n v="8"/>
    <n v="118.54313898007661"/>
    <n v="1000"/>
    <n v="138.91446496830082"/>
    <m/>
    <s v="PL+D or Presence/Absence"/>
    <m/>
    <n v="148.125"/>
    <n v="223"/>
    <n v="500"/>
    <n v="410"/>
    <n v="213"/>
    <n v="113"/>
    <n v="37"/>
    <n v="100"/>
    <n v="220"/>
    <n v="103"/>
    <n v="87"/>
    <n v="200"/>
    <n v="250"/>
    <n v="185"/>
    <s v="NI"/>
    <n v="40"/>
    <s v="NI"/>
    <s v="NO"/>
    <n v="40"/>
    <n v="50"/>
    <s v="NI"/>
    <s v="NO"/>
    <s v="NO"/>
    <n v="30"/>
    <n v="50"/>
    <n v="150"/>
    <n v="100"/>
    <n v="50"/>
    <s v="NO"/>
    <s v="UK"/>
    <s v="NI"/>
    <n v="20"/>
    <s v="UK"/>
    <n v="100"/>
    <n v="100"/>
    <n v="100"/>
    <s v="NI"/>
    <n v="75"/>
    <n v="200"/>
    <n v="75"/>
    <n v="75"/>
    <n v="200"/>
    <n v="175"/>
    <n v="200"/>
    <n v="400"/>
    <n v="200"/>
    <n v="800"/>
    <n v="400"/>
    <n v="400"/>
    <n v="300"/>
    <n v="400"/>
    <n v="75"/>
    <n v="400"/>
    <n v="25"/>
    <n v="200"/>
    <n v="200"/>
    <n v="400"/>
    <s v="NO"/>
    <n v="1000"/>
    <n v="750"/>
  </r>
  <r>
    <s v="CM-SWVI [10]"/>
    <s v="Southwest Vancouver Island"/>
    <s v="MOOYAH RIVER_Chum"/>
    <x v="0"/>
    <x v="0"/>
    <x v="5"/>
    <x v="139"/>
    <x v="1"/>
    <m/>
    <m/>
    <n v="4"/>
    <n v="9"/>
    <n v="8"/>
    <n v="100.85338564058557"/>
    <n v="15000"/>
    <n v="657.22083711858124"/>
    <m/>
    <s v="PL+D or Presence/Absence"/>
    <m/>
    <n v="139.75"/>
    <n v="282"/>
    <n v="435"/>
    <n v="365"/>
    <n v="438"/>
    <n v="15"/>
    <n v="140"/>
    <n v="54"/>
    <n v="346"/>
    <n v="147"/>
    <n v="61"/>
    <n v="100"/>
    <n v="100"/>
    <n v="285"/>
    <s v="NI"/>
    <n v="25"/>
    <s v="NI"/>
    <s v="NO"/>
    <n v="200"/>
    <n v="500"/>
    <n v="500"/>
    <n v="550"/>
    <n v="30"/>
    <n v="30"/>
    <n v="100"/>
    <n v="250"/>
    <n v="300"/>
    <n v="570"/>
    <n v="1000"/>
    <n v="450"/>
    <s v="NI"/>
    <n v="900"/>
    <n v="2000"/>
    <n v="250"/>
    <n v="1400"/>
    <n v="1000"/>
    <s v="NI"/>
    <n v="1500"/>
    <n v="750"/>
    <n v="3500"/>
    <n v="3000"/>
    <n v="750"/>
    <n v="2500"/>
    <n v="3500"/>
    <n v="3500"/>
    <n v="1500"/>
    <n v="4000"/>
    <n v="750"/>
    <n v="3500"/>
    <n v="3000"/>
    <n v="3500"/>
    <n v="7500"/>
    <n v="15000"/>
    <n v="400"/>
    <n v="7500"/>
    <n v="1500"/>
    <n v="7500"/>
    <n v="400"/>
    <n v="3000"/>
    <n v="7500"/>
  </r>
  <r>
    <s v="CK-NoKy [32]"/>
    <s v="Nootka and Kyuquot"/>
    <s v="MOOYAH RIVER_Chinook"/>
    <x v="0"/>
    <x v="0"/>
    <x v="5"/>
    <x v="139"/>
    <x v="2"/>
    <m/>
    <m/>
    <n v="4"/>
    <n v="9"/>
    <n v="7"/>
    <n v="18.73770816927934"/>
    <n v="700"/>
    <n v="45.480638807987312"/>
    <m/>
    <s v="PL+D or Presence/Absence"/>
    <m/>
    <n v="56.571428571428569"/>
    <n v="17"/>
    <n v="78"/>
    <n v="4"/>
    <n v="2"/>
    <s v="NO"/>
    <n v="5"/>
    <s v="NO"/>
    <n v="24"/>
    <n v="11"/>
    <n v="214"/>
    <n v="80"/>
    <n v="15"/>
    <n v="10"/>
    <s v="NI"/>
    <s v="NO"/>
    <s v="NI"/>
    <n v="42"/>
    <s v="UK"/>
    <s v="NO"/>
    <s v="NI"/>
    <s v="UK"/>
    <s v="UK"/>
    <s v="UK"/>
    <s v="UK"/>
    <n v="3"/>
    <s v="NO"/>
    <s v="NO"/>
    <s v="NO"/>
    <s v="UK"/>
    <s v="NI"/>
    <s v="UK"/>
    <s v="UK"/>
    <n v="12"/>
    <n v="2"/>
    <n v="1"/>
    <s v="NI"/>
    <n v="25"/>
    <n v="25"/>
    <n v="75"/>
    <n v="150"/>
    <n v="75"/>
    <n v="200"/>
    <n v="200"/>
    <n v="400"/>
    <n v="200"/>
    <n v="700"/>
    <n v="75"/>
    <n v="400"/>
    <n v="200"/>
    <n v="75"/>
    <s v="NO"/>
    <n v="200"/>
    <n v="25"/>
    <s v="NO"/>
    <n v="75"/>
    <n v="25"/>
    <s v="NO"/>
    <n v="250"/>
    <n v="200"/>
  </r>
  <r>
    <s v="SK-L-13-19"/>
    <s v="Muchalat"/>
    <s v="MUCHALAT RIVER_Sockeye"/>
    <x v="0"/>
    <x v="0"/>
    <x v="5"/>
    <x v="140"/>
    <x v="3"/>
    <m/>
    <m/>
    <n v="5"/>
    <n v="1"/>
    <n v="1"/>
    <n v="13"/>
    <n v="3500"/>
    <n v="306.06132707987507"/>
    <m/>
    <s v="PL+D or Presence/Absence"/>
    <s v="Missing 8 years of data (1995, 1996, 1997, 1998, 1999, 2000, 2003 &amp; 2004). Our records indicate that in 2001 the stream was inspected for all species then in 2002 the only species inspected for was chum."/>
    <n v="13"/>
    <s v="NI"/>
    <m/>
    <m/>
    <m/>
    <s v="NI"/>
    <s v="NI"/>
    <s v="NI"/>
    <m/>
    <m/>
    <s v="NI"/>
    <n v="13"/>
    <m/>
    <m/>
    <m/>
    <m/>
    <m/>
    <m/>
    <s v="UK"/>
    <s v="UK"/>
    <n v="2300"/>
    <s v="NI"/>
    <n v="3500"/>
    <n v="3000"/>
    <s v="NI"/>
    <s v="NI"/>
    <n v="1000"/>
    <s v="NI"/>
    <n v="500"/>
    <s v="NI"/>
    <s v="NI"/>
    <n v="1500"/>
    <s v="NI"/>
    <s v="NI"/>
    <s v="NI"/>
    <s v="NI"/>
    <n v="25"/>
    <n v="200"/>
    <n v="7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n v="25"/>
    <s v="UK"/>
    <s v="UK"/>
    <s v="UK"/>
  </r>
  <r>
    <s v="CO-WVI [17]"/>
    <s v="West Vancouver Island"/>
    <s v="MUCHALAT RIVER_Coho"/>
    <x v="0"/>
    <x v="0"/>
    <x v="5"/>
    <x v="140"/>
    <x v="0"/>
    <m/>
    <m/>
    <n v="5"/>
    <n v="1"/>
    <n v="1"/>
    <n v="29"/>
    <n v="300"/>
    <n v="65.692585899141022"/>
    <m/>
    <s v="PL+D or Presence/Absence"/>
    <s v="Missing 8 years of data (1995, 1996, 1997, 1998, 1999, 2000, 2003 &amp; 2004). Our records indicate that in 2001 the stream was inspected for all species then in 2002 the only species inspected for was chum."/>
    <n v="29"/>
    <s v="NI"/>
    <m/>
    <m/>
    <m/>
    <s v="NI"/>
    <s v="NI"/>
    <s v="NI"/>
    <m/>
    <m/>
    <s v="NI"/>
    <n v="29"/>
    <m/>
    <m/>
    <m/>
    <m/>
    <m/>
    <m/>
    <s v="UK"/>
    <s v="UK"/>
    <s v="NI"/>
    <s v="NI"/>
    <s v="UK"/>
    <s v="UK"/>
    <s v="NI"/>
    <s v="NI"/>
    <s v="NO"/>
    <s v="NI"/>
    <s v="NO"/>
    <s v="NI"/>
    <s v="NI"/>
    <n v="300"/>
    <s v="NI"/>
    <s v="NI"/>
    <s v="NI"/>
    <s v="NI"/>
    <s v="UK"/>
    <n v="75"/>
    <n v="7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n v="25"/>
    <s v="UK"/>
    <s v="NO"/>
    <s v="UK"/>
  </r>
  <r>
    <s v="CM-SWVI [10]"/>
    <s v="Southwest Vancouver Island"/>
    <s v="MUCHALAT RIVER_Chum"/>
    <x v="0"/>
    <x v="0"/>
    <x v="5"/>
    <x v="140"/>
    <x v="1"/>
    <m/>
    <m/>
    <n v="5"/>
    <n v="2"/>
    <n v="1"/>
    <n v="500"/>
    <n v="500"/>
    <n v="155.36162529769294"/>
    <m/>
    <s v="PL+D or Presence/Absence"/>
    <s v="Missing 8 years of data (1995, 1996, 1997, 1998, 1999, 2000, 2003 &amp; 2004). Our records indicate that in 2001 the stream was inspected for all species then in 2002 the only species inspected for was chum."/>
    <n v="500"/>
    <s v="NI"/>
    <m/>
    <m/>
    <m/>
    <s v="NI"/>
    <s v="NI"/>
    <s v="NI"/>
    <m/>
    <m/>
    <n v="500"/>
    <s v="NO"/>
    <m/>
    <m/>
    <m/>
    <m/>
    <m/>
    <m/>
    <s v="UK"/>
    <s v="UK"/>
    <s v="NI"/>
    <s v="NI"/>
    <s v="UK"/>
    <s v="UK"/>
    <s v="NI"/>
    <s v="NI"/>
    <s v="UK"/>
    <s v="NI"/>
    <s v="NO"/>
    <s v="NI"/>
    <s v="NI"/>
    <n v="300"/>
    <s v="NI"/>
    <s v="NI"/>
    <s v="NI"/>
    <s v="NI"/>
    <n v="25"/>
    <s v="UK"/>
    <s v="UK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s v="UK"/>
    <s v="UK"/>
    <s v="NO"/>
    <s v="UK"/>
  </r>
  <r>
    <s v="CK-NoKy [32]"/>
    <s v="Nootka and Kyuquot"/>
    <s v="MUCHALAT RIVER_Chinook"/>
    <x v="0"/>
    <x v="0"/>
    <x v="5"/>
    <x v="140"/>
    <x v="2"/>
    <m/>
    <m/>
    <n v="5"/>
    <n v="1"/>
    <n v="1"/>
    <n v="10"/>
    <n v="75"/>
    <n v="30.8900425283706"/>
    <m/>
    <s v="PL+D or Presence/Absence"/>
    <s v="Missing 8 years of data (1995, 1996, 1997, 1998, 1999, 2000, 2003 &amp; 2004). Our records indicate that in 2001 the stream was inspected for all species then in 2002 the only species inspected for was chum."/>
    <n v="10"/>
    <s v="NI"/>
    <m/>
    <m/>
    <m/>
    <s v="NI"/>
    <s v="NI"/>
    <s v="NI"/>
    <m/>
    <m/>
    <s v="NI"/>
    <n v="10"/>
    <m/>
    <m/>
    <m/>
    <m/>
    <m/>
    <m/>
    <s v="UK"/>
    <s v="UK"/>
    <s v="NI"/>
    <s v="NI"/>
    <s v="NO"/>
    <s v="NO"/>
    <s v="NI"/>
    <s v="NI"/>
    <s v="NO"/>
    <s v="NI"/>
    <s v="NO"/>
    <s v="NI"/>
    <s v="NI"/>
    <n v="60"/>
    <s v="NI"/>
    <s v="NI"/>
    <s v="NI"/>
    <s v="NI"/>
    <s v="UK"/>
    <n v="25"/>
    <n v="25"/>
    <s v="NI"/>
    <s v="NI"/>
    <s v="NI"/>
    <s v="NI"/>
    <s v="NI"/>
    <s v="NI"/>
    <s v="NI"/>
    <s v="NI"/>
    <s v="NI"/>
    <s v="NI"/>
    <s v="NI"/>
    <s v="NI"/>
    <s v="NI"/>
    <s v="NI"/>
    <s v="NI"/>
    <s v="NI"/>
    <s v="NI"/>
    <n v="75"/>
    <s v="UK"/>
    <s v="NO"/>
    <s v="UK"/>
  </r>
  <r>
    <s v="SK-WVI [R10]"/>
    <s v="West Vancouver Island"/>
    <s v="OKTWANCH RIVER_Sockeye"/>
    <x v="0"/>
    <x v="0"/>
    <x v="5"/>
    <x v="141"/>
    <x v="3"/>
    <m/>
    <m/>
    <n v="3"/>
    <n v="2"/>
    <n v="2"/>
    <n v="653.46920355897419"/>
    <n v="15000"/>
    <n v="2220.9056178788019"/>
    <m/>
    <s v="AUC estimate providing we get enough surveys if not then PL+D"/>
    <s v="Missing 7 years of data (1995, 1997, 1998, 1999, 2000, 2003 &amp; 2004)."/>
    <n v="1288.5"/>
    <s v="NI"/>
    <m/>
    <m/>
    <m/>
    <s v="NI"/>
    <s v="NI"/>
    <s v="NI"/>
    <m/>
    <m/>
    <s v="NI"/>
    <n v="178"/>
    <m/>
    <m/>
    <m/>
    <m/>
    <n v="2399"/>
    <m/>
    <s v="NI"/>
    <s v="NI"/>
    <n v="2500"/>
    <s v="NI"/>
    <n v="2500"/>
    <n v="2600"/>
    <n v="1500"/>
    <s v="NI"/>
    <n v="5000"/>
    <s v="NI"/>
    <s v="NO"/>
    <n v="2000"/>
    <s v="NI"/>
    <s v="NI"/>
    <s v="NI"/>
    <s v="NI"/>
    <s v="NI"/>
    <n v="7000"/>
    <n v="750"/>
    <n v="750"/>
    <n v="7500"/>
    <n v="15000"/>
    <n v="10000"/>
    <n v="750"/>
    <n v="300"/>
    <n v="7500"/>
    <s v="NI"/>
    <s v="NI"/>
    <s v="NI"/>
    <s v="NI"/>
    <s v="NI"/>
    <s v="NI"/>
    <s v="NI"/>
    <s v="NI"/>
    <s v="NI"/>
    <s v="NI"/>
    <s v="NI"/>
    <s v="NI"/>
    <s v="NI"/>
    <s v="UK"/>
    <s v="UK"/>
    <s v="UK"/>
  </r>
  <r>
    <s v="CO-WVI [17]"/>
    <s v="West Vancouver Island"/>
    <s v="OKTWANCH RIVER_Coho"/>
    <x v="0"/>
    <x v="0"/>
    <x v="5"/>
    <x v="141"/>
    <x v="0"/>
    <m/>
    <m/>
    <n v="3"/>
    <n v="2"/>
    <n v="2"/>
    <n v="211.06870919205434"/>
    <n v="750"/>
    <n v="216.43190121517799"/>
    <m/>
    <s v="AUC estimate providing we get enough surveys if not then PL+D"/>
    <m/>
    <n v="211.5"/>
    <s v="NI"/>
    <m/>
    <m/>
    <m/>
    <s v="NI"/>
    <s v="NI"/>
    <s v="NI"/>
    <m/>
    <m/>
    <s v="NI"/>
    <n v="198"/>
    <m/>
    <m/>
    <m/>
    <m/>
    <n v="225"/>
    <m/>
    <s v="NI"/>
    <s v="NI"/>
    <s v="UK"/>
    <s v="NI"/>
    <s v="NO"/>
    <s v="NO"/>
    <s v="NO"/>
    <s v="NI"/>
    <s v="UK"/>
    <s v="NI"/>
    <s v="NO"/>
    <s v="UK"/>
    <s v="NI"/>
    <s v="NI"/>
    <s v="NI"/>
    <s v="NI"/>
    <s v="NI"/>
    <n v="200"/>
    <n v="75"/>
    <n v="75"/>
    <n v="750"/>
    <n v="200"/>
    <s v="NO"/>
    <n v="750"/>
    <n v="200"/>
    <n v="200"/>
    <s v="NI"/>
    <s v="NI"/>
    <s v="NI"/>
    <s v="NI"/>
    <s v="NI"/>
    <s v="NI"/>
    <s v="NI"/>
    <s v="NI"/>
    <s v="NI"/>
    <s v="NI"/>
    <s v="NI"/>
    <s v="NI"/>
    <s v="NI"/>
    <s v="UK"/>
    <s v="UK"/>
    <s v="UK"/>
  </r>
  <r>
    <s v="CM-SWVI [10]"/>
    <s v="Southwest Vancouver Island"/>
    <s v="OKTWANCH RIVER_Chum"/>
    <x v="0"/>
    <x v="0"/>
    <x v="5"/>
    <x v="141"/>
    <x v="1"/>
    <m/>
    <m/>
    <n v="3"/>
    <n v="2"/>
    <n v="0"/>
    <e v="#NUM!"/>
    <n v="0"/>
    <e v="#NUM!"/>
    <m/>
    <s v="AUC estimate providing we get enough surveys if not then PL+D"/>
    <m/>
    <m/>
    <s v="NI"/>
    <m/>
    <m/>
    <m/>
    <s v="NI"/>
    <s v="NI"/>
    <s v="NI"/>
    <m/>
    <m/>
    <s v="NI"/>
    <s v="NO"/>
    <m/>
    <m/>
    <m/>
    <m/>
    <s v="NO"/>
    <m/>
    <s v="NI"/>
    <s v="NI"/>
    <s v="UK"/>
    <s v="NI"/>
    <s v="NO"/>
    <s v="NO"/>
    <s v="NO"/>
    <s v="NI"/>
    <s v="UK"/>
    <s v="NI"/>
    <s v="NO"/>
    <s v="UK"/>
    <s v="NI"/>
    <s v="NI"/>
    <s v="NI"/>
    <s v="NI"/>
    <s v="NI"/>
    <s v="UK"/>
    <s v="UK"/>
    <s v="UK"/>
    <s v="UK"/>
    <s v="UK"/>
    <s v="UK"/>
    <s v="UK"/>
    <s v="UK"/>
    <s v="UK"/>
    <s v="NI"/>
    <s v="NI"/>
    <s v="NI"/>
    <s v="NI"/>
    <s v="NI"/>
    <s v="NI"/>
    <s v="NI"/>
    <s v="NI"/>
    <s v="NI"/>
    <s v="NI"/>
    <s v="NI"/>
    <s v="NI"/>
    <s v="NI"/>
    <s v="UK"/>
    <s v="NO"/>
    <s v="UK"/>
  </r>
  <r>
    <s v="CK-NoKy [32]"/>
    <s v="Nootka and Kyuquot"/>
    <s v="OKTWANCH RIVER_Chinook"/>
    <x v="0"/>
    <x v="0"/>
    <x v="5"/>
    <x v="141"/>
    <x v="2"/>
    <m/>
    <m/>
    <n v="3"/>
    <n v="2"/>
    <n v="2"/>
    <n v="12.961481396815721"/>
    <n v="25"/>
    <n v="18.00102871839254"/>
    <m/>
    <s v="AUC estimate providing we get enough surveys if not then PL+D"/>
    <m/>
    <n v="13"/>
    <s v="NI"/>
    <m/>
    <m/>
    <m/>
    <s v="NI"/>
    <s v="NI"/>
    <s v="NI"/>
    <m/>
    <m/>
    <s v="NI"/>
    <n v="12"/>
    <m/>
    <m/>
    <m/>
    <m/>
    <n v="14"/>
    <m/>
    <s v="NI"/>
    <s v="NI"/>
    <s v="UK"/>
    <s v="NI"/>
    <s v="NO"/>
    <s v="NO"/>
    <s v="NO"/>
    <s v="NI"/>
    <s v="UK"/>
    <s v="NI"/>
    <s v="NO"/>
    <s v="UK"/>
    <s v="NI"/>
    <s v="NI"/>
    <s v="NI"/>
    <s v="NI"/>
    <s v="NI"/>
    <s v="UK"/>
    <s v="UK"/>
    <n v="25"/>
    <s v="UK"/>
    <s v="UK"/>
    <s v="NO"/>
    <s v="NO"/>
    <n v="25"/>
    <s v="UK"/>
    <s v="NI"/>
    <s v="NI"/>
    <s v="NI"/>
    <s v="NI"/>
    <s v="NI"/>
    <s v="NI"/>
    <s v="NI"/>
    <s v="NI"/>
    <s v="NI"/>
    <s v="NI"/>
    <s v="NI"/>
    <s v="NI"/>
    <s v="NI"/>
    <s v="UK"/>
    <s v="UK"/>
    <s v="UK"/>
  </r>
  <r>
    <s v="SK-L-13-22"/>
    <s v="Owossitsa"/>
    <s v="OWOSSITSA CREEK_Sockeye"/>
    <x v="0"/>
    <x v="0"/>
    <x v="5"/>
    <x v="142"/>
    <x v="3"/>
    <m/>
    <m/>
    <n v="5"/>
    <n v="7"/>
    <n v="1"/>
    <n v="125"/>
    <n v="2000"/>
    <n v="463.18347499214269"/>
    <m/>
    <s v="PL+D or Presence/Absence"/>
    <s v="Missing data for 1995."/>
    <n v="125"/>
    <s v="NO"/>
    <m/>
    <m/>
    <s v="NO"/>
    <s v="NO"/>
    <s v="NO"/>
    <s v="NI"/>
    <s v="NO"/>
    <s v="NI"/>
    <s v="NO"/>
    <s v="NI"/>
    <s v="NO"/>
    <s v="NO"/>
    <s v="NO"/>
    <n v="125"/>
    <s v="NO"/>
    <m/>
    <s v="UK"/>
    <s v="NO"/>
    <s v="NI"/>
    <s v="UK"/>
    <s v="UK"/>
    <s v="NI"/>
    <s v="NI"/>
    <s v="NI"/>
    <s v="NI"/>
    <s v="NI"/>
    <s v="NO"/>
    <s v="UK"/>
    <s v="NI"/>
    <s v="UK"/>
    <n v="2000"/>
    <s v="UK"/>
    <n v="1000"/>
    <n v="600"/>
    <n v="400"/>
    <n v="750"/>
    <n v="750"/>
    <n v="400"/>
    <n v="400"/>
    <n v="400"/>
    <n v="200"/>
    <s v="NO"/>
    <n v="200"/>
    <n v="400"/>
    <n v="750"/>
    <n v="400"/>
    <n v="750"/>
    <n v="750"/>
    <n v="750"/>
    <n v="400"/>
    <n v="1500"/>
    <n v="200"/>
    <n v="400"/>
    <n v="200"/>
    <n v="200"/>
    <n v="200"/>
    <n v="750"/>
    <n v="750"/>
  </r>
  <r>
    <s v="CO-WVI [17]"/>
    <s v="West Vancouver Island"/>
    <s v="OWOSSITSA CREEK_Coho"/>
    <x v="0"/>
    <x v="0"/>
    <x v="5"/>
    <x v="142"/>
    <x v="0"/>
    <m/>
    <m/>
    <n v="5"/>
    <n v="7"/>
    <n v="4"/>
    <n v="8.5823109691696047"/>
    <n v="1000"/>
    <n v="82.061932735918745"/>
    <m/>
    <s v="PL+D or Presence/Absence"/>
    <s v="Missing data for 1995."/>
    <n v="22.333333333333332"/>
    <n v="4"/>
    <n v="29"/>
    <n v="15"/>
    <n v="9"/>
    <n v="2"/>
    <n v="3"/>
    <s v="NI"/>
    <s v="NO"/>
    <s v="NI"/>
    <s v="NO"/>
    <s v="NI"/>
    <s v="NO"/>
    <n v="20"/>
    <n v="37"/>
    <n v="10"/>
    <s v="AP"/>
    <m/>
    <s v="UK"/>
    <n v="50"/>
    <s v="NI"/>
    <s v="UK"/>
    <s v="UK"/>
    <s v="UK"/>
    <s v="UK"/>
    <n v="100"/>
    <s v="NI"/>
    <s v="NI"/>
    <s v="NO"/>
    <s v="UK"/>
    <s v="NI"/>
    <s v="UK"/>
    <s v="UK"/>
    <s v="UK"/>
    <s v="UK"/>
    <s v="UK"/>
    <n v="200"/>
    <n v="25"/>
    <s v="UK"/>
    <n v="25"/>
    <s v="NO"/>
    <n v="25"/>
    <n v="25"/>
    <s v="NO"/>
    <n v="400"/>
    <n v="75"/>
    <n v="400"/>
    <n v="400"/>
    <n v="200"/>
    <n v="400"/>
    <n v="400"/>
    <n v="200"/>
    <n v="200"/>
    <n v="200"/>
    <n v="200"/>
    <n v="75"/>
    <n v="75"/>
    <n v="200"/>
    <n v="1000"/>
    <n v="750"/>
  </r>
  <r>
    <s v="CM-SWVI [10]"/>
    <s v="Southwest Vancouver Island"/>
    <s v="OWOSSITSA CREEK_Chum"/>
    <x v="0"/>
    <x v="0"/>
    <x v="5"/>
    <x v="142"/>
    <x v="1"/>
    <m/>
    <m/>
    <n v="5"/>
    <n v="7"/>
    <n v="5"/>
    <n v="238.66235925278681"/>
    <n v="15000"/>
    <n v="835.22638673297922"/>
    <m/>
    <s v="PL+D or Presence/Absence"/>
    <s v="Missing data for 1995."/>
    <n v="974.2"/>
    <n v="537"/>
    <n v="1082"/>
    <n v="525"/>
    <n v="149"/>
    <n v="132"/>
    <n v="530"/>
    <s v="NI"/>
    <n v="36"/>
    <s v="NI"/>
    <s v="NO"/>
    <s v="NI"/>
    <s v="NO"/>
    <n v="150"/>
    <n v="4250"/>
    <n v="275"/>
    <n v="160"/>
    <m/>
    <n v="2500"/>
    <n v="2350"/>
    <n v="3310"/>
    <s v="NO"/>
    <n v="775"/>
    <n v="50"/>
    <n v="1500"/>
    <n v="310"/>
    <n v="550"/>
    <n v="2100"/>
    <n v="1000"/>
    <n v="2335"/>
    <s v="NI"/>
    <n v="1000"/>
    <n v="6600"/>
    <n v="2022"/>
    <n v="5000"/>
    <n v="1000"/>
    <n v="750"/>
    <n v="25"/>
    <n v="400"/>
    <n v="7500"/>
    <n v="3500"/>
    <n v="400"/>
    <n v="1200"/>
    <n v="25"/>
    <n v="200"/>
    <n v="400"/>
    <n v="750"/>
    <n v="400"/>
    <n v="1500"/>
    <n v="1800"/>
    <n v="1500"/>
    <n v="3500"/>
    <n v="15000"/>
    <n v="3500"/>
    <n v="3500"/>
    <n v="1500"/>
    <n v="200"/>
    <n v="400"/>
    <n v="2000"/>
    <n v="7500"/>
  </r>
  <r>
    <s v="CK-NoKy [32]"/>
    <s v="Nootka and Kyuquot"/>
    <s v="OWOSSITSA CREEK_Chinook"/>
    <x v="0"/>
    <x v="0"/>
    <x v="5"/>
    <x v="142"/>
    <x v="2"/>
    <m/>
    <m/>
    <n v="5"/>
    <n v="7"/>
    <n v="0"/>
    <e v="#NUM!"/>
    <n v="200"/>
    <n v="78.254229003664364"/>
    <m/>
    <s v="PL+D or Presence/Absence"/>
    <s v="Missing data for 1995."/>
    <m/>
    <s v="NO"/>
    <m/>
    <m/>
    <s v="NO"/>
    <s v="NO"/>
    <s v="NO"/>
    <s v="NI"/>
    <s v="NO"/>
    <s v="NI"/>
    <s v="NO"/>
    <s v="NI"/>
    <s v="NO"/>
    <s v="NO"/>
    <s v="NO"/>
    <s v="NO"/>
    <s v="NO"/>
    <m/>
    <s v="UK"/>
    <s v="UK"/>
    <s v="NI"/>
    <s v="UK"/>
    <s v="UK"/>
    <s v="UK"/>
    <s v="UK"/>
    <s v="UK"/>
    <s v="NI"/>
    <s v="NO"/>
    <s v="NO"/>
    <s v="UK"/>
    <s v="NI"/>
    <s v="UK"/>
    <n v="25"/>
    <s v="UK"/>
    <s v="UK"/>
    <s v="UK"/>
    <s v="UK"/>
    <s v="UK"/>
    <s v="UK"/>
    <s v="UK"/>
    <s v="NO"/>
    <s v="NO"/>
    <s v="NO"/>
    <s v="NO"/>
    <s v="UK"/>
    <s v="UK"/>
    <s v="UK"/>
    <s v="UK"/>
    <s v="UK"/>
    <n v="100"/>
    <n v="75"/>
    <s v="UK"/>
    <s v="UK"/>
    <s v="UK"/>
    <s v="UK"/>
    <s v="UK"/>
    <s v="UK"/>
    <n v="200"/>
    <s v="UK"/>
    <s v="UK"/>
  </r>
  <r>
    <s v="SK-L-13-23"/>
    <s v="Park River"/>
    <s v="PARK RIVER_Sockeye"/>
    <x v="0"/>
    <x v="0"/>
    <x v="5"/>
    <x v="143"/>
    <x v="3"/>
    <m/>
    <m/>
    <n v="4"/>
    <n v="11"/>
    <n v="2"/>
    <n v="95.393920141694565"/>
    <n v="4000"/>
    <n v="470.65603004222316"/>
    <m/>
    <s v="PL+D or Presence/Absence"/>
    <m/>
    <n v="95.5"/>
    <s v="NO"/>
    <m/>
    <m/>
    <s v="NO"/>
    <s v="NO"/>
    <s v="NO"/>
    <s v="NO"/>
    <s v="NO"/>
    <s v="NO"/>
    <s v="NO"/>
    <s v="NO"/>
    <s v="NO"/>
    <s v="NO"/>
    <n v="91"/>
    <n v="100"/>
    <s v="NO"/>
    <s v="NO"/>
    <s v="NO"/>
    <n v="20"/>
    <s v="NI"/>
    <s v="NO"/>
    <s v="NI"/>
    <s v="NI"/>
    <s v="NI"/>
    <s v="AP"/>
    <s v="NI"/>
    <n v="4000"/>
    <s v="NO"/>
    <n v="1000"/>
    <n v="750"/>
    <s v="UK"/>
    <n v="1000"/>
    <s v="UK"/>
    <n v="1000"/>
    <n v="1000"/>
    <n v="200"/>
    <n v="400"/>
    <n v="400"/>
    <n v="1500"/>
    <n v="200"/>
    <s v="UK"/>
    <s v="UK"/>
    <s v="NO"/>
    <n v="75"/>
    <n v="200"/>
    <n v="400"/>
    <n v="400"/>
    <n v="750"/>
    <n v="1500"/>
    <n v="1500"/>
    <n v="1500"/>
    <n v="1500"/>
    <n v="400"/>
    <n v="200"/>
    <n v="200"/>
    <n v="750"/>
    <s v="UK"/>
    <n v="750"/>
    <n v="750"/>
  </r>
  <r>
    <s v="CO-WVI [17]"/>
    <s v="West Vancouver Island"/>
    <s v="PARK RIVER_Coho"/>
    <x v="0"/>
    <x v="0"/>
    <x v="5"/>
    <x v="143"/>
    <x v="0"/>
    <m/>
    <m/>
    <n v="4"/>
    <n v="11"/>
    <n v="11"/>
    <n v="80.162181671068282"/>
    <n v="1000"/>
    <n v="101.47281910692743"/>
    <m/>
    <s v="PL+D or Presence/Absence"/>
    <m/>
    <n v="110.9"/>
    <n v="61"/>
    <n v="90"/>
    <n v="148"/>
    <n v="179"/>
    <n v="61"/>
    <n v="64"/>
    <n v="55"/>
    <n v="411"/>
    <n v="103"/>
    <n v="27"/>
    <n v="160"/>
    <n v="100"/>
    <n v="110"/>
    <n v="73"/>
    <n v="20"/>
    <s v="AP"/>
    <n v="50"/>
    <s v="NO"/>
    <n v="10"/>
    <s v="NI"/>
    <s v="NO"/>
    <s v="NI"/>
    <s v="UK"/>
    <n v="50"/>
    <n v="100"/>
    <n v="200"/>
    <n v="500"/>
    <s v="NO"/>
    <s v="UK"/>
    <s v="UK"/>
    <n v="10"/>
    <n v="100"/>
    <s v="UK"/>
    <s v="UK"/>
    <n v="70"/>
    <n v="75"/>
    <n v="25"/>
    <s v="UK"/>
    <n v="400"/>
    <s v="UK"/>
    <n v="75"/>
    <n v="200"/>
    <n v="25"/>
    <n v="200"/>
    <n v="200"/>
    <n v="400"/>
    <n v="400"/>
    <n v="200"/>
    <n v="600"/>
    <n v="750"/>
    <n v="200"/>
    <n v="25"/>
    <n v="400"/>
    <n v="25"/>
    <n v="25"/>
    <n v="25"/>
    <n v="25"/>
    <n v="1000"/>
    <n v="750"/>
  </r>
  <r>
    <s v="CM-SWVI [10]"/>
    <s v="Southwest Vancouver Island"/>
    <s v="PARK RIVER_Chum"/>
    <x v="0"/>
    <x v="0"/>
    <x v="5"/>
    <x v="143"/>
    <x v="1"/>
    <m/>
    <m/>
    <n v="4"/>
    <n v="11"/>
    <n v="11"/>
    <n v="2870.0342266082534"/>
    <n v="23352"/>
    <n v="3920.6114202671406"/>
    <m/>
    <s v="PL+D or Presence/Absence"/>
    <m/>
    <n v="4850.090909090909"/>
    <n v="7308"/>
    <n v="9794"/>
    <n v="5900"/>
    <n v="2296"/>
    <n v="1835"/>
    <n v="9521"/>
    <n v="2400"/>
    <n v="4551"/>
    <n v="4625"/>
    <n v="1558"/>
    <n v="1900"/>
    <n v="3000"/>
    <n v="4200"/>
    <n v="23352"/>
    <n v="4165"/>
    <n v="3500"/>
    <n v="100"/>
    <n v="5000"/>
    <n v="4300"/>
    <n v="9370"/>
    <n v="5000"/>
    <n v="4000"/>
    <n v="1500"/>
    <n v="2200"/>
    <n v="3200"/>
    <n v="5000"/>
    <n v="6000"/>
    <n v="5000"/>
    <n v="11150"/>
    <n v="7500"/>
    <n v="6000"/>
    <n v="12000"/>
    <n v="6190"/>
    <n v="18000"/>
    <n v="2500"/>
    <n v="1500"/>
    <n v="750"/>
    <n v="3500"/>
    <n v="15000"/>
    <n v="3500"/>
    <n v="2100"/>
    <n v="6000"/>
    <n v="7500"/>
    <n v="3500"/>
    <n v="7000"/>
    <n v="10000"/>
    <n v="7500"/>
    <n v="7500"/>
    <n v="8000"/>
    <n v="3500"/>
    <n v="3500"/>
    <n v="15000"/>
    <n v="3500"/>
    <n v="3500"/>
    <n v="750"/>
    <n v="1500"/>
    <n v="1500"/>
    <n v="5000"/>
    <n v="1500"/>
  </r>
  <r>
    <s v="CK-NoKy [32]"/>
    <s v="Nootka and Kyuquot"/>
    <s v="PARK RIVER_Chinook"/>
    <x v="0"/>
    <x v="0"/>
    <x v="5"/>
    <x v="143"/>
    <x v="2"/>
    <m/>
    <m/>
    <n v="4"/>
    <n v="11"/>
    <n v="0"/>
    <e v="#NUM!"/>
    <n v="200"/>
    <n v="38.601258668102425"/>
    <m/>
    <s v="PL+D or Presence/Absence"/>
    <m/>
    <m/>
    <s v="NO"/>
    <m/>
    <m/>
    <s v="NO"/>
    <s v="NO"/>
    <s v="NO"/>
    <s v="NO"/>
    <s v="NO"/>
    <s v="NO"/>
    <s v="NO"/>
    <s v="NO"/>
    <s v="NO"/>
    <s v="NO"/>
    <s v="NO"/>
    <s v="NO"/>
    <s v="NO"/>
    <s v="NO"/>
    <s v="UK"/>
    <s v="UK"/>
    <s v="NI"/>
    <s v="UK"/>
    <s v="UK"/>
    <s v="UK"/>
    <s v="UK"/>
    <s v="UK"/>
    <s v="UK"/>
    <s v="NO"/>
    <s v="NO"/>
    <s v="UK"/>
    <s v="UK"/>
    <s v="UK"/>
    <n v="50"/>
    <s v="UK"/>
    <n v="40"/>
    <s v="UK"/>
    <n v="25"/>
    <s v="UK"/>
    <s v="UK"/>
    <n v="25"/>
    <s v="UK"/>
    <n v="25"/>
    <n v="15"/>
    <n v="25"/>
    <n v="25"/>
    <n v="25"/>
    <n v="75"/>
    <n v="200"/>
    <n v="75"/>
    <n v="25"/>
    <n v="75"/>
    <s v="UK"/>
    <s v="NO"/>
    <s v="UK"/>
    <s v="UK"/>
    <s v="NO"/>
    <n v="25"/>
    <n v="25"/>
    <n v="50"/>
    <n v="75"/>
  </r>
  <r>
    <s v="SK-WVI [R10]"/>
    <s v="West Vancouver Island"/>
    <s v="SUCWOA RIVER_Sockeye"/>
    <x v="0"/>
    <x v="0"/>
    <x v="5"/>
    <x v="144"/>
    <x v="3"/>
    <m/>
    <m/>
    <n v="1"/>
    <n v="9"/>
    <n v="9"/>
    <n v="82.786974897502702"/>
    <n v="1357"/>
    <n v="72.404399560267237"/>
    <s v="E.   Systems extensively surveyed, with major hatcheries or considerable hatchery contribution"/>
    <s v="AUC"/>
    <s v="In 2004 &amp; 2005 estimates were made for chum and chinook only. "/>
    <n v="287.77777777777777"/>
    <n v="336"/>
    <n v="55"/>
    <n v="60"/>
    <m/>
    <n v="14"/>
    <s v="NI"/>
    <s v="NI"/>
    <s v="NI"/>
    <n v="3"/>
    <n v="84"/>
    <n v="86"/>
    <n v="52"/>
    <n v="663"/>
    <n v="193"/>
    <n v="1357"/>
    <n v="60"/>
    <n v="92"/>
    <s v="UK"/>
    <n v="500"/>
    <s v="NI"/>
    <s v="UK"/>
    <s v="UK"/>
    <s v="UK"/>
    <s v="UK"/>
    <s v="UK"/>
    <n v="100"/>
    <s v="UK"/>
    <s v="NO"/>
    <n v="100"/>
    <n v="100"/>
    <n v="140"/>
    <n v="95"/>
    <n v="65"/>
    <n v="75"/>
    <n v="30"/>
    <n v="75"/>
    <s v="UK"/>
    <n v="25"/>
    <s v="UK"/>
    <s v="UK"/>
    <s v="UK"/>
    <s v="UK"/>
    <n v="25"/>
    <n v="25"/>
    <s v="UK"/>
    <s v="UK"/>
    <s v="UK"/>
    <n v="25"/>
    <s v="UK"/>
    <s v="UK"/>
    <s v="UK"/>
    <s v="UK"/>
    <s v="UK"/>
    <s v="UK"/>
    <s v="UK"/>
    <s v="UK"/>
    <s v="UK"/>
    <s v="UK"/>
    <s v="UK"/>
  </r>
  <r>
    <s v="CO-WVI [17]"/>
    <s v="West Vancouver Island"/>
    <s v="SUCWOA RIVER_Coho"/>
    <x v="0"/>
    <x v="0"/>
    <x v="5"/>
    <x v="144"/>
    <x v="0"/>
    <m/>
    <m/>
    <n v="1"/>
    <n v="9"/>
    <n v="8"/>
    <n v="339.86530166919329"/>
    <n v="3500"/>
    <n v="206.79865784024364"/>
    <s v="E.   Systems extensively surveyed, with major hatcheries or considerable hatchery contribution"/>
    <s v="AUC"/>
    <s v="Average Esc from 1995-2005 from file: NEW ESCAPEMENT INDEX.XLS.  In 2004 &amp; 2005 estimates were made for chum and chinook only. "/>
    <n v="697.125"/>
    <n v="457"/>
    <n v="285"/>
    <n v="365"/>
    <m/>
    <n v="115"/>
    <m/>
    <s v="NI"/>
    <s v="NI"/>
    <s v="NO"/>
    <n v="178"/>
    <n v="956"/>
    <n v="2209"/>
    <n v="1083"/>
    <n v="790"/>
    <n v="107"/>
    <n v="98"/>
    <n v="156"/>
    <s v="UK"/>
    <n v="50"/>
    <n v="20"/>
    <n v="20"/>
    <n v="30"/>
    <s v="UK"/>
    <s v="UK"/>
    <n v="590"/>
    <n v="200"/>
    <n v="50"/>
    <n v="60"/>
    <n v="20"/>
    <n v="45"/>
    <n v="50"/>
    <n v="1000"/>
    <n v="200"/>
    <n v="300"/>
    <n v="150"/>
    <n v="200"/>
    <n v="400"/>
    <n v="750"/>
    <n v="400"/>
    <n v="400"/>
    <n v="750"/>
    <n v="200"/>
    <n v="200"/>
    <n v="400"/>
    <n v="750"/>
    <n v="1200"/>
    <n v="1500"/>
    <n v="750"/>
    <n v="500"/>
    <n v="3500"/>
    <n v="25"/>
    <n v="200"/>
    <n v="25"/>
    <n v="200"/>
    <n v="75"/>
    <n v="75"/>
    <n v="25"/>
    <n v="500"/>
    <n v="750"/>
  </r>
  <r>
    <s v="Pkodd-WVI [6]"/>
    <s v="West Vancouver Island"/>
    <s v="SUCWOA RIVER_Pink"/>
    <x v="0"/>
    <x v="0"/>
    <x v="5"/>
    <x v="144"/>
    <x v="4"/>
    <m/>
    <m/>
    <n v="1"/>
    <n v="9"/>
    <n v="5"/>
    <n v="4.6745395443384457"/>
    <n v="3500"/>
    <n v="52.418000689568252"/>
    <s v="E.   Systems extensively surveyed, with major hatcheries or considerable hatchery contribution"/>
    <s v="AUC"/>
    <s v="In 2004 &amp; 2005 estimates were made for chum and chinook only. "/>
    <n v="10.199999999999999"/>
    <n v="5"/>
    <m/>
    <m/>
    <m/>
    <s v="NO"/>
    <s v="NI"/>
    <s v="NI"/>
    <s v="NI"/>
    <s v="NO"/>
    <s v="NO"/>
    <n v="1"/>
    <n v="1"/>
    <n v="12"/>
    <s v="NO"/>
    <n v="31"/>
    <n v="6"/>
    <s v="NO"/>
    <s v="UK"/>
    <s v="NO"/>
    <s v="NI"/>
    <n v="2"/>
    <s v="UK"/>
    <s v="UK"/>
    <s v="UK"/>
    <s v="UK"/>
    <s v="UK"/>
    <s v="UK"/>
    <s v="NO"/>
    <s v="UK"/>
    <s v="UK"/>
    <s v="UK"/>
    <n v="650"/>
    <s v="UK"/>
    <n v="1000"/>
    <s v="UK"/>
    <s v="UK"/>
    <s v="UK"/>
    <s v="UK"/>
    <s v="UK"/>
    <n v="3500"/>
    <s v="NO"/>
    <n v="200"/>
    <s v="NO"/>
    <n v="1500"/>
    <s v="NO"/>
    <n v="200"/>
    <s v="UK"/>
    <n v="25"/>
    <s v="UK"/>
    <n v="1500"/>
    <n v="25"/>
    <n v="25"/>
    <s v="NO"/>
    <n v="25"/>
    <s v="NO"/>
    <n v="25"/>
    <s v="UK"/>
    <s v="UK"/>
    <s v="UK"/>
  </r>
  <r>
    <s v="CM-SWVI [10]"/>
    <s v="Southwest Vancouver Island"/>
    <s v="SUCWOA RIVER_Chum"/>
    <x v="0"/>
    <x v="0"/>
    <x v="5"/>
    <x v="144"/>
    <x v="1"/>
    <m/>
    <m/>
    <n v="1"/>
    <n v="10"/>
    <n v="10"/>
    <n v="4108.7500631897019"/>
    <n v="53835"/>
    <n v="3836.0519478922647"/>
    <s v="E.   Systems extensively surveyed, with major hatcheries or considerable hatchery contribution"/>
    <s v="AUC"/>
    <s v="Average Esc from 1995-2005 from file: NEW ESCAPEMENT INDEX.XLS.  In 2004 &amp; 2005 estimates were made for chum and chinook only. "/>
    <n v="10346"/>
    <n v="1049"/>
    <n v="1230"/>
    <n v="1745"/>
    <n v="5494"/>
    <n v="200"/>
    <n v="800"/>
    <n v="5500"/>
    <n v="8500"/>
    <n v="6000"/>
    <n v="2952"/>
    <n v="3421"/>
    <n v="1222"/>
    <n v="6645"/>
    <n v="53835"/>
    <n v="12905"/>
    <n v="10061"/>
    <n v="2765"/>
    <n v="18000"/>
    <n v="20000"/>
    <n v="13000"/>
    <n v="8000"/>
    <n v="8100"/>
    <n v="4500"/>
    <n v="4500"/>
    <n v="1450"/>
    <n v="9000"/>
    <n v="13000"/>
    <n v="11300"/>
    <n v="12000"/>
    <n v="9000"/>
    <n v="10000"/>
    <n v="11000"/>
    <n v="1600"/>
    <n v="7500"/>
    <n v="3500"/>
    <n v="750"/>
    <n v="3500"/>
    <n v="3500"/>
    <n v="15000"/>
    <n v="7500"/>
    <n v="1500"/>
    <n v="8000"/>
    <n v="5000"/>
    <n v="3500"/>
    <n v="3500"/>
    <n v="3000"/>
    <n v="1500"/>
    <n v="3500"/>
    <n v="4000"/>
    <n v="3500"/>
    <n v="1500"/>
    <n v="15000"/>
    <n v="400"/>
    <n v="1500"/>
    <n v="400"/>
    <n v="400"/>
    <n v="400"/>
    <n v="1000"/>
    <n v="1500"/>
  </r>
  <r>
    <s v="CK-NoKy [32]"/>
    <s v="Nootka and Kyuquot"/>
    <s v="SUCWOA RIVER_Chinook"/>
    <x v="0"/>
    <x v="0"/>
    <x v="5"/>
    <x v="144"/>
    <x v="2"/>
    <m/>
    <m/>
    <n v="1"/>
    <n v="10"/>
    <n v="10"/>
    <n v="71.061739706936322"/>
    <n v="1500"/>
    <n v="102.24734247930277"/>
    <s v="E.   Systems extensively surveyed, with major hatcheries or considerable hatchery contribution"/>
    <s v="AUC"/>
    <s v="Average Esc from 1995-2005 from file: NEW ESCAPEMENT INDEX.XLS.  In 2004 &amp; 2005 estimates were made for chum and chinook only. "/>
    <n v="143.90909090909091"/>
    <n v="232"/>
    <n v="6"/>
    <n v="1"/>
    <n v="70"/>
    <n v="122"/>
    <m/>
    <n v="36"/>
    <n v="325"/>
    <n v="2"/>
    <n v="37"/>
    <n v="110"/>
    <n v="196"/>
    <n v="67"/>
    <n v="16"/>
    <n v="52"/>
    <n v="300"/>
    <n v="442"/>
    <n v="1100"/>
    <n v="100"/>
    <s v="UK"/>
    <s v="NO"/>
    <n v="30"/>
    <n v="30"/>
    <n v="30"/>
    <n v="10"/>
    <n v="50"/>
    <n v="50"/>
    <n v="50"/>
    <n v="40"/>
    <n v="40"/>
    <n v="30"/>
    <n v="300"/>
    <n v="80"/>
    <n v="50"/>
    <n v="20"/>
    <n v="200"/>
    <n v="75"/>
    <n v="25"/>
    <n v="200"/>
    <n v="200"/>
    <n v="200"/>
    <n v="200"/>
    <n v="400"/>
    <n v="400"/>
    <n v="750"/>
    <n v="900"/>
    <n v="1500"/>
    <n v="1500"/>
    <n v="500"/>
    <n v="750"/>
    <n v="75"/>
    <n v="75"/>
    <n v="25"/>
    <n v="75"/>
    <s v="UK"/>
    <s v="UK"/>
    <s v="UK"/>
    <s v="UK"/>
    <s v="UK"/>
  </r>
  <r>
    <s v="SK-WVI [R10]"/>
    <s v="West Vancouver Island"/>
    <s v="TAHSIS RIVER_Sockeye"/>
    <x v="0"/>
    <x v="0"/>
    <x v="5"/>
    <x v="145"/>
    <x v="3"/>
    <m/>
    <m/>
    <n v="2"/>
    <n v="11"/>
    <n v="11"/>
    <n v="187.29600967829273"/>
    <n v="1005"/>
    <n v="149.21534562868169"/>
    <s v="A.  PSC Indicator stocks."/>
    <s v="AUC"/>
    <m/>
    <n v="342.81818181818181"/>
    <n v="1486"/>
    <n v="542"/>
    <n v="475"/>
    <n v="242"/>
    <n v="151"/>
    <n v="45"/>
    <n v="199"/>
    <n v="196"/>
    <n v="125"/>
    <n v="109"/>
    <n v="391"/>
    <n v="127"/>
    <n v="739"/>
    <n v="573"/>
    <n v="1005"/>
    <n v="295"/>
    <n v="12"/>
    <n v="300"/>
    <n v="650"/>
    <s v="NI"/>
    <n v="150"/>
    <n v="50"/>
    <n v="100"/>
    <s v="UK"/>
    <s v="UK"/>
    <n v="30"/>
    <n v="200"/>
    <n v="500"/>
    <n v="100"/>
    <n v="400"/>
    <n v="300"/>
    <s v="NI"/>
    <n v="119"/>
    <n v="200"/>
    <n v="50"/>
    <n v="200"/>
    <s v="UK"/>
    <s v="UK"/>
    <s v="UK"/>
    <s v="UK"/>
    <s v="UK"/>
    <s v="UK"/>
    <s v="UK"/>
    <s v="UK"/>
    <s v="UK"/>
    <s v="UK"/>
    <n v="2"/>
    <s v="UK"/>
    <s v="UK"/>
    <s v="UK"/>
    <s v="UK"/>
    <s v="UK"/>
    <s v="UK"/>
    <s v="UK"/>
    <s v="UK"/>
    <s v="UK"/>
    <s v="UK"/>
    <s v="UK"/>
    <s v="UK"/>
  </r>
  <r>
    <s v="CO-WVI [17]"/>
    <s v="West Vancouver Island"/>
    <s v="TAHSIS RIVER_Coho"/>
    <x v="0"/>
    <x v="0"/>
    <x v="5"/>
    <x v="145"/>
    <x v="0"/>
    <m/>
    <m/>
    <n v="2"/>
    <n v="11"/>
    <n v="11"/>
    <n v="811.99791966394457"/>
    <n v="3500"/>
    <n v="690.31924748090523"/>
    <s v="A.  PSC Indicator stocks."/>
    <s v="AUC"/>
    <s v="Average Esc from 1995-2005 from file: NEW ESCAPEMENT INDEX.XLS"/>
    <n v="1115.4545454545455"/>
    <n v="2323"/>
    <n v="2590"/>
    <n v="2140"/>
    <n v="1577"/>
    <n v="649"/>
    <n v="788"/>
    <n v="1096"/>
    <n v="1860"/>
    <n v="673"/>
    <n v="587"/>
    <n v="767"/>
    <n v="3414"/>
    <n v="2026"/>
    <n v="773"/>
    <n v="667"/>
    <n v="99"/>
    <n v="308"/>
    <n v="200"/>
    <n v="200"/>
    <n v="50"/>
    <n v="200"/>
    <n v="150"/>
    <n v="750"/>
    <n v="499"/>
    <n v="1000"/>
    <n v="650"/>
    <n v="200"/>
    <n v="800"/>
    <n v="500"/>
    <n v="2500"/>
    <n v="250"/>
    <s v="NI"/>
    <n v="2000"/>
    <n v="400"/>
    <n v="350"/>
    <n v="400"/>
    <n v="1500"/>
    <n v="1500"/>
    <n v="3500"/>
    <n v="1500"/>
    <n v="1500"/>
    <n v="1300"/>
    <n v="400"/>
    <n v="750"/>
    <n v="1500"/>
    <n v="1500"/>
    <n v="1500"/>
    <n v="3500"/>
    <n v="1500"/>
    <n v="1500"/>
    <n v="400"/>
    <n v="200"/>
    <n v="750"/>
    <n v="400"/>
    <n v="200"/>
    <n v="400"/>
    <n v="400"/>
    <n v="1500"/>
    <n v="1500"/>
  </r>
  <r>
    <s v="Pkodd-WVI [6]"/>
    <s v="West Vancouver Island"/>
    <s v="TAHSIS RIVER_Pink"/>
    <x v="0"/>
    <x v="0"/>
    <x v="5"/>
    <x v="145"/>
    <x v="4"/>
    <m/>
    <m/>
    <n v="2"/>
    <n v="11"/>
    <n v="7"/>
    <n v="1.9679896712654303"/>
    <n v="17000"/>
    <n v="72.478359848875883"/>
    <s v="A.  PSC Indicator stocks."/>
    <s v="AUC"/>
    <m/>
    <n v="3.8571428571428572"/>
    <n v="5"/>
    <m/>
    <m/>
    <s v="NO"/>
    <n v="1"/>
    <s v="NO"/>
    <n v="1"/>
    <s v="NO"/>
    <s v="NO"/>
    <s v="NO"/>
    <n v="3"/>
    <n v="5"/>
    <n v="1"/>
    <n v="1"/>
    <n v="15"/>
    <n v="1"/>
    <s v="NO"/>
    <s v="UK"/>
    <s v="NO"/>
    <s v="NI"/>
    <s v="UK"/>
    <n v="3"/>
    <s v="UK"/>
    <s v="UK"/>
    <s v="UK"/>
    <n v="50"/>
    <n v="100"/>
    <n v="50"/>
    <n v="20"/>
    <s v="UK"/>
    <s v="UK"/>
    <s v="NI"/>
    <n v="2"/>
    <n v="600"/>
    <s v="UK"/>
    <n v="1500"/>
    <s v="UK"/>
    <n v="7500"/>
    <s v="UK"/>
    <n v="17000"/>
    <s v="NO"/>
    <n v="3000"/>
    <s v="UK"/>
    <n v="7000"/>
    <s v="NO"/>
    <n v="3000"/>
    <s v="UK"/>
    <n v="750"/>
    <s v="UK"/>
    <n v="3500"/>
    <n v="75"/>
    <n v="3500"/>
    <s v="NO"/>
    <n v="200"/>
    <s v="UK"/>
    <n v="25"/>
    <s v="UK"/>
    <s v="UK"/>
    <s v="UK"/>
  </r>
  <r>
    <s v="CM-SWVI [10]"/>
    <s v="Southwest Vancouver Island"/>
    <s v="TAHSIS RIVER_Chum"/>
    <x v="0"/>
    <x v="0"/>
    <x v="5"/>
    <x v="145"/>
    <x v="1"/>
    <m/>
    <m/>
    <n v="2"/>
    <n v="11"/>
    <n v="11"/>
    <n v="7626.8862296860689"/>
    <n v="35000"/>
    <n v="8312.5645354220123"/>
    <s v="A.  PSC Indicator stocks."/>
    <s v="AUC"/>
    <s v="Average Esc from 1995-2005 from file: NEW ESCAPEMENT INDEX.XLS"/>
    <n v="12876.727272727272"/>
    <n v="1752"/>
    <n v="2595"/>
    <n v="5000"/>
    <n v="1762"/>
    <n v="1012"/>
    <n v="4351"/>
    <n v="9305"/>
    <n v="26071"/>
    <n v="7619"/>
    <n v="5851"/>
    <n v="11932"/>
    <n v="10464"/>
    <n v="14122"/>
    <n v="32021"/>
    <n v="10491"/>
    <n v="8314"/>
    <n v="5454"/>
    <n v="13000"/>
    <n v="16000"/>
    <n v="20300"/>
    <n v="10600"/>
    <n v="3500"/>
    <n v="1500"/>
    <n v="6200"/>
    <n v="8000"/>
    <n v="8400"/>
    <n v="11700"/>
    <n v="11300"/>
    <n v="9000"/>
    <n v="11000"/>
    <n v="7000"/>
    <s v="NI"/>
    <n v="3680"/>
    <n v="9500"/>
    <n v="5500"/>
    <n v="7500"/>
    <n v="7500"/>
    <n v="15000"/>
    <n v="35000"/>
    <n v="18000"/>
    <n v="15000"/>
    <n v="15000"/>
    <n v="7500"/>
    <n v="10000"/>
    <n v="7500"/>
    <n v="7500"/>
    <n v="3500"/>
    <n v="15000"/>
    <n v="15000"/>
    <n v="3500"/>
    <n v="7500"/>
    <n v="35000"/>
    <n v="7500"/>
    <n v="7500"/>
    <n v="3500"/>
    <n v="3500"/>
    <n v="3500"/>
    <n v="7500"/>
    <n v="15000"/>
  </r>
  <r>
    <s v="CK-NoKy [32]"/>
    <s v="Nootka and Kyuquot"/>
    <s v="TAHSIS RIVER_Chinook"/>
    <x v="1"/>
    <x v="1"/>
    <x v="5"/>
    <x v="145"/>
    <x v="2"/>
    <m/>
    <m/>
    <n v="2"/>
    <n v="11"/>
    <n v="11"/>
    <n v="452.36390113635633"/>
    <n v="1606"/>
    <n v="234.79055901452955"/>
    <s v="A.  PSC Indicator stocks."/>
    <s v="AUC"/>
    <s v="Average Esc from 1995-2005 from file: NEW ESCAPEMENT INDEX.XLS"/>
    <n v="710.27272727272725"/>
    <n v="219"/>
    <n v="380"/>
    <n v="780"/>
    <n v="197"/>
    <n v="131"/>
    <n v="124"/>
    <n v="176"/>
    <n v="808"/>
    <n v="656"/>
    <n v="658"/>
    <n v="388"/>
    <n v="1220"/>
    <n v="1606"/>
    <n v="519"/>
    <n v="687"/>
    <n v="680"/>
    <n v="415"/>
    <n v="300"/>
    <n v="500"/>
    <n v="1400"/>
    <n v="1400"/>
    <n v="232"/>
    <n v="500"/>
    <n v="125"/>
    <n v="20"/>
    <n v="60"/>
    <n v="50"/>
    <n v="12"/>
    <n v="50"/>
    <n v="125"/>
    <n v="150"/>
    <s v="NI"/>
    <n v="348"/>
    <n v="100"/>
    <n v="150"/>
    <n v="200"/>
    <n v="75"/>
    <n v="750"/>
    <n v="750"/>
    <n v="75"/>
    <n v="200"/>
    <n v="125"/>
    <n v="25"/>
    <n v="75"/>
    <n v="200"/>
    <n v="800"/>
    <n v="750"/>
    <n v="1500"/>
    <n v="600"/>
    <n v="750"/>
    <n v="400"/>
    <n v="400"/>
    <n v="25"/>
    <n v="200"/>
    <n v="200"/>
    <n v="25"/>
    <n v="75"/>
    <n v="100"/>
    <n v="1500"/>
  </r>
  <r>
    <s v="SK-WVI [R10]"/>
    <s v="West Vancouver Island"/>
    <s v="TLUPANA RIVER_Sockeye"/>
    <x v="0"/>
    <x v="0"/>
    <x v="5"/>
    <x v="146"/>
    <x v="3"/>
    <m/>
    <m/>
    <n v="1"/>
    <n v="9"/>
    <n v="8"/>
    <n v="110.19163356765864"/>
    <n v="778"/>
    <n v="84.980950126047475"/>
    <s v="E.   Systems extensively surveyed, with major hatcheries or considerable hatchery contribution"/>
    <s v="AUC"/>
    <s v="In 2004 &amp; 2005 estimates were made for chum and chinook only. "/>
    <n v="239.875"/>
    <n v="20"/>
    <n v="30"/>
    <n v="24"/>
    <m/>
    <s v="NI"/>
    <n v="2"/>
    <s v="NI"/>
    <s v="NI"/>
    <s v="NO"/>
    <n v="58"/>
    <n v="181"/>
    <n v="115"/>
    <n v="224"/>
    <n v="166"/>
    <n v="778"/>
    <n v="127"/>
    <n v="270"/>
    <s v="UK"/>
    <s v="UK"/>
    <s v="NI"/>
    <n v="200"/>
    <s v="UK"/>
    <s v="UK"/>
    <s v="UK"/>
    <s v="UK"/>
    <n v="50"/>
    <s v="UK"/>
    <s v="NO"/>
    <s v="UK"/>
    <s v="UK"/>
    <n v="100"/>
    <n v="600"/>
    <n v="10"/>
    <s v="UK"/>
    <n v="70"/>
    <n v="25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TLUPANA RIVER_Coho"/>
    <x v="0"/>
    <x v="0"/>
    <x v="5"/>
    <x v="146"/>
    <x v="0"/>
    <m/>
    <m/>
    <n v="1"/>
    <n v="9"/>
    <n v="9"/>
    <n v="382.80579011747551"/>
    <n v="1980"/>
    <n v="175.30606815939825"/>
    <s v="E.   Systems extensively surveyed, with major hatcheries or considerable hatchery contribution"/>
    <s v="AUC"/>
    <s v="In 2004 &amp; 2005 estimates were made for chum and chinook only. "/>
    <n v="731.11111111111109"/>
    <n v="240"/>
    <n v="170"/>
    <n v="155"/>
    <m/>
    <s v="NO"/>
    <n v="193"/>
    <s v="NI"/>
    <s v="NI"/>
    <n v="21"/>
    <n v="209"/>
    <n v="1980"/>
    <n v="1595"/>
    <n v="346"/>
    <n v="1099"/>
    <n v="505"/>
    <n v="216"/>
    <n v="609"/>
    <s v="UK"/>
    <s v="UK"/>
    <s v="NI"/>
    <n v="350"/>
    <s v="UK"/>
    <s v="UK"/>
    <s v="UK"/>
    <n v="200"/>
    <n v="500"/>
    <n v="200"/>
    <n v="22"/>
    <s v="UK"/>
    <n v="100"/>
    <n v="50"/>
    <n v="600"/>
    <n v="60"/>
    <n v="300"/>
    <n v="200"/>
    <n v="75"/>
    <n v="400"/>
    <n v="750"/>
    <n v="750"/>
    <n v="200"/>
    <n v="500"/>
    <n v="400"/>
    <n v="200"/>
    <n v="200"/>
    <n v="25"/>
    <n v="200"/>
    <n v="200"/>
    <n v="400"/>
    <n v="200"/>
    <n v="25"/>
    <n v="75"/>
    <n v="200"/>
    <n v="75"/>
    <n v="25"/>
    <n v="25"/>
    <n v="25"/>
    <s v="NO"/>
    <n v="50"/>
    <n v="100"/>
  </r>
  <r>
    <s v="Pkodd-WVI [6]"/>
    <s v="West Vancouver Island"/>
    <s v="TLUPANA RIVER_Pink"/>
    <x v="0"/>
    <x v="0"/>
    <x v="5"/>
    <x v="146"/>
    <x v="4"/>
    <m/>
    <m/>
    <n v="1"/>
    <n v="9"/>
    <n v="6"/>
    <n v="3.308686650258204"/>
    <n v="1000"/>
    <n v="27.830306146522194"/>
    <s v="E.   Systems extensively surveyed, with major hatcheries or considerable hatchery contribution"/>
    <s v="AUC"/>
    <s v="In 2004 &amp; 2005 estimates were made for chum and chinook only. "/>
    <n v="8.6666666666666661"/>
    <n v="2"/>
    <m/>
    <m/>
    <m/>
    <s v="NO"/>
    <s v="NO"/>
    <s v="NI"/>
    <s v="NI"/>
    <n v="2"/>
    <s v="NO"/>
    <n v="2"/>
    <n v="2"/>
    <n v="1"/>
    <n v="4"/>
    <n v="41"/>
    <s v="NO"/>
    <s v="NO"/>
    <s v="UK"/>
    <s v="UK"/>
    <s v="NI"/>
    <n v="20"/>
    <s v="UK"/>
    <s v="UK"/>
    <s v="UK"/>
    <s v="UK"/>
    <s v="NO"/>
    <s v="UK"/>
    <s v="NO"/>
    <s v="UK"/>
    <s v="UK"/>
    <s v="UK"/>
    <n v="1000"/>
    <s v="UK"/>
    <n v="100"/>
    <s v="UK"/>
    <s v="UK"/>
    <s v="UK"/>
    <n v="75"/>
    <s v="UK"/>
    <n v="25"/>
    <s v="NO"/>
    <n v="200"/>
    <s v="NO"/>
    <n v="75"/>
    <s v="NO"/>
    <n v="200"/>
    <n v="25"/>
    <n v="25"/>
    <s v="UK"/>
    <n v="200"/>
    <n v="75"/>
    <n v="25"/>
    <s v="NO"/>
    <n v="25"/>
    <s v="UK"/>
    <n v="25"/>
    <s v="UK"/>
    <s v="UK"/>
    <s v="UK"/>
  </r>
  <r>
    <s v="CM-SWVI [10]"/>
    <s v="Southwest Vancouver Island"/>
    <s v="TLUPANA RIVER_Chum"/>
    <x v="0"/>
    <x v="0"/>
    <x v="5"/>
    <x v="146"/>
    <x v="1"/>
    <m/>
    <m/>
    <n v="1"/>
    <n v="10"/>
    <n v="10"/>
    <n v="9494.9669033170157"/>
    <n v="34786"/>
    <n v="2648.1338644608868"/>
    <s v="E.   Systems extensively surveyed, with major hatcheries or considerable hatchery contribution"/>
    <s v="AUC"/>
    <s v="Average Esc from 1995-2005 from file: NEW ESCAPEMENT INDEX.XLS.  In 2004 &amp; 2005 estimates were made for chum and chinook only. "/>
    <n v="15612.727272727272"/>
    <n v="1500"/>
    <n v="5525"/>
    <n v="7170"/>
    <n v="2000"/>
    <n v="1048"/>
    <n v="10000"/>
    <n v="15000"/>
    <n v="21000"/>
    <n v="8000"/>
    <n v="15694"/>
    <n v="4212"/>
    <n v="9416"/>
    <n v="24020"/>
    <n v="34786"/>
    <n v="12643"/>
    <n v="20000"/>
    <n v="6969"/>
    <n v="20000"/>
    <n v="4000"/>
    <n v="10000"/>
    <n v="10000"/>
    <n v="4700"/>
    <n v="7500"/>
    <n v="3000"/>
    <n v="7000"/>
    <n v="16525"/>
    <n v="10000"/>
    <n v="4500"/>
    <n v="10000"/>
    <n v="7000"/>
    <n v="8000"/>
    <n v="10000"/>
    <n v="200"/>
    <n v="3500"/>
    <n v="1000"/>
    <n v="200"/>
    <n v="3500"/>
    <n v="3500"/>
    <n v="3500"/>
    <n v="3000"/>
    <n v="1500"/>
    <n v="6000"/>
    <n v="3500"/>
    <n v="3500"/>
    <n v="400"/>
    <n v="1500"/>
    <n v="200"/>
    <n v="400"/>
    <n v="200"/>
    <n v="75"/>
    <n v="400"/>
    <n v="1500"/>
    <n v="200"/>
    <n v="750"/>
    <n v="200"/>
    <n v="75"/>
    <n v="200"/>
    <n v="600"/>
    <n v="1750"/>
  </r>
  <r>
    <s v="CK-NoKy [32]"/>
    <s v="Nootka and Kyuquot"/>
    <s v="TLUPANA RIVER_Chinook"/>
    <x v="0"/>
    <x v="0"/>
    <x v="5"/>
    <x v="146"/>
    <x v="2"/>
    <m/>
    <m/>
    <n v="1"/>
    <n v="10"/>
    <n v="10"/>
    <n v="186.37851035554789"/>
    <n v="1160"/>
    <n v="63.703183022146654"/>
    <s v="E.   Systems extensively surveyed, with major hatcheries or considerable hatchery contribution"/>
    <s v="AUC"/>
    <s v="Average Esc from 1995-2005 from file: NEW ESCAPEMENT INDEX.XLS.  In 2004 &amp; 2005 estimates were made for chum and chinook only. "/>
    <n v="333.09090909090907"/>
    <n v="23"/>
    <n v="35"/>
    <n v="8"/>
    <n v="150"/>
    <s v="NO"/>
    <n v="1000"/>
    <n v="1000"/>
    <n v="474"/>
    <n v="300"/>
    <n v="1160"/>
    <n v="328"/>
    <n v="64"/>
    <n v="50"/>
    <n v="54"/>
    <n v="69"/>
    <n v="24"/>
    <n v="141"/>
    <n v="400"/>
    <n v="100"/>
    <n v="150"/>
    <n v="300"/>
    <n v="300"/>
    <n v="70"/>
    <n v="15"/>
    <n v="10"/>
    <n v="7"/>
    <n v="30"/>
    <n v="50"/>
    <n v="40"/>
    <s v="UK"/>
    <s v="UK"/>
    <n v="100"/>
    <n v="20"/>
    <s v="UK"/>
    <n v="20"/>
    <n v="25"/>
    <n v="25"/>
    <n v="25"/>
    <n v="25"/>
    <n v="25"/>
    <n v="25"/>
    <n v="25"/>
    <n v="75"/>
    <n v="25"/>
    <n v="25"/>
    <n v="25"/>
    <s v="UK"/>
    <n v="200"/>
    <s v="UK"/>
    <s v="NO"/>
    <n v="25"/>
    <n v="75"/>
    <n v="25"/>
    <s v="UK"/>
    <n v="25"/>
    <s v="UK"/>
    <s v="NO"/>
    <n v="25"/>
    <n v="75"/>
  </r>
  <r>
    <s v="SK-WVI [R10]"/>
    <s v="West Vancouver Island"/>
    <s v="TSOWWIN RIVER_Sockeye"/>
    <x v="0"/>
    <x v="0"/>
    <x v="5"/>
    <x v="147"/>
    <x v="3"/>
    <m/>
    <m/>
    <n v="3"/>
    <n v="9"/>
    <n v="8"/>
    <n v="19.517148940500341"/>
    <n v="275"/>
    <n v="20.220308664150682"/>
    <s v="D.  Other systems surveyed extensively since 1995.  Not included with group (C) or (B) due to irregular surveys (ie not every year) or due to extremely low total adult escapement"/>
    <s v="AUC"/>
    <m/>
    <n v="64.375"/>
    <n v="18"/>
    <n v="10"/>
    <m/>
    <s v="NO"/>
    <s v="NO"/>
    <s v="NO"/>
    <s v="NI"/>
    <n v="37"/>
    <s v="NI"/>
    <n v="12"/>
    <n v="7"/>
    <n v="7"/>
    <n v="1"/>
    <n v="153"/>
    <n v="275"/>
    <n v="23"/>
    <s v="NO"/>
    <s v="NO"/>
    <n v="250"/>
    <s v="NI"/>
    <s v="UK"/>
    <n v="20"/>
    <n v="2"/>
    <s v="UK"/>
    <s v="UK"/>
    <s v="UK"/>
    <s v="UK"/>
    <s v="NO"/>
    <s v="UK"/>
    <s v="UK"/>
    <n v="100"/>
    <n v="10"/>
    <n v="10"/>
    <n v="15"/>
    <n v="20"/>
    <s v="UK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TSOWWIN RIVER_Coho"/>
    <x v="0"/>
    <x v="0"/>
    <x v="5"/>
    <x v="147"/>
    <x v="0"/>
    <m/>
    <m/>
    <n v="3"/>
    <n v="9"/>
    <n v="8"/>
    <n v="431.0203651449915"/>
    <n v="3500"/>
    <n v="270.80211028049393"/>
    <s v="D.  Other systems surveyed extensively since 1995.  Not included with group (C) or (B) due to irregular surveys (ie not every year) or due to extremely low total adult escapement"/>
    <s v="AUC"/>
    <m/>
    <n v="916"/>
    <n v="627"/>
    <n v="170"/>
    <n v="90"/>
    <n v="322"/>
    <n v="417"/>
    <n v="24"/>
    <s v="NI"/>
    <n v="1256"/>
    <s v="NI"/>
    <n v="90"/>
    <n v="537"/>
    <n v="2328"/>
    <n v="630"/>
    <n v="973"/>
    <n v="1238"/>
    <n v="276"/>
    <s v="NO"/>
    <s v="NO"/>
    <s v="NO"/>
    <s v="NI"/>
    <s v="UK"/>
    <n v="50"/>
    <n v="50"/>
    <n v="200"/>
    <n v="250"/>
    <n v="290"/>
    <n v="200"/>
    <n v="60"/>
    <s v="UK"/>
    <s v="UK"/>
    <n v="320"/>
    <n v="100"/>
    <n v="150"/>
    <n v="150"/>
    <n v="200"/>
    <n v="400"/>
    <n v="200"/>
    <n v="200"/>
    <n v="200"/>
    <n v="200"/>
    <n v="750"/>
    <n v="1500"/>
    <n v="200"/>
    <n v="400"/>
    <n v="400"/>
    <n v="1500"/>
    <n v="1500"/>
    <n v="3500"/>
    <n v="350"/>
    <n v="400"/>
    <n v="200"/>
    <n v="75"/>
    <n v="200"/>
    <n v="75"/>
    <n v="75"/>
    <n v="75"/>
    <n v="25"/>
    <n v="300"/>
    <n v="1500"/>
  </r>
  <r>
    <s v="CM-SWVI [10]"/>
    <s v="Southwest Vancouver Island"/>
    <s v="TSOWWIN RIVER_Chum"/>
    <x v="0"/>
    <x v="0"/>
    <x v="5"/>
    <x v="147"/>
    <x v="1"/>
    <m/>
    <m/>
    <n v="3"/>
    <n v="9"/>
    <n v="9"/>
    <n v="3655.6887628560876"/>
    <n v="45000"/>
    <n v="5301.9972214825093"/>
    <s v="D.  Other systems surveyed extensively since 1995.  Not included with group (C) or (B) due to irregular surveys (ie not every year) or due to extremely low total adult escapement"/>
    <s v="AUC"/>
    <m/>
    <n v="9290.8888888888887"/>
    <n v="689"/>
    <n v="1522"/>
    <n v="12800"/>
    <n v="4582"/>
    <n v="794"/>
    <n v="1472"/>
    <s v="NI"/>
    <n v="19545"/>
    <s v="NI"/>
    <n v="52"/>
    <n v="11211"/>
    <n v="7844"/>
    <n v="5752"/>
    <n v="21980"/>
    <n v="8412"/>
    <n v="7286"/>
    <n v="1536"/>
    <n v="18000"/>
    <n v="32000"/>
    <n v="45000"/>
    <n v="30700"/>
    <n v="2200"/>
    <n v="3000"/>
    <n v="13000"/>
    <n v="13000"/>
    <n v="17000"/>
    <n v="6380"/>
    <n v="9580"/>
    <n v="11000"/>
    <n v="4500"/>
    <n v="4000"/>
    <n v="5900"/>
    <n v="1600"/>
    <n v="2500"/>
    <n v="500"/>
    <n v="1500"/>
    <n v="7500"/>
    <n v="7500"/>
    <n v="7500"/>
    <n v="15000"/>
    <n v="3500"/>
    <n v="7500"/>
    <n v="7500"/>
    <n v="7500"/>
    <n v="7500"/>
    <n v="8000"/>
    <n v="3500"/>
    <n v="15000"/>
    <n v="12000"/>
    <n v="3500"/>
    <n v="15000"/>
    <n v="15000"/>
    <n v="3500"/>
    <n v="7500"/>
    <n v="3500"/>
    <n v="400"/>
    <n v="400"/>
    <n v="5000"/>
    <n v="3500"/>
  </r>
  <r>
    <s v="CK-NoKy [32]"/>
    <s v="Nootka and Kyuquot"/>
    <s v="TSOWWIN RIVER_Chinook"/>
    <x v="0"/>
    <x v="0"/>
    <x v="5"/>
    <x v="147"/>
    <x v="2"/>
    <m/>
    <m/>
    <n v="3"/>
    <n v="9"/>
    <n v="8"/>
    <n v="4.4169339390322664"/>
    <n v="750"/>
    <n v="28.180537305271496"/>
    <s v="D.  Other systems surveyed extensively since 1995.  Not included with group (C) or (B) due to irregular surveys (ie not every year) or due to extremely low total adult escapement"/>
    <s v="AUC"/>
    <m/>
    <n v="7.25"/>
    <n v="3"/>
    <n v="4"/>
    <m/>
    <n v="2"/>
    <n v="5"/>
    <s v="NO"/>
    <s v="NI"/>
    <s v="NO"/>
    <s v="NI"/>
    <n v="23"/>
    <n v="4"/>
    <n v="3"/>
    <n v="2"/>
    <n v="2"/>
    <n v="16"/>
    <n v="4"/>
    <n v="4"/>
    <s v="UK"/>
    <n v="10"/>
    <s v="NI"/>
    <n v="10"/>
    <s v="UK"/>
    <s v="UK"/>
    <s v="NO"/>
    <s v="UK"/>
    <n v="7"/>
    <s v="NO"/>
    <n v="27"/>
    <s v="UK"/>
    <s v="UK"/>
    <n v="10"/>
    <s v="UK"/>
    <n v="40"/>
    <n v="40"/>
    <n v="10"/>
    <s v="UK"/>
    <n v="25"/>
    <n v="25"/>
    <n v="75"/>
    <n v="25"/>
    <n v="25"/>
    <n v="25"/>
    <n v="75"/>
    <n v="75"/>
    <n v="25"/>
    <n v="750"/>
    <n v="750"/>
    <n v="750"/>
    <n v="200"/>
    <n v="200"/>
    <n v="200"/>
    <n v="75"/>
    <n v="75"/>
    <n v="25"/>
    <s v="NO"/>
    <s v="NO"/>
    <s v="NO"/>
    <n v="75"/>
    <n v="400"/>
  </r>
  <r>
    <s v="SK-WVI [R10]"/>
    <s v="West Vancouver Island"/>
    <s v="ZEBALLOS RIVER_Sockeye"/>
    <x v="0"/>
    <x v="0"/>
    <x v="5"/>
    <x v="148"/>
    <x v="3"/>
    <m/>
    <m/>
    <n v="3"/>
    <n v="11"/>
    <n v="11"/>
    <n v="992.19806866376996"/>
    <n v="15451"/>
    <n v="411.49796748299997"/>
    <s v="B. Other systems: wild or hatchery supplemented.     Intensively surveyed in 1995 and have a fairly complete historic database."/>
    <s v="AUC"/>
    <m/>
    <n v="3829.7272727272725"/>
    <n v="5190"/>
    <n v="575"/>
    <n v="2400"/>
    <n v="636"/>
    <n v="371"/>
    <n v="284"/>
    <n v="300"/>
    <n v="396"/>
    <n v="1000"/>
    <n v="1810"/>
    <n v="500"/>
    <n v="250"/>
    <n v="6515"/>
    <n v="14615"/>
    <n v="15451"/>
    <n v="924"/>
    <n v="366"/>
    <n v="1200"/>
    <n v="2000"/>
    <n v="3000"/>
    <n v="650"/>
    <n v="525"/>
    <n v="950"/>
    <s v="UK"/>
    <n v="600"/>
    <n v="50"/>
    <n v="100"/>
    <n v="650"/>
    <n v="2970"/>
    <n v="400"/>
    <n v="150"/>
    <n v="300"/>
    <n v="150"/>
    <n v="250"/>
    <n v="100"/>
    <s v="UK"/>
    <n v="25"/>
    <s v="UK"/>
    <s v="UK"/>
    <s v="UK"/>
    <s v="UK"/>
    <s v="NO"/>
    <s v="UK"/>
    <s v="UK"/>
    <s v="UK"/>
    <s v="NO"/>
    <s v="UK"/>
    <n v="25"/>
    <s v="UK"/>
    <s v="UK"/>
    <s v="UK"/>
    <s v="UK"/>
    <n v="75"/>
    <s v="UK"/>
    <s v="NO"/>
    <n v="25"/>
    <s v="NO"/>
    <n v="75"/>
    <n v="75"/>
  </r>
  <r>
    <s v="CO-WVI [17]"/>
    <s v="West Vancouver Island"/>
    <s v="ZEBALLOS RIVER_Coho"/>
    <x v="0"/>
    <x v="0"/>
    <x v="5"/>
    <x v="148"/>
    <x v="0"/>
    <m/>
    <m/>
    <n v="3"/>
    <n v="11"/>
    <n v="11"/>
    <n v="280.91524299821612"/>
    <n v="7500"/>
    <n v="294.9887224120651"/>
    <s v="B. Other systems: wild or hatchery supplemented.     Intensively surveyed in 1995 and have a fairly complete historic database."/>
    <s v="AUC"/>
    <s v="Average Esc from 1995-2005 from file: NEW ESCAPEMENT INDEX.XLS"/>
    <n v="327.36363636363637"/>
    <n v="330"/>
    <n v="240"/>
    <n v="485"/>
    <n v="670"/>
    <n v="133"/>
    <n v="722"/>
    <n v="75"/>
    <n v="467"/>
    <n v="310"/>
    <n v="528"/>
    <n v="200"/>
    <n v="75"/>
    <n v="522"/>
    <n v="578"/>
    <n v="555"/>
    <n v="170"/>
    <n v="121"/>
    <n v="200"/>
    <n v="50"/>
    <n v="475"/>
    <n v="750"/>
    <n v="300"/>
    <n v="200"/>
    <n v="100"/>
    <n v="500"/>
    <n v="250"/>
    <n v="200"/>
    <s v="NO"/>
    <n v="165"/>
    <s v="UK"/>
    <s v="UK"/>
    <n v="100"/>
    <n v="300"/>
    <n v="300"/>
    <n v="150"/>
    <n v="75"/>
    <n v="400"/>
    <n v="200"/>
    <n v="400"/>
    <n v="400"/>
    <n v="200"/>
    <n v="250"/>
    <n v="200"/>
    <n v="200"/>
    <n v="200"/>
    <n v="750"/>
    <n v="750"/>
    <n v="750"/>
    <n v="400"/>
    <n v="750"/>
    <n v="200"/>
    <n v="400"/>
    <n v="750"/>
    <n v="200"/>
    <n v="200"/>
    <n v="400"/>
    <n v="200"/>
    <n v="500"/>
    <n v="7500"/>
  </r>
  <r>
    <s v="Pkodd-WVI [6]"/>
    <s v="West Vancouver Island"/>
    <s v="ZEBALLOS RIVER_Pink"/>
    <x v="0"/>
    <x v="0"/>
    <x v="5"/>
    <x v="148"/>
    <x v="4"/>
    <m/>
    <m/>
    <n v="3"/>
    <n v="11"/>
    <n v="9"/>
    <n v="19.700553619922214"/>
    <n v="17000"/>
    <n v="200.70491271130882"/>
    <s v="B. Other systems: wild or hatchery supplemented.     Intensively surveyed in 1995 and have a fairly complete historic database."/>
    <s v="AUC"/>
    <m/>
    <n v="45.666666666666664"/>
    <n v="2"/>
    <m/>
    <m/>
    <s v="NO"/>
    <s v="NO"/>
    <s v="NO"/>
    <s v="NO"/>
    <n v="18"/>
    <n v="1"/>
    <n v="7"/>
    <n v="11"/>
    <n v="10"/>
    <s v="NO"/>
    <n v="27"/>
    <n v="79"/>
    <n v="90"/>
    <n v="168"/>
    <s v="AP"/>
    <n v="5000"/>
    <s v="NI"/>
    <n v="300"/>
    <s v="UK"/>
    <s v="UK"/>
    <s v="UK"/>
    <n v="15"/>
    <n v="25"/>
    <s v="UK"/>
    <n v="300"/>
    <n v="200"/>
    <s v="UK"/>
    <s v="UK"/>
    <n v="170"/>
    <n v="25"/>
    <n v="5000"/>
    <s v="UK"/>
    <n v="3500"/>
    <s v="UK"/>
    <n v="7500"/>
    <s v="UK"/>
    <n v="17000"/>
    <s v="UK"/>
    <n v="5000"/>
    <s v="NO"/>
    <n v="4000"/>
    <s v="NO"/>
    <n v="3000"/>
    <s v="UK"/>
    <n v="3500"/>
    <s v="UK"/>
    <n v="400"/>
    <s v="UK"/>
    <n v="400"/>
    <n v="25"/>
    <n v="400"/>
    <s v="NO"/>
    <n v="200"/>
    <n v="25"/>
    <s v="UK"/>
    <n v="200"/>
  </r>
  <r>
    <s v="CM-SWVI [10]"/>
    <s v="Southwest Vancouver Island"/>
    <s v="ZEBALLOS RIVER_Chum"/>
    <x v="0"/>
    <x v="0"/>
    <x v="5"/>
    <x v="148"/>
    <x v="1"/>
    <m/>
    <m/>
    <n v="3"/>
    <n v="11"/>
    <n v="11"/>
    <n v="6953.0887235336413"/>
    <n v="23700"/>
    <n v="5817.7224980121828"/>
    <s v="B. Other systems: wild or hatchery supplemented.     Intensively surveyed in 1995 and have a fairly complete historic database."/>
    <s v="AUC"/>
    <s v="Average Esc from 1995-2005 from file: NEW ESCAPEMENT INDEX.XLS"/>
    <n v="8974.545454545454"/>
    <n v="7455"/>
    <n v="1450"/>
    <n v="4575"/>
    <n v="2134"/>
    <n v="5140"/>
    <n v="7780"/>
    <n v="11100"/>
    <n v="10515"/>
    <n v="9500"/>
    <n v="6594"/>
    <n v="4000"/>
    <n v="4000"/>
    <n v="10572"/>
    <n v="18634"/>
    <n v="12296"/>
    <n v="8509"/>
    <n v="3000"/>
    <n v="13000"/>
    <n v="10000"/>
    <n v="23700"/>
    <n v="16500"/>
    <n v="4000"/>
    <n v="3500"/>
    <n v="2000"/>
    <n v="3500"/>
    <n v="3500"/>
    <n v="5250"/>
    <n v="7000"/>
    <n v="7500"/>
    <n v="11000"/>
    <n v="7000"/>
    <n v="8500"/>
    <n v="700"/>
    <n v="10000"/>
    <n v="5000"/>
    <n v="1500"/>
    <n v="3500"/>
    <n v="7500"/>
    <n v="15000"/>
    <n v="15000"/>
    <n v="1500"/>
    <n v="5000"/>
    <n v="1500"/>
    <n v="3500"/>
    <n v="3500"/>
    <n v="8000"/>
    <n v="3500"/>
    <n v="7500"/>
    <n v="3000"/>
    <n v="3500"/>
    <n v="3500"/>
    <n v="15000"/>
    <n v="15000"/>
    <n v="15000"/>
    <n v="3500"/>
    <n v="7500"/>
    <n v="3500"/>
    <n v="4500"/>
    <n v="7500"/>
  </r>
  <r>
    <s v="CK-NoKy [32]"/>
    <s v="Nootka and Kyuquot"/>
    <s v="ZEBALLOS RIVER_Chinook"/>
    <x v="0"/>
    <x v="0"/>
    <x v="5"/>
    <x v="148"/>
    <x v="2"/>
    <m/>
    <m/>
    <n v="3"/>
    <n v="11"/>
    <n v="11"/>
    <n v="234.93701147489654"/>
    <n v="862"/>
    <n v="103.38083138777687"/>
    <s v="B. Other systems: wild or hatchery supplemented.     Intensively surveyed in 1995 and have a fairly complete historic database."/>
    <s v="AUC"/>
    <s v="Average Esc from 1995-2005 from file: NEW ESCAPEMENT INDEX.XLS"/>
    <n v="321"/>
    <n v="106"/>
    <n v="120"/>
    <n v="98"/>
    <n v="430"/>
    <n v="421"/>
    <n v="440"/>
    <n v="41"/>
    <n v="393"/>
    <n v="69"/>
    <n v="148"/>
    <n v="100"/>
    <n v="55"/>
    <n v="686"/>
    <n v="674"/>
    <n v="862"/>
    <n v="346"/>
    <n v="157"/>
    <n v="150"/>
    <n v="350"/>
    <n v="550"/>
    <n v="200"/>
    <n v="150"/>
    <n v="225"/>
    <n v="1"/>
    <n v="75"/>
    <s v="NO"/>
    <s v="NO"/>
    <n v="20"/>
    <n v="27"/>
    <n v="100"/>
    <n v="100"/>
    <n v="50"/>
    <n v="100"/>
    <n v="200"/>
    <n v="100"/>
    <n v="25"/>
    <n v="200"/>
    <n v="25"/>
    <n v="75"/>
    <n v="25"/>
    <n v="25"/>
    <n v="50"/>
    <n v="25"/>
    <n v="25"/>
    <n v="75"/>
    <n v="750"/>
    <n v="400"/>
    <n v="400"/>
    <n v="25"/>
    <n v="75"/>
    <n v="25"/>
    <n v="75"/>
    <n v="200"/>
    <n v="75"/>
    <n v="75"/>
    <n v="75"/>
    <n v="25"/>
    <n v="100"/>
    <n v="400"/>
  </r>
  <r>
    <s v="SK-WVI [R10]"/>
    <s v="West Vancouver Island"/>
    <s v="AMAI CREEK_Sockeye"/>
    <x v="0"/>
    <x v="0"/>
    <x v="6"/>
    <x v="149"/>
    <x v="3"/>
    <m/>
    <m/>
    <n v="3"/>
    <n v="8"/>
    <n v="4"/>
    <n v="28.284271247461902"/>
    <n v="200"/>
    <n v="25.198420997897461"/>
    <m/>
    <s v="AUC estimate providing we get enough surveys if not then PL+D"/>
    <s v="2 of the 4 estimates are Adult Present (AP). Last time stream was surveyed was in 2002."/>
    <n v="102"/>
    <s v="NO"/>
    <m/>
    <m/>
    <m/>
    <s v="NI"/>
    <s v="NI"/>
    <s v="NI"/>
    <s v="NI"/>
    <s v="NI"/>
    <s v="NO"/>
    <s v="NO"/>
    <s v="AP"/>
    <s v="AP"/>
    <n v="4"/>
    <n v="200"/>
    <s v="NO"/>
    <s v="NO"/>
    <s v="UK"/>
    <s v="NO"/>
    <s v="NI"/>
    <s v="NO"/>
    <s v="NO"/>
    <s v="UK"/>
    <s v="NI"/>
    <s v="UK"/>
    <s v="UK"/>
    <s v="UK"/>
    <s v="NO"/>
    <n v="20"/>
    <s v="UK"/>
    <s v="UK"/>
    <s v="UK"/>
    <s v="UK"/>
    <s v="UK"/>
    <s v="UK"/>
    <s v="UK"/>
    <s v="NI"/>
    <s v="UK"/>
    <s v="UK"/>
    <s v="UK"/>
    <s v="UK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</r>
  <r>
    <s v="CO-WVI [17]"/>
    <s v="West Vancouver Island"/>
    <s v="AMAI CREEK_Coho"/>
    <x v="0"/>
    <x v="0"/>
    <x v="6"/>
    <x v="149"/>
    <x v="0"/>
    <m/>
    <m/>
    <n v="3"/>
    <n v="8"/>
    <n v="7"/>
    <n v="79.56167817206024"/>
    <n v="1500"/>
    <n v="114.07254983037973"/>
    <m/>
    <s v="AUC estimate providing we get enough surveys if not then PL+D"/>
    <s v="2 of the 7 estimates are Adult Present (AP). Last time stream was surveyed was in 2002."/>
    <n v="109.2"/>
    <n v="574"/>
    <m/>
    <m/>
    <m/>
    <s v="NI"/>
    <s v="NI"/>
    <s v="NI"/>
    <s v="NI"/>
    <s v="NI"/>
    <n v="19"/>
    <n v="102"/>
    <s v="AP"/>
    <s v="NO"/>
    <n v="235"/>
    <n v="140"/>
    <s v="AP"/>
    <n v="50"/>
    <n v="10"/>
    <s v="NO"/>
    <n v="50"/>
    <n v="50"/>
    <s v="NO"/>
    <n v="50"/>
    <s v="NI"/>
    <n v="250"/>
    <n v="250"/>
    <n v="200"/>
    <s v="NO"/>
    <n v="100"/>
    <s v="UK"/>
    <n v="200"/>
    <s v="UK"/>
    <n v="121"/>
    <s v="UK"/>
    <s v="UK"/>
    <n v="25"/>
    <s v="NI"/>
    <n v="25"/>
    <n v="25"/>
    <n v="75"/>
    <n v="200"/>
    <n v="25"/>
    <s v="UK"/>
    <n v="75"/>
    <s v="NO"/>
    <n v="400"/>
    <n v="200"/>
    <n v="25"/>
    <n v="25"/>
    <n v="200"/>
    <n v="25"/>
    <n v="400"/>
    <n v="200"/>
    <n v="400"/>
    <n v="400"/>
    <n v="1500"/>
    <n v="1500"/>
    <n v="750"/>
    <n v="400"/>
  </r>
  <r>
    <s v="CM-SWVI [10]"/>
    <s v="Southwest Vancouver Island"/>
    <s v="AMAI CREEK_Chum"/>
    <x v="0"/>
    <x v="0"/>
    <x v="6"/>
    <x v="149"/>
    <x v="1"/>
    <m/>
    <m/>
    <n v="3"/>
    <n v="8"/>
    <n v="7"/>
    <n v="1147.1295575726967"/>
    <n v="8000"/>
    <n v="1149.476615737937"/>
    <m/>
    <s v="AUC estimate providing we get enough surveys if not then PL+D"/>
    <s v="1 of the 7 estimates are Adult Present (AP). Last time stream was surveyed was in 2002."/>
    <n v="2191.3333333333335"/>
    <n v="1326"/>
    <m/>
    <m/>
    <m/>
    <s v="NI"/>
    <s v="NI"/>
    <s v="NI"/>
    <s v="NI"/>
    <s v="NI"/>
    <n v="453"/>
    <n v="345"/>
    <s v="AP"/>
    <s v="NO"/>
    <n v="8000"/>
    <n v="2700"/>
    <n v="750"/>
    <n v="900"/>
    <n v="3000"/>
    <n v="1500"/>
    <n v="6500"/>
    <n v="1250"/>
    <n v="1000"/>
    <n v="100"/>
    <s v="NI"/>
    <n v="1200"/>
    <n v="3500"/>
    <n v="5000"/>
    <n v="3000"/>
    <n v="8000"/>
    <n v="2000"/>
    <n v="1000"/>
    <n v="4000"/>
    <n v="304"/>
    <n v="2500"/>
    <s v="UK"/>
    <n v="200"/>
    <s v="NI"/>
    <n v="400"/>
    <n v="1500"/>
    <n v="400"/>
    <n v="200"/>
    <n v="400"/>
    <n v="75"/>
    <n v="750"/>
    <n v="400"/>
    <n v="400"/>
    <n v="400"/>
    <n v="750"/>
    <n v="400"/>
    <n v="3500"/>
    <n v="750"/>
    <n v="3500"/>
    <n v="1500"/>
    <n v="7500"/>
    <n v="3500"/>
    <n v="750"/>
    <n v="1500"/>
    <n v="3500"/>
    <n v="3500"/>
  </r>
  <r>
    <s v="CK-NoKy [32]"/>
    <s v="Nootka and Kyuquot"/>
    <s v="AMAI CREEK_Chinook"/>
    <x v="0"/>
    <x v="0"/>
    <x v="6"/>
    <x v="149"/>
    <x v="2"/>
    <m/>
    <m/>
    <n v="3"/>
    <n v="8"/>
    <n v="3"/>
    <n v="4"/>
    <n v="25"/>
    <n v="16.950582301078729"/>
    <m/>
    <s v="AUC estimate providing we get enough surveys if not then PL+D"/>
    <s v="2 of the 3 estimates are Adult Present (AP). Last time stream was surveyed was in 2002."/>
    <n v="4"/>
    <s v="NO"/>
    <m/>
    <m/>
    <m/>
    <s v="NI"/>
    <s v="NI"/>
    <s v="NI"/>
    <s v="NI"/>
    <s v="NI"/>
    <s v="AP"/>
    <s v="NO"/>
    <s v="AP"/>
    <s v="NO"/>
    <n v="4"/>
    <s v="NO"/>
    <s v="NO"/>
    <s v="NO"/>
    <s v="NO"/>
    <s v="NO"/>
    <s v="NI"/>
    <s v="NO"/>
    <s v="NO"/>
    <s v="UK"/>
    <s v="NI"/>
    <s v="UK"/>
    <s v="UK"/>
    <s v="UK"/>
    <s v="NO"/>
    <s v="UK"/>
    <s v="UK"/>
    <s v="UK"/>
    <s v="UK"/>
    <n v="25"/>
    <s v="UK"/>
    <s v="UK"/>
    <s v="UK"/>
    <s v="NI"/>
    <n v="25"/>
    <n v="25"/>
    <n v="25"/>
    <n v="25"/>
    <s v="UK"/>
    <s v="UK"/>
    <s v="UK"/>
    <s v="UK"/>
    <s v="UK"/>
    <s v="NO"/>
    <s v="UK"/>
    <n v="25"/>
    <s v="NO"/>
    <n v="25"/>
    <n v="25"/>
    <n v="25"/>
    <s v="NO"/>
    <n v="25"/>
    <s v="NO"/>
    <n v="25"/>
    <n v="1"/>
    <s v="UK"/>
  </r>
  <r>
    <s v="SK-WVI [R10]"/>
    <s v="West Vancouver Island"/>
    <s v="ARTLISH RIVER_Sockeye"/>
    <x v="0"/>
    <x v="0"/>
    <x v="6"/>
    <x v="150"/>
    <x v="3"/>
    <m/>
    <m/>
    <n v="2"/>
    <n v="11"/>
    <n v="11"/>
    <n v="11.300945838159425"/>
    <n v="329"/>
    <n v="16.248750851431769"/>
    <s v="A.  PSC Indicator stocks."/>
    <s v="AUC"/>
    <m/>
    <n v="54.18181818181818"/>
    <n v="14"/>
    <n v="12"/>
    <n v="15"/>
    <n v="4"/>
    <n v="61"/>
    <n v="1"/>
    <n v="8"/>
    <n v="13"/>
    <n v="4"/>
    <n v="4"/>
    <n v="36"/>
    <n v="1"/>
    <n v="23"/>
    <n v="167"/>
    <n v="329"/>
    <n v="6"/>
    <n v="5"/>
    <s v="NO"/>
    <s v="NO"/>
    <s v="NO"/>
    <n v="50"/>
    <s v="NO"/>
    <n v="60"/>
    <n v="75"/>
    <s v="UK"/>
    <s v="UK"/>
    <s v="UK"/>
    <s v="NO"/>
    <s v="NI"/>
    <s v="UK"/>
    <n v="50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ARTLISH RIVER_Coho"/>
    <x v="0"/>
    <x v="0"/>
    <x v="6"/>
    <x v="150"/>
    <x v="0"/>
    <m/>
    <m/>
    <n v="2"/>
    <n v="11"/>
    <n v="11"/>
    <n v="694.56632445321259"/>
    <n v="7500"/>
    <n v="382.71249084210382"/>
    <s v="A.  PSC Indicator stocks."/>
    <s v="AUC"/>
    <s v="Average Esc from 1995-2005 from file: NEW ESCAPEMENT INDEX.XLS"/>
    <n v="896.72727272727275"/>
    <n v="1873"/>
    <n v="890"/>
    <n v="1925"/>
    <n v="770"/>
    <n v="623"/>
    <n v="632"/>
    <n v="636"/>
    <n v="1683"/>
    <n v="1492"/>
    <n v="965"/>
    <n v="610"/>
    <n v="925"/>
    <n v="501"/>
    <n v="2002"/>
    <n v="678"/>
    <n v="212"/>
    <n v="160"/>
    <s v="NO"/>
    <n v="50"/>
    <n v="500"/>
    <n v="750"/>
    <n v="500"/>
    <n v="100"/>
    <n v="75"/>
    <n v="100"/>
    <n v="400"/>
    <n v="300"/>
    <n v="300"/>
    <s v="NI"/>
    <s v="UK"/>
    <n v="250"/>
    <n v="400"/>
    <n v="100"/>
    <s v="NO"/>
    <n v="100"/>
    <n v="25"/>
    <n v="25"/>
    <n v="750"/>
    <n v="750"/>
    <n v="75"/>
    <n v="400"/>
    <n v="400"/>
    <n v="25"/>
    <n v="25"/>
    <n v="200"/>
    <n v="400"/>
    <n v="200"/>
    <n v="1500"/>
    <n v="400"/>
    <n v="75"/>
    <n v="400"/>
    <n v="750"/>
    <n v="750"/>
    <n v="1500"/>
    <n v="1500"/>
    <n v="7500"/>
    <n v="3500"/>
    <n v="3500"/>
    <n v="1500"/>
  </r>
  <r>
    <s v="CM-SWVI [10]"/>
    <s v="Southwest Vancouver Island"/>
    <s v="ARTLISH RIVER_Chum"/>
    <x v="0"/>
    <x v="0"/>
    <x v="6"/>
    <x v="150"/>
    <x v="1"/>
    <m/>
    <m/>
    <n v="2"/>
    <n v="11"/>
    <n v="11"/>
    <n v="1877.0867478966532"/>
    <n v="10392"/>
    <n v="1093.5503157175031"/>
    <s v="A.  PSC Indicator stocks."/>
    <s v="AUC"/>
    <s v="Average Esc from 1995-2005 from file: NEW ESCAPEMENT INDEX.XLS"/>
    <n v="4191.090909090909"/>
    <n v="9721"/>
    <n v="1920"/>
    <n v="2775"/>
    <n v="2730"/>
    <n v="6069"/>
    <n v="2524"/>
    <n v="4433"/>
    <n v="7595"/>
    <n v="7914"/>
    <n v="2763"/>
    <n v="250"/>
    <n v="835"/>
    <n v="8207"/>
    <n v="10392"/>
    <n v="2458"/>
    <n v="1251"/>
    <n v="4"/>
    <n v="2000"/>
    <n v="750"/>
    <n v="5000"/>
    <n v="1500"/>
    <n v="650"/>
    <n v="100"/>
    <n v="400"/>
    <n v="200"/>
    <n v="1500"/>
    <n v="4000"/>
    <n v="2000"/>
    <s v="NI"/>
    <n v="1000"/>
    <n v="2000"/>
    <n v="4000"/>
    <n v="500"/>
    <n v="2100"/>
    <n v="400"/>
    <n v="200"/>
    <n v="750"/>
    <n v="750"/>
    <n v="3500"/>
    <n v="750"/>
    <n v="400"/>
    <n v="750"/>
    <n v="75"/>
    <n v="1500"/>
    <n v="1500"/>
    <n v="200"/>
    <n v="750"/>
    <s v="NO"/>
    <n v="400"/>
    <n v="750"/>
    <n v="750"/>
    <n v="400"/>
    <n v="400"/>
    <n v="3500"/>
    <n v="1500"/>
    <n v="1500"/>
    <n v="1500"/>
    <n v="5500"/>
    <n v="1500"/>
  </r>
  <r>
    <s v="CK-NoKy [32]"/>
    <s v="Nootka and Kyuquot"/>
    <s v="ARTLISH RIVER_Chinook"/>
    <x v="1"/>
    <x v="1"/>
    <x v="6"/>
    <x v="150"/>
    <x v="2"/>
    <m/>
    <m/>
    <n v="2"/>
    <n v="11"/>
    <n v="11"/>
    <n v="178.57068689754246"/>
    <n v="3500"/>
    <n v="168.92127501355648"/>
    <s v="A.  PSC Indicator stocks."/>
    <s v="AUC"/>
    <s v="Average Esc from 1995-2005 from file: NEW ESCAPEMENT INDEX.XLS"/>
    <n v="242.81818181818181"/>
    <n v="95"/>
    <n v="110"/>
    <n v="214"/>
    <n v="200"/>
    <n v="162"/>
    <n v="228"/>
    <n v="199"/>
    <n v="454"/>
    <n v="379"/>
    <n v="41"/>
    <n v="139"/>
    <n v="75"/>
    <n v="539"/>
    <n v="300"/>
    <n v="402"/>
    <n v="53"/>
    <n v="90"/>
    <n v="100"/>
    <n v="10"/>
    <n v="10"/>
    <n v="20"/>
    <n v="50"/>
    <n v="40"/>
    <s v="UK"/>
    <n v="100"/>
    <n v="100"/>
    <n v="400"/>
    <n v="650"/>
    <s v="NI"/>
    <n v="100"/>
    <n v="500"/>
    <n v="100"/>
    <n v="40"/>
    <s v="NO"/>
    <n v="60"/>
    <n v="25"/>
    <n v="25"/>
    <n v="200"/>
    <n v="750"/>
    <n v="400"/>
    <n v="200"/>
    <n v="200"/>
    <n v="200"/>
    <n v="25"/>
    <n v="25"/>
    <n v="3500"/>
    <n v="400"/>
    <n v="25"/>
    <n v="750"/>
    <n v="200"/>
    <n v="400"/>
    <n v="750"/>
    <n v="200"/>
    <n v="3500"/>
    <n v="400"/>
    <n v="400"/>
    <n v="750"/>
    <n v="750"/>
    <n v="1500"/>
  </r>
  <r>
    <s v="CO-WVI [17]"/>
    <s v="West Vancouver Island"/>
    <s v="CACHALOT CREEK_Coho"/>
    <x v="0"/>
    <x v="0"/>
    <x v="6"/>
    <x v="151"/>
    <x v="0"/>
    <m/>
    <m/>
    <n v="3"/>
    <n v="9"/>
    <n v="5"/>
    <n v="267.20154794303261"/>
    <n v="423"/>
    <n v="68.998780369180125"/>
    <m/>
    <s v="AUC estimate providing we get enough surveys if not then PL+D"/>
    <s v="2 of the 4 estimates are Adult Present (AP). Last time stream was surveyed was in 2003."/>
    <n v="314.33333333333331"/>
    <n v="2"/>
    <m/>
    <m/>
    <m/>
    <s v="NI"/>
    <s v="NI"/>
    <s v="NI"/>
    <s v="NI"/>
    <n v="410"/>
    <n v="110"/>
    <n v="423"/>
    <s v="AP"/>
    <s v="AP"/>
    <s v="NO"/>
    <s v="NO"/>
    <s v="NO"/>
    <s v="NO"/>
    <s v="NO"/>
    <s v="NO"/>
    <s v="NO"/>
    <s v="NO"/>
    <s v="NI"/>
    <s v="NO"/>
    <n v="50"/>
    <n v="100"/>
    <n v="125"/>
    <n v="100"/>
    <s v="NO"/>
    <s v="UK"/>
    <s v="UK"/>
    <s v="UK"/>
    <s v="UK"/>
    <s v="UK"/>
    <s v="NO"/>
    <s v="NI"/>
    <s v="UK"/>
    <s v="UK"/>
    <s v="UK"/>
    <n v="25"/>
    <n v="25"/>
    <n v="25"/>
    <s v="UK"/>
    <s v="UK"/>
    <s v="UK"/>
    <s v="UK"/>
    <s v="UK"/>
    <s v="UK"/>
    <s v="UK"/>
    <s v="UK"/>
    <s v="UK"/>
    <s v="NO"/>
    <n v="25"/>
    <s v="NO"/>
    <n v="25"/>
    <s v="NI"/>
    <s v="NI"/>
    <s v="NI"/>
    <s v="NI"/>
    <s v="NI"/>
  </r>
  <r>
    <s v="CM-SWVI [10]"/>
    <s v="Southwest Vancouver Island"/>
    <s v="CACHALOT CREEK_Chum"/>
    <x v="0"/>
    <x v="0"/>
    <x v="6"/>
    <x v="151"/>
    <x v="1"/>
    <m/>
    <m/>
    <n v="3"/>
    <n v="9"/>
    <n v="9"/>
    <n v="511.2601291909553"/>
    <n v="4900"/>
    <n v="457.16167148798428"/>
    <m/>
    <s v="AUC estimate providing we get enough surveys if not then PL+D"/>
    <s v="2 of the 9 estimates are Adult Present (AP). Last time stream was surveyed was in 2003."/>
    <n v="1381.7142857142858"/>
    <n v="687"/>
    <m/>
    <m/>
    <m/>
    <s v="NI"/>
    <s v="NI"/>
    <s v="NI"/>
    <s v="NI"/>
    <n v="429"/>
    <n v="1742"/>
    <n v="1781"/>
    <s v="AP"/>
    <s v="AP"/>
    <n v="4900"/>
    <n v="700"/>
    <n v="20"/>
    <n v="100"/>
    <n v="1000"/>
    <n v="300"/>
    <n v="400"/>
    <n v="350"/>
    <s v="NI"/>
    <n v="20"/>
    <n v="400"/>
    <n v="400"/>
    <n v="2500"/>
    <n v="2500"/>
    <n v="2000"/>
    <n v="3500"/>
    <n v="1000"/>
    <n v="800"/>
    <n v="1000"/>
    <n v="400"/>
    <n v="500"/>
    <s v="NI"/>
    <n v="75"/>
    <n v="400"/>
    <n v="1500"/>
    <n v="1500"/>
    <n v="1500"/>
    <n v="400"/>
    <n v="25"/>
    <n v="25"/>
    <n v="400"/>
    <n v="400"/>
    <n v="750"/>
    <n v="400"/>
    <n v="750"/>
    <n v="75"/>
    <n v="200"/>
    <n v="200"/>
    <n v="750"/>
    <n v="200"/>
    <n v="1500"/>
    <s v="NI"/>
    <s v="NI"/>
    <s v="NI"/>
    <s v="NI"/>
    <s v="NI"/>
  </r>
  <r>
    <s v="CO-WVI [17]"/>
    <s v="West Vancouver Island"/>
    <s v="CHAMISS CREEK_Coho"/>
    <x v="0"/>
    <x v="0"/>
    <x v="6"/>
    <x v="152"/>
    <x v="0"/>
    <m/>
    <m/>
    <n v="3"/>
    <n v="9"/>
    <n v="8"/>
    <n v="26.580800682993335"/>
    <n v="1500"/>
    <n v="80.151192466915433"/>
    <m/>
    <s v="AUC estimate providing we get enough surveys if not then PL+D"/>
    <s v="2 of the 8 estimates are Adult Present (AP).  2004 was the last time this stream was surveyed."/>
    <n v="45.5"/>
    <n v="24"/>
    <m/>
    <m/>
    <m/>
    <s v="NI"/>
    <s v="NI"/>
    <s v="NI"/>
    <n v="27"/>
    <n v="145"/>
    <n v="13"/>
    <s v="AP"/>
    <s v="AP"/>
    <s v="NO"/>
    <n v="66"/>
    <n v="15"/>
    <s v="NI"/>
    <n v="7"/>
    <s v="NO"/>
    <n v="50"/>
    <n v="50"/>
    <n v="50"/>
    <n v="50"/>
    <n v="50"/>
    <n v="75"/>
    <n v="100"/>
    <n v="125"/>
    <n v="100"/>
    <s v="NO"/>
    <s v="UK"/>
    <s v="NI"/>
    <s v="UK"/>
    <s v="UK"/>
    <n v="25"/>
    <n v="8"/>
    <n v="20"/>
    <n v="25"/>
    <n v="25"/>
    <s v="UK"/>
    <n v="75"/>
    <s v="UK"/>
    <n v="400"/>
    <n v="400"/>
    <n v="25"/>
    <n v="200"/>
    <s v="UK"/>
    <n v="200"/>
    <s v="NO"/>
    <s v="UK"/>
    <n v="25"/>
    <n v="75"/>
    <n v="200"/>
    <n v="75"/>
    <n v="200"/>
    <n v="200"/>
    <n v="750"/>
    <n v="1500"/>
    <n v="200"/>
    <n v="887"/>
    <n v="400"/>
  </r>
  <r>
    <s v="CM-SWVI [10]"/>
    <s v="Southwest Vancouver Island"/>
    <s v="CHAMISS CREEK_Chum"/>
    <x v="0"/>
    <x v="0"/>
    <x v="6"/>
    <x v="152"/>
    <x v="1"/>
    <m/>
    <m/>
    <n v="3"/>
    <n v="9"/>
    <n v="8"/>
    <n v="3582.0679633377781"/>
    <n v="16600"/>
    <n v="4276.8243913733222"/>
    <m/>
    <s v="AUC estimate providing we get enough surveys if not then PL+D"/>
    <s v="3 of the 8 estimates are Adult Present (AP).  2004 was the last time this stream was surveyed."/>
    <n v="5623.2"/>
    <n v="7986"/>
    <m/>
    <m/>
    <m/>
    <s v="NI"/>
    <s v="NI"/>
    <s v="NI"/>
    <n v="2177"/>
    <n v="1929"/>
    <n v="1410"/>
    <s v="AP"/>
    <s v="AP"/>
    <s v="NO"/>
    <n v="16600"/>
    <n v="6000"/>
    <s v="NI"/>
    <s v="AP"/>
    <n v="8000"/>
    <n v="7000"/>
    <n v="8000"/>
    <n v="1000"/>
    <n v="1500"/>
    <n v="250"/>
    <n v="1500"/>
    <n v="1800"/>
    <n v="5000"/>
    <n v="10000"/>
    <n v="6000"/>
    <n v="10000"/>
    <s v="NI"/>
    <n v="2000"/>
    <n v="10000"/>
    <n v="3600"/>
    <n v="12000"/>
    <n v="1500"/>
    <n v="3500"/>
    <n v="3500"/>
    <n v="7500"/>
    <n v="15000"/>
    <n v="15000"/>
    <n v="3500"/>
    <n v="15000"/>
    <n v="3500"/>
    <n v="7500"/>
    <n v="3500"/>
    <n v="3500"/>
    <n v="3500"/>
    <n v="3500"/>
    <n v="400"/>
    <n v="3500"/>
    <n v="3500"/>
    <n v="3500"/>
    <n v="7500"/>
    <n v="15000"/>
    <n v="7500"/>
    <n v="7500"/>
    <n v="3500"/>
    <n v="8490"/>
    <n v="7500"/>
  </r>
  <r>
    <s v="CO-WVI [17]"/>
    <s v="West Vancouver Island"/>
    <s v="CLANNINICK CREEK_Coho"/>
    <x v="0"/>
    <x v="0"/>
    <x v="6"/>
    <x v="153"/>
    <x v="0"/>
    <m/>
    <m/>
    <n v="5"/>
    <n v="3"/>
    <n v="2"/>
    <n v="119.49895397031726"/>
    <n v="750"/>
    <n v="209.84501423042798"/>
    <m/>
    <s v="PL+D or Presence/Absence"/>
    <s v="Chum is the target species. Last time stream was surveyed was in 2003."/>
    <n v="126.5"/>
    <n v="7"/>
    <m/>
    <m/>
    <m/>
    <s v="NI"/>
    <s v="NI"/>
    <s v="NI"/>
    <s v="NI"/>
    <n v="168"/>
    <n v="85"/>
    <s v="NI"/>
    <s v="NI"/>
    <s v="NI"/>
    <s v="NI"/>
    <s v="NI"/>
    <s v="NI"/>
    <s v="NO"/>
    <s v="NI"/>
    <s v="NI"/>
    <s v="NO"/>
    <n v="150"/>
    <n v="250"/>
    <n v="500"/>
    <s v="NI"/>
    <n v="150"/>
    <n v="200"/>
    <n v="150"/>
    <s v="NO"/>
    <s v="UK"/>
    <s v="NI"/>
    <s v="UK"/>
    <s v="UK"/>
    <n v="100"/>
    <n v="100"/>
    <s v="UK"/>
    <s v="UK"/>
    <n v="25"/>
    <n v="750"/>
    <n v="400"/>
    <n v="25"/>
    <n v="200"/>
    <n v="400"/>
    <n v="25"/>
    <n v="200"/>
    <s v="NO"/>
    <n v="400"/>
    <n v="400"/>
    <n v="200"/>
    <n v="400"/>
    <n v="200"/>
    <n v="400"/>
    <n v="75"/>
    <n v="400"/>
    <n v="200"/>
    <n v="400"/>
    <n v="750"/>
    <n v="750"/>
    <n v="400"/>
    <n v="400"/>
  </r>
  <r>
    <s v="CM-SWVI [10]"/>
    <s v="Southwest Vancouver Island"/>
    <s v="CLANNINICK CREEK_Chum"/>
    <x v="0"/>
    <x v="0"/>
    <x v="6"/>
    <x v="153"/>
    <x v="1"/>
    <m/>
    <m/>
    <n v="5"/>
    <n v="3"/>
    <n v="3"/>
    <n v="1379.9153487247138"/>
    <n v="35000"/>
    <n v="2278.729251587923"/>
    <m/>
    <s v="PL+D or Presence/Absence"/>
    <s v="Chum is the target species. Last time stream was surveyed was in 2003."/>
    <n v="1680.3333333333333"/>
    <n v="6000"/>
    <m/>
    <m/>
    <m/>
    <s v="NI"/>
    <s v="NI"/>
    <s v="NI"/>
    <s v="NI"/>
    <n v="1478"/>
    <n v="2963"/>
    <s v="NI"/>
    <s v="NI"/>
    <s v="NI"/>
    <s v="NI"/>
    <s v="NI"/>
    <s v="NI"/>
    <n v="600"/>
    <s v="NI"/>
    <s v="NI"/>
    <n v="1500"/>
    <n v="500"/>
    <n v="250"/>
    <n v="850"/>
    <s v="NI"/>
    <n v="1400"/>
    <n v="1500"/>
    <n v="5000"/>
    <s v="NO"/>
    <n v="5500"/>
    <s v="NI"/>
    <n v="3000"/>
    <n v="7000"/>
    <n v="510"/>
    <n v="9500"/>
    <n v="1500"/>
    <n v="25"/>
    <n v="3500"/>
    <n v="7500"/>
    <n v="7500"/>
    <n v="7500"/>
    <n v="3500"/>
    <n v="7500"/>
    <n v="1500"/>
    <n v="3500"/>
    <n v="200"/>
    <n v="35000"/>
    <n v="3500"/>
    <n v="1500"/>
    <n v="750"/>
    <n v="1500"/>
    <n v="1500"/>
    <n v="15000"/>
    <n v="3500"/>
    <n v="15000"/>
    <n v="7500"/>
    <n v="1500"/>
    <n v="750"/>
    <n v="7500"/>
    <n v="3500"/>
  </r>
  <r>
    <s v="CO-WVI [17]"/>
    <s v="West Vancouver Island"/>
    <s v="EASY CREEK_Coho"/>
    <x v="0"/>
    <x v="0"/>
    <x v="6"/>
    <x v="154"/>
    <x v="0"/>
    <m/>
    <m/>
    <n v="3"/>
    <n v="10"/>
    <n v="7"/>
    <n v="81.507587349123369"/>
    <n v="1500"/>
    <n v="103.98553219962241"/>
    <m/>
    <s v="AUC estimate providing we get enough surveys if not then PL+D"/>
    <s v="Chum is the target species. 2 of the 7 estimates are Adult Present (AP).  Last time stream was surveyed was in 2004."/>
    <n v="186.14285714285714"/>
    <n v="3"/>
    <m/>
    <m/>
    <m/>
    <s v="NI"/>
    <s v="NI"/>
    <s v="NI"/>
    <n v="351"/>
    <n v="388"/>
    <n v="32"/>
    <n v="15"/>
    <s v="AP"/>
    <s v="AP"/>
    <n v="457"/>
    <n v="40"/>
    <s v="NO"/>
    <n v="20"/>
    <s v="NO"/>
    <n v="50"/>
    <n v="50"/>
    <n v="100"/>
    <n v="50"/>
    <s v="NO"/>
    <n v="75"/>
    <n v="100"/>
    <n v="100"/>
    <n v="200"/>
    <s v="NO"/>
    <s v="UK"/>
    <n v="50"/>
    <s v="UK"/>
    <s v="UK"/>
    <n v="1"/>
    <s v="NO"/>
    <s v="UK"/>
    <n v="75"/>
    <n v="75"/>
    <s v="UK"/>
    <s v="UK"/>
    <n v="75"/>
    <n v="25"/>
    <n v="750"/>
    <n v="25"/>
    <s v="UK"/>
    <n v="25"/>
    <n v="200"/>
    <n v="25"/>
    <s v="UK"/>
    <n v="400"/>
    <s v="NO"/>
    <n v="25"/>
    <n v="400"/>
    <n v="400"/>
    <n v="400"/>
    <n v="400"/>
    <n v="1500"/>
    <n v="750"/>
    <n v="640"/>
    <n v="400"/>
  </r>
  <r>
    <s v="CM-SWVI [10]"/>
    <s v="Southwest Vancouver Island"/>
    <s v="EASY CREEK_Chum"/>
    <x v="0"/>
    <x v="0"/>
    <x v="6"/>
    <x v="154"/>
    <x v="1"/>
    <m/>
    <m/>
    <n v="3"/>
    <n v="10"/>
    <n v="8"/>
    <n v="1608.3980365363666"/>
    <n v="12000"/>
    <n v="1915.749787729156"/>
    <m/>
    <s v="AUC estimate providing we get enough surveys if not then PL+D"/>
    <s v="Chum is the target species. 2 of the 8 estimates are Adult Present (AP).  Last time stream was surveyed was in 2004."/>
    <n v="2780.375"/>
    <n v="9193"/>
    <m/>
    <m/>
    <m/>
    <s v="NI"/>
    <s v="NI"/>
    <s v="NI"/>
    <n v="3009"/>
    <n v="974"/>
    <n v="1619"/>
    <n v="291"/>
    <s v="AP"/>
    <s v="AP"/>
    <n v="10600"/>
    <n v="4000"/>
    <n v="850"/>
    <n v="900"/>
    <n v="4100"/>
    <n v="3500"/>
    <n v="12000"/>
    <n v="2000"/>
    <n v="2000"/>
    <n v="600"/>
    <n v="1500"/>
    <n v="1800"/>
    <n v="6500"/>
    <n v="9500"/>
    <n v="9000"/>
    <n v="7000"/>
    <n v="8000"/>
    <n v="500"/>
    <n v="2000"/>
    <n v="1530"/>
    <n v="5000"/>
    <s v="UK"/>
    <n v="75"/>
    <n v="25"/>
    <n v="400"/>
    <n v="1500"/>
    <s v="UK"/>
    <n v="3500"/>
    <n v="7500"/>
    <n v="1500"/>
    <n v="3500"/>
    <n v="1500"/>
    <n v="3500"/>
    <n v="3500"/>
    <n v="3500"/>
    <n v="400"/>
    <n v="750"/>
    <n v="1500"/>
    <n v="3500"/>
    <n v="3500"/>
    <n v="3500"/>
    <n v="3500"/>
    <n v="1500"/>
    <n v="400"/>
    <n v="2120"/>
    <n v="3500"/>
  </r>
  <r>
    <s v="CK-NoKy [32]"/>
    <s v="Nootka and Kyuquot"/>
    <s v="EASY CREEK_Chinook"/>
    <x v="0"/>
    <x v="0"/>
    <x v="6"/>
    <x v="154"/>
    <x v="2"/>
    <m/>
    <m/>
    <n v="3"/>
    <n v="10"/>
    <n v="4"/>
    <n v="4.7026693754415154"/>
    <n v="400"/>
    <n v="20.269662097057399"/>
    <m/>
    <s v="AUC estimate providing we get enough surveys if not then PL+D"/>
    <s v="Chum is the target species. 1 of the 4 estimates are Adult Present (AP).  Last time stream was surveyed was in 2004."/>
    <n v="10.333333333333334"/>
    <s v="NO"/>
    <m/>
    <m/>
    <m/>
    <s v="NI"/>
    <s v="NI"/>
    <s v="NI"/>
    <s v="NO"/>
    <n v="26"/>
    <s v="NO"/>
    <s v="NO"/>
    <s v="AP"/>
    <s v="NO"/>
    <n v="4"/>
    <n v="1"/>
    <s v="NO"/>
    <s v="NO"/>
    <s v="NI"/>
    <s v="NO"/>
    <s v="NO"/>
    <n v="20"/>
    <n v="10"/>
    <n v="12"/>
    <s v="NI"/>
    <s v="UK"/>
    <s v="UK"/>
    <n v="250"/>
    <n v="400"/>
    <s v="UK"/>
    <n v="10"/>
    <s v="UK"/>
    <s v="UK"/>
    <s v="UK"/>
    <s v="NO"/>
    <s v="UK"/>
    <s v="UK"/>
    <n v="25"/>
    <s v="UK"/>
    <s v="UK"/>
    <n v="25"/>
    <s v="UK"/>
    <n v="25"/>
    <s v="UK"/>
    <s v="UK"/>
    <s v="UK"/>
    <n v="25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ELAINE CREEK_Coho"/>
    <x v="0"/>
    <x v="0"/>
    <x v="6"/>
    <x v="155"/>
    <x v="0"/>
    <m/>
    <m/>
    <n v="5"/>
    <n v="4"/>
    <n v="0"/>
    <e v="#NUM!"/>
    <n v="400"/>
    <n v="74.38689130822452"/>
    <m/>
    <s v="PL+D or Presence/Absence"/>
    <s v="Chum is the target species. Last time stream was surveyed was in 2004."/>
    <m/>
    <s v="NI"/>
    <m/>
    <m/>
    <m/>
    <s v="NI"/>
    <s v="NI"/>
    <s v="NI"/>
    <s v="NO"/>
    <s v="NI"/>
    <s v="NI"/>
    <s v="NI"/>
    <s v="NI"/>
    <s v="NI"/>
    <s v="NI"/>
    <s v="NO"/>
    <s v="NO"/>
    <s v="NO"/>
    <s v="NO"/>
    <s v="NO"/>
    <s v="NO"/>
    <s v="NO"/>
    <s v="NI"/>
    <s v="NI"/>
    <s v="NI"/>
    <n v="100"/>
    <n v="100"/>
    <n v="50"/>
    <s v="NO"/>
    <s v="NI"/>
    <s v="NI"/>
    <s v="NI"/>
    <s v="UK"/>
    <s v="NI"/>
    <s v="NO"/>
    <s v="UK"/>
    <n v="25"/>
    <s v="NO"/>
    <s v="UK"/>
    <s v="UK"/>
    <s v="UK"/>
    <s v="UK"/>
    <s v="UK"/>
    <n v="25"/>
    <s v="NO"/>
    <s v="UK"/>
    <n v="200"/>
    <n v="200"/>
    <n v="400"/>
    <s v="NO"/>
    <s v="UK"/>
    <n v="75"/>
    <n v="25"/>
    <s v="NO"/>
    <n v="25"/>
    <n v="25"/>
    <n v="75"/>
    <n v="25"/>
    <n v="400"/>
    <n v="200"/>
  </r>
  <r>
    <s v="CM-SWVI [10]"/>
    <s v="Southwest Vancouver Island"/>
    <s v="ELAINE CREEK_Chum"/>
    <x v="0"/>
    <x v="0"/>
    <x v="6"/>
    <x v="155"/>
    <x v="1"/>
    <m/>
    <m/>
    <n v="5"/>
    <n v="4"/>
    <n v="4"/>
    <n v="182.37416686341621"/>
    <n v="1600"/>
    <n v="269.4270746035221"/>
    <m/>
    <s v="PL+D or Presence/Absence"/>
    <s v="Chum is the target species. Last time stream was surveyed was in 2004."/>
    <n v="248.75"/>
    <s v="NI"/>
    <m/>
    <m/>
    <m/>
    <s v="NI"/>
    <s v="NI"/>
    <s v="NI"/>
    <n v="295"/>
    <s v="NI"/>
    <s v="NI"/>
    <s v="NI"/>
    <s v="NI"/>
    <s v="NI"/>
    <s v="NI"/>
    <n v="500"/>
    <n v="150"/>
    <n v="50"/>
    <n v="700"/>
    <n v="350"/>
    <n v="1500"/>
    <n v="250"/>
    <s v="NI"/>
    <s v="NI"/>
    <s v="NI"/>
    <n v="1600"/>
    <n v="1200"/>
    <n v="200"/>
    <s v="NO"/>
    <s v="NI"/>
    <s v="NI"/>
    <s v="NI"/>
    <n v="400"/>
    <s v="NI"/>
    <n v="500"/>
    <n v="200"/>
    <n v="25"/>
    <s v="UK"/>
    <n v="25"/>
    <n v="750"/>
    <n v="750"/>
    <n v="400"/>
    <n v="750"/>
    <n v="400"/>
    <n v="400"/>
    <n v="75"/>
    <n v="200"/>
    <n v="400"/>
    <n v="750"/>
    <n v="75"/>
    <n v="25"/>
    <n v="400"/>
    <n v="200"/>
    <n v="75"/>
    <n v="1500"/>
    <n v="75"/>
    <n v="200"/>
    <n v="25"/>
    <n v="750"/>
    <n v="1500"/>
  </r>
  <r>
    <s v="SK-L-13-14"/>
    <s v="Jansen"/>
    <s v="JANSEN LAKE CREEK_Sockeye"/>
    <x v="0"/>
    <x v="0"/>
    <x v="6"/>
    <x v="156"/>
    <x v="3"/>
    <m/>
    <m/>
    <n v="3"/>
    <n v="1"/>
    <n v="0"/>
    <e v="#NUM!"/>
    <n v="5000"/>
    <n v="1508.4440982315039"/>
    <m/>
    <s v="AUC estimate providing we get enough surveys if not then PL+D"/>
    <s v="1996 is the only estimate we have for this stream and 3 coho was the only estimate made, no sockeye or chum were observed."/>
    <m/>
    <s v="NI"/>
    <m/>
    <m/>
    <m/>
    <s v="NI"/>
    <s v="NI"/>
    <s v="NI"/>
    <s v="NI"/>
    <s v="NI"/>
    <s v="NI"/>
    <s v="NI"/>
    <s v="NI"/>
    <s v="NI"/>
    <s v="NI"/>
    <s v="NI"/>
    <s v="NO"/>
    <s v="NI"/>
    <s v="NI"/>
    <s v="NI"/>
    <n v="50"/>
    <s v="UK"/>
    <s v="NI"/>
    <s v="NI"/>
    <s v="NI"/>
    <s v="UK"/>
    <s v="NI"/>
    <n v="1000"/>
    <n v="2000"/>
    <n v="3000"/>
    <n v="5000"/>
    <s v="NI"/>
    <n v="160"/>
    <n v="2000"/>
    <n v="2500"/>
    <n v="3000"/>
    <s v="NI"/>
    <n v="1500"/>
    <s v="UK"/>
    <s v="UK"/>
    <s v="UK"/>
    <n v="1500"/>
    <n v="3500"/>
    <n v="3500"/>
    <n v="3500"/>
    <n v="3500"/>
    <n v="3500"/>
    <s v="UK"/>
    <n v="3500"/>
    <n v="3500"/>
    <n v="1500"/>
    <n v="3500"/>
    <n v="1500"/>
    <n v="200"/>
    <n v="1500"/>
    <n v="1500"/>
    <n v="200"/>
    <n v="1500"/>
    <n v="2400"/>
    <n v="750"/>
  </r>
  <r>
    <s v="CO-WVI [17]"/>
    <s v="West Vancouver Island"/>
    <s v="JANSEN LAKE CREEK_Coho"/>
    <x v="0"/>
    <x v="0"/>
    <x v="6"/>
    <x v="156"/>
    <x v="0"/>
    <m/>
    <m/>
    <n v="3"/>
    <n v="1"/>
    <n v="1"/>
    <n v="3"/>
    <n v="3500"/>
    <n v="113.02487718206393"/>
    <m/>
    <s v="AUC estimate providing we get enough surveys if not then PL+D"/>
    <s v="1996 is the only estimate we have for this stream and 3 coho was the only estimate made, no sockeye or chum were observed."/>
    <n v="3"/>
    <s v="NI"/>
    <m/>
    <m/>
    <m/>
    <s v="NI"/>
    <s v="NI"/>
    <s v="NI"/>
    <s v="NI"/>
    <s v="NI"/>
    <s v="NI"/>
    <s v="NI"/>
    <s v="NI"/>
    <s v="NI"/>
    <s v="NI"/>
    <s v="NI"/>
    <n v="3"/>
    <s v="NI"/>
    <s v="NI"/>
    <s v="NI"/>
    <s v="NO"/>
    <n v="20"/>
    <s v="NI"/>
    <s v="NI"/>
    <s v="NI"/>
    <n v="100"/>
    <s v="NI"/>
    <n v="50"/>
    <s v="NO"/>
    <s v="UK"/>
    <s v="UK"/>
    <s v="NI"/>
    <s v="UK"/>
    <s v="UK"/>
    <s v="UK"/>
    <s v="UK"/>
    <s v="NI"/>
    <n v="25"/>
    <s v="NO"/>
    <n v="4"/>
    <n v="1"/>
    <s v="UK"/>
    <n v="25"/>
    <n v="25"/>
    <s v="UK"/>
    <s v="UK"/>
    <n v="25"/>
    <s v="UK"/>
    <s v="UK"/>
    <n v="75"/>
    <n v="750"/>
    <n v="200"/>
    <n v="400"/>
    <n v="200"/>
    <n v="1500"/>
    <n v="1500"/>
    <n v="3500"/>
    <n v="3500"/>
    <n v="1500"/>
    <n v="750"/>
  </r>
  <r>
    <s v="CM-SWVI [10]"/>
    <s v="Southwest Vancouver Island"/>
    <s v="JANSEN LAKE CREEK_Chum"/>
    <x v="0"/>
    <x v="0"/>
    <x v="6"/>
    <x v="156"/>
    <x v="1"/>
    <m/>
    <m/>
    <n v="3"/>
    <n v="1"/>
    <n v="0"/>
    <e v="#NUM!"/>
    <n v="750"/>
    <n v="69.601492338469257"/>
    <m/>
    <s v="AUC estimate providing we get enough surveys if not then PL+D"/>
    <s v="1996 is the only estimate we have for this stream and 3 coho was the only estimate made, no sockeye or chum were observed."/>
    <m/>
    <s v="NI"/>
    <m/>
    <m/>
    <m/>
    <s v="NI"/>
    <s v="NI"/>
    <s v="NI"/>
    <s v="NI"/>
    <s v="NI"/>
    <s v="NI"/>
    <s v="NI"/>
    <s v="NI"/>
    <s v="NI"/>
    <s v="NI"/>
    <s v="NI"/>
    <s v="NO"/>
    <s v="NI"/>
    <s v="NI"/>
    <s v="NI"/>
    <s v="NO"/>
    <s v="UK"/>
    <s v="NI"/>
    <s v="NI"/>
    <s v="NI"/>
    <n v="100"/>
    <s v="NI"/>
    <n v="200"/>
    <s v="NO"/>
    <s v="UK"/>
    <s v="UK"/>
    <s v="NI"/>
    <n v="100"/>
    <s v="UK"/>
    <s v="UK"/>
    <s v="UK"/>
    <s v="NI"/>
    <s v="UK"/>
    <s v="UK"/>
    <s v="UK"/>
    <s v="UK"/>
    <s v="UK"/>
    <n v="25"/>
    <n v="25"/>
    <n v="400"/>
    <n v="25"/>
    <n v="750"/>
    <s v="UK"/>
    <n v="25"/>
    <s v="NO"/>
    <s v="UK"/>
    <n v="25"/>
    <n v="25"/>
    <s v="NO"/>
    <s v="NO"/>
    <n v="25"/>
    <n v="25"/>
    <s v="UK"/>
    <n v="119"/>
    <n v="400"/>
  </r>
  <r>
    <s v="SK-WVI [R10]"/>
    <s v="West Vancouver Island"/>
    <s v="KAOUK RIVER_Sockeye"/>
    <x v="0"/>
    <x v="0"/>
    <x v="6"/>
    <x v="157"/>
    <x v="3"/>
    <m/>
    <m/>
    <n v="2"/>
    <n v="11"/>
    <n v="10"/>
    <n v="26.672348996468944"/>
    <n v="534"/>
    <n v="33.681471195692303"/>
    <s v="A.  PSC Indicator stocks."/>
    <s v="AUC"/>
    <m/>
    <n v="103.3"/>
    <n v="233"/>
    <m/>
    <n v="44"/>
    <n v="24"/>
    <n v="45"/>
    <n v="1"/>
    <n v="20"/>
    <s v="NO"/>
    <n v="6"/>
    <n v="3"/>
    <n v="21"/>
    <n v="10"/>
    <n v="109"/>
    <n v="212"/>
    <n v="534"/>
    <n v="52"/>
    <n v="66"/>
    <n v="200"/>
    <n v="200"/>
    <s v="NO"/>
    <s v="NO"/>
    <s v="NO"/>
    <n v="100"/>
    <s v="UK"/>
    <s v="UK"/>
    <s v="UK"/>
    <s v="UK"/>
    <s v="NO"/>
    <s v="UK"/>
    <s v="UK"/>
    <s v="UK"/>
    <s v="UK"/>
    <s v="UK"/>
    <s v="NO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n v="9"/>
    <s v="UK"/>
  </r>
  <r>
    <s v="CO-WVI [17]"/>
    <s v="West Vancouver Island"/>
    <s v="KAOUK RIVER_Coho"/>
    <x v="0"/>
    <x v="0"/>
    <x v="6"/>
    <x v="157"/>
    <x v="0"/>
    <m/>
    <m/>
    <n v="2"/>
    <n v="11"/>
    <n v="11"/>
    <n v="1611.8742189403451"/>
    <n v="5077"/>
    <n v="740.70010116189792"/>
    <s v="A.  PSC Indicator stocks."/>
    <s v="AUC"/>
    <s v="Average Esc from 1995-2005 from file: NEW ESCAPEMENT INDEX.XLS"/>
    <n v="1986.909090909091"/>
    <n v="3577"/>
    <n v="2750"/>
    <n v="3275"/>
    <n v="2423"/>
    <n v="892"/>
    <n v="818"/>
    <n v="2141"/>
    <n v="1720"/>
    <n v="3044"/>
    <n v="1871"/>
    <n v="1816"/>
    <n v="1081"/>
    <n v="1950"/>
    <n v="5077"/>
    <n v="1263"/>
    <n v="813"/>
    <n v="1080"/>
    <s v="NO"/>
    <n v="100"/>
    <s v="NO"/>
    <n v="500"/>
    <n v="750"/>
    <n v="750"/>
    <n v="500"/>
    <n v="800"/>
    <n v="1200"/>
    <n v="1000"/>
    <n v="1500"/>
    <s v="UK"/>
    <s v="UK"/>
    <s v="UK"/>
    <s v="UK"/>
    <n v="200"/>
    <n v="50"/>
    <n v="200"/>
    <n v="75"/>
    <n v="200"/>
    <n v="1500"/>
    <n v="1500"/>
    <n v="1500"/>
    <n v="400"/>
    <n v="1500"/>
    <n v="200"/>
    <s v="NO"/>
    <n v="25"/>
    <n v="200"/>
    <n v="400"/>
    <n v="750"/>
    <n v="750"/>
    <n v="400"/>
    <n v="400"/>
    <n v="750"/>
    <n v="400"/>
    <n v="3500"/>
    <n v="1500"/>
    <n v="3500"/>
    <n v="3500"/>
    <n v="1500"/>
    <n v="400"/>
  </r>
  <r>
    <s v="Pkodd-WVI [6]"/>
    <s v="West Vancouver Island"/>
    <s v="KAOUK RIVER_Pink"/>
    <x v="0"/>
    <x v="0"/>
    <x v="6"/>
    <x v="157"/>
    <x v="4"/>
    <m/>
    <m/>
    <n v="2"/>
    <n v="11"/>
    <n v="7"/>
    <n v="3.9620182380484676"/>
    <n v="75000"/>
    <n v="295.36516445643667"/>
    <s v="A.  PSC Indicator stocks."/>
    <s v="AUC"/>
    <m/>
    <n v="8.5714285714285712"/>
    <n v="8"/>
    <n v="13"/>
    <m/>
    <s v="NO"/>
    <s v="NO"/>
    <n v="1"/>
    <s v="NO"/>
    <s v="NO"/>
    <s v="NO"/>
    <n v="2"/>
    <n v="12"/>
    <n v="1"/>
    <n v="10"/>
    <n v="1"/>
    <n v="11"/>
    <n v="23"/>
    <s v="NO"/>
    <s v="NO"/>
    <s v="NO"/>
    <s v="NO"/>
    <s v="NO"/>
    <s v="NO"/>
    <s v="NO"/>
    <s v="NO"/>
    <s v="NO"/>
    <n v="200"/>
    <s v="UK"/>
    <n v="200"/>
    <s v="UK"/>
    <n v="1500"/>
    <s v="UK"/>
    <n v="9700"/>
    <s v="UK"/>
    <n v="10000"/>
    <s v="UK"/>
    <n v="35000"/>
    <s v="UK"/>
    <n v="15000"/>
    <s v="UK"/>
    <n v="75000"/>
    <n v="25"/>
    <n v="15000"/>
    <s v="UK"/>
    <n v="7500"/>
    <n v="25"/>
    <n v="7500"/>
    <n v="200"/>
    <n v="400"/>
    <s v="NO"/>
    <n v="400"/>
    <s v="UK"/>
    <n v="1500"/>
    <s v="UK"/>
    <n v="3500"/>
    <s v="NO"/>
    <n v="1500"/>
    <s v="UK"/>
    <n v="800"/>
    <s v="UK"/>
  </r>
  <r>
    <s v="CM-SWVI [10]"/>
    <s v="Southwest Vancouver Island"/>
    <s v="KAOUK RIVER_Chum"/>
    <x v="0"/>
    <x v="0"/>
    <x v="6"/>
    <x v="157"/>
    <x v="1"/>
    <m/>
    <m/>
    <n v="2"/>
    <n v="11"/>
    <n v="11"/>
    <n v="5201.4543317617909"/>
    <n v="25940"/>
    <n v="3421.9527891255811"/>
    <s v="A.  PSC Indicator stocks."/>
    <s v="AUC"/>
    <s v="Average Esc from 1995-2005 from file: NEW ESCAPEMENT INDEX.XLS"/>
    <n v="8092.545454545455"/>
    <n v="18501"/>
    <n v="8075"/>
    <n v="6040"/>
    <n v="3215"/>
    <n v="12953"/>
    <n v="6588"/>
    <n v="11514"/>
    <n v="7824"/>
    <n v="10309"/>
    <n v="2813"/>
    <n v="891"/>
    <n v="1447"/>
    <n v="19544"/>
    <n v="25940"/>
    <n v="3193"/>
    <n v="3538"/>
    <n v="2005"/>
    <n v="10000"/>
    <n v="6000"/>
    <n v="21000"/>
    <n v="4000"/>
    <n v="4500"/>
    <n v="1600"/>
    <n v="3000"/>
    <n v="4000"/>
    <n v="7000"/>
    <n v="17000"/>
    <n v="15000"/>
    <n v="15000"/>
    <n v="10000"/>
    <n v="8000"/>
    <n v="7500"/>
    <n v="1300"/>
    <n v="6500"/>
    <n v="1000"/>
    <n v="3500"/>
    <n v="7500"/>
    <n v="3500"/>
    <n v="15000"/>
    <n v="11000"/>
    <n v="7500"/>
    <n v="3500"/>
    <n v="750"/>
    <n v="750"/>
    <n v="750"/>
    <n v="750"/>
    <n v="750"/>
    <n v="75"/>
    <n v="750"/>
    <n v="750"/>
    <n v="750"/>
    <n v="1500"/>
    <n v="750"/>
    <n v="3500"/>
    <n v="3500"/>
    <n v="3500"/>
    <n v="750"/>
    <n v="3500"/>
    <n v="3500"/>
  </r>
  <r>
    <s v="CK-NoKy [32]"/>
    <s v="Nootka and Kyuquot"/>
    <s v="KAOUK RIVER_Chinook"/>
    <x v="1"/>
    <x v="1"/>
    <x v="6"/>
    <x v="157"/>
    <x v="2"/>
    <m/>
    <m/>
    <n v="2"/>
    <n v="11"/>
    <n v="11"/>
    <n v="330.7918418102326"/>
    <n v="3500"/>
    <n v="239.75480102694783"/>
    <s v="A.  PSC Indicator stocks."/>
    <s v="AUC"/>
    <s v="Average Esc from 1995-2005 from file: NEW ESCAPEMENT INDEX.XLS"/>
    <n v="384.72727272727275"/>
    <n v="302"/>
    <n v="185"/>
    <n v="550"/>
    <n v="264"/>
    <n v="193"/>
    <n v="536"/>
    <n v="488"/>
    <n v="301"/>
    <n v="358"/>
    <n v="251"/>
    <n v="409"/>
    <n v="105"/>
    <n v="453"/>
    <n v="824"/>
    <n v="558"/>
    <n v="219"/>
    <n v="266"/>
    <n v="150"/>
    <n v="20"/>
    <s v="NO"/>
    <n v="20"/>
    <n v="10"/>
    <n v="30"/>
    <s v="NO"/>
    <n v="100"/>
    <n v="100"/>
    <n v="300"/>
    <n v="400"/>
    <n v="300"/>
    <s v="UK"/>
    <n v="100"/>
    <s v="UK"/>
    <n v="60"/>
    <n v="50"/>
    <n v="75"/>
    <n v="25"/>
    <n v="75"/>
    <n v="200"/>
    <n v="1500"/>
    <n v="300"/>
    <n v="750"/>
    <n v="750"/>
    <n v="750"/>
    <n v="750"/>
    <n v="400"/>
    <n v="3500"/>
    <n v="400"/>
    <n v="1500"/>
    <n v="400"/>
    <n v="400"/>
    <n v="200"/>
    <n v="75"/>
    <n v="75"/>
    <n v="200"/>
    <n v="750"/>
    <n v="400"/>
    <n v="750"/>
    <n v="750"/>
    <n v="750"/>
  </r>
  <r>
    <s v="SK-WVI [R10]"/>
    <s v="West Vancouver Island"/>
    <s v="KASHUTL RIVER_Sockeye"/>
    <x v="0"/>
    <x v="0"/>
    <x v="6"/>
    <x v="158"/>
    <x v="3"/>
    <m/>
    <m/>
    <n v="3"/>
    <n v="10"/>
    <n v="4"/>
    <n v="12.12309302805974"/>
    <n v="150"/>
    <n v="17.196088028966763"/>
    <s v="D.  Other systems surveyed extensively since 1995.  Not included with group (C) or (B) due to irregular surveys (ie not every year) or due to extremely low total adult escapement"/>
    <s v="AUC"/>
    <s v="2004 was the last time this stream was surveyed."/>
    <n v="53.25"/>
    <n v="28"/>
    <m/>
    <m/>
    <m/>
    <s v="NI"/>
    <s v="NI"/>
    <s v="NI"/>
    <s v="NO"/>
    <s v="NO"/>
    <s v="NO"/>
    <n v="1"/>
    <s v="NO"/>
    <s v="NO"/>
    <n v="90"/>
    <n v="120"/>
    <s v="NO"/>
    <n v="2"/>
    <n v="20"/>
    <n v="20"/>
    <n v="50"/>
    <n v="60"/>
    <s v="NO"/>
    <s v="UK"/>
    <s v="UK"/>
    <s v="UK"/>
    <s v="UK"/>
    <s v="UK"/>
    <s v="NO"/>
    <s v="UK"/>
    <s v="UK"/>
    <s v="UK"/>
    <n v="5"/>
    <n v="2"/>
    <n v="150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KASHUTL RIVER_Coho"/>
    <x v="0"/>
    <x v="0"/>
    <x v="6"/>
    <x v="158"/>
    <x v="0"/>
    <m/>
    <m/>
    <n v="3"/>
    <n v="10"/>
    <n v="9"/>
    <n v="84.081801705198231"/>
    <n v="1500"/>
    <n v="98.010895274563993"/>
    <s v="D.  Other systems surveyed extensively since 1995.  Not included with group (C) or (B) due to irregular surveys (ie not every year) or due to extremely low total adult escapement"/>
    <s v="AUC"/>
    <s v="2 of the 9 estimates are Adult Present (AP).  2004 was the last time this stream was surveyed."/>
    <n v="133.42857142857142"/>
    <n v="418"/>
    <m/>
    <m/>
    <m/>
    <s v="NI"/>
    <s v="NI"/>
    <s v="NI"/>
    <n v="428"/>
    <n v="28"/>
    <n v="65"/>
    <n v="139"/>
    <s v="AP"/>
    <s v="AP"/>
    <n v="196"/>
    <n v="50"/>
    <s v="NO"/>
    <n v="28"/>
    <n v="50"/>
    <n v="20"/>
    <n v="50"/>
    <n v="100"/>
    <n v="40"/>
    <n v="50"/>
    <n v="100"/>
    <n v="200"/>
    <n v="200"/>
    <n v="100"/>
    <s v="NO"/>
    <s v="UK"/>
    <s v="UK"/>
    <s v="UK"/>
    <n v="100"/>
    <n v="200"/>
    <n v="50"/>
    <n v="200"/>
    <n v="25"/>
    <s v="UK"/>
    <n v="25"/>
    <n v="200"/>
    <n v="25"/>
    <n v="200"/>
    <n v="25"/>
    <n v="25"/>
    <n v="25"/>
    <n v="25"/>
    <n v="200"/>
    <n v="25"/>
    <n v="25"/>
    <n v="200"/>
    <n v="200"/>
    <n v="75"/>
    <n v="25"/>
    <n v="200"/>
    <n v="750"/>
    <n v="750"/>
    <n v="1500"/>
    <n v="1500"/>
    <n v="750"/>
    <n v="400"/>
  </r>
  <r>
    <s v="CM-SWVI [10]"/>
    <s v="Southwest Vancouver Island"/>
    <s v="KASHUTL RIVER_Chum"/>
    <x v="0"/>
    <x v="0"/>
    <x v="6"/>
    <x v="158"/>
    <x v="1"/>
    <m/>
    <m/>
    <n v="3"/>
    <n v="10"/>
    <n v="10"/>
    <n v="1744.528730325924"/>
    <n v="19000"/>
    <n v="2583.8663635856092"/>
    <s v="D.  Other systems surveyed extensively since 1995.  Not included with group (C) or (B) due to irregular surveys (ie not every year) or due to extremely low total adult escapement"/>
    <s v="AUC"/>
    <s v="2 of the 10 estimates are Adult Present (AP).  2004 was the last time this stream was surveyed."/>
    <n v="4309.875"/>
    <n v="2962"/>
    <m/>
    <m/>
    <m/>
    <s v="NI"/>
    <s v="NI"/>
    <s v="NI"/>
    <n v="1866"/>
    <n v="203"/>
    <n v="425"/>
    <n v="1385"/>
    <s v="AP"/>
    <s v="AP"/>
    <n v="19000"/>
    <n v="8100"/>
    <n v="2500"/>
    <n v="1000"/>
    <n v="4500"/>
    <n v="8000"/>
    <n v="15000"/>
    <n v="4500"/>
    <n v="1900"/>
    <n v="650"/>
    <n v="3500"/>
    <n v="5000"/>
    <n v="10000"/>
    <n v="7000"/>
    <n v="6000"/>
    <n v="1500"/>
    <n v="11000"/>
    <n v="2000"/>
    <n v="5000"/>
    <n v="350"/>
    <n v="4500"/>
    <n v="1500"/>
    <n v="400"/>
    <n v="400"/>
    <n v="7500"/>
    <n v="3500"/>
    <n v="750"/>
    <n v="3500"/>
    <n v="7500"/>
    <n v="3500"/>
    <n v="3500"/>
    <n v="3500"/>
    <n v="7500"/>
    <n v="1500"/>
    <n v="3500"/>
    <n v="750"/>
    <n v="1500"/>
    <n v="1500"/>
    <n v="3500"/>
    <n v="3500"/>
    <n v="7500"/>
    <n v="3500"/>
    <n v="1500"/>
    <n v="400"/>
    <n v="3500"/>
    <n v="3500"/>
  </r>
  <r>
    <s v="CK-NoKy [32]"/>
    <s v="Nootka and Kyuquot"/>
    <s v="KASHUTL RIVER_Chinook"/>
    <x v="0"/>
    <x v="0"/>
    <x v="6"/>
    <x v="158"/>
    <x v="2"/>
    <m/>
    <m/>
    <n v="3"/>
    <n v="10"/>
    <n v="6"/>
    <n v="48.989794855663561"/>
    <n v="75"/>
    <n v="28.862735021655563"/>
    <s v="D.  Other systems surveyed extensively since 1995.  Not included with group (C) or (B) due to irregular surveys (ie not every year) or due to extremely low total adult escapement"/>
    <s v="AUC"/>
    <s v="3 of the 6 estimates are Adult Present (AP).  2004 was the last time this stream was surveyed."/>
    <n v="50"/>
    <n v="1"/>
    <m/>
    <m/>
    <m/>
    <s v="NI"/>
    <s v="NI"/>
    <s v="NI"/>
    <s v="NO"/>
    <s v="NO"/>
    <s v="NO"/>
    <s v="NO"/>
    <s v="AP"/>
    <s v="AP"/>
    <n v="60"/>
    <n v="40"/>
    <s v="NO"/>
    <s v="AP"/>
    <s v="NO"/>
    <s v="NO"/>
    <n v="20"/>
    <n v="65"/>
    <s v="NO"/>
    <n v="25"/>
    <s v="UK"/>
    <s v="UK"/>
    <s v="UK"/>
    <s v="UK"/>
    <s v="NO"/>
    <s v="UK"/>
    <s v="UK"/>
    <s v="UK"/>
    <s v="NO"/>
    <n v="12"/>
    <s v="NO"/>
    <s v="UK"/>
    <s v="UK"/>
    <n v="25"/>
    <n v="25"/>
    <s v="UK"/>
    <s v="UK"/>
    <s v="UK"/>
    <s v="UK"/>
    <n v="25"/>
    <n v="25"/>
    <s v="UK"/>
    <n v="25"/>
    <s v="NO"/>
    <s v="NO"/>
    <s v="NO"/>
    <s v="NO"/>
    <n v="25"/>
    <n v="25"/>
    <s v="NO"/>
    <s v="UK"/>
    <n v="25"/>
    <n v="25"/>
    <n v="25"/>
    <s v="UK"/>
    <n v="75"/>
  </r>
  <r>
    <s v="SK-WVI [R10]"/>
    <s v="West Vancouver Island"/>
    <s v="KAUWINCH RIVER_Sockeye"/>
    <x v="0"/>
    <x v="0"/>
    <x v="6"/>
    <x v="159"/>
    <x v="3"/>
    <m/>
    <m/>
    <n v="3"/>
    <n v="10"/>
    <n v="2"/>
    <n v="20"/>
    <n v="100"/>
    <n v="36.840314986403868"/>
    <m/>
    <s v="AUC estimate providing we get enough surveys if not then PL+D"/>
    <s v="1 of the 2 estimates are Adult Present (AP).  2004 was the last time this stream was surveyed."/>
    <n v="20"/>
    <n v="24"/>
    <m/>
    <m/>
    <m/>
    <s v="NI"/>
    <s v="NI"/>
    <s v="NI"/>
    <s v="NO"/>
    <s v="NO"/>
    <s v="NO"/>
    <s v="NO"/>
    <s v="NO"/>
    <s v="AP"/>
    <s v="NO"/>
    <n v="20"/>
    <s v="NO"/>
    <s v="NO"/>
    <s v="UK"/>
    <n v="100"/>
    <s v="NO"/>
    <s v="NO"/>
    <s v="NO"/>
    <s v="UK"/>
    <s v="UK"/>
    <n v="25"/>
    <s v="UK"/>
    <s v="UK"/>
    <s v="NO"/>
    <s v="UK"/>
    <s v="UK"/>
    <s v="UK"/>
    <s v="UK"/>
    <s v="UK"/>
    <s v="NO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</r>
  <r>
    <s v="CO-WVI [17]"/>
    <s v="West Vancouver Island"/>
    <s v="KAUWINCH RIVER_Coho"/>
    <x v="0"/>
    <x v="0"/>
    <x v="6"/>
    <x v="159"/>
    <x v="0"/>
    <m/>
    <m/>
    <n v="3"/>
    <n v="10"/>
    <n v="7"/>
    <n v="234.37154188808097"/>
    <n v="1500"/>
    <n v="252.00057935065101"/>
    <m/>
    <s v="AUC estimate providing we get enough surveys if not then PL+D"/>
    <s v="1 of the 7 estimates were Adult Present (AP).  2004 was the last time this stream was surveyed."/>
    <n v="289.83333333333331"/>
    <n v="1817"/>
    <m/>
    <m/>
    <m/>
    <s v="NI"/>
    <s v="NI"/>
    <s v="NI"/>
    <n v="474"/>
    <n v="223"/>
    <n v="112"/>
    <n v="80"/>
    <s v="AP"/>
    <s v="NO"/>
    <n v="350"/>
    <s v="NO"/>
    <s v="NO"/>
    <n v="500"/>
    <s v="NO"/>
    <n v="50"/>
    <n v="500"/>
    <n v="500"/>
    <n v="100"/>
    <n v="200"/>
    <n v="150"/>
    <n v="250"/>
    <n v="300"/>
    <n v="200"/>
    <s v="NO"/>
    <s v="UK"/>
    <s v="UK"/>
    <s v="UK"/>
    <n v="100"/>
    <n v="250"/>
    <s v="NO"/>
    <n v="200"/>
    <n v="400"/>
    <n v="400"/>
    <n v="750"/>
    <s v="UK"/>
    <n v="1200"/>
    <n v="400"/>
    <n v="400"/>
    <n v="25"/>
    <n v="25"/>
    <n v="25"/>
    <n v="25"/>
    <n v="25"/>
    <n v="1500"/>
    <n v="400"/>
    <n v="200"/>
    <n v="400"/>
    <n v="400"/>
    <n v="200"/>
    <n v="1500"/>
    <n v="750"/>
    <n v="750"/>
    <n v="1500"/>
    <n v="750"/>
    <n v="750"/>
  </r>
  <r>
    <s v="CM-SWVI [10]"/>
    <s v="Southwest Vancouver Island"/>
    <s v="KAUWINCH RIVER_Chum"/>
    <x v="0"/>
    <x v="0"/>
    <x v="6"/>
    <x v="159"/>
    <x v="1"/>
    <m/>
    <m/>
    <n v="3"/>
    <n v="10"/>
    <n v="10"/>
    <n v="1819.8806427492545"/>
    <n v="25000"/>
    <n v="2910.8208861024609"/>
    <m/>
    <s v="AUC estimate providing we get enough surveys if not then PL+D"/>
    <s v="2 of the 10 estimates were Adult Present (AP).  2004 was the last time this stream was surveyed."/>
    <n v="4280.5"/>
    <n v="869"/>
    <m/>
    <m/>
    <m/>
    <s v="NI"/>
    <s v="NI"/>
    <s v="NI"/>
    <n v="3252"/>
    <n v="61"/>
    <n v="1471"/>
    <n v="1960"/>
    <s v="AP"/>
    <s v="AP"/>
    <n v="16500"/>
    <n v="8500"/>
    <n v="1500"/>
    <n v="1000"/>
    <n v="5000"/>
    <n v="5000"/>
    <n v="15000"/>
    <n v="7500"/>
    <n v="1500"/>
    <n v="900"/>
    <n v="2800"/>
    <n v="7000"/>
    <n v="10000"/>
    <n v="12000"/>
    <n v="6000"/>
    <n v="10000"/>
    <n v="25000"/>
    <n v="4500"/>
    <n v="4000"/>
    <n v="1400"/>
    <n v="5500"/>
    <s v="UK"/>
    <n v="1500"/>
    <n v="3500"/>
    <n v="1500"/>
    <n v="1500"/>
    <n v="13000"/>
    <n v="7500"/>
    <n v="3500"/>
    <n v="750"/>
    <n v="400"/>
    <n v="3500"/>
    <n v="1500"/>
    <n v="1500"/>
    <n v="1500"/>
    <n v="400"/>
    <n v="1500"/>
    <n v="1500"/>
    <n v="3500"/>
    <n v="1500"/>
    <n v="3500"/>
    <n v="7500"/>
    <n v="1500"/>
    <n v="3500"/>
    <n v="3500"/>
    <n v="7500"/>
  </r>
  <r>
    <s v="CK-NoKy [32]"/>
    <s v="Nootka and Kyuquot"/>
    <s v="KAUWINCH RIVER_Chinook"/>
    <x v="0"/>
    <x v="0"/>
    <x v="6"/>
    <x v="159"/>
    <x v="2"/>
    <m/>
    <m/>
    <n v="3"/>
    <n v="10"/>
    <n v="7"/>
    <n v="12.773084445875398"/>
    <n v="750"/>
    <n v="51.178212576367493"/>
    <m/>
    <s v="AUC estimate providing we get enough surveys if not then PL+D"/>
    <s v="2 of the 7 estimates were Adult Present (AP).  2004 was the last time this stream was surveyed."/>
    <n v="28.8"/>
    <n v="37"/>
    <m/>
    <m/>
    <m/>
    <s v="NI"/>
    <s v="NI"/>
    <s v="NI"/>
    <s v="NO"/>
    <n v="17"/>
    <n v="2"/>
    <n v="5"/>
    <s v="AP"/>
    <s v="AP"/>
    <n v="20"/>
    <s v="NO"/>
    <n v="100"/>
    <s v="NO"/>
    <n v="30"/>
    <s v="NO"/>
    <s v="NO"/>
    <n v="25"/>
    <n v="3"/>
    <n v="100"/>
    <s v="NO"/>
    <n v="25"/>
    <s v="UK"/>
    <n v="50"/>
    <n v="50"/>
    <s v="UK"/>
    <s v="UK"/>
    <s v="UK"/>
    <n v="100"/>
    <n v="30"/>
    <s v="NO"/>
    <n v="4"/>
    <s v="UK"/>
    <n v="25"/>
    <n v="75"/>
    <n v="200"/>
    <n v="200"/>
    <n v="75"/>
    <n v="75"/>
    <n v="25"/>
    <s v="NO"/>
    <n v="25"/>
    <n v="25"/>
    <n v="25"/>
    <n v="25"/>
    <n v="25"/>
    <s v="NO"/>
    <n v="750"/>
    <n v="75"/>
    <n v="75"/>
    <n v="75"/>
    <n v="750"/>
    <n v="400"/>
    <n v="200"/>
    <n v="400"/>
    <n v="750"/>
  </r>
  <r>
    <s v="CO-WVI [17]"/>
    <s v="West Vancouver Island"/>
    <s v="MALKSOPE RIVER_Coho"/>
    <x v="0"/>
    <x v="0"/>
    <x v="6"/>
    <x v="160"/>
    <x v="0"/>
    <m/>
    <m/>
    <n v="3"/>
    <n v="7"/>
    <n v="7"/>
    <n v="353.14062204727588"/>
    <n v="3500"/>
    <n v="345.68586648255172"/>
    <s v="D.  Other systems surveyed extensively since 1995.  Not included with group (C) or (B) due to irregular surveys (ie not every year) or due to extremely low total adult escapement"/>
    <s v="AUC"/>
    <s v="2 of the 7 estimates are Adult Present (AP).  2003 was the last time this stream was surveyed."/>
    <n v="758"/>
    <n v="2351"/>
    <m/>
    <m/>
    <m/>
    <s v="NI"/>
    <s v="NI"/>
    <s v="NI"/>
    <s v="NI"/>
    <n v="1987"/>
    <n v="713"/>
    <n v="650"/>
    <s v="AP"/>
    <s v="AP"/>
    <s v="NI"/>
    <s v="NI"/>
    <n v="14"/>
    <n v="426"/>
    <s v="UK"/>
    <n v="100"/>
    <n v="300"/>
    <n v="500"/>
    <n v="100"/>
    <n v="110"/>
    <s v="NI"/>
    <n v="250"/>
    <n v="350"/>
    <n v="300"/>
    <s v="NO"/>
    <s v="UK"/>
    <s v="UK"/>
    <n v="100"/>
    <s v="UK"/>
    <n v="170"/>
    <s v="NO"/>
    <n v="10"/>
    <n v="200"/>
    <n v="750"/>
    <n v="75"/>
    <n v="400"/>
    <n v="400"/>
    <n v="1500"/>
    <n v="1500"/>
    <n v="750"/>
    <n v="200"/>
    <n v="75"/>
    <n v="400"/>
    <n v="200"/>
    <n v="400"/>
    <n v="1500"/>
    <n v="200"/>
    <n v="200"/>
    <n v="200"/>
    <n v="1500"/>
    <n v="1500"/>
    <n v="750"/>
    <n v="1500"/>
    <n v="3500"/>
    <n v="750"/>
    <n v="750"/>
  </r>
  <r>
    <s v="CM-SWVI [10]"/>
    <s v="Southwest Vancouver Island"/>
    <s v="MALKSOPE RIVER_Chum"/>
    <x v="0"/>
    <x v="0"/>
    <x v="6"/>
    <x v="160"/>
    <x v="1"/>
    <m/>
    <m/>
    <n v="3"/>
    <n v="7"/>
    <n v="7"/>
    <n v="2967.4694438319425"/>
    <n v="35000"/>
    <n v="4932.1979830157197"/>
    <s v="D.  Other systems surveyed extensively since 1995.  Not included with group (C) or (B) due to irregular surveys (ie not every year) or due to extremely low total adult escapement"/>
    <s v="AUC"/>
    <s v="2 of the 7 estimates are Adult Present (AP).  2003 was the last time this stream was surveyed."/>
    <n v="3974.2"/>
    <n v="10349"/>
    <m/>
    <m/>
    <m/>
    <s v="NI"/>
    <s v="NI"/>
    <s v="NI"/>
    <s v="NI"/>
    <n v="6584"/>
    <n v="6793"/>
    <n v="782"/>
    <s v="AP"/>
    <s v="AP"/>
    <s v="NI"/>
    <s v="NI"/>
    <n v="1600"/>
    <n v="4112"/>
    <n v="2000"/>
    <n v="7000"/>
    <n v="12000"/>
    <n v="10000"/>
    <n v="2500"/>
    <n v="1600"/>
    <s v="NI"/>
    <n v="4000"/>
    <n v="4000"/>
    <n v="9000"/>
    <n v="8000"/>
    <n v="5000"/>
    <n v="8000"/>
    <n v="10000"/>
    <n v="10000"/>
    <n v="270"/>
    <n v="8000"/>
    <n v="1000"/>
    <n v="1500"/>
    <n v="3500"/>
    <n v="7500"/>
    <n v="15000"/>
    <n v="13000"/>
    <n v="15000"/>
    <n v="35000"/>
    <n v="15000"/>
    <n v="7500"/>
    <n v="1500"/>
    <n v="7500"/>
    <n v="7500"/>
    <n v="7500"/>
    <n v="1500"/>
    <n v="7500"/>
    <n v="750"/>
    <n v="7500"/>
    <n v="7500"/>
    <n v="15000"/>
    <n v="3500"/>
    <n v="7500"/>
    <n v="3500"/>
    <n v="3500"/>
    <n v="7500"/>
  </r>
  <r>
    <s v="CK-NoKy [32]"/>
    <s v="Nootka and Kyuquot"/>
    <s v="MALKSOPE RIVER_Chinook"/>
    <x v="0"/>
    <x v="0"/>
    <x v="6"/>
    <x v="160"/>
    <x v="2"/>
    <m/>
    <m/>
    <n v="3"/>
    <n v="7"/>
    <n v="7"/>
    <n v="6.9253727724466625"/>
    <n v="400"/>
    <n v="42.373755333778"/>
    <s v="D.  Other systems surveyed extensively since 1995.  Not included with group (C) or (B) due to irregular surveys (ie not every year) or due to extremely low total adult escapement"/>
    <s v="AUC"/>
    <s v="2 of the 7 estimates are Adult Present (AP).  2003 was the last time this stream was surveyed."/>
    <n v="16.8"/>
    <n v="20"/>
    <m/>
    <m/>
    <m/>
    <s v="NI"/>
    <s v="NI"/>
    <s v="NI"/>
    <s v="NI"/>
    <n v="15"/>
    <n v="6"/>
    <n v="1"/>
    <s v="AP"/>
    <s v="AP"/>
    <s v="NI"/>
    <s v="NI"/>
    <n v="59"/>
    <n v="3"/>
    <s v="UK"/>
    <s v="NO"/>
    <n v="12"/>
    <n v="40"/>
    <s v="NO"/>
    <s v="NO"/>
    <s v="NI"/>
    <s v="UK"/>
    <s v="UK"/>
    <n v="50"/>
    <s v="NO"/>
    <s v="UK"/>
    <s v="UK"/>
    <n v="50"/>
    <s v="UK"/>
    <n v="10"/>
    <s v="NO"/>
    <s v="UK"/>
    <s v="UK"/>
    <n v="200"/>
    <n v="25"/>
    <s v="UK"/>
    <n v="75"/>
    <n v="25"/>
    <n v="400"/>
    <n v="200"/>
    <n v="400"/>
    <n v="25"/>
    <n v="75"/>
    <s v="UK"/>
    <s v="NO"/>
    <s v="NO"/>
    <n v="200"/>
    <n v="25"/>
    <s v="NO"/>
    <s v="NO"/>
    <n v="200"/>
    <n v="25"/>
    <n v="400"/>
    <n v="75"/>
    <n v="25"/>
    <s v="UK"/>
  </r>
  <r>
    <s v="SK-WVI [R10]"/>
    <s v="West Vancouver Island"/>
    <s v="NARROWGUT CREEK_Sockeye"/>
    <x v="0"/>
    <x v="0"/>
    <x v="6"/>
    <x v="161"/>
    <x v="3"/>
    <m/>
    <m/>
    <n v="3"/>
    <n v="7"/>
    <n v="3"/>
    <n v="70.710678118654755"/>
    <n v="200"/>
    <n v="36.936397939434613"/>
    <m/>
    <s v="AUC estimate providing we get enough surveys if not then PL+D"/>
    <s v="1 of the 3 estimates was Adult Present (AP). Last surveyed in 2004."/>
    <n v="112.5"/>
    <s v="NO"/>
    <m/>
    <m/>
    <m/>
    <s v="NI"/>
    <s v="NI"/>
    <s v="NI"/>
    <s v="NO"/>
    <s v="NI"/>
    <s v="NI"/>
    <s v="NI"/>
    <s v="AP"/>
    <s v="NI"/>
    <n v="25"/>
    <n v="200"/>
    <s v="NO"/>
    <s v="NO"/>
    <s v="NO"/>
    <s v="NO"/>
    <n v="50"/>
    <s v="NO"/>
    <s v="NO"/>
    <s v="UK"/>
    <s v="UK"/>
    <s v="UK"/>
    <s v="UK"/>
    <s v="UK"/>
    <s v="NO"/>
    <s v="UK"/>
    <s v="UK"/>
    <s v="UK"/>
    <s v="UK"/>
    <s v="UK"/>
    <s v="NO"/>
    <s v="UK"/>
    <n v="25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s v="UK"/>
    <n v="11"/>
    <s v="UK"/>
  </r>
  <r>
    <s v="CO-WVI [17]"/>
    <s v="West Vancouver Island"/>
    <s v="NARROWGUT CREEK_Coho"/>
    <x v="0"/>
    <x v="0"/>
    <x v="6"/>
    <x v="161"/>
    <x v="0"/>
    <m/>
    <m/>
    <n v="3"/>
    <n v="7"/>
    <n v="6"/>
    <n v="277.97252721393818"/>
    <n v="1055"/>
    <n v="167.82338628421851"/>
    <m/>
    <s v="AUC estimate providing we get enough surveys if not then PL+D"/>
    <s v="2 of the 6 estimates was Adult Present (AP). Last surveyed in 2004."/>
    <n v="527.75"/>
    <n v="368"/>
    <m/>
    <m/>
    <m/>
    <s v="NI"/>
    <s v="NI"/>
    <s v="NI"/>
    <n v="786"/>
    <s v="NI"/>
    <s v="NI"/>
    <s v="NI"/>
    <s v="AP"/>
    <s v="AP"/>
    <n v="1055"/>
    <n v="240"/>
    <s v="NO"/>
    <n v="30"/>
    <n v="30"/>
    <n v="50"/>
    <s v="NO"/>
    <n v="50"/>
    <n v="500"/>
    <n v="100"/>
    <n v="75"/>
    <n v="150"/>
    <n v="150"/>
    <n v="100"/>
    <s v="NO"/>
    <s v="UK"/>
    <s v="UK"/>
    <s v="UK"/>
    <s v="UK"/>
    <n v="30"/>
    <s v="NO"/>
    <n v="50"/>
    <n v="200"/>
    <n v="75"/>
    <s v="UK"/>
    <s v="UK"/>
    <n v="200"/>
    <n v="400"/>
    <n v="200"/>
    <n v="200"/>
    <n v="75"/>
    <n v="25"/>
    <n v="750"/>
    <n v="200"/>
    <n v="200"/>
    <n v="200"/>
    <n v="200"/>
    <n v="200"/>
    <n v="200"/>
    <n v="400"/>
    <n v="750"/>
    <n v="400"/>
    <n v="400"/>
    <n v="75"/>
    <n v="592"/>
    <n v="400"/>
  </r>
  <r>
    <s v="CM-SWVI [10]"/>
    <s v="Southwest Vancouver Island"/>
    <s v="NARROWGUT CREEK_Chum"/>
    <x v="0"/>
    <x v="0"/>
    <x v="6"/>
    <x v="161"/>
    <x v="1"/>
    <m/>
    <m/>
    <n v="3"/>
    <n v="7"/>
    <n v="7"/>
    <n v="1773.8373674478664"/>
    <n v="13400"/>
    <n v="1799.3227366112374"/>
    <m/>
    <s v="AUC estimate providing we get enough surveys if not then PL+D"/>
    <s v="2 of the 7 estimates was Adult Present (AP). Last surveyed in 2004."/>
    <n v="4250.6000000000004"/>
    <n v="1347"/>
    <m/>
    <m/>
    <m/>
    <s v="NI"/>
    <s v="NI"/>
    <s v="NI"/>
    <n v="2653"/>
    <s v="NI"/>
    <s v="NI"/>
    <s v="NI"/>
    <s v="AP"/>
    <s v="AP"/>
    <n v="13400"/>
    <n v="3800"/>
    <n v="100"/>
    <n v="1300"/>
    <n v="6000"/>
    <n v="4500"/>
    <n v="4500"/>
    <n v="4000"/>
    <n v="6000"/>
    <n v="550"/>
    <n v="1500"/>
    <n v="1200"/>
    <n v="5000"/>
    <n v="10000"/>
    <n v="6000"/>
    <n v="12000"/>
    <n v="1000"/>
    <n v="2000"/>
    <n v="1500"/>
    <n v="500"/>
    <n v="2000"/>
    <n v="1500"/>
    <n v="400"/>
    <n v="750"/>
    <n v="750"/>
    <n v="3500"/>
    <n v="1500"/>
    <n v="750"/>
    <n v="3500"/>
    <n v="1500"/>
    <n v="1500"/>
    <n v="1500"/>
    <n v="750"/>
    <n v="1500"/>
    <n v="7500"/>
    <n v="400"/>
    <n v="1500"/>
    <n v="1500"/>
    <n v="1500"/>
    <n v="1500"/>
    <n v="3500"/>
    <n v="3500"/>
    <n v="750"/>
    <n v="75"/>
    <n v="2760"/>
    <n v="3500"/>
  </r>
  <r>
    <s v="CK-NoKy [32]"/>
    <s v="Nootka and Kyuquot"/>
    <s v="NARROWGUT CREEK_Chinook"/>
    <x v="0"/>
    <x v="0"/>
    <x v="6"/>
    <x v="161"/>
    <x v="2"/>
    <m/>
    <m/>
    <n v="3"/>
    <n v="7"/>
    <n v="2"/>
    <n v="4.8989794855663558"/>
    <n v="200"/>
    <n v="24.497146846178467"/>
    <m/>
    <s v="AUC estimate providing we get enough surveys if not then PL+D"/>
    <s v="Last surveyed in 2004."/>
    <n v="5"/>
    <n v="2"/>
    <m/>
    <m/>
    <m/>
    <s v="NI"/>
    <s v="NI"/>
    <s v="NI"/>
    <s v="NO"/>
    <s v="NI"/>
    <s v="NI"/>
    <s v="NI"/>
    <s v="NO"/>
    <s v="NI"/>
    <n v="4"/>
    <n v="6"/>
    <s v="NO"/>
    <s v="NO"/>
    <s v="NO"/>
    <s v="NO"/>
    <n v="20"/>
    <s v="NO"/>
    <s v="NO"/>
    <s v="UK"/>
    <s v="UK"/>
    <s v="UK"/>
    <s v="UK"/>
    <s v="UK"/>
    <s v="NO"/>
    <s v="UK"/>
    <s v="UK"/>
    <s v="UK"/>
    <s v="UK"/>
    <s v="UK"/>
    <s v="NO"/>
    <s v="UK"/>
    <s v="UK"/>
    <s v="UK"/>
    <s v="UK"/>
    <s v="UK"/>
    <s v="UK"/>
    <n v="25"/>
    <n v="75"/>
    <n v="25"/>
    <n v="25"/>
    <s v="NO"/>
    <n v="25"/>
    <n v="25"/>
    <s v="NO"/>
    <n v="25"/>
    <n v="25"/>
    <n v="25"/>
    <n v="200"/>
    <n v="25"/>
    <n v="25"/>
    <s v="UK"/>
    <s v="UK"/>
    <s v="UK"/>
    <s v="UK"/>
    <s v="UK"/>
  </r>
  <r>
    <s v="CO-WVI [17]"/>
    <s v="West Vancouver Island"/>
    <s v="OUOUKINSH RIVER_Coho"/>
    <x v="0"/>
    <x v="0"/>
    <x v="6"/>
    <x v="162"/>
    <x v="0"/>
    <m/>
    <m/>
    <n v="5"/>
    <n v="4"/>
    <n v="4"/>
    <n v="168.39316458470751"/>
    <n v="750"/>
    <n v="169.08772681861356"/>
    <m/>
    <s v="PL+D or Presence/Absence"/>
    <s v="1 of the 4 estimates are Adult Present (AP).  Last surveyed in 2002."/>
    <n v="180.33333333333334"/>
    <n v="666"/>
    <m/>
    <m/>
    <m/>
    <s v="NI"/>
    <s v="NI"/>
    <s v="NI"/>
    <s v="NI"/>
    <s v="NI"/>
    <n v="191"/>
    <s v="NI"/>
    <s v="AP"/>
    <s v="NI"/>
    <s v="NI"/>
    <s v="NI"/>
    <n v="250"/>
    <n v="100"/>
    <n v="100"/>
    <n v="50"/>
    <n v="100"/>
    <n v="300"/>
    <n v="200"/>
    <n v="200"/>
    <s v="NI"/>
    <n v="200"/>
    <n v="350"/>
    <n v="300"/>
    <s v="NO"/>
    <s v="UK"/>
    <s v="UK"/>
    <n v="100"/>
    <s v="UK"/>
    <n v="110"/>
    <s v="NO"/>
    <s v="UK"/>
    <n v="200"/>
    <n v="200"/>
    <n v="400"/>
    <n v="400"/>
    <n v="750"/>
    <n v="200"/>
    <n v="750"/>
    <n v="25"/>
    <n v="25"/>
    <n v="25"/>
    <n v="25"/>
    <n v="75"/>
    <n v="25"/>
    <n v="750"/>
    <n v="25"/>
    <n v="75"/>
    <n v="25"/>
    <n v="400"/>
    <n v="400"/>
    <n v="750"/>
    <n v="750"/>
    <n v="750"/>
    <n v="750"/>
    <n v="750"/>
  </r>
  <r>
    <s v="CM-SWVI [10]"/>
    <s v="Southwest Vancouver Island"/>
    <s v="OUOUKINSH RIVER_Chum"/>
    <x v="0"/>
    <x v="0"/>
    <x v="6"/>
    <x v="162"/>
    <x v="1"/>
    <m/>
    <m/>
    <n v="5"/>
    <n v="4"/>
    <n v="4"/>
    <n v="2534.0410457344669"/>
    <n v="15000"/>
    <n v="1946.7765352086217"/>
    <m/>
    <s v="PL+D or Presence/Absence"/>
    <s v="1 of the 4 estimates are Adult Present (AP).  Last surveyed in 2002."/>
    <n v="4393.333333333333"/>
    <n v="10446"/>
    <m/>
    <m/>
    <m/>
    <s v="NI"/>
    <s v="NI"/>
    <s v="NI"/>
    <s v="NI"/>
    <s v="NI"/>
    <n v="6780"/>
    <s v="NI"/>
    <s v="AP"/>
    <s v="NI"/>
    <s v="NI"/>
    <s v="NI"/>
    <n v="6000"/>
    <n v="400"/>
    <n v="1000"/>
    <n v="3000"/>
    <n v="13500"/>
    <n v="2500"/>
    <n v="1500"/>
    <n v="600"/>
    <s v="NI"/>
    <n v="600"/>
    <n v="2500"/>
    <n v="6000"/>
    <s v="NO"/>
    <n v="300"/>
    <n v="6000"/>
    <n v="2700"/>
    <n v="1500"/>
    <n v="274"/>
    <n v="7000"/>
    <n v="2000"/>
    <n v="400"/>
    <n v="3500"/>
    <n v="3500"/>
    <n v="15000"/>
    <n v="3500"/>
    <n v="3500"/>
    <n v="3500"/>
    <n v="7500"/>
    <n v="400"/>
    <n v="3500"/>
    <n v="1500"/>
    <n v="400"/>
    <n v="750"/>
    <n v="400"/>
    <n v="3500"/>
    <n v="400"/>
    <n v="3500"/>
    <n v="1500"/>
    <n v="3500"/>
    <n v="3500"/>
    <n v="1500"/>
    <n v="750"/>
    <n v="3500"/>
    <n v="3500"/>
  </r>
  <r>
    <s v="CK-NoKy [32]"/>
    <s v="Nootka and Kyuquot"/>
    <s v="OUOUKINSH RIVER_Chinook"/>
    <x v="0"/>
    <x v="0"/>
    <x v="6"/>
    <x v="162"/>
    <x v="2"/>
    <m/>
    <m/>
    <n v="5"/>
    <n v="4"/>
    <n v="4"/>
    <n v="20.082988502465085"/>
    <n v="400"/>
    <n v="57.884640129844676"/>
    <m/>
    <s v="PL+D or Presence/Absence"/>
    <s v="1 of the 4 estimates are Adult Present (AP).  Last surveyed in 2002."/>
    <n v="52.666666666666664"/>
    <n v="7"/>
    <m/>
    <m/>
    <m/>
    <s v="NI"/>
    <s v="NI"/>
    <s v="NI"/>
    <s v="NI"/>
    <s v="NI"/>
    <n v="3"/>
    <s v="NI"/>
    <s v="AP"/>
    <s v="NI"/>
    <s v="NI"/>
    <s v="NI"/>
    <n v="135"/>
    <n v="20"/>
    <n v="100"/>
    <s v="NO"/>
    <s v="NO"/>
    <n v="5"/>
    <s v="NO"/>
    <s v="NO"/>
    <s v="NI"/>
    <s v="UK"/>
    <n v="100"/>
    <n v="150"/>
    <s v="NO"/>
    <s v="UK"/>
    <s v="UK"/>
    <s v="UK"/>
    <s v="UK"/>
    <s v="UK"/>
    <s v="NO"/>
    <s v="UK"/>
    <n v="400"/>
    <n v="25"/>
    <s v="UK"/>
    <n v="75"/>
    <s v="UK"/>
    <n v="25"/>
    <n v="25"/>
    <n v="25"/>
    <s v="NO"/>
    <s v="UK"/>
    <n v="25"/>
    <s v="UK"/>
    <n v="25"/>
    <s v="NO"/>
    <n v="25"/>
    <n v="25"/>
    <n v="400"/>
    <s v="NO"/>
    <n v="200"/>
    <n v="75"/>
    <n v="200"/>
    <n v="75"/>
    <n v="200"/>
    <n v="400"/>
  </r>
  <r>
    <s v="SK-WVI [R10]"/>
    <s v="West Vancouver Island"/>
    <s v="TAHSISH RIVER_Sockeye"/>
    <x v="0"/>
    <x v="0"/>
    <x v="6"/>
    <x v="163"/>
    <x v="3"/>
    <m/>
    <m/>
    <n v="2"/>
    <n v="11"/>
    <n v="11"/>
    <n v="26.47085424672737"/>
    <n v="750"/>
    <n v="53.580536377509269"/>
    <s v="A.  PSC Indicator stocks."/>
    <s v="AUC"/>
    <m/>
    <n v="108.09090909090909"/>
    <n v="369"/>
    <n v="50"/>
    <n v="45"/>
    <n v="1"/>
    <n v="12"/>
    <n v="4"/>
    <n v="23"/>
    <n v="73"/>
    <n v="4"/>
    <n v="32"/>
    <n v="62"/>
    <n v="23"/>
    <n v="269"/>
    <n v="239"/>
    <n v="406"/>
    <n v="4"/>
    <n v="54"/>
    <s v="UK"/>
    <n v="750"/>
    <n v="100"/>
    <n v="100"/>
    <n v="100"/>
    <n v="120"/>
    <n v="150"/>
    <n v="100"/>
    <s v="UK"/>
    <s v="UK"/>
    <s v="NO"/>
    <s v="UK"/>
    <s v="UK"/>
    <n v="150"/>
    <s v="UK"/>
    <s v="UK"/>
    <s v="NO"/>
    <n v="200"/>
    <n v="25"/>
    <s v="UK"/>
    <s v="UK"/>
    <s v="UK"/>
    <s v="UK"/>
    <s v="UK"/>
    <s v="UK"/>
    <s v="UK"/>
    <s v="UK"/>
    <s v="UK"/>
    <s v="UK"/>
    <s v="NO"/>
    <s v="UK"/>
    <s v="UK"/>
    <s v="UK"/>
    <s v="NO"/>
    <s v="UK"/>
    <s v="UK"/>
    <n v="200"/>
    <s v="UK"/>
    <s v="UK"/>
    <s v="UK"/>
    <s v="UK"/>
    <s v="UK"/>
  </r>
  <r>
    <s v="CO-WVI [17]"/>
    <s v="West Vancouver Island"/>
    <s v="TAHSISH RIVER_Coho"/>
    <x v="0"/>
    <x v="0"/>
    <x v="6"/>
    <x v="163"/>
    <x v="0"/>
    <m/>
    <m/>
    <n v="2"/>
    <n v="11"/>
    <n v="11"/>
    <n v="1335.2783234365888"/>
    <n v="7500"/>
    <n v="842.00353058187022"/>
    <s v="A.  PSC Indicator stocks."/>
    <s v="AUC"/>
    <s v="Average Esc from 1995-2005 from file: NEW ESCAPEMENT INDEX.XLS"/>
    <n v="1914.5454545454545"/>
    <n v="3554"/>
    <n v="690"/>
    <n v="5500"/>
    <n v="1987"/>
    <n v="1096"/>
    <n v="859"/>
    <n v="562"/>
    <n v="5070"/>
    <n v="1792"/>
    <n v="5811"/>
    <n v="1359"/>
    <n v="1099"/>
    <n v="1380"/>
    <n v="1824"/>
    <n v="564"/>
    <n v="409"/>
    <n v="1190"/>
    <n v="300"/>
    <n v="200"/>
    <n v="2000"/>
    <n v="1200"/>
    <n v="2500"/>
    <n v="1500"/>
    <n v="1500"/>
    <n v="1500"/>
    <n v="1400"/>
    <n v="1000"/>
    <n v="1500"/>
    <s v="UK"/>
    <n v="700"/>
    <n v="500"/>
    <n v="300"/>
    <n v="150"/>
    <n v="130"/>
    <n v="500"/>
    <n v="1500"/>
    <n v="25"/>
    <n v="400"/>
    <n v="400"/>
    <n v="3500"/>
    <n v="7500"/>
    <n v="1500"/>
    <n v="25"/>
    <n v="200"/>
    <n v="750"/>
    <n v="400"/>
    <n v="200"/>
    <n v="200"/>
    <n v="750"/>
    <n v="750"/>
    <n v="750"/>
    <n v="750"/>
    <n v="750"/>
    <n v="1500"/>
    <n v="3500"/>
    <n v="7500"/>
    <n v="3500"/>
    <n v="750"/>
    <n v="1500"/>
  </r>
  <r>
    <s v="Pkodd-WVI [6]"/>
    <s v="West Vancouver Island"/>
    <s v="TAHSISH RIVER_Pink"/>
    <x v="0"/>
    <x v="0"/>
    <x v="6"/>
    <x v="163"/>
    <x v="4"/>
    <m/>
    <m/>
    <n v="2"/>
    <n v="11"/>
    <n v="7"/>
    <n v="3.0668330722110375"/>
    <n v="3500"/>
    <n v="73.743147167616755"/>
    <s v="A.  PSC Indicator stocks."/>
    <s v="AUC"/>
    <m/>
    <n v="6.5714285714285712"/>
    <n v="16"/>
    <n v="12"/>
    <m/>
    <n v="2"/>
    <n v="1"/>
    <s v="NO"/>
    <n v="1"/>
    <s v="NO"/>
    <n v="2"/>
    <n v="5"/>
    <s v="NO"/>
    <s v="NO"/>
    <n v="3"/>
    <n v="25"/>
    <n v="8"/>
    <n v="2"/>
    <s v="NO"/>
    <s v="UK"/>
    <s v="NO"/>
    <s v="NI"/>
    <s v="NO"/>
    <n v="10"/>
    <n v="2"/>
    <s v="NO"/>
    <n v="25"/>
    <n v="700"/>
    <s v="UK"/>
    <s v="NO"/>
    <s v="UK"/>
    <n v="1000"/>
    <s v="UK"/>
    <n v="600"/>
    <n v="20"/>
    <n v="1500"/>
    <s v="UK"/>
    <n v="750"/>
    <s v="UK"/>
    <n v="750"/>
    <s v="UK"/>
    <n v="750"/>
    <s v="UK"/>
    <n v="1500"/>
    <s v="UK"/>
    <n v="1500"/>
    <s v="NO"/>
    <n v="3500"/>
    <n v="25"/>
    <s v="UK"/>
    <s v="NO"/>
    <s v="NO"/>
    <s v="UK"/>
    <n v="750"/>
    <s v="UK"/>
    <n v="1500"/>
    <s v="NO"/>
    <n v="3500"/>
    <s v="UK"/>
    <n v="400"/>
    <s v="UK"/>
  </r>
  <r>
    <s v="CM-SWVI [10]"/>
    <s v="Southwest Vancouver Island"/>
    <s v="TAHSISH RIVER_Chum"/>
    <x v="0"/>
    <x v="0"/>
    <x v="6"/>
    <x v="163"/>
    <x v="1"/>
    <m/>
    <m/>
    <n v="2"/>
    <n v="11"/>
    <n v="11"/>
    <n v="4068.3788808375079"/>
    <n v="31000"/>
    <n v="6259.6908672010477"/>
    <s v="A.  PSC Indicator stocks."/>
    <s v="AUC"/>
    <s v="Average Esc from 1995-2005 from file: NEW ESCAPEMENT INDEX.XLS"/>
    <n v="4482.545454545455"/>
    <n v="8427"/>
    <n v="555"/>
    <n v="540"/>
    <n v="3661"/>
    <n v="7466"/>
    <n v="13650"/>
    <n v="469"/>
    <n v="6855"/>
    <n v="4250"/>
    <n v="1508"/>
    <n v="2800"/>
    <n v="3803"/>
    <n v="6832"/>
    <n v="11444"/>
    <n v="4320"/>
    <n v="3324"/>
    <n v="3703"/>
    <n v="12500"/>
    <n v="7000"/>
    <n v="17000"/>
    <n v="20000"/>
    <n v="2000"/>
    <n v="1500"/>
    <n v="4500"/>
    <n v="9000"/>
    <n v="15000"/>
    <n v="20000"/>
    <n v="17000"/>
    <n v="8000"/>
    <n v="18000"/>
    <n v="10000"/>
    <n v="10000"/>
    <n v="2000"/>
    <n v="7500"/>
    <n v="5000"/>
    <n v="1500"/>
    <n v="3500"/>
    <n v="7500"/>
    <n v="7500"/>
    <n v="31000"/>
    <n v="15000"/>
    <n v="15000"/>
    <n v="7500"/>
    <n v="3500"/>
    <n v="7500"/>
    <n v="7500"/>
    <n v="3500"/>
    <n v="3500"/>
    <n v="3500"/>
    <n v="3500"/>
    <n v="3500"/>
    <n v="7500"/>
    <n v="15000"/>
    <n v="15000"/>
    <n v="7500"/>
    <n v="3500"/>
    <n v="7500"/>
    <n v="7500"/>
    <n v="15000"/>
  </r>
  <r>
    <s v="CK-NoKy [32]"/>
    <s v="Nootka and Kyuquot"/>
    <s v="TAHSISH RIVER_Chinook"/>
    <x v="1"/>
    <x v="1"/>
    <x v="6"/>
    <x v="163"/>
    <x v="2"/>
    <m/>
    <m/>
    <n v="2"/>
    <n v="11"/>
    <n v="11"/>
    <n v="358.42065755483799"/>
    <n v="3500"/>
    <n v="513.06354128952478"/>
    <s v="A.  PSC Indicator stocks."/>
    <s v="AUC"/>
    <s v="Average Esc from 1995-2005 from file: NEW ESCAPEMENT INDEX.XLS"/>
    <n v="519.27272727272725"/>
    <n v="263"/>
    <n v="355"/>
    <n v="80"/>
    <n v="380"/>
    <n v="234"/>
    <n v="76"/>
    <n v="121"/>
    <n v="495"/>
    <n v="440"/>
    <n v="308"/>
    <n v="237"/>
    <n v="391"/>
    <n v="879"/>
    <n v="1430"/>
    <n v="523"/>
    <n v="288"/>
    <n v="600"/>
    <n v="250"/>
    <n v="250"/>
    <n v="600"/>
    <n v="120"/>
    <n v="200"/>
    <n v="450"/>
    <n v="400"/>
    <n v="500"/>
    <n v="1000"/>
    <n v="1200"/>
    <n v="1500"/>
    <n v="500"/>
    <n v="1000"/>
    <n v="1000"/>
    <n v="200"/>
    <n v="200"/>
    <n v="50"/>
    <n v="100"/>
    <n v="25"/>
    <n v="25"/>
    <n v="1500"/>
    <n v="1500"/>
    <n v="750"/>
    <n v="750"/>
    <n v="1500"/>
    <n v="750"/>
    <n v="1500"/>
    <n v="750"/>
    <n v="1500"/>
    <n v="25"/>
    <n v="1500"/>
    <n v="3500"/>
    <n v="750"/>
    <n v="400"/>
    <n v="750"/>
    <n v="200"/>
    <n v="1500"/>
    <n v="3500"/>
    <n v="3500"/>
    <n v="3500"/>
    <n v="3500"/>
    <n v="3500"/>
  </r>
  <r>
    <s v="CO-WVI [17]"/>
    <s v="West Vancouver Island"/>
    <s v="YAKU RIVER_Coho"/>
    <x v="0"/>
    <x v="0"/>
    <x v="6"/>
    <x v="164"/>
    <x v="0"/>
    <m/>
    <m/>
    <n v="5"/>
    <n v="5"/>
    <n v="0"/>
    <e v="#NUM!"/>
    <n v="75"/>
    <n v="50.248146578660183"/>
    <m/>
    <s v="PL+D or Presence/Absence"/>
    <s v="Chum is the target species. Last surveyed in 2004."/>
    <m/>
    <s v="NI"/>
    <m/>
    <m/>
    <m/>
    <s v="NI"/>
    <s v="NI"/>
    <s v="NI"/>
    <s v="NO"/>
    <s v="NI"/>
    <s v="NO"/>
    <s v="NI"/>
    <s v="NI"/>
    <s v="NI"/>
    <s v="NI"/>
    <s v="NO"/>
    <s v="NO"/>
    <s v="NO"/>
    <s v="UK"/>
    <s v="NO"/>
    <s v="UK"/>
    <s v="NO"/>
    <s v="NI"/>
    <s v="NI"/>
    <s v="NI"/>
    <n v="50"/>
    <n v="75"/>
    <n v="50"/>
    <s v="NO"/>
    <s v="NI"/>
    <s v="NI"/>
    <s v="NI"/>
    <s v="UK"/>
    <s v="UK"/>
    <s v="NO"/>
    <s v="NI"/>
    <s v="NI"/>
    <s v="NI"/>
    <s v="UK"/>
    <s v="UK"/>
    <s v="UK"/>
    <s v="UK"/>
    <s v="UK"/>
    <s v="UK"/>
    <s v="UK"/>
    <s v="UK"/>
    <s v="UK"/>
    <s v="UK"/>
    <s v="UK"/>
    <s v="NI"/>
    <s v="NI"/>
    <s v="UK"/>
    <s v="UK"/>
    <s v="NO"/>
    <s v="UK"/>
    <n v="34"/>
    <s v="NI"/>
    <s v="NI"/>
    <s v="NI"/>
    <s v="NI"/>
  </r>
  <r>
    <s v="CM-SWVI [10]"/>
    <s v="Southwest Vancouver Island"/>
    <s v="YAKU RIVER_Chum"/>
    <x v="0"/>
    <x v="0"/>
    <x v="6"/>
    <x v="164"/>
    <x v="1"/>
    <m/>
    <m/>
    <n v="5"/>
    <n v="5"/>
    <n v="5"/>
    <n v="19.669239166628596"/>
    <n v="1610"/>
    <n v="180.48333728397313"/>
    <m/>
    <s v="PL+D or Presence/Absence"/>
    <s v="Chum is the target species. Last surveyed in 2004."/>
    <n v="73.400000000000006"/>
    <s v="NI"/>
    <m/>
    <m/>
    <m/>
    <s v="NI"/>
    <s v="NI"/>
    <s v="NI"/>
    <n v="320"/>
    <s v="NI"/>
    <n v="23"/>
    <s v="NI"/>
    <s v="NI"/>
    <s v="NI"/>
    <s v="NI"/>
    <n v="4"/>
    <n v="10"/>
    <n v="10"/>
    <n v="30"/>
    <s v="NO"/>
    <n v="500"/>
    <n v="150"/>
    <s v="NI"/>
    <s v="NI"/>
    <s v="NI"/>
    <n v="500"/>
    <n v="1000"/>
    <n v="500"/>
    <s v="NO"/>
    <s v="NI"/>
    <s v="NI"/>
    <s v="NI"/>
    <n v="1500"/>
    <n v="10"/>
    <n v="1000"/>
    <s v="NI"/>
    <s v="NI"/>
    <s v="NI"/>
    <n v="750"/>
    <n v="75"/>
    <n v="200"/>
    <s v="NO"/>
    <n v="200"/>
    <n v="200"/>
    <n v="200"/>
    <n v="400"/>
    <n v="200"/>
    <n v="75"/>
    <n v="200"/>
    <s v="NI"/>
    <s v="NI"/>
    <n v="75"/>
    <n v="750"/>
    <n v="750"/>
    <n v="1500"/>
    <n v="1610"/>
    <s v="NI"/>
    <s v="NI"/>
    <s v="NI"/>
    <s v="NI"/>
  </r>
  <r>
    <s v="CO-Nahwitti [15]"/>
    <s v="Nahwitti Lowland"/>
    <s v="BENSON RIVER_Coho"/>
    <x v="0"/>
    <x v="0"/>
    <x v="7"/>
    <x v="165"/>
    <x v="0"/>
    <m/>
    <m/>
    <n v="3"/>
    <n v="7"/>
    <n v="7"/>
    <n v="101.70332845355685"/>
    <n v="888"/>
    <n v="101.70332845355685"/>
    <m/>
    <s v="AUC estimate providing we get enough surveys if not then PL+D"/>
    <s v="1995 and 2000 data missing. Last survey in 2003."/>
    <n v="212.71428571428572"/>
    <n v="27"/>
    <m/>
    <m/>
    <m/>
    <s v="NI"/>
    <s v="NI"/>
    <s v="NI"/>
    <s v="NI"/>
    <n v="180"/>
    <n v="34"/>
    <n v="45"/>
    <m/>
    <n v="136"/>
    <n v="888"/>
    <n v="18"/>
    <n v="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NWVI [33]"/>
    <s v="Northwest Vancouver Island"/>
    <s v="BENSON RIVER_Chinook"/>
    <x v="0"/>
    <x v="0"/>
    <x v="7"/>
    <x v="165"/>
    <x v="2"/>
    <m/>
    <m/>
    <n v="3"/>
    <n v="7"/>
    <n v="3"/>
    <n v="5.6568542494923797"/>
    <n v="8"/>
    <n v="5.6568542494923797"/>
    <m/>
    <s v="AUC estimate providing we get enough surveys if not then PL+D"/>
    <s v="1995 and 2000 data missing. Last survey in 2003."/>
    <n v="6"/>
    <n v="2"/>
    <m/>
    <m/>
    <m/>
    <s v="NI"/>
    <s v="NI"/>
    <s v="NI"/>
    <s v="NI"/>
    <n v="4"/>
    <s v="NO"/>
    <s v="NO"/>
    <m/>
    <s v="NO"/>
    <n v="8"/>
    <s v="NO"/>
    <s v="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K-NWVI [11]"/>
    <s v="Northwest Vancouver Island"/>
    <s v="COLONIAL/CAYEGHLE CREEKS_Sockeye"/>
    <x v="0"/>
    <x v="0"/>
    <x v="7"/>
    <x v="166"/>
    <x v="3"/>
    <m/>
    <m/>
    <n v="3"/>
    <n v="10"/>
    <n v="10"/>
    <n v="9.3441518523275384"/>
    <n v="62"/>
    <n v="9.3441518523275384"/>
    <s v="C.  Other systems surveyed extensively since 1995, but due to lack of historic info, not included in expanded group (B)"/>
    <s v="AUC"/>
    <s v="2005 data missing."/>
    <n v="19.142857142857142"/>
    <s v="NO"/>
    <n v="1"/>
    <n v="1"/>
    <s v="NO"/>
    <s v="NO"/>
    <s v="NO"/>
    <m/>
    <s v="NO"/>
    <s v="NO"/>
    <n v="11"/>
    <n v="15"/>
    <n v="4"/>
    <n v="2"/>
    <n v="38"/>
    <n v="62"/>
    <s v="NO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-Nahwitti [15]"/>
    <s v="Nahwitti Lowland"/>
    <s v="COLONIAL/CAYEGHLE CREEKS_Coho"/>
    <x v="0"/>
    <x v="0"/>
    <x v="7"/>
    <x v="166"/>
    <x v="0"/>
    <m/>
    <m/>
    <n v="3"/>
    <n v="10"/>
    <n v="10"/>
    <n v="742.4993489280389"/>
    <n v="3541"/>
    <n v="742.4993489280389"/>
    <s v="C.  Other systems surveyed extensively since 1995, but due to lack of historic info, not included in expanded group (B)"/>
    <s v="AUC"/>
    <s v="2005 data missing."/>
    <n v="1239.5999999999999"/>
    <n v="1172"/>
    <n v="885"/>
    <n v="375"/>
    <n v="476"/>
    <n v="203"/>
    <n v="458"/>
    <m/>
    <n v="2849"/>
    <n v="798"/>
    <n v="672"/>
    <n v="501"/>
    <n v="971"/>
    <n v="1597"/>
    <n v="3541"/>
    <n v="467"/>
    <n v="60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kodd-Nahwitti [5]"/>
    <s v="Nahwitti Lowlands"/>
    <s v="COLONIAL/CAYEGHLE CREEKS_Pink"/>
    <x v="0"/>
    <x v="0"/>
    <x v="7"/>
    <x v="166"/>
    <x v="4"/>
    <m/>
    <m/>
    <n v="3"/>
    <n v="10"/>
    <n v="4"/>
    <n v="4.6439843790034585"/>
    <n v="30"/>
    <n v="4.6439843790034585"/>
    <s v="C.  Other systems surveyed extensively since 1995, but due to lack of historic info, not included in expanded group (B)"/>
    <s v="AUC"/>
    <s v="2005 data missing."/>
    <n v="11"/>
    <n v="2"/>
    <m/>
    <m/>
    <s v="NO"/>
    <n v="1"/>
    <s v="NO"/>
    <m/>
    <s v="NO"/>
    <s v="NO"/>
    <n v="30"/>
    <n v="6"/>
    <s v="NO"/>
    <s v="NO"/>
    <n v="6"/>
    <n v="2"/>
    <s v="NO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-NWVI [11]"/>
    <s v="Northwest Vancouver Island"/>
    <s v="COLONIAL/CAYEGHLE CREEKS_Chum"/>
    <x v="0"/>
    <x v="0"/>
    <x v="7"/>
    <x v="166"/>
    <x v="1"/>
    <m/>
    <m/>
    <n v="3"/>
    <n v="10"/>
    <n v="10"/>
    <n v="5837.6625797493371"/>
    <n v="18385"/>
    <n v="5837.6625797493371"/>
    <s v="C.  Other systems surveyed extensively since 1995, but due to lack of historic info, not included in expanded group (B)"/>
    <s v="AUC"/>
    <s v="2005 data missing."/>
    <n v="7888.2"/>
    <n v="16254"/>
    <n v="6125"/>
    <n v="12460"/>
    <n v="15755"/>
    <n v="4044"/>
    <n v="2601"/>
    <m/>
    <n v="13572"/>
    <n v="3528"/>
    <n v="5902"/>
    <n v="823"/>
    <n v="4141"/>
    <n v="11678"/>
    <n v="18385"/>
    <n v="6353"/>
    <n v="10500"/>
    <n v="4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K-NWVI [33]"/>
    <s v="Northwest Vancouver Island"/>
    <s v="COLONIAL/CAYEGHLE CREEKS_Chinook"/>
    <x v="0"/>
    <x v="1"/>
    <x v="7"/>
    <x v="166"/>
    <x v="2"/>
    <m/>
    <m/>
    <n v="3"/>
    <n v="8"/>
    <n v="8"/>
    <n v="258.23654259533402"/>
    <n v="1369"/>
    <n v="258.23654259533402"/>
    <s v="C.  Other systems surveyed extensively since 1995, but due to lack of historic info, not included in expanded group (B)"/>
    <s v="AUC"/>
    <s v="2005 data missing."/>
    <n v="468.8"/>
    <n v="409"/>
    <n v="520"/>
    <n v="630"/>
    <n v="155"/>
    <n v="168"/>
    <n v="321"/>
    <m/>
    <n v="1369"/>
    <n v="600"/>
    <n v="383"/>
    <n v="571"/>
    <n v="530"/>
    <n v="883"/>
    <n v="171"/>
    <n v="36"/>
    <n v="70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K-L-13-1"/>
    <s v="Alice"/>
    <s v="MARBLE RIVER_Sockeye"/>
    <x v="0"/>
    <x v="0"/>
    <x v="7"/>
    <x v="167"/>
    <x v="3"/>
    <m/>
    <m/>
    <n v="2"/>
    <n v="11"/>
    <n v="2"/>
    <n v="1.7320508075688774"/>
    <n v="2000"/>
    <n v="143.00057571866478"/>
    <s v="A.  PSC Indicator stocks."/>
    <s v="AUC"/>
    <s v="Includes the Link River"/>
    <n v="2"/>
    <s v="NO"/>
    <m/>
    <m/>
    <s v="NO"/>
    <s v="NO"/>
    <s v="NO"/>
    <s v="NO"/>
    <s v="NO"/>
    <s v="NO"/>
    <s v="NO"/>
    <s v="NO"/>
    <s v="NO"/>
    <n v="1"/>
    <n v="3"/>
    <s v="NO"/>
    <s v="NO"/>
    <s v="NO"/>
    <s v="NO"/>
    <s v="UK"/>
    <s v="NO"/>
    <s v="NO"/>
    <s v="NO"/>
    <s v="NO"/>
    <n v="10"/>
    <n v="20"/>
    <s v="NO"/>
    <n v="50"/>
    <s v="NO"/>
    <s v="UK"/>
    <n v="40"/>
    <n v="2000"/>
    <s v="NO"/>
    <n v="200"/>
    <n v="750"/>
    <n v="350"/>
    <n v="200"/>
    <n v="300"/>
    <n v="100"/>
    <s v="NO"/>
    <s v="NO"/>
    <n v="200"/>
    <s v="NO"/>
    <n v="75"/>
    <n v="600"/>
    <n v="750"/>
    <n v="400"/>
    <n v="25"/>
    <n v="2000"/>
    <n v="200"/>
    <n v="400"/>
    <n v="25"/>
    <n v="20"/>
    <n v="100"/>
    <n v="100"/>
    <n v="800"/>
    <n v="1000"/>
    <n v="700"/>
    <n v="2000"/>
    <s v="NI"/>
  </r>
  <r>
    <s v="CO-Nahwitti [15]"/>
    <s v="Nahwitti Lowland"/>
    <s v="MARBLE RIVER_Coho"/>
    <x v="0"/>
    <x v="0"/>
    <x v="7"/>
    <x v="167"/>
    <x v="0"/>
    <m/>
    <m/>
    <n v="2"/>
    <n v="11"/>
    <n v="11"/>
    <n v="1241.256069669035"/>
    <n v="20000"/>
    <n v="1877.8576987952049"/>
    <s v="A.  PSC Indicator stocks."/>
    <s v="AUC"/>
    <s v="Includes the Link River"/>
    <n v="1127.2727272727273"/>
    <n v="2788"/>
    <n v="2020"/>
    <n v="4135"/>
    <n v="1547"/>
    <n v="1182"/>
    <n v="6393"/>
    <n v="581"/>
    <n v="1458"/>
    <n v="1242"/>
    <n v="849"/>
    <n v="1145"/>
    <n v="1425"/>
    <n v="852"/>
    <n v="1634"/>
    <n v="638"/>
    <n v="743"/>
    <n v="1833"/>
    <s v="UK"/>
    <n v="500"/>
    <n v="700"/>
    <n v="955"/>
    <n v="2434"/>
    <n v="900"/>
    <n v="780"/>
    <n v="1250"/>
    <n v="3500"/>
    <n v="1750"/>
    <n v="700"/>
    <n v="1000"/>
    <n v="1000"/>
    <n v="4000"/>
    <n v="2000"/>
    <n v="15000"/>
    <n v="7500"/>
    <n v="8000"/>
    <n v="3500"/>
    <n v="1500"/>
    <n v="3500"/>
    <n v="5000"/>
    <n v="5000"/>
    <n v="6000"/>
    <n v="7500"/>
    <n v="7500"/>
    <n v="14000"/>
    <n v="750"/>
    <n v="7500"/>
    <n v="13000"/>
    <n v="20000"/>
    <n v="1500"/>
    <n v="1000"/>
    <n v="1500"/>
    <n v="110"/>
    <n v="700"/>
    <n v="4000"/>
    <n v="800"/>
    <n v="1000"/>
    <n v="750"/>
    <n v="1000"/>
    <s v="NI"/>
  </r>
  <r>
    <s v="Pkodd-Nahwitti [5]"/>
    <s v="Nahwitti Lowlands"/>
    <s v="MARBLE RIVER_Pink"/>
    <x v="0"/>
    <x v="0"/>
    <x v="7"/>
    <x v="167"/>
    <x v="4"/>
    <m/>
    <m/>
    <n v="2"/>
    <n v="11"/>
    <n v="2"/>
    <n v="1"/>
    <n v="1500"/>
    <n v="34.07716031211983"/>
    <s v="A.  PSC Indicator stocks."/>
    <s v="AUC"/>
    <s v="Includes the Link River"/>
    <n v="1"/>
    <s v="NO"/>
    <n v="1"/>
    <m/>
    <m/>
    <n v="1"/>
    <n v="1"/>
    <s v="NO"/>
    <s v="NO"/>
    <n v="1"/>
    <n v="1"/>
    <s v="NO"/>
    <s v="NO"/>
    <s v="NO"/>
    <s v="NO"/>
    <s v="NO"/>
    <s v="NO"/>
    <s v="NO"/>
    <s v="NO"/>
    <s v="UK"/>
    <s v="NO"/>
    <s v="NO"/>
    <n v="300"/>
    <s v="NO"/>
    <s v="NO"/>
    <s v="UK"/>
    <n v="100"/>
    <n v="20"/>
    <s v="NO"/>
    <s v="NO"/>
    <n v="30"/>
    <s v="UK"/>
    <s v="NO"/>
    <s v="UK"/>
    <n v="750"/>
    <s v="UK"/>
    <s v="UK"/>
    <n v="75"/>
    <s v="UK"/>
    <s v="UK"/>
    <s v="UK"/>
    <s v="NO"/>
    <s v="UK"/>
    <s v="NO"/>
    <n v="150"/>
    <s v="UK"/>
    <s v="UK"/>
    <n v="25"/>
    <n v="1500"/>
    <s v="UK"/>
    <s v="UK"/>
    <s v="UK"/>
    <s v="UK"/>
    <s v="UK"/>
    <s v="UK"/>
    <s v="UK"/>
    <s v="UK"/>
    <s v="UK"/>
    <n v="500"/>
    <s v="NI"/>
  </r>
  <r>
    <s v="CM-NWVI [11]"/>
    <s v="Northwest Vancouver Island"/>
    <s v="MARBLE RIVER_Chum"/>
    <x v="0"/>
    <x v="0"/>
    <x v="7"/>
    <x v="167"/>
    <x v="1"/>
    <m/>
    <m/>
    <n v="2"/>
    <n v="11"/>
    <n v="6"/>
    <n v="25.443577019193263"/>
    <n v="5000"/>
    <n v="334.03233095171851"/>
    <s v="A.  PSC Indicator stocks."/>
    <s v="AUC"/>
    <s v="Includes the Link River"/>
    <n v="650.4"/>
    <s v="NO"/>
    <n v="2"/>
    <n v="1"/>
    <s v="NO"/>
    <s v="NO"/>
    <n v="2"/>
    <s v="NO"/>
    <n v="2188"/>
    <n v="62"/>
    <n v="1"/>
    <s v="NO"/>
    <n v="1"/>
    <s v="NO"/>
    <s v="AP"/>
    <s v="NO"/>
    <s v="NO"/>
    <n v="1000"/>
    <s v="UK"/>
    <n v="600"/>
    <n v="5000"/>
    <n v="750"/>
    <n v="350"/>
    <n v="300"/>
    <n v="1500"/>
    <n v="1500"/>
    <n v="3000"/>
    <n v="100"/>
    <n v="1000"/>
    <n v="500"/>
    <n v="1000"/>
    <n v="2000"/>
    <s v="NO"/>
    <n v="75"/>
    <n v="1500"/>
    <n v="1500"/>
    <n v="750"/>
    <n v="75"/>
    <n v="750"/>
    <n v="4000"/>
    <n v="2000"/>
    <n v="900"/>
    <n v="750"/>
    <n v="200"/>
    <n v="250"/>
    <n v="25"/>
    <s v="NO"/>
    <n v="25"/>
    <n v="300"/>
    <n v="400"/>
    <n v="100"/>
    <s v="UK"/>
    <s v="NO"/>
    <n v="200"/>
    <n v="500"/>
    <n v="400"/>
    <n v="1000"/>
    <n v="400"/>
    <n v="1000"/>
    <s v="NI"/>
  </r>
  <r>
    <s v="CK-NWVI [33]"/>
    <s v="Northwest Vancouver Island"/>
    <s v="MARBLE RIVER_Chinook"/>
    <x v="1"/>
    <x v="1"/>
    <x v="7"/>
    <x v="167"/>
    <x v="2"/>
    <m/>
    <m/>
    <n v="2"/>
    <n v="11"/>
    <n v="11"/>
    <n v="2510.9637994659656"/>
    <n v="7500"/>
    <n v="1074.0910421520909"/>
    <s v="A.  PSC Indicator stocks."/>
    <s v="AUC"/>
    <s v="Average Esc from 1995-2005 from file: NEW ESCAPEMENT INDEX.XLS.  Includes the Link River"/>
    <n v="2682.7272727272725"/>
    <n v="3905"/>
    <n v="3560"/>
    <n v="3440"/>
    <n v="2298"/>
    <n v="2764"/>
    <n v="3071"/>
    <n v="2337"/>
    <n v="3658"/>
    <n v="1554"/>
    <n v="1958"/>
    <n v="1450"/>
    <n v="2282"/>
    <n v="3985"/>
    <n v="4821"/>
    <n v="2424"/>
    <n v="3655"/>
    <n v="1386"/>
    <n v="650"/>
    <n v="2000"/>
    <n v="800"/>
    <n v="710"/>
    <n v="1973"/>
    <n v="4181"/>
    <n v="3275"/>
    <n v="1750"/>
    <n v="1100"/>
    <n v="1250"/>
    <n v="600"/>
    <n v="1000"/>
    <n v="5000"/>
    <n v="3000"/>
    <n v="5000"/>
    <n v="750"/>
    <n v="1500"/>
    <n v="950"/>
    <n v="400"/>
    <n v="400"/>
    <n v="400"/>
    <n v="200"/>
    <n v="600"/>
    <n v="600"/>
    <n v="400"/>
    <n v="200"/>
    <n v="200"/>
    <n v="200"/>
    <n v="200"/>
    <n v="200"/>
    <n v="3000"/>
    <n v="400"/>
    <n v="1500"/>
    <n v="200"/>
    <n v="40"/>
    <n v="250"/>
    <n v="100"/>
    <n v="3500"/>
    <n v="5000"/>
    <n v="2000"/>
    <n v="7500"/>
    <s v="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0" dataOnRows="1" applyNumberFormats="0" applyBorderFormats="0" applyFontFormats="0" applyPatternFormats="0" applyAlignmentFormats="0" applyWidthHeightFormats="1" dataCaption="Data" updatedVersion="4" asteriskTotals="1" showMemberPropertyTips="0" useAutoFormatting="1" itemPrintTitles="1" createdVersion="1" indent="0" compact="0" compactData="0" gridDropZones="1">
  <location ref="A5:C175" firstHeaderRow="2" firstDataRow="2" firstDataCol="2"/>
  <pivotFields count="7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rankBy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dataField="1" compact="0" outline="0" subtotalTop="0" showAll="0" includeNewItemsInFilter="1" defaultSubtotal="0">
      <items count="171">
        <item x="149"/>
        <item x="71"/>
        <item x="150"/>
        <item x="72"/>
        <item x="0"/>
        <item x="1"/>
        <item x="73"/>
        <item x="113"/>
        <item x="21"/>
        <item x="74"/>
        <item x="75"/>
        <item x="165"/>
        <item x="114"/>
        <item m="1" x="168"/>
        <item x="115"/>
        <item x="76"/>
        <item x="116"/>
        <item x="151"/>
        <item x="22"/>
        <item x="16"/>
        <item x="23"/>
        <item x="117"/>
        <item x="13"/>
        <item x="24"/>
        <item x="25"/>
        <item x="26"/>
        <item x="17"/>
        <item x="77"/>
        <item x="152"/>
        <item x="2"/>
        <item x="14"/>
        <item x="27"/>
        <item x="28"/>
        <item x="118"/>
        <item x="153"/>
        <item x="78"/>
        <item x="29"/>
        <item x="79"/>
        <item x="30"/>
        <item x="80"/>
        <item x="31"/>
        <item x="166"/>
        <item x="81"/>
        <item x="32"/>
        <item x="119"/>
        <item x="120"/>
        <item x="33"/>
        <item x="82"/>
        <item x="83"/>
        <item x="3"/>
        <item x="34"/>
        <item x="121"/>
        <item x="18"/>
        <item x="35"/>
        <item x="36"/>
        <item x="154"/>
        <item x="37"/>
        <item x="155"/>
        <item x="122"/>
        <item x="123"/>
        <item x="4"/>
        <item x="38"/>
        <item x="39"/>
        <item x="84"/>
        <item x="124"/>
        <item x="5"/>
        <item x="125"/>
        <item x="126"/>
        <item x="6"/>
        <item x="7"/>
        <item x="40"/>
        <item x="85"/>
        <item x="86"/>
        <item x="87"/>
        <item x="88"/>
        <item x="89"/>
        <item x="90"/>
        <item x="41"/>
        <item x="19"/>
        <item x="127"/>
        <item x="42"/>
        <item x="91"/>
        <item x="92"/>
        <item x="93"/>
        <item m="1" x="169"/>
        <item x="43"/>
        <item x="156"/>
        <item x="157"/>
        <item x="158"/>
        <item x="159"/>
        <item x="130"/>
        <item x="94"/>
        <item x="95"/>
        <item x="96"/>
        <item x="97"/>
        <item x="44"/>
        <item x="15"/>
        <item x="131"/>
        <item x="98"/>
        <item x="132"/>
        <item x="8"/>
        <item x="45"/>
        <item x="46"/>
        <item x="99"/>
        <item x="133"/>
        <item x="134"/>
        <item x="100"/>
        <item x="47"/>
        <item x="48"/>
        <item x="49"/>
        <item x="160"/>
        <item x="135"/>
        <item x="167"/>
        <item x="136"/>
        <item x="137"/>
        <item x="101"/>
        <item x="50"/>
        <item x="138"/>
        <item x="139"/>
        <item x="9"/>
        <item x="102"/>
        <item x="140"/>
        <item x="10"/>
        <item x="51"/>
        <item x="161"/>
        <item x="20"/>
        <item x="141"/>
        <item x="162"/>
        <item x="52"/>
        <item x="142"/>
        <item x="53"/>
        <item x="143"/>
        <item x="54"/>
        <item x="55"/>
        <item x="11"/>
        <item x="103"/>
        <item x="56"/>
        <item x="12"/>
        <item x="104"/>
        <item x="105"/>
        <item x="57"/>
        <item x="58"/>
        <item x="59"/>
        <item x="60"/>
        <item x="61"/>
        <item m="1" x="170"/>
        <item x="144"/>
        <item x="62"/>
        <item x="106"/>
        <item x="107"/>
        <item x="145"/>
        <item x="163"/>
        <item x="63"/>
        <item x="146"/>
        <item x="108"/>
        <item x="64"/>
        <item x="109"/>
        <item x="147"/>
        <item x="65"/>
        <item x="66"/>
        <item x="67"/>
        <item x="68"/>
        <item x="69"/>
        <item x="70"/>
        <item x="110"/>
        <item x="111"/>
        <item x="112"/>
        <item x="164"/>
        <item x="148"/>
        <item x="128"/>
        <item x="129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69">
    <i>
      <x/>
      <x v="6"/>
    </i>
    <i>
      <x v="1"/>
      <x v="4"/>
    </i>
    <i>
      <x v="2"/>
      <x v="6"/>
    </i>
    <i>
      <x v="3"/>
      <x v="4"/>
    </i>
    <i>
      <x v="4"/>
      <x/>
    </i>
    <i>
      <x v="5"/>
      <x/>
    </i>
    <i>
      <x v="6"/>
      <x v="4"/>
    </i>
    <i>
      <x v="7"/>
      <x v="5"/>
    </i>
    <i>
      <x v="8"/>
      <x v="3"/>
    </i>
    <i>
      <x v="9"/>
      <x v="4"/>
    </i>
    <i>
      <x v="10"/>
      <x v="4"/>
    </i>
    <i>
      <x v="11"/>
      <x v="7"/>
    </i>
    <i>
      <x v="12"/>
      <x v="5"/>
    </i>
    <i>
      <x v="14"/>
      <x v="5"/>
    </i>
    <i>
      <x v="15"/>
      <x v="4"/>
    </i>
    <i>
      <x v="16"/>
      <x v="5"/>
    </i>
    <i>
      <x v="17"/>
      <x v="6"/>
    </i>
    <i>
      <x v="18"/>
      <x v="3"/>
    </i>
    <i>
      <x v="19"/>
      <x v="2"/>
    </i>
    <i>
      <x v="20"/>
      <x v="3"/>
    </i>
    <i>
      <x v="21"/>
      <x v="5"/>
    </i>
    <i>
      <x v="22"/>
      <x v="1"/>
    </i>
    <i>
      <x v="23"/>
      <x v="3"/>
    </i>
    <i>
      <x v="24"/>
      <x v="3"/>
    </i>
    <i>
      <x v="25"/>
      <x v="3"/>
    </i>
    <i>
      <x v="26"/>
      <x v="2"/>
    </i>
    <i>
      <x v="27"/>
      <x v="4"/>
    </i>
    <i>
      <x v="28"/>
      <x v="6"/>
    </i>
    <i>
      <x v="29"/>
      <x/>
    </i>
    <i>
      <x v="30"/>
      <x v="1"/>
    </i>
    <i>
      <x v="31"/>
      <x v="3"/>
    </i>
    <i>
      <x v="32"/>
      <x v="3"/>
    </i>
    <i>
      <x v="33"/>
      <x v="5"/>
    </i>
    <i>
      <x v="34"/>
      <x v="6"/>
    </i>
    <i>
      <x v="35"/>
      <x v="4"/>
    </i>
    <i>
      <x v="36"/>
      <x v="3"/>
    </i>
    <i>
      <x v="37"/>
      <x v="4"/>
    </i>
    <i>
      <x v="38"/>
      <x v="3"/>
    </i>
    <i>
      <x v="39"/>
      <x v="4"/>
    </i>
    <i>
      <x v="40"/>
      <x v="3"/>
    </i>
    <i>
      <x v="41"/>
      <x v="7"/>
    </i>
    <i>
      <x v="42"/>
      <x v="4"/>
    </i>
    <i>
      <x v="43"/>
      <x v="3"/>
    </i>
    <i>
      <x v="44"/>
      <x v="5"/>
    </i>
    <i>
      <x v="45"/>
      <x v="5"/>
    </i>
    <i>
      <x v="46"/>
      <x v="3"/>
    </i>
    <i>
      <x v="47"/>
      <x v="4"/>
    </i>
    <i>
      <x v="48"/>
      <x v="4"/>
    </i>
    <i>
      <x v="49"/>
      <x/>
    </i>
    <i>
      <x v="50"/>
      <x v="3"/>
    </i>
    <i>
      <x v="51"/>
      <x v="5"/>
    </i>
    <i>
      <x v="52"/>
      <x v="2"/>
    </i>
    <i>
      <x v="53"/>
      <x v="3"/>
    </i>
    <i>
      <x v="54"/>
      <x v="3"/>
    </i>
    <i>
      <x v="55"/>
      <x v="6"/>
    </i>
    <i>
      <x v="56"/>
      <x v="3"/>
    </i>
    <i>
      <x v="57"/>
      <x v="6"/>
    </i>
    <i>
      <x v="58"/>
      <x v="5"/>
    </i>
    <i>
      <x v="59"/>
      <x v="5"/>
    </i>
    <i>
      <x v="60"/>
      <x/>
    </i>
    <i>
      <x v="61"/>
      <x v="3"/>
    </i>
    <i>
      <x v="62"/>
      <x v="3"/>
    </i>
    <i>
      <x v="63"/>
      <x v="4"/>
    </i>
    <i>
      <x v="64"/>
      <x v="5"/>
    </i>
    <i>
      <x v="65"/>
      <x/>
    </i>
    <i>
      <x v="66"/>
      <x v="5"/>
    </i>
    <i>
      <x v="67"/>
      <x v="5"/>
    </i>
    <i>
      <x v="68"/>
      <x/>
    </i>
    <i>
      <x v="69"/>
      <x/>
    </i>
    <i>
      <x v="70"/>
      <x v="3"/>
    </i>
    <i>
      <x v="71"/>
      <x v="4"/>
    </i>
    <i>
      <x v="72"/>
      <x v="4"/>
    </i>
    <i>
      <x v="73"/>
      <x v="4"/>
    </i>
    <i>
      <x v="74"/>
      <x v="4"/>
    </i>
    <i>
      <x v="75"/>
      <x v="4"/>
    </i>
    <i>
      <x v="76"/>
      <x v="4"/>
    </i>
    <i>
      <x v="77"/>
      <x v="3"/>
    </i>
    <i>
      <x v="78"/>
      <x v="2"/>
    </i>
    <i>
      <x v="79"/>
      <x v="5"/>
    </i>
    <i>
      <x v="80"/>
      <x v="3"/>
    </i>
    <i>
      <x v="81"/>
      <x v="4"/>
    </i>
    <i>
      <x v="82"/>
      <x v="4"/>
    </i>
    <i>
      <x v="83"/>
      <x v="4"/>
    </i>
    <i>
      <x v="85"/>
      <x v="3"/>
    </i>
    <i>
      <x v="86"/>
      <x v="6"/>
    </i>
    <i>
      <x v="87"/>
      <x v="6"/>
    </i>
    <i>
      <x v="88"/>
      <x v="6"/>
    </i>
    <i>
      <x v="89"/>
      <x v="6"/>
    </i>
    <i>
      <x v="90"/>
      <x v="5"/>
    </i>
    <i>
      <x v="91"/>
      <x v="4"/>
    </i>
    <i>
      <x v="92"/>
      <x v="4"/>
    </i>
    <i>
      <x v="93"/>
      <x v="4"/>
    </i>
    <i>
      <x v="94"/>
      <x v="4"/>
    </i>
    <i>
      <x v="95"/>
      <x v="3"/>
    </i>
    <i>
      <x v="96"/>
      <x v="1"/>
    </i>
    <i>
      <x v="97"/>
      <x v="5"/>
    </i>
    <i>
      <x v="98"/>
      <x v="4"/>
    </i>
    <i>
      <x v="99"/>
      <x v="5"/>
    </i>
    <i>
      <x v="100"/>
      <x/>
    </i>
    <i>
      <x v="101"/>
      <x v="3"/>
    </i>
    <i>
      <x v="102"/>
      <x v="3"/>
    </i>
    <i>
      <x v="103"/>
      <x v="4"/>
    </i>
    <i>
      <x v="104"/>
      <x v="5"/>
    </i>
    <i>
      <x v="105"/>
      <x v="5"/>
    </i>
    <i>
      <x v="106"/>
      <x v="4"/>
    </i>
    <i>
      <x v="107"/>
      <x v="3"/>
    </i>
    <i>
      <x v="108"/>
      <x v="3"/>
    </i>
    <i>
      <x v="109"/>
      <x v="3"/>
    </i>
    <i>
      <x v="110"/>
      <x v="6"/>
    </i>
    <i>
      <x v="111"/>
      <x v="5"/>
    </i>
    <i>
      <x v="112"/>
      <x v="7"/>
    </i>
    <i>
      <x v="113"/>
      <x v="5"/>
    </i>
    <i>
      <x v="114"/>
      <x v="5"/>
    </i>
    <i>
      <x v="115"/>
      <x v="4"/>
    </i>
    <i>
      <x v="116"/>
      <x v="3"/>
    </i>
    <i>
      <x v="117"/>
      <x v="5"/>
    </i>
    <i>
      <x v="118"/>
      <x v="5"/>
    </i>
    <i>
      <x v="119"/>
      <x/>
    </i>
    <i>
      <x v="120"/>
      <x v="4"/>
    </i>
    <i>
      <x v="121"/>
      <x v="5"/>
    </i>
    <i>
      <x v="122"/>
      <x/>
    </i>
    <i>
      <x v="123"/>
      <x v="3"/>
    </i>
    <i>
      <x v="124"/>
      <x v="6"/>
    </i>
    <i>
      <x v="125"/>
      <x v="2"/>
    </i>
    <i>
      <x v="126"/>
      <x v="5"/>
    </i>
    <i>
      <x v="127"/>
      <x v="6"/>
    </i>
    <i>
      <x v="128"/>
      <x v="3"/>
    </i>
    <i>
      <x v="129"/>
      <x v="5"/>
    </i>
    <i>
      <x v="130"/>
      <x v="3"/>
    </i>
    <i>
      <x v="131"/>
      <x v="5"/>
    </i>
    <i>
      <x v="132"/>
      <x v="3"/>
    </i>
    <i>
      <x v="133"/>
      <x v="3"/>
    </i>
    <i>
      <x v="134"/>
      <x/>
    </i>
    <i>
      <x v="135"/>
      <x v="4"/>
    </i>
    <i>
      <x v="136"/>
      <x v="3"/>
    </i>
    <i>
      <x v="137"/>
      <x/>
    </i>
    <i>
      <x v="138"/>
      <x v="4"/>
    </i>
    <i>
      <x v="139"/>
      <x v="4"/>
    </i>
    <i>
      <x v="140"/>
      <x v="3"/>
    </i>
    <i>
      <x v="141"/>
      <x v="3"/>
    </i>
    <i>
      <x v="142"/>
      <x v="3"/>
    </i>
    <i>
      <x v="143"/>
      <x v="3"/>
    </i>
    <i>
      <x v="144"/>
      <x v="3"/>
    </i>
    <i>
      <x v="146"/>
      <x v="5"/>
    </i>
    <i>
      <x v="147"/>
      <x v="3"/>
    </i>
    <i>
      <x v="148"/>
      <x v="4"/>
    </i>
    <i>
      <x v="149"/>
      <x v="4"/>
    </i>
    <i>
      <x v="150"/>
      <x v="5"/>
    </i>
    <i>
      <x v="151"/>
      <x v="6"/>
    </i>
    <i>
      <x v="152"/>
      <x v="3"/>
    </i>
    <i>
      <x v="153"/>
      <x v="5"/>
    </i>
    <i>
      <x v="154"/>
      <x v="4"/>
    </i>
    <i>
      <x v="155"/>
      <x v="3"/>
    </i>
    <i>
      <x v="156"/>
      <x v="4"/>
    </i>
    <i>
      <x v="157"/>
      <x v="5"/>
    </i>
    <i>
      <x v="158"/>
      <x v="3"/>
    </i>
    <i>
      <x v="159"/>
      <x v="3"/>
    </i>
    <i>
      <x v="160"/>
      <x v="3"/>
    </i>
    <i>
      <x v="161"/>
      <x v="3"/>
    </i>
    <i>
      <x v="162"/>
      <x v="3"/>
    </i>
    <i>
      <x v="163"/>
      <x v="3"/>
    </i>
    <i>
      <x v="164"/>
      <x v="4"/>
    </i>
    <i>
      <x v="165"/>
      <x v="4"/>
    </i>
    <i>
      <x v="166"/>
      <x v="4"/>
    </i>
    <i>
      <x v="167"/>
      <x v="6"/>
    </i>
    <i>
      <x v="168"/>
      <x v="5"/>
    </i>
    <i>
      <x v="169"/>
      <x v="5"/>
    </i>
    <i>
      <x v="170"/>
      <x v="5"/>
    </i>
    <i t="grand">
      <x/>
    </i>
  </rowItems>
  <colItems count="1">
    <i/>
  </colItems>
  <dataFields count="1">
    <dataField name="Count of Stream Name" fld="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J5:L21" firstHeaderRow="2" firstDataRow="2" firstDataCol="2" rowPageCount="1" colPageCount="1"/>
  <pivotFields count="7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8">
        <item x="1"/>
        <item x="2"/>
        <item x="0"/>
        <item x="3"/>
        <item x="4"/>
        <item x="5"/>
        <item x="6"/>
        <item x="7"/>
      </items>
    </pivotField>
    <pivotField axis="axisRow" dataField="1" compact="0" outline="0" subtotalTop="0" showAll="0" includeNewItemsInFilter="1" defaultSubtotal="0">
      <items count="171">
        <item x="149"/>
        <item x="71"/>
        <item x="150"/>
        <item x="72"/>
        <item x="0"/>
        <item x="1"/>
        <item x="73"/>
        <item x="113"/>
        <item x="21"/>
        <item x="74"/>
        <item x="75"/>
        <item x="165"/>
        <item x="114"/>
        <item m="1" x="168"/>
        <item x="115"/>
        <item x="76"/>
        <item x="116"/>
        <item x="151"/>
        <item x="22"/>
        <item x="16"/>
        <item x="23"/>
        <item x="117"/>
        <item x="13"/>
        <item x="24"/>
        <item x="25"/>
        <item x="26"/>
        <item x="17"/>
        <item x="77"/>
        <item x="152"/>
        <item x="2"/>
        <item x="14"/>
        <item x="27"/>
        <item x="28"/>
        <item x="118"/>
        <item x="153"/>
        <item x="78"/>
        <item x="29"/>
        <item x="79"/>
        <item x="30"/>
        <item x="80"/>
        <item x="31"/>
        <item x="166"/>
        <item x="81"/>
        <item x="32"/>
        <item x="119"/>
        <item x="120"/>
        <item x="33"/>
        <item x="82"/>
        <item x="83"/>
        <item x="3"/>
        <item x="34"/>
        <item x="121"/>
        <item x="18"/>
        <item x="35"/>
        <item x="36"/>
        <item x="154"/>
        <item x="37"/>
        <item x="155"/>
        <item x="122"/>
        <item x="123"/>
        <item x="4"/>
        <item x="38"/>
        <item x="39"/>
        <item x="84"/>
        <item x="124"/>
        <item x="5"/>
        <item x="125"/>
        <item x="126"/>
        <item x="6"/>
        <item x="7"/>
        <item x="40"/>
        <item x="85"/>
        <item x="86"/>
        <item x="87"/>
        <item x="88"/>
        <item x="89"/>
        <item x="90"/>
        <item x="41"/>
        <item x="19"/>
        <item x="127"/>
        <item x="42"/>
        <item x="91"/>
        <item x="92"/>
        <item x="93"/>
        <item m="1" x="169"/>
        <item x="43"/>
        <item x="156"/>
        <item x="157"/>
        <item x="158"/>
        <item x="159"/>
        <item x="130"/>
        <item x="94"/>
        <item x="95"/>
        <item x="96"/>
        <item x="97"/>
        <item x="44"/>
        <item x="15"/>
        <item x="131"/>
        <item x="98"/>
        <item x="132"/>
        <item x="8"/>
        <item x="45"/>
        <item x="46"/>
        <item x="99"/>
        <item x="133"/>
        <item x="134"/>
        <item x="100"/>
        <item x="47"/>
        <item x="48"/>
        <item x="49"/>
        <item x="160"/>
        <item x="135"/>
        <item x="167"/>
        <item x="136"/>
        <item x="137"/>
        <item x="101"/>
        <item x="50"/>
        <item x="138"/>
        <item x="139"/>
        <item x="9"/>
        <item x="102"/>
        <item x="140"/>
        <item x="10"/>
        <item x="51"/>
        <item x="161"/>
        <item x="20"/>
        <item x="141"/>
        <item x="162"/>
        <item x="52"/>
        <item x="142"/>
        <item x="53"/>
        <item x="143"/>
        <item x="54"/>
        <item x="55"/>
        <item x="11"/>
        <item x="103"/>
        <item x="56"/>
        <item x="12"/>
        <item x="104"/>
        <item x="105"/>
        <item x="57"/>
        <item x="58"/>
        <item x="59"/>
        <item x="60"/>
        <item x="61"/>
        <item m="1" x="170"/>
        <item x="144"/>
        <item x="62"/>
        <item x="106"/>
        <item x="107"/>
        <item x="145"/>
        <item x="163"/>
        <item x="63"/>
        <item x="146"/>
        <item x="108"/>
        <item x="64"/>
        <item x="109"/>
        <item x="147"/>
        <item x="65"/>
        <item x="66"/>
        <item x="67"/>
        <item x="68"/>
        <item x="69"/>
        <item x="70"/>
        <item x="110"/>
        <item x="111"/>
        <item x="112"/>
        <item x="164"/>
        <item x="148"/>
        <item x="128"/>
        <item x="129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6"/>
  </rowFields>
  <rowItems count="15">
    <i>
      <x v="2"/>
      <x v="137"/>
    </i>
    <i>
      <x v="3"/>
      <x v="123"/>
    </i>
    <i r="1">
      <x v="140"/>
    </i>
    <i>
      <x v="4"/>
      <x v="10"/>
    </i>
    <i r="1">
      <x v="115"/>
    </i>
    <i r="1">
      <x v="120"/>
    </i>
    <i>
      <x v="5"/>
      <x v="16"/>
    </i>
    <i r="1">
      <x v="99"/>
    </i>
    <i r="1">
      <x v="150"/>
    </i>
    <i>
      <x v="6"/>
      <x v="2"/>
    </i>
    <i r="1">
      <x v="87"/>
    </i>
    <i r="1">
      <x v="151"/>
    </i>
    <i>
      <x v="7"/>
      <x v="41"/>
    </i>
    <i r="1">
      <x v="112"/>
    </i>
    <i t="grand">
      <x/>
    </i>
  </rowItems>
  <colItems count="1">
    <i/>
  </colItems>
  <pageFields count="1">
    <pageField fld="4" item="1" hier="0"/>
  </pageFields>
  <dataFields count="1">
    <dataField name="Count of Stream Name" fld="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F5:H13" firstHeaderRow="2" firstDataRow="2" firstDataCol="2" rowPageCount="1" colPageCount="1"/>
  <pivotFields count="7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8">
        <item x="1"/>
        <item x="2"/>
        <item x="3"/>
        <item x="4"/>
        <item x="5"/>
        <item x="6"/>
        <item x="7"/>
        <item x="0"/>
      </items>
    </pivotField>
    <pivotField axis="axisRow" dataField="1" compact="0" outline="0" subtotalTop="0" showAll="0" includeNewItemsInFilter="1" defaultSubtotal="0">
      <items count="171">
        <item x="149"/>
        <item x="71"/>
        <item x="150"/>
        <item x="72"/>
        <item x="0"/>
        <item x="1"/>
        <item x="73"/>
        <item x="113"/>
        <item x="21"/>
        <item x="74"/>
        <item x="75"/>
        <item x="165"/>
        <item x="114"/>
        <item m="1" x="168"/>
        <item x="115"/>
        <item x="76"/>
        <item x="116"/>
        <item x="151"/>
        <item x="22"/>
        <item x="16"/>
        <item x="23"/>
        <item x="117"/>
        <item x="13"/>
        <item x="24"/>
        <item x="25"/>
        <item x="26"/>
        <item x="17"/>
        <item x="77"/>
        <item x="152"/>
        <item x="2"/>
        <item x="14"/>
        <item x="27"/>
        <item x="28"/>
        <item x="118"/>
        <item x="153"/>
        <item x="78"/>
        <item x="29"/>
        <item x="79"/>
        <item x="30"/>
        <item x="80"/>
        <item x="31"/>
        <item x="166"/>
        <item x="81"/>
        <item x="32"/>
        <item x="119"/>
        <item x="120"/>
        <item x="33"/>
        <item x="82"/>
        <item x="83"/>
        <item x="3"/>
        <item x="34"/>
        <item x="121"/>
        <item x="18"/>
        <item x="35"/>
        <item x="36"/>
        <item x="154"/>
        <item x="37"/>
        <item x="155"/>
        <item x="122"/>
        <item x="123"/>
        <item x="4"/>
        <item x="38"/>
        <item x="39"/>
        <item x="84"/>
        <item x="124"/>
        <item x="5"/>
        <item x="125"/>
        <item x="126"/>
        <item x="6"/>
        <item x="7"/>
        <item x="40"/>
        <item x="85"/>
        <item x="86"/>
        <item x="87"/>
        <item x="88"/>
        <item x="89"/>
        <item x="90"/>
        <item x="41"/>
        <item x="19"/>
        <item x="127"/>
        <item x="42"/>
        <item x="91"/>
        <item x="92"/>
        <item x="93"/>
        <item m="1" x="169"/>
        <item x="43"/>
        <item x="156"/>
        <item x="157"/>
        <item x="158"/>
        <item x="159"/>
        <item x="130"/>
        <item x="94"/>
        <item x="95"/>
        <item x="96"/>
        <item x="97"/>
        <item x="44"/>
        <item x="15"/>
        <item x="131"/>
        <item x="98"/>
        <item x="132"/>
        <item x="8"/>
        <item x="45"/>
        <item x="46"/>
        <item x="99"/>
        <item x="133"/>
        <item x="134"/>
        <item x="100"/>
        <item x="47"/>
        <item x="48"/>
        <item x="49"/>
        <item x="160"/>
        <item x="135"/>
        <item x="167"/>
        <item x="136"/>
        <item x="137"/>
        <item x="101"/>
        <item x="50"/>
        <item x="138"/>
        <item x="139"/>
        <item x="9"/>
        <item x="102"/>
        <item x="140"/>
        <item x="10"/>
        <item x="51"/>
        <item x="161"/>
        <item x="20"/>
        <item x="141"/>
        <item x="162"/>
        <item x="52"/>
        <item x="142"/>
        <item x="53"/>
        <item x="143"/>
        <item x="54"/>
        <item x="55"/>
        <item x="11"/>
        <item x="103"/>
        <item x="56"/>
        <item x="12"/>
        <item x="104"/>
        <item x="105"/>
        <item x="57"/>
        <item x="58"/>
        <item x="59"/>
        <item x="60"/>
        <item x="61"/>
        <item m="1" x="170"/>
        <item x="144"/>
        <item x="62"/>
        <item x="106"/>
        <item x="107"/>
        <item x="145"/>
        <item x="163"/>
        <item x="63"/>
        <item x="146"/>
        <item x="108"/>
        <item x="64"/>
        <item x="109"/>
        <item x="147"/>
        <item x="65"/>
        <item x="66"/>
        <item x="67"/>
        <item x="68"/>
        <item x="69"/>
        <item x="70"/>
        <item x="110"/>
        <item x="111"/>
        <item x="112"/>
        <item x="164"/>
        <item x="148"/>
        <item x="128"/>
        <item x="129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6"/>
  </rowFields>
  <rowItems count="7">
    <i>
      <x v="4"/>
      <x v="16"/>
    </i>
    <i r="1">
      <x v="150"/>
    </i>
    <i>
      <x v="5"/>
      <x v="2"/>
    </i>
    <i r="1">
      <x v="87"/>
    </i>
    <i r="1">
      <x v="151"/>
    </i>
    <i>
      <x v="6"/>
      <x v="112"/>
    </i>
    <i t="grand">
      <x/>
    </i>
  </rowItems>
  <colItems count="1">
    <i/>
  </colItems>
  <pageFields count="1">
    <pageField fld="3" item="1" hier="0"/>
  </pageFields>
  <dataFields count="1">
    <dataField name="Count of Stream Name" fld="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2:G19"/>
  <sheetViews>
    <sheetView workbookViewId="0">
      <selection activeCell="C39" sqref="C39"/>
    </sheetView>
  </sheetViews>
  <sheetFormatPr defaultRowHeight="13.2" x14ac:dyDescent="0.25"/>
  <sheetData>
    <row r="2" spans="1:7" x14ac:dyDescent="0.25">
      <c r="A2" t="s">
        <v>483</v>
      </c>
    </row>
    <row r="3" spans="1:7" x14ac:dyDescent="0.25">
      <c r="A3" t="s">
        <v>482</v>
      </c>
    </row>
    <row r="4" spans="1:7" x14ac:dyDescent="0.25">
      <c r="A4" t="s">
        <v>481</v>
      </c>
    </row>
    <row r="9" spans="1:7" x14ac:dyDescent="0.25">
      <c r="A9" s="95">
        <v>40574</v>
      </c>
    </row>
    <row r="10" spans="1:7" x14ac:dyDescent="0.25">
      <c r="A10" t="s">
        <v>489</v>
      </c>
    </row>
    <row r="12" spans="1:7" x14ac:dyDescent="0.25">
      <c r="A12" t="s">
        <v>490</v>
      </c>
      <c r="B12" t="s">
        <v>491</v>
      </c>
    </row>
    <row r="13" spans="1:7" x14ac:dyDescent="0.25">
      <c r="A13" t="s">
        <v>493</v>
      </c>
      <c r="B13" t="s">
        <v>492</v>
      </c>
    </row>
    <row r="15" spans="1:7" x14ac:dyDescent="0.25">
      <c r="B15" t="s">
        <v>494</v>
      </c>
      <c r="D15" t="s">
        <v>495</v>
      </c>
    </row>
    <row r="16" spans="1:7" x14ac:dyDescent="0.25">
      <c r="B16" t="s">
        <v>42</v>
      </c>
      <c r="D16" t="s">
        <v>499</v>
      </c>
      <c r="E16" t="s">
        <v>500</v>
      </c>
      <c r="F16" t="s">
        <v>501</v>
      </c>
      <c r="G16" t="s">
        <v>502</v>
      </c>
    </row>
    <row r="17" spans="2:2" x14ac:dyDescent="0.25">
      <c r="B17" t="s">
        <v>496</v>
      </c>
    </row>
    <row r="18" spans="2:2" x14ac:dyDescent="0.25">
      <c r="B18" t="s">
        <v>497</v>
      </c>
    </row>
    <row r="19" spans="2:2" x14ac:dyDescent="0.25">
      <c r="B19" t="s">
        <v>498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7"/>
  <sheetViews>
    <sheetView topLeftCell="A16" workbookViewId="0">
      <selection activeCell="G18" sqref="G18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315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30.6" x14ac:dyDescent="0.25">
      <c r="A6" s="32" t="s">
        <v>36</v>
      </c>
      <c r="B6" s="33" t="s">
        <v>91</v>
      </c>
      <c r="C6" s="34">
        <v>3</v>
      </c>
      <c r="D6" s="36">
        <v>8</v>
      </c>
      <c r="E6" s="36">
        <v>6</v>
      </c>
      <c r="F6" s="36">
        <v>16</v>
      </c>
      <c r="G6" s="35" t="s">
        <v>270</v>
      </c>
      <c r="H6" s="37" t="s">
        <v>281</v>
      </c>
      <c r="I6" s="33"/>
    </row>
    <row r="7" spans="1:9" x14ac:dyDescent="0.25">
      <c r="A7" s="32" t="s">
        <v>32</v>
      </c>
      <c r="B7" s="33" t="s">
        <v>91</v>
      </c>
      <c r="C7" s="34">
        <v>4</v>
      </c>
      <c r="D7" s="36">
        <v>7</v>
      </c>
      <c r="E7" s="36">
        <v>3</v>
      </c>
      <c r="F7" s="36">
        <v>51</v>
      </c>
      <c r="G7" s="35"/>
      <c r="H7" s="39" t="s">
        <v>280</v>
      </c>
      <c r="I7" s="33" t="s">
        <v>290</v>
      </c>
    </row>
    <row r="8" spans="1:9" ht="30.6" x14ac:dyDescent="0.25">
      <c r="A8" s="32" t="s">
        <v>27</v>
      </c>
      <c r="B8" s="33" t="s">
        <v>91</v>
      </c>
      <c r="C8" s="34">
        <v>3</v>
      </c>
      <c r="D8" s="36">
        <v>11</v>
      </c>
      <c r="E8" s="36">
        <v>8</v>
      </c>
      <c r="F8" s="36">
        <v>57</v>
      </c>
      <c r="G8" s="35" t="s">
        <v>268</v>
      </c>
      <c r="H8" s="37" t="s">
        <v>281</v>
      </c>
      <c r="I8" s="33" t="s">
        <v>284</v>
      </c>
    </row>
    <row r="9" spans="1:9" ht="20.399999999999999" x14ac:dyDescent="0.25">
      <c r="A9" s="32" t="s">
        <v>23</v>
      </c>
      <c r="B9" s="33" t="s">
        <v>91</v>
      </c>
      <c r="C9" s="34">
        <v>4</v>
      </c>
      <c r="D9" s="36">
        <v>11</v>
      </c>
      <c r="E9" s="36">
        <v>5</v>
      </c>
      <c r="F9" s="36">
        <v>7</v>
      </c>
      <c r="G9" s="35"/>
      <c r="H9" s="37" t="s">
        <v>285</v>
      </c>
      <c r="I9" s="33"/>
    </row>
    <row r="11" spans="1:9" s="41" customFormat="1" ht="15.6" x14ac:dyDescent="0.3">
      <c r="A11" s="40" t="s">
        <v>93</v>
      </c>
    </row>
    <row r="12" spans="1:9" ht="30.6" x14ac:dyDescent="0.25">
      <c r="A12" s="30" t="s">
        <v>41</v>
      </c>
      <c r="B12" s="30" t="s">
        <v>42</v>
      </c>
      <c r="C12" s="31" t="s">
        <v>292</v>
      </c>
      <c r="D12" s="30" t="s">
        <v>412</v>
      </c>
      <c r="E12" s="30" t="s">
        <v>316</v>
      </c>
      <c r="F12" s="30" t="s">
        <v>317</v>
      </c>
      <c r="G12" s="30" t="s">
        <v>273</v>
      </c>
      <c r="H12" s="30" t="s">
        <v>318</v>
      </c>
      <c r="I12" s="30" t="s">
        <v>276</v>
      </c>
    </row>
    <row r="13" spans="1:9" x14ac:dyDescent="0.25">
      <c r="A13" s="32" t="s">
        <v>22</v>
      </c>
      <c r="B13" s="33" t="s">
        <v>93</v>
      </c>
      <c r="C13" s="34">
        <v>5</v>
      </c>
      <c r="D13" s="36">
        <v>5</v>
      </c>
      <c r="E13" s="36">
        <v>5</v>
      </c>
      <c r="F13" s="36">
        <v>21</v>
      </c>
      <c r="G13" s="35"/>
      <c r="H13" s="37" t="s">
        <v>280</v>
      </c>
      <c r="I13" s="33"/>
    </row>
    <row r="14" spans="1:9" x14ac:dyDescent="0.25">
      <c r="A14" s="32" t="s">
        <v>18</v>
      </c>
      <c r="B14" s="33" t="s">
        <v>93</v>
      </c>
      <c r="C14" s="34">
        <v>5</v>
      </c>
      <c r="D14" s="36">
        <v>5</v>
      </c>
      <c r="E14" s="36">
        <v>3</v>
      </c>
      <c r="F14" s="36">
        <v>8</v>
      </c>
      <c r="G14" s="35"/>
      <c r="H14" s="37" t="s">
        <v>280</v>
      </c>
      <c r="I14" s="38" t="s">
        <v>277</v>
      </c>
    </row>
    <row r="15" spans="1:9" x14ac:dyDescent="0.25">
      <c r="A15" s="32" t="s">
        <v>25</v>
      </c>
      <c r="B15" s="33" t="s">
        <v>93</v>
      </c>
      <c r="C15" s="34">
        <v>5</v>
      </c>
      <c r="D15" s="36">
        <v>6</v>
      </c>
      <c r="E15" s="36">
        <v>5</v>
      </c>
      <c r="F15" s="36">
        <v>21</v>
      </c>
      <c r="G15" s="35"/>
      <c r="H15" s="37" t="s">
        <v>280</v>
      </c>
      <c r="I15" s="38" t="s">
        <v>277</v>
      </c>
    </row>
    <row r="16" spans="1:9" ht="30.6" x14ac:dyDescent="0.25">
      <c r="A16" s="32" t="s">
        <v>24</v>
      </c>
      <c r="B16" s="33" t="s">
        <v>93</v>
      </c>
      <c r="C16" s="34">
        <v>4</v>
      </c>
      <c r="D16" s="36">
        <v>6</v>
      </c>
      <c r="E16" s="36">
        <v>6</v>
      </c>
      <c r="F16" s="36">
        <v>651</v>
      </c>
      <c r="G16" s="35"/>
      <c r="H16" s="39" t="s">
        <v>280</v>
      </c>
      <c r="I16" s="38" t="s">
        <v>291</v>
      </c>
    </row>
    <row r="17" spans="1:9" x14ac:dyDescent="0.25">
      <c r="A17" s="32" t="s">
        <v>29</v>
      </c>
      <c r="B17" s="33" t="s">
        <v>93</v>
      </c>
      <c r="C17" s="34">
        <v>4</v>
      </c>
      <c r="D17" s="36">
        <v>7</v>
      </c>
      <c r="E17" s="36">
        <v>7</v>
      </c>
      <c r="F17" s="36">
        <v>72</v>
      </c>
      <c r="G17" s="35"/>
      <c r="H17" s="39" t="s">
        <v>280</v>
      </c>
      <c r="I17" s="38"/>
    </row>
    <row r="18" spans="1:9" ht="30.6" x14ac:dyDescent="0.25">
      <c r="A18" s="32" t="s">
        <v>36</v>
      </c>
      <c r="B18" s="33" t="s">
        <v>93</v>
      </c>
      <c r="C18" s="34">
        <v>3</v>
      </c>
      <c r="D18" s="36">
        <v>8</v>
      </c>
      <c r="E18" s="36">
        <v>8</v>
      </c>
      <c r="F18" s="36">
        <v>591</v>
      </c>
      <c r="G18" s="35" t="s">
        <v>270</v>
      </c>
      <c r="H18" s="37" t="s">
        <v>281</v>
      </c>
      <c r="I18" s="33"/>
    </row>
    <row r="19" spans="1:9" ht="20.399999999999999" x14ac:dyDescent="0.25">
      <c r="A19" s="32" t="s">
        <v>33</v>
      </c>
      <c r="B19" s="33" t="s">
        <v>93</v>
      </c>
      <c r="C19" s="34">
        <v>3</v>
      </c>
      <c r="D19" s="36">
        <v>9</v>
      </c>
      <c r="E19" s="36">
        <v>8</v>
      </c>
      <c r="F19" s="36">
        <v>2733</v>
      </c>
      <c r="G19" s="35"/>
      <c r="H19" s="33" t="s">
        <v>285</v>
      </c>
      <c r="I19" s="33" t="s">
        <v>285</v>
      </c>
    </row>
    <row r="20" spans="1:9" x14ac:dyDescent="0.25">
      <c r="A20" s="32" t="s">
        <v>34</v>
      </c>
      <c r="B20" s="33" t="s">
        <v>93</v>
      </c>
      <c r="C20" s="34">
        <v>5</v>
      </c>
      <c r="D20" s="36">
        <v>1</v>
      </c>
      <c r="E20" s="36">
        <v>1</v>
      </c>
      <c r="F20" s="36"/>
      <c r="G20" s="35"/>
      <c r="H20" s="37" t="s">
        <v>280</v>
      </c>
      <c r="I20" s="33" t="s">
        <v>282</v>
      </c>
    </row>
    <row r="21" spans="1:9" x14ac:dyDescent="0.25">
      <c r="A21" s="32" t="s">
        <v>35</v>
      </c>
      <c r="B21" s="33" t="s">
        <v>93</v>
      </c>
      <c r="C21" s="34">
        <v>4</v>
      </c>
      <c r="D21" s="36">
        <v>7</v>
      </c>
      <c r="E21" s="36">
        <v>6</v>
      </c>
      <c r="F21" s="36">
        <v>949</v>
      </c>
      <c r="G21" s="35"/>
      <c r="H21" s="39" t="s">
        <v>280</v>
      </c>
      <c r="I21" s="33"/>
    </row>
    <row r="22" spans="1:9" x14ac:dyDescent="0.25">
      <c r="A22" s="32" t="s">
        <v>30</v>
      </c>
      <c r="B22" s="33" t="s">
        <v>93</v>
      </c>
      <c r="C22" s="34">
        <v>4</v>
      </c>
      <c r="D22" s="36">
        <v>5</v>
      </c>
      <c r="E22" s="36">
        <v>5</v>
      </c>
      <c r="F22" s="36">
        <v>500</v>
      </c>
      <c r="G22" s="35"/>
      <c r="H22" s="39" t="s">
        <v>280</v>
      </c>
      <c r="I22" s="33"/>
    </row>
    <row r="23" spans="1:9" ht="20.399999999999999" x14ac:dyDescent="0.25">
      <c r="A23" s="32" t="s">
        <v>26</v>
      </c>
      <c r="B23" s="33" t="s">
        <v>93</v>
      </c>
      <c r="C23" s="34">
        <v>3</v>
      </c>
      <c r="D23" s="36">
        <v>9</v>
      </c>
      <c r="E23" s="36">
        <v>9</v>
      </c>
      <c r="F23" s="36">
        <v>634</v>
      </c>
      <c r="G23" s="35"/>
      <c r="H23" s="33" t="s">
        <v>285</v>
      </c>
      <c r="I23" s="33"/>
    </row>
    <row r="24" spans="1:9" x14ac:dyDescent="0.25">
      <c r="A24" s="32" t="s">
        <v>32</v>
      </c>
      <c r="B24" s="33" t="s">
        <v>93</v>
      </c>
      <c r="C24" s="34">
        <v>4</v>
      </c>
      <c r="D24" s="36">
        <v>7</v>
      </c>
      <c r="E24" s="36">
        <v>7</v>
      </c>
      <c r="F24" s="36">
        <v>1912</v>
      </c>
      <c r="G24" s="35"/>
      <c r="H24" s="39" t="s">
        <v>280</v>
      </c>
      <c r="I24" s="33"/>
    </row>
    <row r="25" spans="1:9" ht="30.6" x14ac:dyDescent="0.25">
      <c r="A25" s="32" t="s">
        <v>27</v>
      </c>
      <c r="B25" s="33" t="s">
        <v>93</v>
      </c>
      <c r="C25" s="34">
        <v>3</v>
      </c>
      <c r="D25" s="36">
        <v>11</v>
      </c>
      <c r="E25" s="36">
        <v>11</v>
      </c>
      <c r="F25" s="36">
        <v>20237</v>
      </c>
      <c r="G25" s="35" t="s">
        <v>268</v>
      </c>
      <c r="H25" s="37" t="s">
        <v>281</v>
      </c>
      <c r="I25" s="33" t="s">
        <v>284</v>
      </c>
    </row>
    <row r="26" spans="1:9" ht="20.399999999999999" x14ac:dyDescent="0.25">
      <c r="A26" s="32" t="s">
        <v>23</v>
      </c>
      <c r="B26" s="33" t="s">
        <v>93</v>
      </c>
      <c r="C26" s="34">
        <v>4</v>
      </c>
      <c r="D26" s="36">
        <v>11</v>
      </c>
      <c r="E26" s="36">
        <v>10</v>
      </c>
      <c r="F26" s="36">
        <v>2368</v>
      </c>
      <c r="G26" s="35"/>
      <c r="H26" s="37" t="s">
        <v>285</v>
      </c>
      <c r="I26" s="33"/>
    </row>
    <row r="28" spans="1:9" ht="15.6" x14ac:dyDescent="0.3">
      <c r="A28" s="40" t="s">
        <v>95</v>
      </c>
    </row>
    <row r="29" spans="1:9" ht="30.6" x14ac:dyDescent="0.25">
      <c r="A29" s="30" t="s">
        <v>41</v>
      </c>
      <c r="B29" s="30" t="s">
        <v>42</v>
      </c>
      <c r="C29" s="31" t="s">
        <v>292</v>
      </c>
      <c r="D29" s="30" t="s">
        <v>412</v>
      </c>
      <c r="E29" s="30" t="s">
        <v>316</v>
      </c>
      <c r="F29" s="30" t="s">
        <v>317</v>
      </c>
      <c r="G29" s="30" t="s">
        <v>273</v>
      </c>
      <c r="H29" s="30" t="s">
        <v>318</v>
      </c>
      <c r="I29" s="30" t="s">
        <v>276</v>
      </c>
    </row>
    <row r="30" spans="1:9" ht="30.6" x14ac:dyDescent="0.25">
      <c r="A30" s="32" t="s">
        <v>36</v>
      </c>
      <c r="B30" s="33" t="s">
        <v>95</v>
      </c>
      <c r="C30" s="34">
        <v>3</v>
      </c>
      <c r="D30" s="36">
        <v>8</v>
      </c>
      <c r="E30" s="36">
        <v>6</v>
      </c>
      <c r="F30" s="36">
        <v>19</v>
      </c>
      <c r="G30" s="35" t="s">
        <v>270</v>
      </c>
      <c r="H30" s="37" t="s">
        <v>281</v>
      </c>
      <c r="I30" s="33"/>
    </row>
    <row r="31" spans="1:9" ht="30.6" x14ac:dyDescent="0.25">
      <c r="A31" s="32" t="s">
        <v>27</v>
      </c>
      <c r="B31" s="33" t="s">
        <v>95</v>
      </c>
      <c r="C31" s="34">
        <v>3</v>
      </c>
      <c r="D31" s="36">
        <v>11</v>
      </c>
      <c r="E31" s="36">
        <v>7</v>
      </c>
      <c r="F31" s="36">
        <v>35</v>
      </c>
      <c r="G31" s="35" t="s">
        <v>268</v>
      </c>
      <c r="H31" s="37" t="s">
        <v>281</v>
      </c>
      <c r="I31" s="33" t="s">
        <v>284</v>
      </c>
    </row>
    <row r="33" spans="1:9" ht="15.6" x14ac:dyDescent="0.3">
      <c r="A33" s="40" t="s">
        <v>96</v>
      </c>
    </row>
    <row r="34" spans="1:9" ht="30.6" x14ac:dyDescent="0.25">
      <c r="A34" s="30" t="s">
        <v>41</v>
      </c>
      <c r="B34" s="30" t="s">
        <v>42</v>
      </c>
      <c r="C34" s="31" t="s">
        <v>292</v>
      </c>
      <c r="D34" s="30" t="s">
        <v>412</v>
      </c>
      <c r="E34" s="30" t="s">
        <v>316</v>
      </c>
      <c r="F34" s="30" t="s">
        <v>317</v>
      </c>
      <c r="G34" s="30" t="s">
        <v>273</v>
      </c>
      <c r="H34" s="30" t="s">
        <v>318</v>
      </c>
      <c r="I34" s="30" t="s">
        <v>276</v>
      </c>
    </row>
    <row r="35" spans="1:9" x14ac:dyDescent="0.25">
      <c r="A35" s="32" t="s">
        <v>22</v>
      </c>
      <c r="B35" s="33" t="s">
        <v>96</v>
      </c>
      <c r="C35" s="34">
        <v>5</v>
      </c>
      <c r="D35" s="36">
        <v>5</v>
      </c>
      <c r="E35" s="36">
        <v>4</v>
      </c>
      <c r="F35" s="36">
        <v>275</v>
      </c>
      <c r="G35" s="35"/>
      <c r="H35" s="37" t="s">
        <v>280</v>
      </c>
      <c r="I35" s="38"/>
    </row>
    <row r="36" spans="1:9" x14ac:dyDescent="0.25">
      <c r="A36" s="32" t="s">
        <v>18</v>
      </c>
      <c r="B36" s="33" t="s">
        <v>96</v>
      </c>
      <c r="C36" s="34">
        <v>5</v>
      </c>
      <c r="D36" s="36">
        <v>5</v>
      </c>
      <c r="E36" s="36">
        <v>4</v>
      </c>
      <c r="F36" s="36">
        <v>152</v>
      </c>
      <c r="G36" s="35"/>
      <c r="H36" s="37" t="s">
        <v>280</v>
      </c>
      <c r="I36" s="38" t="s">
        <v>277</v>
      </c>
    </row>
    <row r="37" spans="1:9" x14ac:dyDescent="0.25">
      <c r="A37" s="32" t="s">
        <v>25</v>
      </c>
      <c r="B37" s="33" t="s">
        <v>96</v>
      </c>
      <c r="C37" s="34">
        <v>5</v>
      </c>
      <c r="D37" s="36">
        <v>6</v>
      </c>
      <c r="E37" s="36">
        <v>6</v>
      </c>
      <c r="F37" s="36">
        <v>590</v>
      </c>
      <c r="G37" s="35"/>
      <c r="H37" s="37" t="s">
        <v>280</v>
      </c>
      <c r="I37" s="38" t="s">
        <v>278</v>
      </c>
    </row>
    <row r="38" spans="1:9" ht="30.6" x14ac:dyDescent="0.25">
      <c r="A38" s="32" t="s">
        <v>24</v>
      </c>
      <c r="B38" s="33" t="s">
        <v>96</v>
      </c>
      <c r="C38" s="34">
        <v>4</v>
      </c>
      <c r="D38" s="36">
        <v>6</v>
      </c>
      <c r="E38" s="36">
        <v>6</v>
      </c>
      <c r="F38" s="36">
        <v>12651</v>
      </c>
      <c r="G38" s="35"/>
      <c r="H38" s="39" t="s">
        <v>280</v>
      </c>
      <c r="I38" s="38" t="s">
        <v>291</v>
      </c>
    </row>
    <row r="39" spans="1:9" ht="30.6" x14ac:dyDescent="0.25">
      <c r="A39" s="32" t="s">
        <v>36</v>
      </c>
      <c r="B39" s="33" t="s">
        <v>96</v>
      </c>
      <c r="C39" s="34">
        <v>3</v>
      </c>
      <c r="D39" s="36">
        <v>8</v>
      </c>
      <c r="E39" s="36">
        <v>8</v>
      </c>
      <c r="F39" s="36">
        <v>457</v>
      </c>
      <c r="G39" s="35" t="s">
        <v>270</v>
      </c>
      <c r="H39" s="37" t="s">
        <v>281</v>
      </c>
      <c r="I39" s="33"/>
    </row>
    <row r="40" spans="1:9" ht="20.399999999999999" x14ac:dyDescent="0.25">
      <c r="A40" s="32" t="s">
        <v>33</v>
      </c>
      <c r="B40" s="33" t="s">
        <v>96</v>
      </c>
      <c r="C40" s="34">
        <v>3</v>
      </c>
      <c r="D40" s="36">
        <v>9</v>
      </c>
      <c r="E40" s="36">
        <v>5</v>
      </c>
      <c r="F40" s="36">
        <v>9</v>
      </c>
      <c r="G40" s="35"/>
      <c r="H40" s="33" t="s">
        <v>285</v>
      </c>
      <c r="I40" s="33"/>
    </row>
    <row r="41" spans="1:9" ht="20.399999999999999" x14ac:dyDescent="0.25">
      <c r="A41" s="32" t="s">
        <v>34</v>
      </c>
      <c r="B41" s="33" t="s">
        <v>96</v>
      </c>
      <c r="C41" s="34">
        <v>5</v>
      </c>
      <c r="D41" s="36">
        <v>1</v>
      </c>
      <c r="E41" s="36">
        <v>0</v>
      </c>
      <c r="F41" s="36"/>
      <c r="G41" s="35"/>
      <c r="H41" s="37" t="s">
        <v>280</v>
      </c>
      <c r="I41" s="33" t="s">
        <v>283</v>
      </c>
    </row>
    <row r="42" spans="1:9" ht="20.399999999999999" x14ac:dyDescent="0.25">
      <c r="A42" s="32" t="s">
        <v>35</v>
      </c>
      <c r="B42" s="33" t="s">
        <v>96</v>
      </c>
      <c r="C42" s="34">
        <v>4</v>
      </c>
      <c r="D42" s="36">
        <v>7</v>
      </c>
      <c r="E42" s="36">
        <v>4</v>
      </c>
      <c r="F42" s="36">
        <v>21</v>
      </c>
      <c r="G42" s="35"/>
      <c r="H42" s="39" t="s">
        <v>280</v>
      </c>
      <c r="I42" s="33" t="s">
        <v>288</v>
      </c>
    </row>
    <row r="43" spans="1:9" ht="20.399999999999999" x14ac:dyDescent="0.25">
      <c r="A43" s="32" t="s">
        <v>30</v>
      </c>
      <c r="B43" s="33" t="s">
        <v>96</v>
      </c>
      <c r="C43" s="34">
        <v>4</v>
      </c>
      <c r="D43" s="36">
        <v>5</v>
      </c>
      <c r="E43" s="36">
        <v>0</v>
      </c>
      <c r="F43" s="36"/>
      <c r="G43" s="35"/>
      <c r="H43" s="39" t="s">
        <v>280</v>
      </c>
      <c r="I43" s="33" t="s">
        <v>289</v>
      </c>
    </row>
    <row r="44" spans="1:9" ht="20.399999999999999" x14ac:dyDescent="0.25">
      <c r="A44" s="32" t="s">
        <v>26</v>
      </c>
      <c r="B44" s="33" t="s">
        <v>96</v>
      </c>
      <c r="C44" s="34">
        <v>3</v>
      </c>
      <c r="D44" s="36">
        <v>9</v>
      </c>
      <c r="E44" s="36">
        <v>8</v>
      </c>
      <c r="F44" s="36">
        <v>1684</v>
      </c>
      <c r="G44" s="35"/>
      <c r="H44" s="33" t="s">
        <v>285</v>
      </c>
      <c r="I44" s="33"/>
    </row>
    <row r="45" spans="1:9" x14ac:dyDescent="0.25">
      <c r="A45" s="32" t="s">
        <v>32</v>
      </c>
      <c r="B45" s="33" t="s">
        <v>96</v>
      </c>
      <c r="C45" s="34">
        <v>4</v>
      </c>
      <c r="D45" s="36">
        <v>7</v>
      </c>
      <c r="E45" s="36">
        <v>5</v>
      </c>
      <c r="F45" s="36">
        <v>243</v>
      </c>
      <c r="G45" s="35"/>
      <c r="H45" s="39" t="s">
        <v>280</v>
      </c>
      <c r="I45" s="33" t="s">
        <v>290</v>
      </c>
    </row>
    <row r="46" spans="1:9" ht="30.6" x14ac:dyDescent="0.25">
      <c r="A46" s="32" t="s">
        <v>27</v>
      </c>
      <c r="B46" s="33" t="s">
        <v>96</v>
      </c>
      <c r="C46" s="34">
        <v>3</v>
      </c>
      <c r="D46" s="36">
        <v>11</v>
      </c>
      <c r="E46" s="36">
        <v>10</v>
      </c>
      <c r="F46" s="36">
        <v>460</v>
      </c>
      <c r="G46" s="35" t="s">
        <v>268</v>
      </c>
      <c r="H46" s="37" t="s">
        <v>281</v>
      </c>
      <c r="I46" s="33" t="s">
        <v>284</v>
      </c>
    </row>
    <row r="47" spans="1:9" ht="20.399999999999999" x14ac:dyDescent="0.25">
      <c r="A47" s="32" t="s">
        <v>23</v>
      </c>
      <c r="B47" s="33" t="s">
        <v>96</v>
      </c>
      <c r="C47" s="34">
        <v>4</v>
      </c>
      <c r="D47" s="36">
        <v>11</v>
      </c>
      <c r="E47" s="36">
        <v>10</v>
      </c>
      <c r="F47" s="36">
        <v>48773</v>
      </c>
      <c r="G47" s="35"/>
      <c r="H47" s="37" t="s">
        <v>285</v>
      </c>
      <c r="I47" s="33"/>
    </row>
    <row r="49" spans="1:9" ht="15.6" x14ac:dyDescent="0.3">
      <c r="A49" s="40" t="s">
        <v>97</v>
      </c>
    </row>
    <row r="50" spans="1:9" ht="30.6" x14ac:dyDescent="0.25">
      <c r="A50" s="30" t="s">
        <v>41</v>
      </c>
      <c r="B50" s="30" t="s">
        <v>42</v>
      </c>
      <c r="C50" s="31" t="s">
        <v>292</v>
      </c>
      <c r="D50" s="30" t="s">
        <v>412</v>
      </c>
      <c r="E50" s="30" t="s">
        <v>316</v>
      </c>
      <c r="F50" s="30" t="s">
        <v>317</v>
      </c>
      <c r="G50" s="30" t="s">
        <v>273</v>
      </c>
      <c r="H50" s="30" t="s">
        <v>318</v>
      </c>
      <c r="I50" s="30" t="s">
        <v>276</v>
      </c>
    </row>
    <row r="51" spans="1:9" x14ac:dyDescent="0.25">
      <c r="A51" s="32" t="s">
        <v>25</v>
      </c>
      <c r="B51" s="33" t="s">
        <v>97</v>
      </c>
      <c r="C51" s="34">
        <v>5</v>
      </c>
      <c r="D51" s="36">
        <v>6</v>
      </c>
      <c r="E51" s="36">
        <v>3</v>
      </c>
      <c r="F51" s="36">
        <v>65</v>
      </c>
      <c r="G51" s="35"/>
      <c r="H51" s="37" t="s">
        <v>280</v>
      </c>
      <c r="I51" s="38" t="s">
        <v>277</v>
      </c>
    </row>
    <row r="52" spans="1:9" ht="30.6" x14ac:dyDescent="0.25">
      <c r="A52" s="32" t="s">
        <v>24</v>
      </c>
      <c r="B52" s="33" t="s">
        <v>97</v>
      </c>
      <c r="C52" s="34">
        <v>4</v>
      </c>
      <c r="D52" s="36">
        <v>6</v>
      </c>
      <c r="E52" s="36">
        <v>6</v>
      </c>
      <c r="F52" s="36">
        <v>39</v>
      </c>
      <c r="G52" s="35"/>
      <c r="H52" s="39" t="s">
        <v>280</v>
      </c>
      <c r="I52" s="38" t="s">
        <v>291</v>
      </c>
    </row>
    <row r="53" spans="1:9" ht="30.6" x14ac:dyDescent="0.25">
      <c r="A53" s="32" t="s">
        <v>36</v>
      </c>
      <c r="B53" s="33" t="s">
        <v>97</v>
      </c>
      <c r="C53" s="34">
        <v>3</v>
      </c>
      <c r="D53" s="36">
        <v>8</v>
      </c>
      <c r="E53" s="36">
        <v>8</v>
      </c>
      <c r="F53" s="36">
        <v>103</v>
      </c>
      <c r="G53" s="35" t="s">
        <v>270</v>
      </c>
      <c r="H53" s="37" t="s">
        <v>281</v>
      </c>
      <c r="I53" s="33" t="s">
        <v>1</v>
      </c>
    </row>
    <row r="54" spans="1:9" ht="20.399999999999999" x14ac:dyDescent="0.25">
      <c r="A54" s="32" t="s">
        <v>33</v>
      </c>
      <c r="B54" s="33" t="s">
        <v>97</v>
      </c>
      <c r="C54" s="34">
        <v>3</v>
      </c>
      <c r="D54" s="36">
        <v>9</v>
      </c>
      <c r="E54" s="36">
        <v>6</v>
      </c>
      <c r="F54" s="36">
        <v>22</v>
      </c>
      <c r="G54" s="35"/>
      <c r="H54" s="33" t="s">
        <v>285</v>
      </c>
      <c r="I54" s="33"/>
    </row>
    <row r="55" spans="1:9" x14ac:dyDescent="0.25">
      <c r="A55" s="32" t="s">
        <v>32</v>
      </c>
      <c r="B55" s="33" t="s">
        <v>97</v>
      </c>
      <c r="C55" s="34">
        <v>4</v>
      </c>
      <c r="D55" s="36">
        <v>7</v>
      </c>
      <c r="E55" s="36">
        <v>3</v>
      </c>
      <c r="F55" s="36">
        <v>21</v>
      </c>
      <c r="G55" s="35"/>
      <c r="H55" s="39" t="s">
        <v>280</v>
      </c>
      <c r="I55" s="33" t="s">
        <v>290</v>
      </c>
    </row>
    <row r="56" spans="1:9" ht="40.799999999999997" x14ac:dyDescent="0.25">
      <c r="A56" s="32" t="s">
        <v>27</v>
      </c>
      <c r="B56" s="33" t="s">
        <v>97</v>
      </c>
      <c r="C56" s="34">
        <v>3</v>
      </c>
      <c r="D56" s="36">
        <v>11</v>
      </c>
      <c r="E56" s="36">
        <v>11</v>
      </c>
      <c r="F56" s="36">
        <v>1644</v>
      </c>
      <c r="G56" s="35" t="s">
        <v>268</v>
      </c>
      <c r="H56" s="37" t="s">
        <v>281</v>
      </c>
      <c r="I56" s="33" t="s">
        <v>0</v>
      </c>
    </row>
    <row r="57" spans="1:9" ht="20.399999999999999" x14ac:dyDescent="0.25">
      <c r="A57" s="32" t="s">
        <v>23</v>
      </c>
      <c r="B57" s="33" t="s">
        <v>97</v>
      </c>
      <c r="C57" s="34">
        <v>4</v>
      </c>
      <c r="D57" s="36">
        <v>11</v>
      </c>
      <c r="E57" s="36">
        <v>10</v>
      </c>
      <c r="F57" s="36">
        <v>953</v>
      </c>
      <c r="G57" s="35"/>
      <c r="H57" s="37" t="s">
        <v>285</v>
      </c>
      <c r="I57" s="33"/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29"/>
  <sheetViews>
    <sheetView workbookViewId="0">
      <selection activeCell="G18" sqref="G18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467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30.6" x14ac:dyDescent="0.25">
      <c r="A6" s="32" t="s">
        <v>98</v>
      </c>
      <c r="B6" s="33" t="s">
        <v>91</v>
      </c>
      <c r="C6" s="34">
        <v>3</v>
      </c>
      <c r="D6" s="36">
        <v>1</v>
      </c>
      <c r="E6" s="36">
        <v>1</v>
      </c>
      <c r="F6" s="36"/>
      <c r="G6" s="35"/>
      <c r="H6" s="37" t="s">
        <v>285</v>
      </c>
      <c r="I6" s="33" t="s">
        <v>294</v>
      </c>
    </row>
    <row r="7" spans="1:9" ht="20.399999999999999" x14ac:dyDescent="0.25">
      <c r="A7" s="32" t="s">
        <v>100</v>
      </c>
      <c r="B7" s="33" t="s">
        <v>91</v>
      </c>
      <c r="C7" s="34">
        <v>4</v>
      </c>
      <c r="D7" s="36">
        <v>9</v>
      </c>
      <c r="E7" s="36">
        <v>4</v>
      </c>
      <c r="F7" s="36">
        <v>7</v>
      </c>
      <c r="G7" s="35"/>
      <c r="H7" s="39" t="s">
        <v>285</v>
      </c>
      <c r="I7" s="33" t="s">
        <v>286</v>
      </c>
    </row>
    <row r="9" spans="1:9" s="41" customFormat="1" ht="15.6" x14ac:dyDescent="0.3">
      <c r="A9" s="40" t="s">
        <v>93</v>
      </c>
    </row>
    <row r="10" spans="1:9" ht="30.6" x14ac:dyDescent="0.25">
      <c r="A10" s="30" t="s">
        <v>41</v>
      </c>
      <c r="B10" s="30" t="s">
        <v>42</v>
      </c>
      <c r="C10" s="31" t="s">
        <v>292</v>
      </c>
      <c r="D10" s="30" t="s">
        <v>412</v>
      </c>
      <c r="E10" s="30" t="s">
        <v>316</v>
      </c>
      <c r="F10" s="30" t="s">
        <v>317</v>
      </c>
      <c r="G10" s="30" t="s">
        <v>273</v>
      </c>
      <c r="H10" s="30" t="s">
        <v>318</v>
      </c>
      <c r="I10" s="30" t="s">
        <v>276</v>
      </c>
    </row>
    <row r="11" spans="1:9" ht="18.75" customHeight="1" x14ac:dyDescent="0.25">
      <c r="A11" s="32" t="s">
        <v>90</v>
      </c>
      <c r="B11" s="33" t="s">
        <v>93</v>
      </c>
      <c r="C11" s="34">
        <v>5</v>
      </c>
      <c r="D11" s="36">
        <v>0</v>
      </c>
      <c r="E11" s="36">
        <v>0</v>
      </c>
      <c r="F11" s="36"/>
      <c r="G11" s="35"/>
      <c r="H11" s="37" t="s">
        <v>280</v>
      </c>
      <c r="I11" s="33" t="s">
        <v>293</v>
      </c>
    </row>
    <row r="12" spans="1:9" ht="18.75" customHeight="1" x14ac:dyDescent="0.25">
      <c r="A12" s="32" t="s">
        <v>98</v>
      </c>
      <c r="B12" s="33" t="s">
        <v>93</v>
      </c>
      <c r="C12" s="34">
        <v>3</v>
      </c>
      <c r="D12" s="36">
        <v>1</v>
      </c>
      <c r="E12" s="36">
        <v>1</v>
      </c>
      <c r="F12" s="36"/>
      <c r="G12" s="35"/>
      <c r="H12" s="37" t="s">
        <v>285</v>
      </c>
      <c r="I12" s="38" t="s">
        <v>294</v>
      </c>
    </row>
    <row r="13" spans="1:9" ht="18.75" customHeight="1" x14ac:dyDescent="0.25">
      <c r="A13" s="32" t="s">
        <v>100</v>
      </c>
      <c r="B13" s="33" t="s">
        <v>93</v>
      </c>
      <c r="C13" s="34">
        <v>4</v>
      </c>
      <c r="D13" s="36">
        <v>9</v>
      </c>
      <c r="E13" s="36">
        <v>9</v>
      </c>
      <c r="F13" s="36">
        <v>507</v>
      </c>
      <c r="G13" s="35"/>
      <c r="H13" s="37" t="s">
        <v>285</v>
      </c>
      <c r="I13" s="38" t="s">
        <v>286</v>
      </c>
    </row>
    <row r="15" spans="1:9" ht="15.6" x14ac:dyDescent="0.3">
      <c r="A15" s="40" t="s">
        <v>95</v>
      </c>
    </row>
    <row r="16" spans="1:9" ht="30.6" x14ac:dyDescent="0.25">
      <c r="A16" s="30" t="s">
        <v>41</v>
      </c>
      <c r="B16" s="30" t="s">
        <v>42</v>
      </c>
      <c r="C16" s="31" t="s">
        <v>292</v>
      </c>
      <c r="D16" s="30" t="s">
        <v>412</v>
      </c>
      <c r="E16" s="30" t="s">
        <v>316</v>
      </c>
      <c r="F16" s="30" t="s">
        <v>317</v>
      </c>
      <c r="G16" s="30" t="s">
        <v>273</v>
      </c>
      <c r="H16" s="30" t="s">
        <v>318</v>
      </c>
      <c r="I16" s="30" t="s">
        <v>276</v>
      </c>
    </row>
    <row r="17" spans="1:9" x14ac:dyDescent="0.25">
      <c r="A17" s="32"/>
      <c r="B17" s="33"/>
      <c r="C17" s="34"/>
      <c r="D17" s="36"/>
      <c r="E17" s="36"/>
      <c r="F17" s="36"/>
      <c r="G17" s="35"/>
      <c r="H17" s="37"/>
      <c r="I17" s="33"/>
    </row>
    <row r="19" spans="1:9" ht="15.6" x14ac:dyDescent="0.3">
      <c r="A19" s="40" t="s">
        <v>96</v>
      </c>
    </row>
    <row r="20" spans="1:9" ht="30.6" x14ac:dyDescent="0.25">
      <c r="A20" s="30" t="s">
        <v>41</v>
      </c>
      <c r="B20" s="30" t="s">
        <v>42</v>
      </c>
      <c r="C20" s="31" t="s">
        <v>292</v>
      </c>
      <c r="D20" s="30" t="s">
        <v>412</v>
      </c>
      <c r="E20" s="30" t="s">
        <v>316</v>
      </c>
      <c r="F20" s="30" t="s">
        <v>317</v>
      </c>
      <c r="G20" s="30" t="s">
        <v>273</v>
      </c>
      <c r="H20" s="30" t="s">
        <v>318</v>
      </c>
      <c r="I20" s="30" t="s">
        <v>276</v>
      </c>
    </row>
    <row r="21" spans="1:9" ht="17.25" customHeight="1" x14ac:dyDescent="0.25">
      <c r="A21" s="32" t="s">
        <v>90</v>
      </c>
      <c r="B21" s="33" t="s">
        <v>96</v>
      </c>
      <c r="C21" s="34">
        <v>5</v>
      </c>
      <c r="D21" s="36">
        <v>0</v>
      </c>
      <c r="E21" s="36">
        <v>0</v>
      </c>
      <c r="F21" s="36"/>
      <c r="G21" s="35"/>
      <c r="H21" s="37" t="s">
        <v>280</v>
      </c>
      <c r="I21" s="38" t="s">
        <v>293</v>
      </c>
    </row>
    <row r="22" spans="1:9" ht="17.25" customHeight="1" x14ac:dyDescent="0.25">
      <c r="A22" s="32" t="s">
        <v>98</v>
      </c>
      <c r="B22" s="33" t="s">
        <v>96</v>
      </c>
      <c r="C22" s="34">
        <v>3</v>
      </c>
      <c r="D22" s="36">
        <v>1</v>
      </c>
      <c r="E22" s="36">
        <v>0</v>
      </c>
      <c r="F22" s="36"/>
      <c r="G22" s="35"/>
      <c r="H22" s="37" t="s">
        <v>285</v>
      </c>
      <c r="I22" s="38" t="s">
        <v>294</v>
      </c>
    </row>
    <row r="23" spans="1:9" ht="17.25" customHeight="1" x14ac:dyDescent="0.25">
      <c r="A23" s="32" t="s">
        <v>100</v>
      </c>
      <c r="B23" s="33" t="s">
        <v>96</v>
      </c>
      <c r="C23" s="34">
        <v>4</v>
      </c>
      <c r="D23" s="36">
        <v>9</v>
      </c>
      <c r="E23" s="36">
        <v>7</v>
      </c>
      <c r="F23" s="36">
        <v>1110</v>
      </c>
      <c r="G23" s="35"/>
      <c r="H23" s="37" t="s">
        <v>285</v>
      </c>
      <c r="I23" s="38" t="s">
        <v>286</v>
      </c>
    </row>
    <row r="25" spans="1:9" ht="22.5" customHeight="1" x14ac:dyDescent="0.25"/>
    <row r="26" spans="1:9" ht="15.6" x14ac:dyDescent="0.3">
      <c r="A26" s="40" t="s">
        <v>97</v>
      </c>
    </row>
    <row r="27" spans="1:9" ht="30.6" x14ac:dyDescent="0.25">
      <c r="A27" s="30" t="s">
        <v>41</v>
      </c>
      <c r="B27" s="30" t="s">
        <v>42</v>
      </c>
      <c r="C27" s="31" t="s">
        <v>292</v>
      </c>
      <c r="D27" s="30" t="s">
        <v>412</v>
      </c>
      <c r="E27" s="30" t="s">
        <v>316</v>
      </c>
      <c r="F27" s="30" t="s">
        <v>317</v>
      </c>
      <c r="G27" s="30" t="s">
        <v>273</v>
      </c>
      <c r="H27" s="30" t="s">
        <v>318</v>
      </c>
      <c r="I27" s="30" t="s">
        <v>276</v>
      </c>
    </row>
    <row r="28" spans="1:9" ht="20.399999999999999" x14ac:dyDescent="0.25">
      <c r="A28" s="32" t="s">
        <v>90</v>
      </c>
      <c r="B28" s="33" t="s">
        <v>97</v>
      </c>
      <c r="C28" s="34">
        <v>5</v>
      </c>
      <c r="D28" s="36">
        <v>0</v>
      </c>
      <c r="E28" s="36">
        <v>0</v>
      </c>
      <c r="F28" s="36"/>
      <c r="G28" s="35"/>
      <c r="H28" s="37" t="s">
        <v>280</v>
      </c>
      <c r="I28" s="38" t="s">
        <v>293</v>
      </c>
    </row>
    <row r="29" spans="1:9" ht="20.399999999999999" x14ac:dyDescent="0.25">
      <c r="A29" s="32" t="s">
        <v>100</v>
      </c>
      <c r="B29" s="33" t="s">
        <v>97</v>
      </c>
      <c r="C29" s="34">
        <v>4</v>
      </c>
      <c r="D29" s="36">
        <v>9</v>
      </c>
      <c r="E29" s="36">
        <v>5</v>
      </c>
      <c r="F29" s="36">
        <v>3</v>
      </c>
      <c r="G29" s="35"/>
      <c r="H29" s="39" t="s">
        <v>285</v>
      </c>
      <c r="I29" s="38" t="s">
        <v>286</v>
      </c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6"/>
  <sheetViews>
    <sheetView workbookViewId="0">
      <selection activeCell="K16" sqref="K16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319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20.399999999999999" x14ac:dyDescent="0.25">
      <c r="A6" s="32" t="s">
        <v>105</v>
      </c>
      <c r="B6" s="33" t="s">
        <v>91</v>
      </c>
      <c r="C6" s="34">
        <v>4</v>
      </c>
      <c r="D6" s="36">
        <v>7</v>
      </c>
      <c r="E6" s="36">
        <v>3</v>
      </c>
      <c r="F6" s="36"/>
      <c r="G6" s="35"/>
      <c r="H6" s="37" t="s">
        <v>280</v>
      </c>
      <c r="I6" s="33" t="s">
        <v>300</v>
      </c>
    </row>
    <row r="7" spans="1:9" ht="20.399999999999999" x14ac:dyDescent="0.25">
      <c r="A7" s="32" t="s">
        <v>104</v>
      </c>
      <c r="B7" s="33" t="s">
        <v>91</v>
      </c>
      <c r="C7" s="34">
        <v>3</v>
      </c>
      <c r="D7" s="36">
        <v>11</v>
      </c>
      <c r="E7" s="36">
        <v>7</v>
      </c>
      <c r="F7" s="36">
        <v>6410</v>
      </c>
      <c r="G7" s="35"/>
      <c r="H7" s="39" t="s">
        <v>285</v>
      </c>
      <c r="I7" s="33" t="s">
        <v>296</v>
      </c>
    </row>
    <row r="8" spans="1:9" ht="30.6" x14ac:dyDescent="0.25">
      <c r="A8" s="32" t="s">
        <v>101</v>
      </c>
      <c r="B8" s="33" t="s">
        <v>91</v>
      </c>
      <c r="C8" s="34">
        <v>1</v>
      </c>
      <c r="D8" s="36">
        <v>11</v>
      </c>
      <c r="E8" s="36">
        <v>10</v>
      </c>
      <c r="F8" s="36">
        <v>62</v>
      </c>
      <c r="G8" s="35" t="s">
        <v>272</v>
      </c>
      <c r="H8" s="37" t="s">
        <v>281</v>
      </c>
      <c r="I8" s="33" t="s">
        <v>321</v>
      </c>
    </row>
    <row r="10" spans="1:9" s="41" customFormat="1" ht="15.6" x14ac:dyDescent="0.3">
      <c r="A10" s="40" t="s">
        <v>93</v>
      </c>
    </row>
    <row r="11" spans="1:9" ht="30.6" x14ac:dyDescent="0.25">
      <c r="A11" s="30" t="s">
        <v>41</v>
      </c>
      <c r="B11" s="30" t="s">
        <v>42</v>
      </c>
      <c r="C11" s="31" t="s">
        <v>292</v>
      </c>
      <c r="D11" s="30" t="s">
        <v>412</v>
      </c>
      <c r="E11" s="30" t="s">
        <v>316</v>
      </c>
      <c r="F11" s="30" t="s">
        <v>317</v>
      </c>
      <c r="G11" s="30" t="s">
        <v>273</v>
      </c>
      <c r="H11" s="30" t="s">
        <v>318</v>
      </c>
      <c r="I11" s="30" t="s">
        <v>276</v>
      </c>
    </row>
    <row r="12" spans="1:9" ht="18.75" customHeight="1" x14ac:dyDescent="0.25">
      <c r="A12" s="32" t="s">
        <v>106</v>
      </c>
      <c r="B12" s="33" t="s">
        <v>93</v>
      </c>
      <c r="C12" s="34">
        <v>4</v>
      </c>
      <c r="D12" s="36">
        <v>6</v>
      </c>
      <c r="E12" s="36">
        <v>4</v>
      </c>
      <c r="F12" s="36"/>
      <c r="G12" s="35"/>
      <c r="H12" s="37" t="s">
        <v>280</v>
      </c>
      <c r="I12" s="33" t="s">
        <v>298</v>
      </c>
    </row>
    <row r="13" spans="1:9" ht="18.75" customHeight="1" x14ac:dyDescent="0.25">
      <c r="A13" s="32" t="s">
        <v>105</v>
      </c>
      <c r="B13" s="33" t="s">
        <v>93</v>
      </c>
      <c r="C13" s="34">
        <v>4</v>
      </c>
      <c r="D13" s="36">
        <v>7</v>
      </c>
      <c r="E13" s="36">
        <v>7</v>
      </c>
      <c r="F13" s="36">
        <v>105</v>
      </c>
      <c r="G13" s="35"/>
      <c r="H13" s="37" t="s">
        <v>280</v>
      </c>
      <c r="I13" s="38" t="s">
        <v>299</v>
      </c>
    </row>
    <row r="14" spans="1:9" ht="18.75" customHeight="1" x14ac:dyDescent="0.25">
      <c r="A14" s="32" t="s">
        <v>103</v>
      </c>
      <c r="B14" s="33" t="s">
        <v>93</v>
      </c>
      <c r="C14" s="34">
        <v>4</v>
      </c>
      <c r="D14" s="36">
        <v>6</v>
      </c>
      <c r="E14" s="36">
        <v>3</v>
      </c>
      <c r="F14" s="36">
        <v>13</v>
      </c>
      <c r="G14" s="35"/>
      <c r="H14" s="37" t="s">
        <v>280</v>
      </c>
      <c r="I14" s="38" t="s">
        <v>299</v>
      </c>
    </row>
    <row r="15" spans="1:9" ht="18.75" customHeight="1" x14ac:dyDescent="0.25">
      <c r="A15" s="32" t="s">
        <v>104</v>
      </c>
      <c r="B15" s="33" t="s">
        <v>93</v>
      </c>
      <c r="C15" s="34">
        <v>3</v>
      </c>
      <c r="D15" s="36">
        <v>11</v>
      </c>
      <c r="E15" s="36">
        <v>7</v>
      </c>
      <c r="F15" s="36">
        <v>32</v>
      </c>
      <c r="G15" s="35"/>
      <c r="H15" s="39" t="s">
        <v>285</v>
      </c>
      <c r="I15" s="38" t="s">
        <v>295</v>
      </c>
    </row>
    <row r="16" spans="1:9" ht="40.799999999999997" x14ac:dyDescent="0.25">
      <c r="A16" s="32" t="s">
        <v>101</v>
      </c>
      <c r="B16" s="33" t="s">
        <v>93</v>
      </c>
      <c r="C16" s="34">
        <v>1</v>
      </c>
      <c r="D16" s="36">
        <v>11</v>
      </c>
      <c r="E16" s="36">
        <v>11</v>
      </c>
      <c r="F16" s="36">
        <v>7180</v>
      </c>
      <c r="G16" s="35" t="s">
        <v>272</v>
      </c>
      <c r="H16" s="39" t="s">
        <v>281</v>
      </c>
      <c r="I16" s="38" t="s">
        <v>4</v>
      </c>
    </row>
    <row r="18" spans="1:9" ht="15.6" x14ac:dyDescent="0.3">
      <c r="A18" s="40" t="s">
        <v>95</v>
      </c>
    </row>
    <row r="19" spans="1:9" ht="30.6" x14ac:dyDescent="0.25">
      <c r="A19" s="30" t="s">
        <v>41</v>
      </c>
      <c r="B19" s="30" t="s">
        <v>42</v>
      </c>
      <c r="C19" s="31" t="s">
        <v>292</v>
      </c>
      <c r="D19" s="30" t="s">
        <v>412</v>
      </c>
      <c r="E19" s="30" t="s">
        <v>316</v>
      </c>
      <c r="F19" s="30" t="s">
        <v>317</v>
      </c>
      <c r="G19" s="30" t="s">
        <v>273</v>
      </c>
      <c r="H19" s="30" t="s">
        <v>318</v>
      </c>
      <c r="I19" s="30" t="s">
        <v>276</v>
      </c>
    </row>
    <row r="20" spans="1:9" ht="39" customHeight="1" x14ac:dyDescent="0.25">
      <c r="A20" s="32" t="s">
        <v>101</v>
      </c>
      <c r="B20" s="33" t="s">
        <v>95</v>
      </c>
      <c r="C20" s="34">
        <v>1</v>
      </c>
      <c r="D20" s="36">
        <v>11</v>
      </c>
      <c r="E20" s="36">
        <v>10</v>
      </c>
      <c r="F20" s="36">
        <v>6</v>
      </c>
      <c r="G20" s="35" t="s">
        <v>272</v>
      </c>
      <c r="H20" s="37" t="s">
        <v>281</v>
      </c>
      <c r="I20" s="33" t="s">
        <v>321</v>
      </c>
    </row>
    <row r="22" spans="1:9" ht="15.6" x14ac:dyDescent="0.3">
      <c r="A22" s="40" t="s">
        <v>96</v>
      </c>
    </row>
    <row r="23" spans="1:9" ht="30.6" x14ac:dyDescent="0.25">
      <c r="A23" s="30" t="s">
        <v>41</v>
      </c>
      <c r="B23" s="30" t="s">
        <v>42</v>
      </c>
      <c r="C23" s="31" t="s">
        <v>292</v>
      </c>
      <c r="D23" s="30" t="s">
        <v>412</v>
      </c>
      <c r="E23" s="30" t="s">
        <v>316</v>
      </c>
      <c r="F23" s="30" t="s">
        <v>317</v>
      </c>
      <c r="G23" s="30" t="s">
        <v>273</v>
      </c>
      <c r="H23" s="30" t="s">
        <v>318</v>
      </c>
      <c r="I23" s="30" t="s">
        <v>276</v>
      </c>
    </row>
    <row r="24" spans="1:9" ht="17.25" customHeight="1" x14ac:dyDescent="0.25">
      <c r="A24" s="32" t="s">
        <v>106</v>
      </c>
      <c r="B24" s="33" t="s">
        <v>96</v>
      </c>
      <c r="C24" s="34">
        <v>4</v>
      </c>
      <c r="D24" s="36">
        <v>6</v>
      </c>
      <c r="E24" s="36">
        <v>6</v>
      </c>
      <c r="F24" s="36">
        <v>2846</v>
      </c>
      <c r="G24" s="35"/>
      <c r="H24" s="37" t="s">
        <v>280</v>
      </c>
      <c r="I24" s="38" t="s">
        <v>297</v>
      </c>
    </row>
    <row r="25" spans="1:9" ht="17.25" customHeight="1" x14ac:dyDescent="0.25">
      <c r="A25" s="32" t="s">
        <v>105</v>
      </c>
      <c r="B25" s="33" t="s">
        <v>96</v>
      </c>
      <c r="C25" s="34">
        <v>4</v>
      </c>
      <c r="D25" s="36">
        <v>7</v>
      </c>
      <c r="E25" s="36">
        <v>7</v>
      </c>
      <c r="F25" s="36">
        <v>1194</v>
      </c>
      <c r="G25" s="35"/>
      <c r="H25" s="37" t="s">
        <v>280</v>
      </c>
      <c r="I25" s="38" t="s">
        <v>299</v>
      </c>
    </row>
    <row r="26" spans="1:9" ht="17.25" customHeight="1" x14ac:dyDescent="0.25">
      <c r="A26" s="32" t="s">
        <v>103</v>
      </c>
      <c r="B26" s="33" t="s">
        <v>96</v>
      </c>
      <c r="C26" s="34">
        <v>4</v>
      </c>
      <c r="D26" s="36">
        <v>6</v>
      </c>
      <c r="E26" s="36">
        <v>6</v>
      </c>
      <c r="F26" s="36">
        <v>525</v>
      </c>
      <c r="G26" s="35"/>
      <c r="H26" s="37" t="s">
        <v>280</v>
      </c>
      <c r="I26" s="38" t="s">
        <v>299</v>
      </c>
    </row>
    <row r="27" spans="1:9" ht="17.25" customHeight="1" x14ac:dyDescent="0.25">
      <c r="A27" s="32" t="s">
        <v>104</v>
      </c>
      <c r="B27" s="33" t="s">
        <v>96</v>
      </c>
      <c r="C27" s="34">
        <v>3</v>
      </c>
      <c r="D27" s="36">
        <v>11</v>
      </c>
      <c r="E27" s="36">
        <v>9</v>
      </c>
      <c r="F27" s="36">
        <v>4854</v>
      </c>
      <c r="G27" s="35"/>
      <c r="H27" s="39" t="s">
        <v>285</v>
      </c>
      <c r="I27" s="38" t="s">
        <v>295</v>
      </c>
    </row>
    <row r="28" spans="1:9" ht="51" x14ac:dyDescent="0.25">
      <c r="A28" s="32" t="s">
        <v>101</v>
      </c>
      <c r="B28" s="33" t="s">
        <v>96</v>
      </c>
      <c r="C28" s="34">
        <v>1</v>
      </c>
      <c r="D28" s="36">
        <v>11</v>
      </c>
      <c r="E28" s="36">
        <v>8</v>
      </c>
      <c r="F28" s="36">
        <v>209018</v>
      </c>
      <c r="G28" s="35" t="s">
        <v>272</v>
      </c>
      <c r="H28" s="37" t="s">
        <v>281</v>
      </c>
      <c r="I28" s="33" t="s">
        <v>7</v>
      </c>
    </row>
    <row r="30" spans="1:9" ht="22.5" customHeight="1" x14ac:dyDescent="0.25"/>
    <row r="31" spans="1:9" ht="15.6" x14ac:dyDescent="0.3">
      <c r="A31" s="40" t="s">
        <v>97</v>
      </c>
    </row>
    <row r="32" spans="1:9" ht="30.6" x14ac:dyDescent="0.25">
      <c r="A32" s="30" t="s">
        <v>41</v>
      </c>
      <c r="B32" s="30" t="s">
        <v>42</v>
      </c>
      <c r="C32" s="31" t="s">
        <v>292</v>
      </c>
      <c r="D32" s="30" t="s">
        <v>412</v>
      </c>
      <c r="E32" s="30" t="s">
        <v>316</v>
      </c>
      <c r="F32" s="30" t="s">
        <v>317</v>
      </c>
      <c r="G32" s="30" t="s">
        <v>273</v>
      </c>
      <c r="H32" s="30" t="s">
        <v>318</v>
      </c>
      <c r="I32" s="30" t="s">
        <v>276</v>
      </c>
    </row>
    <row r="33" spans="1:9" ht="20.399999999999999" x14ac:dyDescent="0.25">
      <c r="A33" s="32" t="s">
        <v>106</v>
      </c>
      <c r="B33" s="33" t="s">
        <v>97</v>
      </c>
      <c r="C33" s="34">
        <v>4</v>
      </c>
      <c r="D33" s="36">
        <v>6</v>
      </c>
      <c r="E33" s="36">
        <v>1</v>
      </c>
      <c r="F33" s="36"/>
      <c r="G33" s="35"/>
      <c r="H33" s="37" t="s">
        <v>280</v>
      </c>
      <c r="I33" s="38" t="s">
        <v>325</v>
      </c>
    </row>
    <row r="34" spans="1:9" ht="20.399999999999999" x14ac:dyDescent="0.25">
      <c r="A34" s="32" t="s">
        <v>105</v>
      </c>
      <c r="B34" s="33" t="s">
        <v>97</v>
      </c>
      <c r="C34" s="34">
        <v>4</v>
      </c>
      <c r="D34" s="36">
        <v>7</v>
      </c>
      <c r="E34" s="36">
        <v>3</v>
      </c>
      <c r="F34" s="36"/>
      <c r="G34" s="35"/>
      <c r="H34" s="39" t="s">
        <v>280</v>
      </c>
      <c r="I34" s="38" t="s">
        <v>300</v>
      </c>
    </row>
    <row r="35" spans="1:9" ht="20.399999999999999" x14ac:dyDescent="0.25">
      <c r="A35" s="32" t="s">
        <v>103</v>
      </c>
      <c r="B35" s="33" t="s">
        <v>97</v>
      </c>
      <c r="C35" s="34">
        <v>4</v>
      </c>
      <c r="D35" s="36">
        <v>6</v>
      </c>
      <c r="E35" s="36">
        <v>1</v>
      </c>
      <c r="F35" s="36"/>
      <c r="G35" s="35"/>
      <c r="H35" s="37" t="s">
        <v>280</v>
      </c>
      <c r="I35" s="33" t="s">
        <v>301</v>
      </c>
    </row>
    <row r="36" spans="1:9" ht="40.799999999999997" x14ac:dyDescent="0.25">
      <c r="A36" s="32" t="s">
        <v>101</v>
      </c>
      <c r="B36" s="33" t="s">
        <v>97</v>
      </c>
      <c r="C36" s="34">
        <v>1</v>
      </c>
      <c r="D36" s="36">
        <v>11</v>
      </c>
      <c r="E36" s="36">
        <v>11</v>
      </c>
      <c r="F36" s="36">
        <v>22430</v>
      </c>
      <c r="G36" s="35" t="s">
        <v>272</v>
      </c>
      <c r="H36" s="33" t="s">
        <v>281</v>
      </c>
      <c r="I36" s="33" t="s">
        <v>4</v>
      </c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52"/>
  <sheetViews>
    <sheetView topLeftCell="A22" workbookViewId="0">
      <selection activeCell="O23" sqref="O23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348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20.399999999999999" x14ac:dyDescent="0.25">
      <c r="A6" s="32" t="s">
        <v>128</v>
      </c>
      <c r="B6" s="33" t="s">
        <v>91</v>
      </c>
      <c r="C6" s="34">
        <v>3</v>
      </c>
      <c r="D6" s="36">
        <v>3</v>
      </c>
      <c r="E6" s="36">
        <v>3</v>
      </c>
      <c r="F6" s="36">
        <v>1596</v>
      </c>
      <c r="G6" s="35"/>
      <c r="H6" s="37" t="s">
        <v>285</v>
      </c>
      <c r="I6" s="33" t="s">
        <v>324</v>
      </c>
    </row>
    <row r="7" spans="1:9" ht="20.399999999999999" x14ac:dyDescent="0.25">
      <c r="A7" s="32" t="s">
        <v>107</v>
      </c>
      <c r="B7" s="33" t="s">
        <v>91</v>
      </c>
      <c r="C7" s="34">
        <v>3</v>
      </c>
      <c r="D7" s="36">
        <v>3</v>
      </c>
      <c r="E7" s="36">
        <v>3</v>
      </c>
      <c r="F7" s="36"/>
      <c r="G7" s="35"/>
      <c r="H7" s="39" t="s">
        <v>285</v>
      </c>
      <c r="I7" s="33" t="s">
        <v>331</v>
      </c>
    </row>
    <row r="8" spans="1:9" ht="15" customHeight="1" x14ac:dyDescent="0.25">
      <c r="A8" s="32" t="s">
        <v>149</v>
      </c>
      <c r="B8" s="33" t="s">
        <v>91</v>
      </c>
      <c r="C8" s="34">
        <v>5</v>
      </c>
      <c r="D8" s="36">
        <v>4</v>
      </c>
      <c r="E8" s="36">
        <v>1</v>
      </c>
      <c r="F8" s="36"/>
      <c r="G8" s="35"/>
      <c r="H8" s="37" t="s">
        <v>280</v>
      </c>
      <c r="I8" s="33" t="s">
        <v>333</v>
      </c>
    </row>
    <row r="9" spans="1:9" ht="30.6" x14ac:dyDescent="0.25">
      <c r="A9" s="32" t="s">
        <v>125</v>
      </c>
      <c r="B9" s="33" t="s">
        <v>91</v>
      </c>
      <c r="C9" s="34">
        <v>3</v>
      </c>
      <c r="D9" s="36">
        <v>11</v>
      </c>
      <c r="E9" s="36">
        <v>11</v>
      </c>
      <c r="F9" s="36">
        <v>546</v>
      </c>
      <c r="G9" s="35" t="s">
        <v>268</v>
      </c>
      <c r="H9" s="37" t="s">
        <v>281</v>
      </c>
      <c r="I9" s="33"/>
    </row>
    <row r="10" spans="1:9" ht="30.6" x14ac:dyDescent="0.25">
      <c r="A10" s="32" t="s">
        <v>112</v>
      </c>
      <c r="B10" s="33" t="s">
        <v>91</v>
      </c>
      <c r="C10" s="34">
        <v>3</v>
      </c>
      <c r="D10" s="36">
        <v>11</v>
      </c>
      <c r="E10" s="36">
        <v>8</v>
      </c>
      <c r="F10" s="36">
        <v>37</v>
      </c>
      <c r="G10" s="35" t="s">
        <v>268</v>
      </c>
      <c r="H10" s="39" t="s">
        <v>281</v>
      </c>
      <c r="I10" s="33"/>
    </row>
    <row r="11" spans="1:9" ht="20.399999999999999" x14ac:dyDescent="0.25">
      <c r="A11" s="32" t="s">
        <v>40</v>
      </c>
      <c r="B11" s="33" t="s">
        <v>91</v>
      </c>
      <c r="C11" s="34">
        <v>1</v>
      </c>
      <c r="D11" s="36">
        <v>11</v>
      </c>
      <c r="E11" s="36">
        <v>11</v>
      </c>
      <c r="F11" s="36">
        <v>321757</v>
      </c>
      <c r="G11" s="35" t="s">
        <v>272</v>
      </c>
      <c r="H11" s="37" t="s">
        <v>281</v>
      </c>
      <c r="I11" s="33" t="s">
        <v>302</v>
      </c>
    </row>
    <row r="12" spans="1:9" ht="30.6" x14ac:dyDescent="0.25">
      <c r="A12" s="32" t="s">
        <v>143</v>
      </c>
      <c r="B12" s="33" t="s">
        <v>91</v>
      </c>
      <c r="C12" s="34">
        <v>3</v>
      </c>
      <c r="D12" s="36">
        <v>10</v>
      </c>
      <c r="E12" s="36">
        <v>10</v>
      </c>
      <c r="F12" s="36">
        <v>17</v>
      </c>
      <c r="G12" s="35" t="s">
        <v>270</v>
      </c>
      <c r="H12" s="37" t="s">
        <v>281</v>
      </c>
      <c r="I12" s="33"/>
    </row>
    <row r="14" spans="1:9" s="41" customFormat="1" ht="15.6" x14ac:dyDescent="0.3">
      <c r="A14" s="40" t="s">
        <v>93</v>
      </c>
    </row>
    <row r="15" spans="1:9" ht="30.6" x14ac:dyDescent="0.25">
      <c r="A15" s="30" t="s">
        <v>41</v>
      </c>
      <c r="B15" s="30" t="s">
        <v>42</v>
      </c>
      <c r="C15" s="31" t="s">
        <v>292</v>
      </c>
      <c r="D15" s="30" t="s">
        <v>412</v>
      </c>
      <c r="E15" s="30" t="s">
        <v>316</v>
      </c>
      <c r="F15" s="30" t="s">
        <v>317</v>
      </c>
      <c r="G15" s="30" t="s">
        <v>273</v>
      </c>
      <c r="H15" s="30" t="s">
        <v>318</v>
      </c>
      <c r="I15" s="30" t="s">
        <v>276</v>
      </c>
    </row>
    <row r="16" spans="1:9" ht="20.399999999999999" x14ac:dyDescent="0.25">
      <c r="A16" s="32" t="s">
        <v>121</v>
      </c>
      <c r="B16" s="33" t="s">
        <v>93</v>
      </c>
      <c r="C16" s="34">
        <v>5</v>
      </c>
      <c r="D16" s="36">
        <v>0</v>
      </c>
      <c r="E16" s="36"/>
      <c r="F16" s="36"/>
      <c r="G16" s="35"/>
      <c r="H16" s="37" t="s">
        <v>308</v>
      </c>
      <c r="I16" s="33" t="s">
        <v>307</v>
      </c>
    </row>
    <row r="17" spans="1:9" ht="15" customHeight="1" x14ac:dyDescent="0.25">
      <c r="A17" s="32" t="s">
        <v>108</v>
      </c>
      <c r="B17" s="33" t="s">
        <v>93</v>
      </c>
      <c r="C17" s="34">
        <v>5</v>
      </c>
      <c r="D17" s="36">
        <v>2</v>
      </c>
      <c r="E17" s="36">
        <v>2</v>
      </c>
      <c r="F17" s="36"/>
      <c r="G17" s="35"/>
      <c r="H17" s="37" t="s">
        <v>280</v>
      </c>
      <c r="I17" s="38" t="s">
        <v>309</v>
      </c>
    </row>
    <row r="18" spans="1:9" ht="15" customHeight="1" x14ac:dyDescent="0.25">
      <c r="A18" s="32" t="s">
        <v>136</v>
      </c>
      <c r="B18" s="33" t="s">
        <v>93</v>
      </c>
      <c r="C18" s="34">
        <v>5</v>
      </c>
      <c r="D18" s="36">
        <v>3</v>
      </c>
      <c r="E18" s="36">
        <v>0</v>
      </c>
      <c r="F18" s="36"/>
      <c r="G18" s="35"/>
      <c r="H18" s="37" t="s">
        <v>308</v>
      </c>
      <c r="I18" s="38" t="s">
        <v>310</v>
      </c>
    </row>
    <row r="19" spans="1:9" ht="15" customHeight="1" x14ac:dyDescent="0.25">
      <c r="A19" s="32" t="s">
        <v>114</v>
      </c>
      <c r="B19" s="33" t="s">
        <v>93</v>
      </c>
      <c r="C19" s="34">
        <v>1</v>
      </c>
      <c r="D19" s="36">
        <v>11</v>
      </c>
      <c r="E19" s="36">
        <v>11</v>
      </c>
      <c r="F19" s="36">
        <v>211</v>
      </c>
      <c r="G19" s="35" t="s">
        <v>287</v>
      </c>
      <c r="H19" s="39" t="s">
        <v>281</v>
      </c>
      <c r="I19" s="38"/>
    </row>
    <row r="20" spans="1:9" ht="15" customHeight="1" x14ac:dyDescent="0.25">
      <c r="A20" s="32" t="s">
        <v>126</v>
      </c>
      <c r="B20" s="33" t="s">
        <v>93</v>
      </c>
      <c r="C20" s="34">
        <v>5</v>
      </c>
      <c r="D20" s="36">
        <v>0</v>
      </c>
      <c r="E20" s="36"/>
      <c r="F20" s="36"/>
      <c r="G20" s="35"/>
      <c r="H20" s="39" t="s">
        <v>308</v>
      </c>
      <c r="I20" s="38" t="s">
        <v>312</v>
      </c>
    </row>
    <row r="21" spans="1:9" ht="20.399999999999999" x14ac:dyDescent="0.25">
      <c r="A21" s="32" t="s">
        <v>140</v>
      </c>
      <c r="B21" s="33" t="s">
        <v>93</v>
      </c>
      <c r="C21" s="34">
        <v>5</v>
      </c>
      <c r="D21" s="36">
        <v>5</v>
      </c>
      <c r="E21" s="36">
        <v>0</v>
      </c>
      <c r="F21" s="36"/>
      <c r="G21" s="35"/>
      <c r="H21" s="37" t="s">
        <v>280</v>
      </c>
      <c r="I21" s="33" t="s">
        <v>313</v>
      </c>
    </row>
    <row r="22" spans="1:9" ht="30.6" x14ac:dyDescent="0.25">
      <c r="A22" s="32" t="s">
        <v>38</v>
      </c>
      <c r="B22" s="33" t="s">
        <v>93</v>
      </c>
      <c r="C22" s="34">
        <v>3</v>
      </c>
      <c r="D22" s="36">
        <v>0</v>
      </c>
      <c r="E22" s="36"/>
      <c r="F22" s="36"/>
      <c r="G22" s="35"/>
      <c r="H22" s="33" t="s">
        <v>308</v>
      </c>
      <c r="I22" s="33" t="s">
        <v>314</v>
      </c>
    </row>
    <row r="23" spans="1:9" ht="20.399999999999999" x14ac:dyDescent="0.25">
      <c r="A23" s="32" t="s">
        <v>119</v>
      </c>
      <c r="B23" s="33" t="s">
        <v>93</v>
      </c>
      <c r="C23" s="34">
        <v>4</v>
      </c>
      <c r="D23" s="36">
        <v>4</v>
      </c>
      <c r="E23" s="36">
        <v>2</v>
      </c>
      <c r="F23" s="36"/>
      <c r="G23" s="35"/>
      <c r="H23" s="37" t="s">
        <v>280</v>
      </c>
      <c r="I23" s="33" t="s">
        <v>322</v>
      </c>
    </row>
    <row r="24" spans="1:9" ht="20.399999999999999" x14ac:dyDescent="0.25">
      <c r="A24" s="32" t="s">
        <v>128</v>
      </c>
      <c r="B24" s="33" t="s">
        <v>93</v>
      </c>
      <c r="C24" s="34">
        <v>3</v>
      </c>
      <c r="D24" s="36">
        <v>3</v>
      </c>
      <c r="E24" s="36">
        <v>3</v>
      </c>
      <c r="F24" s="36">
        <v>1078</v>
      </c>
      <c r="G24" s="35"/>
      <c r="H24" s="39" t="s">
        <v>285</v>
      </c>
      <c r="I24" s="33" t="s">
        <v>324</v>
      </c>
    </row>
    <row r="25" spans="1:9" ht="15" customHeight="1" x14ac:dyDescent="0.25">
      <c r="A25" s="32" t="s">
        <v>133</v>
      </c>
      <c r="B25" s="33" t="s">
        <v>93</v>
      </c>
      <c r="C25" s="34">
        <v>4</v>
      </c>
      <c r="D25" s="36">
        <v>9</v>
      </c>
      <c r="E25" s="36">
        <v>4</v>
      </c>
      <c r="F25" s="36">
        <v>42</v>
      </c>
      <c r="G25" s="35"/>
      <c r="H25" s="39" t="s">
        <v>280</v>
      </c>
      <c r="I25" s="33" t="s">
        <v>327</v>
      </c>
    </row>
    <row r="26" spans="1:9" ht="15" customHeight="1" x14ac:dyDescent="0.25">
      <c r="A26" s="32" t="s">
        <v>117</v>
      </c>
      <c r="B26" s="33" t="s">
        <v>93</v>
      </c>
      <c r="C26" s="34">
        <v>4</v>
      </c>
      <c r="D26" s="36">
        <v>9</v>
      </c>
      <c r="E26" s="36">
        <v>2</v>
      </c>
      <c r="F26" s="36"/>
      <c r="G26" s="35"/>
      <c r="H26" s="33" t="s">
        <v>280</v>
      </c>
      <c r="I26" s="33" t="s">
        <v>327</v>
      </c>
    </row>
    <row r="27" spans="1:9" ht="15" customHeight="1" x14ac:dyDescent="0.25">
      <c r="A27" s="32" t="s">
        <v>115</v>
      </c>
      <c r="B27" s="33" t="s">
        <v>93</v>
      </c>
      <c r="C27" s="34">
        <v>4</v>
      </c>
      <c r="D27" s="36">
        <v>10</v>
      </c>
      <c r="E27" s="36">
        <v>2</v>
      </c>
      <c r="F27" s="36"/>
      <c r="G27" s="35"/>
      <c r="H27" s="39" t="s">
        <v>280</v>
      </c>
      <c r="I27" s="33" t="s">
        <v>327</v>
      </c>
    </row>
    <row r="28" spans="1:9" ht="15" customHeight="1" x14ac:dyDescent="0.25">
      <c r="A28" s="32" t="s">
        <v>123</v>
      </c>
      <c r="B28" s="33" t="s">
        <v>93</v>
      </c>
      <c r="C28" s="34">
        <v>4</v>
      </c>
      <c r="D28" s="36">
        <v>11</v>
      </c>
      <c r="E28" s="36">
        <v>2</v>
      </c>
      <c r="F28" s="36"/>
      <c r="G28" s="35"/>
      <c r="H28" s="37" t="s">
        <v>280</v>
      </c>
      <c r="I28" s="38" t="s">
        <v>327</v>
      </c>
    </row>
    <row r="29" spans="1:9" ht="15" customHeight="1" x14ac:dyDescent="0.25">
      <c r="A29" s="32" t="s">
        <v>122</v>
      </c>
      <c r="B29" s="33" t="s">
        <v>93</v>
      </c>
      <c r="C29" s="34">
        <v>5</v>
      </c>
      <c r="D29" s="36">
        <v>0</v>
      </c>
      <c r="E29" s="36"/>
      <c r="F29" s="36"/>
      <c r="G29" s="35"/>
      <c r="H29" s="39" t="s">
        <v>308</v>
      </c>
      <c r="I29" s="38" t="s">
        <v>328</v>
      </c>
    </row>
    <row r="30" spans="1:9" ht="20.399999999999999" x14ac:dyDescent="0.25">
      <c r="A30" s="32" t="s">
        <v>138</v>
      </c>
      <c r="B30" s="33" t="s">
        <v>93</v>
      </c>
      <c r="C30" s="34">
        <v>4</v>
      </c>
      <c r="D30" s="36">
        <v>8</v>
      </c>
      <c r="E30" s="36">
        <v>0</v>
      </c>
      <c r="F30" s="36"/>
      <c r="G30" s="35"/>
      <c r="H30" s="39" t="s">
        <v>308</v>
      </c>
      <c r="I30" s="38" t="s">
        <v>327</v>
      </c>
    </row>
    <row r="31" spans="1:9" ht="20.399999999999999" x14ac:dyDescent="0.25">
      <c r="A31" s="32" t="s">
        <v>139</v>
      </c>
      <c r="B31" s="33" t="s">
        <v>93</v>
      </c>
      <c r="C31" s="34">
        <v>4</v>
      </c>
      <c r="D31" s="36">
        <v>7</v>
      </c>
      <c r="E31" s="36">
        <v>2</v>
      </c>
      <c r="F31" s="36"/>
      <c r="G31" s="35"/>
      <c r="H31" s="37" t="s">
        <v>280</v>
      </c>
      <c r="I31" s="33" t="s">
        <v>327</v>
      </c>
    </row>
    <row r="32" spans="1:9" ht="30.6" x14ac:dyDescent="0.25">
      <c r="A32" s="30" t="s">
        <v>41</v>
      </c>
      <c r="B32" s="30" t="s">
        <v>42</v>
      </c>
      <c r="C32" s="31" t="s">
        <v>292</v>
      </c>
      <c r="D32" s="30" t="s">
        <v>412</v>
      </c>
      <c r="E32" s="30" t="s">
        <v>316</v>
      </c>
      <c r="F32" s="30" t="s">
        <v>317</v>
      </c>
      <c r="G32" s="30" t="s">
        <v>273</v>
      </c>
      <c r="H32" s="30" t="s">
        <v>318</v>
      </c>
      <c r="I32" s="30" t="s">
        <v>276</v>
      </c>
    </row>
    <row r="33" spans="1:9" ht="15" customHeight="1" x14ac:dyDescent="0.25">
      <c r="A33" s="32" t="s">
        <v>134</v>
      </c>
      <c r="B33" s="33" t="s">
        <v>93</v>
      </c>
      <c r="C33" s="34">
        <v>4</v>
      </c>
      <c r="D33" s="36">
        <v>11</v>
      </c>
      <c r="E33" s="36">
        <v>4</v>
      </c>
      <c r="F33" s="36"/>
      <c r="G33" s="35"/>
      <c r="H33" s="33" t="s">
        <v>329</v>
      </c>
      <c r="I33" s="33" t="s">
        <v>327</v>
      </c>
    </row>
    <row r="34" spans="1:9" ht="15" customHeight="1" x14ac:dyDescent="0.25">
      <c r="A34" s="32" t="s">
        <v>118</v>
      </c>
      <c r="B34" s="33" t="s">
        <v>93</v>
      </c>
      <c r="C34" s="34">
        <v>4</v>
      </c>
      <c r="D34" s="36">
        <v>10</v>
      </c>
      <c r="E34" s="36">
        <v>5</v>
      </c>
      <c r="F34" s="36"/>
      <c r="G34" s="35"/>
      <c r="H34" s="37" t="s">
        <v>280</v>
      </c>
      <c r="I34" s="33" t="s">
        <v>327</v>
      </c>
    </row>
    <row r="35" spans="1:9" ht="20.399999999999999" x14ac:dyDescent="0.25">
      <c r="A35" s="32" t="s">
        <v>113</v>
      </c>
      <c r="B35" s="33" t="s">
        <v>93</v>
      </c>
      <c r="C35" s="34">
        <v>5</v>
      </c>
      <c r="D35" s="36">
        <v>0</v>
      </c>
      <c r="E35" s="36"/>
      <c r="F35" s="36"/>
      <c r="G35" s="35"/>
      <c r="H35" s="39" t="s">
        <v>280</v>
      </c>
      <c r="I35" s="33" t="s">
        <v>330</v>
      </c>
    </row>
    <row r="36" spans="1:9" ht="20.399999999999999" x14ac:dyDescent="0.25">
      <c r="A36" s="32" t="s">
        <v>107</v>
      </c>
      <c r="B36" s="33" t="s">
        <v>93</v>
      </c>
      <c r="C36" s="34">
        <v>3</v>
      </c>
      <c r="D36" s="36">
        <v>3</v>
      </c>
      <c r="E36" s="36">
        <v>0</v>
      </c>
      <c r="F36" s="36"/>
      <c r="G36" s="35"/>
      <c r="H36" s="39" t="s">
        <v>285</v>
      </c>
      <c r="I36" s="33" t="s">
        <v>331</v>
      </c>
    </row>
    <row r="37" spans="1:9" ht="15" customHeight="1" x14ac:dyDescent="0.25">
      <c r="A37" s="32" t="s">
        <v>150</v>
      </c>
      <c r="B37" s="33" t="s">
        <v>93</v>
      </c>
      <c r="C37" s="34">
        <v>5</v>
      </c>
      <c r="D37" s="36">
        <v>10</v>
      </c>
      <c r="E37" s="36">
        <v>2</v>
      </c>
      <c r="F37" s="36"/>
      <c r="G37" s="35"/>
      <c r="H37" s="33" t="s">
        <v>280</v>
      </c>
      <c r="I37" s="33" t="s">
        <v>327</v>
      </c>
    </row>
    <row r="38" spans="1:9" ht="15" customHeight="1" x14ac:dyDescent="0.25">
      <c r="A38" s="32" t="s">
        <v>130</v>
      </c>
      <c r="B38" s="33" t="s">
        <v>93</v>
      </c>
      <c r="C38" s="34">
        <v>4</v>
      </c>
      <c r="D38" s="36">
        <v>7</v>
      </c>
      <c r="E38" s="36">
        <v>0</v>
      </c>
      <c r="F38" s="36"/>
      <c r="G38" s="35"/>
      <c r="H38" s="37" t="s">
        <v>308</v>
      </c>
      <c r="I38" s="33" t="s">
        <v>327</v>
      </c>
    </row>
    <row r="39" spans="1:9" ht="15" customHeight="1" x14ac:dyDescent="0.25">
      <c r="A39" s="32" t="s">
        <v>149</v>
      </c>
      <c r="B39" s="33" t="s">
        <v>93</v>
      </c>
      <c r="C39" s="34">
        <v>5</v>
      </c>
      <c r="D39" s="36">
        <v>4</v>
      </c>
      <c r="E39" s="36">
        <v>3</v>
      </c>
      <c r="F39" s="36"/>
      <c r="G39" s="35"/>
      <c r="H39" s="33" t="s">
        <v>280</v>
      </c>
      <c r="I39" s="33" t="s">
        <v>333</v>
      </c>
    </row>
    <row r="40" spans="1:9" ht="20.399999999999999" x14ac:dyDescent="0.25">
      <c r="A40" s="32" t="s">
        <v>39</v>
      </c>
      <c r="B40" s="33" t="s">
        <v>93</v>
      </c>
      <c r="C40" s="34">
        <v>3</v>
      </c>
      <c r="D40" s="36">
        <v>3</v>
      </c>
      <c r="E40" s="36">
        <v>3</v>
      </c>
      <c r="F40" s="36">
        <v>1118</v>
      </c>
      <c r="G40" s="35"/>
      <c r="H40" s="37" t="s">
        <v>285</v>
      </c>
      <c r="I40" s="33" t="s">
        <v>334</v>
      </c>
    </row>
    <row r="41" spans="1:9" ht="20.399999999999999" x14ac:dyDescent="0.25">
      <c r="A41" s="32" t="s">
        <v>146</v>
      </c>
      <c r="B41" s="33" t="s">
        <v>93</v>
      </c>
      <c r="C41" s="34">
        <v>5</v>
      </c>
      <c r="D41" s="36">
        <v>5</v>
      </c>
      <c r="E41" s="36">
        <v>5</v>
      </c>
      <c r="F41" s="36">
        <v>7</v>
      </c>
      <c r="G41" s="35"/>
      <c r="H41" s="39" t="s">
        <v>280</v>
      </c>
      <c r="I41" s="33" t="s">
        <v>336</v>
      </c>
    </row>
    <row r="42" spans="1:9" ht="20.399999999999999" x14ac:dyDescent="0.25">
      <c r="A42" s="32" t="s">
        <v>144</v>
      </c>
      <c r="B42" s="33" t="s">
        <v>93</v>
      </c>
      <c r="C42" s="34">
        <v>5</v>
      </c>
      <c r="D42" s="36">
        <v>9</v>
      </c>
      <c r="E42" s="36">
        <v>2</v>
      </c>
      <c r="F42" s="36"/>
      <c r="G42" s="35"/>
      <c r="H42" s="39" t="s">
        <v>280</v>
      </c>
      <c r="I42" s="33" t="s">
        <v>337</v>
      </c>
    </row>
    <row r="43" spans="1:9" ht="20.399999999999999" x14ac:dyDescent="0.25">
      <c r="A43" s="32" t="s">
        <v>142</v>
      </c>
      <c r="B43" s="33" t="s">
        <v>93</v>
      </c>
      <c r="C43" s="34">
        <v>5</v>
      </c>
      <c r="D43" s="36">
        <v>5</v>
      </c>
      <c r="E43" s="36">
        <v>0</v>
      </c>
      <c r="F43" s="36"/>
      <c r="G43" s="35"/>
      <c r="H43" s="33" t="s">
        <v>280</v>
      </c>
      <c r="I43" s="33" t="s">
        <v>338</v>
      </c>
    </row>
    <row r="44" spans="1:9" ht="15" customHeight="1" x14ac:dyDescent="0.25">
      <c r="A44" s="32" t="s">
        <v>124</v>
      </c>
      <c r="B44" s="33" t="s">
        <v>93</v>
      </c>
      <c r="C44" s="34">
        <v>4</v>
      </c>
      <c r="D44" s="36">
        <v>10</v>
      </c>
      <c r="E44" s="36">
        <v>4</v>
      </c>
      <c r="F44" s="36"/>
      <c r="G44" s="35"/>
      <c r="H44" s="39" t="s">
        <v>280</v>
      </c>
      <c r="I44" s="33" t="s">
        <v>327</v>
      </c>
    </row>
    <row r="45" spans="1:9" ht="20.399999999999999" x14ac:dyDescent="0.25">
      <c r="A45" s="32" t="s">
        <v>145</v>
      </c>
      <c r="B45" s="33" t="s">
        <v>93</v>
      </c>
      <c r="C45" s="34">
        <v>5</v>
      </c>
      <c r="D45" s="36">
        <v>8</v>
      </c>
      <c r="E45" s="36">
        <v>8</v>
      </c>
      <c r="F45" s="36">
        <v>839</v>
      </c>
      <c r="G45" s="35"/>
      <c r="H45" s="37" t="s">
        <v>280</v>
      </c>
      <c r="I45" s="38" t="s">
        <v>339</v>
      </c>
    </row>
    <row r="46" spans="1:9" ht="15" customHeight="1" x14ac:dyDescent="0.25">
      <c r="A46" s="32" t="s">
        <v>151</v>
      </c>
      <c r="B46" s="33" t="s">
        <v>93</v>
      </c>
      <c r="C46" s="34">
        <v>5</v>
      </c>
      <c r="D46" s="36">
        <v>10</v>
      </c>
      <c r="E46" s="36">
        <v>9</v>
      </c>
      <c r="F46" s="36">
        <v>36</v>
      </c>
      <c r="G46" s="35"/>
      <c r="H46" s="39" t="s">
        <v>280</v>
      </c>
      <c r="I46" s="38" t="s">
        <v>327</v>
      </c>
    </row>
    <row r="47" spans="1:9" ht="30.6" x14ac:dyDescent="0.25">
      <c r="A47" s="32" t="s">
        <v>125</v>
      </c>
      <c r="B47" s="33" t="s">
        <v>93</v>
      </c>
      <c r="C47" s="34">
        <v>3</v>
      </c>
      <c r="D47" s="36">
        <v>11</v>
      </c>
      <c r="E47" s="36">
        <v>11</v>
      </c>
      <c r="F47" s="36">
        <v>307</v>
      </c>
      <c r="G47" s="35" t="s">
        <v>268</v>
      </c>
      <c r="H47" s="39" t="s">
        <v>281</v>
      </c>
      <c r="I47" s="38" t="s">
        <v>1</v>
      </c>
    </row>
    <row r="48" spans="1:9" ht="20.399999999999999" x14ac:dyDescent="0.25">
      <c r="A48" s="32" t="s">
        <v>120</v>
      </c>
      <c r="B48" s="33" t="s">
        <v>93</v>
      </c>
      <c r="C48" s="34">
        <v>5</v>
      </c>
      <c r="D48" s="36">
        <v>1</v>
      </c>
      <c r="E48" s="36">
        <v>1</v>
      </c>
      <c r="F48" s="36"/>
      <c r="G48" s="35"/>
      <c r="H48" s="37" t="s">
        <v>308</v>
      </c>
      <c r="I48" s="33" t="s">
        <v>340</v>
      </c>
    </row>
    <row r="49" spans="1:9" ht="15" customHeight="1" x14ac:dyDescent="0.25">
      <c r="A49" s="32" t="s">
        <v>109</v>
      </c>
      <c r="B49" s="33" t="s">
        <v>93</v>
      </c>
      <c r="C49" s="34">
        <v>5</v>
      </c>
      <c r="D49" s="36">
        <v>2</v>
      </c>
      <c r="E49" s="36">
        <v>2</v>
      </c>
      <c r="F49" s="36">
        <v>443</v>
      </c>
      <c r="G49" s="35"/>
      <c r="H49" s="33" t="s">
        <v>308</v>
      </c>
      <c r="I49" s="33" t="s">
        <v>341</v>
      </c>
    </row>
    <row r="50" spans="1:9" ht="20.399999999999999" x14ac:dyDescent="0.25">
      <c r="A50" s="32" t="s">
        <v>141</v>
      </c>
      <c r="B50" s="33" t="s">
        <v>93</v>
      </c>
      <c r="C50" s="34">
        <v>5</v>
      </c>
      <c r="D50" s="36">
        <v>5</v>
      </c>
      <c r="E50" s="36">
        <v>4</v>
      </c>
      <c r="F50" s="36">
        <v>2</v>
      </c>
      <c r="G50" s="35"/>
      <c r="H50" s="37" t="s">
        <v>308</v>
      </c>
      <c r="I50" s="33" t="s">
        <v>338</v>
      </c>
    </row>
    <row r="51" spans="1:9" ht="15" customHeight="1" x14ac:dyDescent="0.25">
      <c r="A51" s="32" t="s">
        <v>111</v>
      </c>
      <c r="B51" s="33" t="s">
        <v>93</v>
      </c>
      <c r="C51" s="34">
        <v>4</v>
      </c>
      <c r="D51" s="36">
        <v>11</v>
      </c>
      <c r="E51" s="36">
        <v>3</v>
      </c>
      <c r="F51" s="36"/>
      <c r="G51" s="35"/>
      <c r="H51" s="39" t="s">
        <v>280</v>
      </c>
      <c r="I51" s="33" t="s">
        <v>327</v>
      </c>
    </row>
    <row r="52" spans="1:9" ht="15" customHeight="1" x14ac:dyDescent="0.25">
      <c r="A52" s="32" t="s">
        <v>116</v>
      </c>
      <c r="B52" s="33" t="s">
        <v>93</v>
      </c>
      <c r="C52" s="34">
        <v>4</v>
      </c>
      <c r="D52" s="36">
        <v>8</v>
      </c>
      <c r="E52" s="36">
        <v>3</v>
      </c>
      <c r="F52" s="36"/>
      <c r="G52" s="35"/>
      <c r="H52" s="39" t="s">
        <v>308</v>
      </c>
      <c r="I52" s="33" t="s">
        <v>327</v>
      </c>
    </row>
    <row r="53" spans="1:9" ht="30.6" x14ac:dyDescent="0.25">
      <c r="A53" s="32" t="s">
        <v>112</v>
      </c>
      <c r="B53" s="33" t="s">
        <v>93</v>
      </c>
      <c r="C53" s="34">
        <v>3</v>
      </c>
      <c r="D53" s="36">
        <v>11</v>
      </c>
      <c r="E53" s="36">
        <v>11</v>
      </c>
      <c r="F53" s="36">
        <v>620</v>
      </c>
      <c r="G53" s="35" t="s">
        <v>268</v>
      </c>
      <c r="H53" s="33" t="s">
        <v>281</v>
      </c>
      <c r="I53" s="38" t="s">
        <v>1</v>
      </c>
    </row>
    <row r="54" spans="1:9" ht="30.6" x14ac:dyDescent="0.25">
      <c r="A54" s="32" t="s">
        <v>137</v>
      </c>
      <c r="B54" s="33" t="s">
        <v>93</v>
      </c>
      <c r="C54" s="34">
        <v>5</v>
      </c>
      <c r="D54" s="36">
        <v>5</v>
      </c>
      <c r="E54" s="36">
        <v>1</v>
      </c>
      <c r="F54" s="36"/>
      <c r="G54" s="35"/>
      <c r="H54" s="39" t="s">
        <v>308</v>
      </c>
      <c r="I54" s="33" t="s">
        <v>342</v>
      </c>
    </row>
    <row r="55" spans="1:9" ht="15" customHeight="1" x14ac:dyDescent="0.25">
      <c r="A55" s="32" t="s">
        <v>153</v>
      </c>
      <c r="B55" s="33" t="s">
        <v>93</v>
      </c>
      <c r="C55" s="34">
        <v>4</v>
      </c>
      <c r="D55" s="36">
        <v>10</v>
      </c>
      <c r="E55" s="36">
        <v>9</v>
      </c>
      <c r="F55" s="36">
        <v>50</v>
      </c>
      <c r="G55" s="35"/>
      <c r="H55" s="37" t="s">
        <v>280</v>
      </c>
      <c r="I55" s="33"/>
    </row>
    <row r="56" spans="1:9" ht="15" customHeight="1" x14ac:dyDescent="0.25">
      <c r="A56" s="32" t="s">
        <v>127</v>
      </c>
      <c r="B56" s="33" t="s">
        <v>93</v>
      </c>
      <c r="C56" s="34">
        <v>4</v>
      </c>
      <c r="D56" s="36">
        <v>11</v>
      </c>
      <c r="E56" s="36">
        <v>8</v>
      </c>
      <c r="F56" s="36">
        <v>23</v>
      </c>
      <c r="G56" s="35"/>
      <c r="H56" s="37" t="s">
        <v>280</v>
      </c>
      <c r="I56" s="33" t="s">
        <v>327</v>
      </c>
    </row>
    <row r="57" spans="1:9" ht="51" x14ac:dyDescent="0.25">
      <c r="A57" s="32" t="s">
        <v>40</v>
      </c>
      <c r="B57" s="33" t="s">
        <v>93</v>
      </c>
      <c r="C57" s="34">
        <v>1</v>
      </c>
      <c r="D57" s="36">
        <v>11</v>
      </c>
      <c r="E57" s="36">
        <v>11</v>
      </c>
      <c r="F57" s="36"/>
      <c r="G57" s="35" t="s">
        <v>272</v>
      </c>
      <c r="H57" s="39" t="s">
        <v>281</v>
      </c>
      <c r="I57" s="38" t="s">
        <v>303</v>
      </c>
    </row>
    <row r="58" spans="1:9" x14ac:dyDescent="0.25">
      <c r="A58" s="32" t="s">
        <v>110</v>
      </c>
      <c r="B58" s="33" t="s">
        <v>93</v>
      </c>
      <c r="C58" s="34">
        <v>4</v>
      </c>
      <c r="D58" s="36">
        <v>3</v>
      </c>
      <c r="E58" s="36">
        <v>2</v>
      </c>
      <c r="F58" s="36"/>
      <c r="G58" s="35"/>
      <c r="H58" s="39" t="s">
        <v>280</v>
      </c>
      <c r="I58" s="38" t="s">
        <v>343</v>
      </c>
    </row>
    <row r="59" spans="1:9" ht="15" customHeight="1" x14ac:dyDescent="0.25">
      <c r="A59" s="32" t="s">
        <v>152</v>
      </c>
      <c r="B59" s="33" t="s">
        <v>93</v>
      </c>
      <c r="C59" s="34">
        <v>4</v>
      </c>
      <c r="D59" s="36">
        <v>10</v>
      </c>
      <c r="E59" s="36">
        <v>10</v>
      </c>
      <c r="F59" s="36">
        <v>750</v>
      </c>
      <c r="G59" s="35"/>
      <c r="H59" s="37" t="s">
        <v>280</v>
      </c>
      <c r="I59" s="33" t="s">
        <v>344</v>
      </c>
    </row>
    <row r="60" spans="1:9" ht="30.6" x14ac:dyDescent="0.25">
      <c r="A60" s="30" t="s">
        <v>41</v>
      </c>
      <c r="B60" s="30" t="s">
        <v>42</v>
      </c>
      <c r="C60" s="31" t="s">
        <v>292</v>
      </c>
      <c r="D60" s="30" t="s">
        <v>412</v>
      </c>
      <c r="E60" s="30" t="s">
        <v>316</v>
      </c>
      <c r="F60" s="30" t="s">
        <v>317</v>
      </c>
      <c r="G60" s="30" t="s">
        <v>273</v>
      </c>
      <c r="H60" s="30" t="s">
        <v>318</v>
      </c>
      <c r="I60" s="30" t="s">
        <v>276</v>
      </c>
    </row>
    <row r="61" spans="1:9" ht="30.6" x14ac:dyDescent="0.25">
      <c r="A61" s="32" t="s">
        <v>143</v>
      </c>
      <c r="B61" s="33" t="s">
        <v>93</v>
      </c>
      <c r="C61" s="34">
        <v>3</v>
      </c>
      <c r="D61" s="36">
        <v>10</v>
      </c>
      <c r="E61" s="36">
        <v>10</v>
      </c>
      <c r="F61" s="36">
        <v>1245</v>
      </c>
      <c r="G61" s="35" t="s">
        <v>270</v>
      </c>
      <c r="H61" s="37" t="s">
        <v>281</v>
      </c>
      <c r="I61" s="38" t="s">
        <v>1</v>
      </c>
    </row>
    <row r="62" spans="1:9" ht="20.399999999999999" x14ac:dyDescent="0.25">
      <c r="A62" s="32" t="s">
        <v>147</v>
      </c>
      <c r="B62" s="33" t="s">
        <v>93</v>
      </c>
      <c r="C62" s="34">
        <v>4</v>
      </c>
      <c r="D62" s="36">
        <v>9</v>
      </c>
      <c r="E62" s="36">
        <v>4</v>
      </c>
      <c r="F62" s="36">
        <v>13</v>
      </c>
      <c r="G62" s="35"/>
      <c r="H62" s="39" t="s">
        <v>280</v>
      </c>
      <c r="I62" s="38" t="s">
        <v>345</v>
      </c>
    </row>
    <row r="63" spans="1:9" ht="20.399999999999999" x14ac:dyDescent="0.25">
      <c r="A63" s="32" t="s">
        <v>148</v>
      </c>
      <c r="B63" s="33" t="s">
        <v>93</v>
      </c>
      <c r="C63" s="34">
        <v>5</v>
      </c>
      <c r="D63" s="36">
        <v>4</v>
      </c>
      <c r="E63" s="36">
        <v>3</v>
      </c>
      <c r="F63" s="36">
        <v>2</v>
      </c>
      <c r="G63" s="35"/>
      <c r="H63" s="39" t="s">
        <v>308</v>
      </c>
      <c r="I63" s="38" t="s">
        <v>346</v>
      </c>
    </row>
    <row r="64" spans="1:9" ht="15" customHeight="1" x14ac:dyDescent="0.25">
      <c r="A64" s="32" t="s">
        <v>129</v>
      </c>
      <c r="B64" s="33" t="s">
        <v>93</v>
      </c>
      <c r="C64" s="34">
        <v>4</v>
      </c>
      <c r="D64" s="36">
        <v>11</v>
      </c>
      <c r="E64" s="36">
        <v>2</v>
      </c>
      <c r="F64" s="36"/>
      <c r="G64" s="35"/>
      <c r="H64" s="37" t="s">
        <v>280</v>
      </c>
      <c r="I64" s="33" t="s">
        <v>326</v>
      </c>
    </row>
    <row r="65" spans="1:9" ht="15" customHeight="1" x14ac:dyDescent="0.25">
      <c r="A65" s="32" t="s">
        <v>131</v>
      </c>
      <c r="B65" s="33" t="s">
        <v>93</v>
      </c>
      <c r="C65" s="34">
        <v>5</v>
      </c>
      <c r="D65" s="36">
        <v>6</v>
      </c>
      <c r="E65" s="36">
        <v>1</v>
      </c>
      <c r="F65" s="36"/>
      <c r="G65" s="35"/>
      <c r="H65" s="33" t="s">
        <v>308</v>
      </c>
      <c r="I65" s="33" t="s">
        <v>347</v>
      </c>
    </row>
    <row r="66" spans="1:9" ht="15" customHeight="1" x14ac:dyDescent="0.25">
      <c r="A66" s="32" t="s">
        <v>132</v>
      </c>
      <c r="B66" s="33" t="s">
        <v>93</v>
      </c>
      <c r="C66" s="34">
        <v>5</v>
      </c>
      <c r="D66" s="36">
        <v>9</v>
      </c>
      <c r="E66" s="36">
        <v>5</v>
      </c>
      <c r="F66" s="36">
        <v>18</v>
      </c>
      <c r="G66" s="35"/>
      <c r="H66" s="37" t="s">
        <v>308</v>
      </c>
      <c r="I66" s="33" t="s">
        <v>327</v>
      </c>
    </row>
    <row r="67" spans="1:9" ht="15" customHeight="1" x14ac:dyDescent="0.25">
      <c r="A67" s="32" t="s">
        <v>135</v>
      </c>
      <c r="B67" s="33" t="s">
        <v>93</v>
      </c>
      <c r="C67" s="34">
        <v>4</v>
      </c>
      <c r="D67" s="36">
        <v>9</v>
      </c>
      <c r="E67" s="36">
        <v>5</v>
      </c>
      <c r="F67" s="36">
        <v>30</v>
      </c>
      <c r="G67" s="35"/>
      <c r="H67" s="39" t="s">
        <v>280</v>
      </c>
      <c r="I67" s="33" t="s">
        <v>327</v>
      </c>
    </row>
    <row r="69" spans="1:9" ht="15.6" x14ac:dyDescent="0.3">
      <c r="A69" s="40" t="s">
        <v>95</v>
      </c>
    </row>
    <row r="70" spans="1:9" ht="30.6" x14ac:dyDescent="0.25">
      <c r="A70" s="30" t="s">
        <v>41</v>
      </c>
      <c r="B70" s="30" t="s">
        <v>42</v>
      </c>
      <c r="C70" s="31" t="s">
        <v>292</v>
      </c>
      <c r="D70" s="30" t="s">
        <v>412</v>
      </c>
      <c r="E70" s="30" t="s">
        <v>316</v>
      </c>
      <c r="F70" s="30" t="s">
        <v>317</v>
      </c>
      <c r="G70" s="30" t="s">
        <v>273</v>
      </c>
      <c r="H70" s="30" t="s">
        <v>318</v>
      </c>
      <c r="I70" s="30" t="s">
        <v>276</v>
      </c>
    </row>
    <row r="71" spans="1:9" ht="30.6" x14ac:dyDescent="0.25">
      <c r="A71" s="32" t="s">
        <v>125</v>
      </c>
      <c r="B71" s="33" t="s">
        <v>95</v>
      </c>
      <c r="C71" s="34">
        <v>3</v>
      </c>
      <c r="D71" s="36">
        <v>11</v>
      </c>
      <c r="E71" s="36">
        <v>5</v>
      </c>
      <c r="F71" s="36">
        <v>7</v>
      </c>
      <c r="G71" s="35" t="s">
        <v>268</v>
      </c>
      <c r="H71" s="37" t="s">
        <v>281</v>
      </c>
      <c r="I71" s="33"/>
    </row>
    <row r="72" spans="1:9" ht="30.6" x14ac:dyDescent="0.25">
      <c r="A72" s="32" t="s">
        <v>112</v>
      </c>
      <c r="B72" s="33" t="s">
        <v>95</v>
      </c>
      <c r="C72" s="34">
        <v>3</v>
      </c>
      <c r="D72" s="36">
        <v>11</v>
      </c>
      <c r="E72" s="36">
        <v>8</v>
      </c>
      <c r="F72" s="36">
        <v>7</v>
      </c>
      <c r="G72" s="35" t="s">
        <v>268</v>
      </c>
      <c r="H72" s="37" t="s">
        <v>281</v>
      </c>
      <c r="I72" s="33"/>
    </row>
    <row r="73" spans="1:9" ht="51" x14ac:dyDescent="0.25">
      <c r="A73" s="32" t="s">
        <v>40</v>
      </c>
      <c r="B73" s="33" t="s">
        <v>95</v>
      </c>
      <c r="C73" s="34">
        <v>1</v>
      </c>
      <c r="D73" s="36">
        <v>11</v>
      </c>
      <c r="E73" s="36">
        <v>9</v>
      </c>
      <c r="F73" s="36">
        <v>5</v>
      </c>
      <c r="G73" s="35" t="s">
        <v>272</v>
      </c>
      <c r="H73" s="37" t="s">
        <v>281</v>
      </c>
      <c r="I73" s="33" t="s">
        <v>304</v>
      </c>
    </row>
    <row r="74" spans="1:9" ht="15" customHeight="1" x14ac:dyDescent="0.25">
      <c r="A74" s="32" t="s">
        <v>152</v>
      </c>
      <c r="B74" s="33" t="s">
        <v>95</v>
      </c>
      <c r="C74" s="34">
        <v>4</v>
      </c>
      <c r="D74" s="36">
        <v>10</v>
      </c>
      <c r="E74" s="36">
        <v>3</v>
      </c>
      <c r="F74" s="36">
        <v>3</v>
      </c>
      <c r="G74" s="35"/>
      <c r="H74" s="37" t="s">
        <v>280</v>
      </c>
      <c r="I74" s="33" t="s">
        <v>344</v>
      </c>
    </row>
    <row r="75" spans="1:9" ht="30.6" x14ac:dyDescent="0.25">
      <c r="A75" s="32" t="s">
        <v>143</v>
      </c>
      <c r="B75" s="33" t="s">
        <v>95</v>
      </c>
      <c r="C75" s="34">
        <v>3</v>
      </c>
      <c r="D75" s="36">
        <v>10</v>
      </c>
      <c r="E75" s="36">
        <v>8</v>
      </c>
      <c r="F75" s="36">
        <v>19</v>
      </c>
      <c r="G75" s="35" t="s">
        <v>270</v>
      </c>
      <c r="H75" s="37" t="s">
        <v>281</v>
      </c>
      <c r="I75" s="33"/>
    </row>
    <row r="77" spans="1:9" ht="15.6" x14ac:dyDescent="0.3">
      <c r="A77" s="40" t="s">
        <v>96</v>
      </c>
    </row>
    <row r="78" spans="1:9" ht="30.6" x14ac:dyDescent="0.25">
      <c r="A78" s="30" t="s">
        <v>41</v>
      </c>
      <c r="B78" s="30" t="s">
        <v>42</v>
      </c>
      <c r="C78" s="31" t="s">
        <v>292</v>
      </c>
      <c r="D78" s="30" t="s">
        <v>412</v>
      </c>
      <c r="E78" s="30" t="s">
        <v>316</v>
      </c>
      <c r="F78" s="30" t="s">
        <v>317</v>
      </c>
      <c r="G78" s="30" t="s">
        <v>273</v>
      </c>
      <c r="H78" s="30" t="s">
        <v>318</v>
      </c>
      <c r="I78" s="30" t="s">
        <v>276</v>
      </c>
    </row>
    <row r="79" spans="1:9" ht="20.399999999999999" x14ac:dyDescent="0.25">
      <c r="A79" s="32" t="s">
        <v>121</v>
      </c>
      <c r="B79" s="33" t="s">
        <v>96</v>
      </c>
      <c r="C79" s="34">
        <v>5</v>
      </c>
      <c r="D79" s="36">
        <v>0</v>
      </c>
      <c r="E79" s="36"/>
      <c r="F79" s="36"/>
      <c r="G79" s="35"/>
      <c r="H79" s="37" t="s">
        <v>308</v>
      </c>
      <c r="I79" s="38" t="s">
        <v>307</v>
      </c>
    </row>
    <row r="80" spans="1:9" ht="15" customHeight="1" x14ac:dyDescent="0.25">
      <c r="A80" s="32" t="s">
        <v>108</v>
      </c>
      <c r="B80" s="33" t="s">
        <v>96</v>
      </c>
      <c r="C80" s="34">
        <v>5</v>
      </c>
      <c r="D80" s="36">
        <v>2</v>
      </c>
      <c r="E80" s="36">
        <v>2</v>
      </c>
      <c r="F80" s="36"/>
      <c r="G80" s="35"/>
      <c r="H80" s="37" t="s">
        <v>280</v>
      </c>
      <c r="I80" s="38" t="s">
        <v>309</v>
      </c>
    </row>
    <row r="81" spans="1:9" ht="15" customHeight="1" x14ac:dyDescent="0.25">
      <c r="A81" s="32" t="s">
        <v>136</v>
      </c>
      <c r="B81" s="33" t="s">
        <v>96</v>
      </c>
      <c r="C81" s="34">
        <v>5</v>
      </c>
      <c r="D81" s="36">
        <v>3</v>
      </c>
      <c r="E81" s="36">
        <v>0</v>
      </c>
      <c r="F81" s="36"/>
      <c r="G81" s="35"/>
      <c r="H81" s="37" t="s">
        <v>308</v>
      </c>
      <c r="I81" s="38" t="s">
        <v>310</v>
      </c>
    </row>
    <row r="82" spans="1:9" ht="15" customHeight="1" x14ac:dyDescent="0.25">
      <c r="A82" s="32" t="s">
        <v>114</v>
      </c>
      <c r="B82" s="33" t="s">
        <v>96</v>
      </c>
      <c r="C82" s="34">
        <v>1</v>
      </c>
      <c r="D82" s="36">
        <v>11</v>
      </c>
      <c r="E82" s="36">
        <v>10</v>
      </c>
      <c r="F82" s="36">
        <v>536</v>
      </c>
      <c r="G82" s="35" t="s">
        <v>287</v>
      </c>
      <c r="H82" s="39" t="s">
        <v>281</v>
      </c>
      <c r="I82" s="38" t="s">
        <v>311</v>
      </c>
    </row>
    <row r="83" spans="1:9" ht="15" customHeight="1" x14ac:dyDescent="0.25">
      <c r="A83" s="32" t="s">
        <v>126</v>
      </c>
      <c r="B83" s="33" t="s">
        <v>96</v>
      </c>
      <c r="C83" s="34">
        <v>5</v>
      </c>
      <c r="D83" s="36">
        <v>0</v>
      </c>
      <c r="E83" s="36"/>
      <c r="F83" s="36"/>
      <c r="G83" s="35"/>
      <c r="H83" s="37" t="s">
        <v>308</v>
      </c>
      <c r="I83" s="33" t="s">
        <v>312</v>
      </c>
    </row>
    <row r="84" spans="1:9" ht="15" customHeight="1" x14ac:dyDescent="0.25">
      <c r="A84" s="32" t="s">
        <v>140</v>
      </c>
      <c r="B84" s="33" t="s">
        <v>96</v>
      </c>
      <c r="C84" s="34">
        <v>5</v>
      </c>
      <c r="D84" s="36">
        <v>5</v>
      </c>
      <c r="E84" s="36">
        <v>4</v>
      </c>
      <c r="F84" s="36">
        <v>381</v>
      </c>
      <c r="G84" s="35"/>
      <c r="H84" s="33" t="s">
        <v>280</v>
      </c>
      <c r="I84" s="33"/>
    </row>
    <row r="85" spans="1:9" ht="30.6" x14ac:dyDescent="0.25">
      <c r="A85" s="32" t="s">
        <v>38</v>
      </c>
      <c r="B85" s="33" t="s">
        <v>96</v>
      </c>
      <c r="C85" s="34">
        <v>3</v>
      </c>
      <c r="D85" s="36">
        <v>0</v>
      </c>
      <c r="E85" s="36"/>
      <c r="F85" s="36"/>
      <c r="G85" s="35"/>
      <c r="H85" s="37" t="s">
        <v>308</v>
      </c>
      <c r="I85" s="33" t="s">
        <v>314</v>
      </c>
    </row>
    <row r="86" spans="1:9" ht="30.6" x14ac:dyDescent="0.25">
      <c r="A86" s="30" t="s">
        <v>41</v>
      </c>
      <c r="B86" s="30" t="s">
        <v>42</v>
      </c>
      <c r="C86" s="31" t="s">
        <v>292</v>
      </c>
      <c r="D86" s="30" t="s">
        <v>412</v>
      </c>
      <c r="E86" s="30" t="s">
        <v>316</v>
      </c>
      <c r="F86" s="30" t="s">
        <v>317</v>
      </c>
      <c r="G86" s="30" t="s">
        <v>273</v>
      </c>
      <c r="H86" s="30" t="s">
        <v>318</v>
      </c>
      <c r="I86" s="30" t="s">
        <v>276</v>
      </c>
    </row>
    <row r="87" spans="1:9" ht="20.399999999999999" x14ac:dyDescent="0.25">
      <c r="A87" s="32" t="s">
        <v>119</v>
      </c>
      <c r="B87" s="33" t="s">
        <v>96</v>
      </c>
      <c r="C87" s="34">
        <v>4</v>
      </c>
      <c r="D87" s="36">
        <v>4</v>
      </c>
      <c r="E87" s="36">
        <v>2</v>
      </c>
      <c r="F87" s="36"/>
      <c r="G87" s="35"/>
      <c r="H87" s="39" t="s">
        <v>280</v>
      </c>
      <c r="I87" s="33" t="s">
        <v>323</v>
      </c>
    </row>
    <row r="88" spans="1:9" ht="20.399999999999999" x14ac:dyDescent="0.25">
      <c r="A88" s="32" t="s">
        <v>128</v>
      </c>
      <c r="B88" s="33" t="s">
        <v>96</v>
      </c>
      <c r="C88" s="34">
        <v>3</v>
      </c>
      <c r="D88" s="36">
        <v>3</v>
      </c>
      <c r="E88" s="36">
        <v>3</v>
      </c>
      <c r="F88" s="36">
        <v>89</v>
      </c>
      <c r="G88" s="35"/>
      <c r="H88" s="39" t="s">
        <v>285</v>
      </c>
      <c r="I88" s="33" t="s">
        <v>324</v>
      </c>
    </row>
    <row r="89" spans="1:9" ht="15" customHeight="1" x14ac:dyDescent="0.25">
      <c r="A89" s="32" t="s">
        <v>133</v>
      </c>
      <c r="B89" s="33" t="s">
        <v>96</v>
      </c>
      <c r="C89" s="34">
        <v>4</v>
      </c>
      <c r="D89" s="36">
        <v>9</v>
      </c>
      <c r="E89" s="36">
        <v>7</v>
      </c>
      <c r="F89" s="36">
        <v>392</v>
      </c>
      <c r="G89" s="35"/>
      <c r="H89" s="33" t="s">
        <v>280</v>
      </c>
      <c r="I89" s="33" t="s">
        <v>327</v>
      </c>
    </row>
    <row r="90" spans="1:9" ht="15" customHeight="1" x14ac:dyDescent="0.25">
      <c r="A90" s="32" t="s">
        <v>117</v>
      </c>
      <c r="B90" s="33" t="s">
        <v>96</v>
      </c>
      <c r="C90" s="34">
        <v>4</v>
      </c>
      <c r="D90" s="36">
        <v>9</v>
      </c>
      <c r="E90" s="36">
        <v>6</v>
      </c>
      <c r="F90" s="36">
        <v>66</v>
      </c>
      <c r="G90" s="35"/>
      <c r="H90" s="39" t="s">
        <v>280</v>
      </c>
      <c r="I90" s="33" t="s">
        <v>327</v>
      </c>
    </row>
    <row r="91" spans="1:9" ht="15" customHeight="1" x14ac:dyDescent="0.25">
      <c r="A91" s="32" t="s">
        <v>115</v>
      </c>
      <c r="B91" s="33" t="s">
        <v>96</v>
      </c>
      <c r="C91" s="34">
        <v>4</v>
      </c>
      <c r="D91" s="36">
        <v>10</v>
      </c>
      <c r="E91" s="36">
        <v>9</v>
      </c>
      <c r="F91" s="36">
        <v>296</v>
      </c>
      <c r="G91" s="35"/>
      <c r="H91" s="37" t="s">
        <v>280</v>
      </c>
      <c r="I91" s="33" t="s">
        <v>327</v>
      </c>
    </row>
    <row r="92" spans="1:9" ht="15" customHeight="1" x14ac:dyDescent="0.25">
      <c r="A92" s="32" t="s">
        <v>123</v>
      </c>
      <c r="B92" s="33" t="s">
        <v>96</v>
      </c>
      <c r="C92" s="34">
        <v>4</v>
      </c>
      <c r="D92" s="36">
        <v>11</v>
      </c>
      <c r="E92" s="36">
        <v>11</v>
      </c>
      <c r="F92" s="36">
        <v>7333</v>
      </c>
      <c r="G92" s="35"/>
      <c r="H92" s="37" t="s">
        <v>280</v>
      </c>
      <c r="I92" s="33" t="s">
        <v>327</v>
      </c>
    </row>
    <row r="93" spans="1:9" ht="15" customHeight="1" x14ac:dyDescent="0.25">
      <c r="A93" s="32" t="s">
        <v>122</v>
      </c>
      <c r="B93" s="33" t="s">
        <v>96</v>
      </c>
      <c r="C93" s="34">
        <v>5</v>
      </c>
      <c r="D93" s="36">
        <v>0</v>
      </c>
      <c r="E93" s="36"/>
      <c r="F93" s="36"/>
      <c r="G93" s="35"/>
      <c r="H93" s="37" t="s">
        <v>308</v>
      </c>
      <c r="I93" s="38" t="s">
        <v>328</v>
      </c>
    </row>
    <row r="94" spans="1:9" ht="20.399999999999999" x14ac:dyDescent="0.25">
      <c r="A94" s="32" t="s">
        <v>138</v>
      </c>
      <c r="B94" s="33" t="s">
        <v>96</v>
      </c>
      <c r="C94" s="34">
        <v>4</v>
      </c>
      <c r="D94" s="36">
        <v>8</v>
      </c>
      <c r="E94" s="36">
        <v>2</v>
      </c>
      <c r="F94" s="36"/>
      <c r="G94" s="35"/>
      <c r="H94" s="37" t="s">
        <v>308</v>
      </c>
      <c r="I94" s="38" t="s">
        <v>327</v>
      </c>
    </row>
    <row r="95" spans="1:9" ht="20.399999999999999" x14ac:dyDescent="0.25">
      <c r="A95" s="32" t="s">
        <v>139</v>
      </c>
      <c r="B95" s="33" t="s">
        <v>96</v>
      </c>
      <c r="C95" s="34">
        <v>4</v>
      </c>
      <c r="D95" s="36">
        <v>7</v>
      </c>
      <c r="E95" s="36">
        <v>2</v>
      </c>
      <c r="F95" s="36"/>
      <c r="G95" s="35"/>
      <c r="H95" s="37" t="s">
        <v>280</v>
      </c>
      <c r="I95" s="38" t="s">
        <v>327</v>
      </c>
    </row>
    <row r="96" spans="1:9" ht="15" customHeight="1" x14ac:dyDescent="0.25">
      <c r="A96" s="32" t="s">
        <v>134</v>
      </c>
      <c r="B96" s="33" t="s">
        <v>96</v>
      </c>
      <c r="C96" s="34">
        <v>4</v>
      </c>
      <c r="D96" s="36">
        <v>11</v>
      </c>
      <c r="E96" s="36">
        <v>11</v>
      </c>
      <c r="F96" s="36">
        <v>12568</v>
      </c>
      <c r="G96" s="35"/>
      <c r="H96" s="39" t="s">
        <v>329</v>
      </c>
      <c r="I96" s="38" t="s">
        <v>327</v>
      </c>
    </row>
    <row r="97" spans="1:9" ht="15" customHeight="1" x14ac:dyDescent="0.25">
      <c r="A97" s="32" t="s">
        <v>118</v>
      </c>
      <c r="B97" s="33" t="s">
        <v>96</v>
      </c>
      <c r="C97" s="34">
        <v>4</v>
      </c>
      <c r="D97" s="36">
        <v>10</v>
      </c>
      <c r="E97" s="36">
        <v>9</v>
      </c>
      <c r="F97" s="36">
        <v>481</v>
      </c>
      <c r="G97" s="35"/>
      <c r="H97" s="37" t="s">
        <v>280</v>
      </c>
      <c r="I97" s="38" t="s">
        <v>327</v>
      </c>
    </row>
    <row r="98" spans="1:9" ht="20.399999999999999" x14ac:dyDescent="0.25">
      <c r="A98" s="32" t="s">
        <v>113</v>
      </c>
      <c r="B98" s="33" t="s">
        <v>96</v>
      </c>
      <c r="C98" s="34">
        <v>5</v>
      </c>
      <c r="D98" s="36">
        <v>0</v>
      </c>
      <c r="E98" s="36"/>
      <c r="F98" s="36"/>
      <c r="G98" s="35"/>
      <c r="H98" s="37" t="s">
        <v>280</v>
      </c>
      <c r="I98" s="38" t="s">
        <v>330</v>
      </c>
    </row>
    <row r="99" spans="1:9" ht="20.399999999999999" x14ac:dyDescent="0.25">
      <c r="A99" s="32" t="s">
        <v>107</v>
      </c>
      <c r="B99" s="33" t="s">
        <v>96</v>
      </c>
      <c r="C99" s="34">
        <v>3</v>
      </c>
      <c r="D99" s="36">
        <v>3</v>
      </c>
      <c r="E99" s="36">
        <v>3</v>
      </c>
      <c r="F99" s="36"/>
      <c r="G99" s="35"/>
      <c r="H99" s="37" t="s">
        <v>285</v>
      </c>
      <c r="I99" s="38" t="s">
        <v>331</v>
      </c>
    </row>
    <row r="100" spans="1:9" ht="15" customHeight="1" x14ac:dyDescent="0.25">
      <c r="A100" s="32" t="s">
        <v>150</v>
      </c>
      <c r="B100" s="33" t="s">
        <v>96</v>
      </c>
      <c r="C100" s="34">
        <v>5</v>
      </c>
      <c r="D100" s="36">
        <v>10</v>
      </c>
      <c r="E100" s="36">
        <v>8</v>
      </c>
      <c r="F100" s="36">
        <v>93</v>
      </c>
      <c r="G100" s="35"/>
      <c r="H100" s="39" t="s">
        <v>280</v>
      </c>
      <c r="I100" s="38" t="s">
        <v>327</v>
      </c>
    </row>
    <row r="101" spans="1:9" ht="15" customHeight="1" x14ac:dyDescent="0.25">
      <c r="A101" s="32" t="s">
        <v>130</v>
      </c>
      <c r="B101" s="33" t="s">
        <v>96</v>
      </c>
      <c r="C101" s="34">
        <v>4</v>
      </c>
      <c r="D101" s="36">
        <v>7</v>
      </c>
      <c r="E101" s="36">
        <v>1</v>
      </c>
      <c r="F101" s="36"/>
      <c r="G101" s="35"/>
      <c r="H101" s="37" t="s">
        <v>308</v>
      </c>
      <c r="I101" s="33" t="s">
        <v>332</v>
      </c>
    </row>
    <row r="102" spans="1:9" ht="15" customHeight="1" x14ac:dyDescent="0.25">
      <c r="A102" s="32" t="s">
        <v>149</v>
      </c>
      <c r="B102" s="33" t="s">
        <v>96</v>
      </c>
      <c r="C102" s="34">
        <v>5</v>
      </c>
      <c r="D102" s="36">
        <v>4</v>
      </c>
      <c r="E102" s="36">
        <v>4</v>
      </c>
      <c r="F102" s="36"/>
      <c r="G102" s="35"/>
      <c r="H102" s="33" t="s">
        <v>280</v>
      </c>
      <c r="I102" s="33" t="s">
        <v>333</v>
      </c>
    </row>
    <row r="103" spans="1:9" ht="20.399999999999999" x14ac:dyDescent="0.25">
      <c r="A103" s="32" t="s">
        <v>39</v>
      </c>
      <c r="B103" s="33" t="s">
        <v>96</v>
      </c>
      <c r="C103" s="34">
        <v>3</v>
      </c>
      <c r="D103" s="36">
        <v>0</v>
      </c>
      <c r="E103" s="36"/>
      <c r="F103" s="36"/>
      <c r="G103" s="35"/>
      <c r="H103" s="37" t="s">
        <v>285</v>
      </c>
      <c r="I103" s="33" t="s">
        <v>335</v>
      </c>
    </row>
    <row r="104" spans="1:9" ht="20.399999999999999" x14ac:dyDescent="0.25">
      <c r="A104" s="32" t="s">
        <v>146</v>
      </c>
      <c r="B104" s="33" t="s">
        <v>96</v>
      </c>
      <c r="C104" s="34">
        <v>5</v>
      </c>
      <c r="D104" s="36">
        <v>5</v>
      </c>
      <c r="E104" s="36">
        <v>4</v>
      </c>
      <c r="F104" s="36">
        <v>19</v>
      </c>
      <c r="G104" s="35"/>
      <c r="H104" s="39" t="s">
        <v>280</v>
      </c>
      <c r="I104" s="33" t="s">
        <v>336</v>
      </c>
    </row>
    <row r="105" spans="1:9" ht="20.399999999999999" x14ac:dyDescent="0.25">
      <c r="A105" s="32" t="s">
        <v>144</v>
      </c>
      <c r="B105" s="33" t="s">
        <v>96</v>
      </c>
      <c r="C105" s="34">
        <v>5</v>
      </c>
      <c r="D105" s="36">
        <v>9</v>
      </c>
      <c r="E105" s="36">
        <v>9</v>
      </c>
      <c r="F105" s="36">
        <v>5021</v>
      </c>
      <c r="G105" s="35"/>
      <c r="H105" s="39" t="s">
        <v>280</v>
      </c>
      <c r="I105" s="33" t="s">
        <v>337</v>
      </c>
    </row>
    <row r="106" spans="1:9" ht="20.399999999999999" x14ac:dyDescent="0.25">
      <c r="A106" s="32" t="s">
        <v>142</v>
      </c>
      <c r="B106" s="33" t="s">
        <v>96</v>
      </c>
      <c r="C106" s="34">
        <v>5</v>
      </c>
      <c r="D106" s="36">
        <v>5</v>
      </c>
      <c r="E106" s="36">
        <v>3</v>
      </c>
      <c r="F106" s="36">
        <v>178</v>
      </c>
      <c r="G106" s="35"/>
      <c r="H106" s="33" t="s">
        <v>280</v>
      </c>
      <c r="I106" s="33" t="s">
        <v>338</v>
      </c>
    </row>
    <row r="107" spans="1:9" ht="15" customHeight="1" x14ac:dyDescent="0.25">
      <c r="A107" s="32" t="s">
        <v>124</v>
      </c>
      <c r="B107" s="33" t="s">
        <v>96</v>
      </c>
      <c r="C107" s="34">
        <v>4</v>
      </c>
      <c r="D107" s="36">
        <v>10</v>
      </c>
      <c r="E107" s="36">
        <v>9</v>
      </c>
      <c r="F107" s="36">
        <v>99</v>
      </c>
      <c r="G107" s="35"/>
      <c r="H107" s="39" t="s">
        <v>280</v>
      </c>
      <c r="I107" s="33" t="s">
        <v>327</v>
      </c>
    </row>
    <row r="108" spans="1:9" ht="20.399999999999999" x14ac:dyDescent="0.25">
      <c r="A108" s="32" t="s">
        <v>145</v>
      </c>
      <c r="B108" s="33" t="s">
        <v>96</v>
      </c>
      <c r="C108" s="34">
        <v>5</v>
      </c>
      <c r="D108" s="36">
        <v>8</v>
      </c>
      <c r="E108" s="36">
        <v>5</v>
      </c>
      <c r="F108" s="36">
        <v>49</v>
      </c>
      <c r="G108" s="35"/>
      <c r="H108" s="37" t="s">
        <v>280</v>
      </c>
      <c r="I108" s="33" t="s">
        <v>339</v>
      </c>
    </row>
    <row r="109" spans="1:9" ht="15" customHeight="1" x14ac:dyDescent="0.25">
      <c r="A109" s="32" t="s">
        <v>151</v>
      </c>
      <c r="B109" s="33" t="s">
        <v>96</v>
      </c>
      <c r="C109" s="34">
        <v>5</v>
      </c>
      <c r="D109" s="36">
        <v>10</v>
      </c>
      <c r="E109" s="36">
        <v>10</v>
      </c>
      <c r="F109" s="36">
        <v>89</v>
      </c>
      <c r="G109" s="35"/>
      <c r="H109" s="33" t="s">
        <v>280</v>
      </c>
      <c r="I109" s="33" t="s">
        <v>327</v>
      </c>
    </row>
    <row r="110" spans="1:9" ht="30.6" x14ac:dyDescent="0.25">
      <c r="A110" s="32" t="s">
        <v>125</v>
      </c>
      <c r="B110" s="33" t="s">
        <v>96</v>
      </c>
      <c r="C110" s="34">
        <v>3</v>
      </c>
      <c r="D110" s="36">
        <v>11</v>
      </c>
      <c r="E110" s="36">
        <v>11</v>
      </c>
      <c r="F110" s="36">
        <v>40628</v>
      </c>
      <c r="G110" s="35" t="s">
        <v>268</v>
      </c>
      <c r="H110" s="39" t="s">
        <v>281</v>
      </c>
      <c r="I110" s="38" t="s">
        <v>1</v>
      </c>
    </row>
    <row r="111" spans="1:9" ht="15" customHeight="1" x14ac:dyDescent="0.25">
      <c r="A111" s="32" t="s">
        <v>120</v>
      </c>
      <c r="B111" s="33" t="s">
        <v>96</v>
      </c>
      <c r="C111" s="34">
        <v>5</v>
      </c>
      <c r="D111" s="36">
        <v>0</v>
      </c>
      <c r="E111" s="36"/>
      <c r="F111" s="36"/>
      <c r="G111" s="35"/>
      <c r="H111" s="37" t="s">
        <v>308</v>
      </c>
      <c r="I111" s="33"/>
    </row>
    <row r="112" spans="1:9" ht="15" customHeight="1" x14ac:dyDescent="0.25">
      <c r="A112" s="32" t="s">
        <v>109</v>
      </c>
      <c r="B112" s="33" t="s">
        <v>96</v>
      </c>
      <c r="C112" s="34">
        <v>5</v>
      </c>
      <c r="D112" s="36">
        <v>2</v>
      </c>
      <c r="E112" s="36">
        <v>2</v>
      </c>
      <c r="F112" s="36">
        <v>118</v>
      </c>
      <c r="G112" s="35"/>
      <c r="H112" s="37" t="s">
        <v>308</v>
      </c>
      <c r="I112" s="33" t="s">
        <v>341</v>
      </c>
    </row>
    <row r="113" spans="1:9" ht="20.399999999999999" x14ac:dyDescent="0.25">
      <c r="A113" s="32" t="s">
        <v>141</v>
      </c>
      <c r="B113" s="33" t="s">
        <v>96</v>
      </c>
      <c r="C113" s="34">
        <v>5</v>
      </c>
      <c r="D113" s="36">
        <v>5</v>
      </c>
      <c r="E113" s="36">
        <v>4</v>
      </c>
      <c r="F113" s="36">
        <v>188</v>
      </c>
      <c r="G113" s="35"/>
      <c r="H113" s="37" t="s">
        <v>308</v>
      </c>
      <c r="I113" s="38" t="s">
        <v>338</v>
      </c>
    </row>
    <row r="114" spans="1:9" ht="15" customHeight="1" x14ac:dyDescent="0.25">
      <c r="A114" s="32" t="s">
        <v>111</v>
      </c>
      <c r="B114" s="33" t="s">
        <v>96</v>
      </c>
      <c r="C114" s="34">
        <v>4</v>
      </c>
      <c r="D114" s="36">
        <v>11</v>
      </c>
      <c r="E114" s="36">
        <v>9</v>
      </c>
      <c r="F114" s="36">
        <v>458</v>
      </c>
      <c r="G114" s="35"/>
      <c r="H114" s="37" t="s">
        <v>280</v>
      </c>
      <c r="I114" s="38" t="s">
        <v>327</v>
      </c>
    </row>
    <row r="115" spans="1:9" ht="15" customHeight="1" x14ac:dyDescent="0.25">
      <c r="A115" s="32" t="s">
        <v>116</v>
      </c>
      <c r="B115" s="33" t="s">
        <v>96</v>
      </c>
      <c r="C115" s="34">
        <v>4</v>
      </c>
      <c r="D115" s="36">
        <v>8</v>
      </c>
      <c r="E115" s="36">
        <v>5</v>
      </c>
      <c r="F115" s="36">
        <v>262</v>
      </c>
      <c r="G115" s="35"/>
      <c r="H115" s="37" t="s">
        <v>280</v>
      </c>
      <c r="I115" s="38" t="s">
        <v>327</v>
      </c>
    </row>
    <row r="116" spans="1:9" ht="30.6" x14ac:dyDescent="0.25">
      <c r="A116" s="32" t="s">
        <v>112</v>
      </c>
      <c r="B116" s="33" t="s">
        <v>96</v>
      </c>
      <c r="C116" s="34">
        <v>3</v>
      </c>
      <c r="D116" s="36">
        <v>11</v>
      </c>
      <c r="E116" s="36">
        <v>11</v>
      </c>
      <c r="F116" s="36">
        <v>14626</v>
      </c>
      <c r="G116" s="35" t="s">
        <v>268</v>
      </c>
      <c r="H116" s="39" t="s">
        <v>281</v>
      </c>
      <c r="I116" s="38" t="s">
        <v>1</v>
      </c>
    </row>
    <row r="117" spans="1:9" ht="30.6" x14ac:dyDescent="0.25">
      <c r="A117" s="30" t="s">
        <v>41</v>
      </c>
      <c r="B117" s="30" t="s">
        <v>42</v>
      </c>
      <c r="C117" s="31" t="s">
        <v>292</v>
      </c>
      <c r="D117" s="30" t="s">
        <v>412</v>
      </c>
      <c r="E117" s="30" t="s">
        <v>316</v>
      </c>
      <c r="F117" s="30" t="s">
        <v>317</v>
      </c>
      <c r="G117" s="30" t="s">
        <v>273</v>
      </c>
      <c r="H117" s="30" t="s">
        <v>318</v>
      </c>
      <c r="I117" s="30" t="s">
        <v>276</v>
      </c>
    </row>
    <row r="118" spans="1:9" ht="30.6" x14ac:dyDescent="0.25">
      <c r="A118" s="32" t="s">
        <v>137</v>
      </c>
      <c r="B118" s="33" t="s">
        <v>96</v>
      </c>
      <c r="C118" s="34">
        <v>5</v>
      </c>
      <c r="D118" s="36">
        <v>5</v>
      </c>
      <c r="E118" s="36">
        <v>1</v>
      </c>
      <c r="F118" s="36"/>
      <c r="G118" s="35"/>
      <c r="H118" s="37" t="s">
        <v>308</v>
      </c>
      <c r="I118" s="38" t="s">
        <v>342</v>
      </c>
    </row>
    <row r="119" spans="1:9" ht="15" customHeight="1" x14ac:dyDescent="0.25">
      <c r="A119" s="32" t="s">
        <v>153</v>
      </c>
      <c r="B119" s="33" t="s">
        <v>96</v>
      </c>
      <c r="C119" s="34">
        <v>4</v>
      </c>
      <c r="D119" s="36">
        <v>10</v>
      </c>
      <c r="E119" s="36">
        <v>10</v>
      </c>
      <c r="F119" s="36">
        <v>2310</v>
      </c>
      <c r="G119" s="35"/>
      <c r="H119" s="37" t="s">
        <v>280</v>
      </c>
      <c r="I119" s="38"/>
    </row>
    <row r="120" spans="1:9" ht="15" customHeight="1" x14ac:dyDescent="0.25">
      <c r="A120" s="32" t="s">
        <v>127</v>
      </c>
      <c r="B120" s="33" t="s">
        <v>96</v>
      </c>
      <c r="C120" s="34">
        <v>4</v>
      </c>
      <c r="D120" s="36">
        <v>11</v>
      </c>
      <c r="E120" s="36">
        <v>7</v>
      </c>
      <c r="F120" s="36">
        <v>217</v>
      </c>
      <c r="G120" s="35"/>
      <c r="H120" s="37" t="s">
        <v>280</v>
      </c>
      <c r="I120" s="38" t="s">
        <v>327</v>
      </c>
    </row>
    <row r="121" spans="1:9" ht="51" x14ac:dyDescent="0.25">
      <c r="A121" s="32" t="s">
        <v>40</v>
      </c>
      <c r="B121" s="33" t="s">
        <v>96</v>
      </c>
      <c r="C121" s="34">
        <v>1</v>
      </c>
      <c r="D121" s="36">
        <v>11</v>
      </c>
      <c r="E121" s="36">
        <v>11</v>
      </c>
      <c r="F121" s="36">
        <v>1017</v>
      </c>
      <c r="G121" s="35" t="s">
        <v>272</v>
      </c>
      <c r="H121" s="39" t="s">
        <v>281</v>
      </c>
      <c r="I121" s="38" t="s">
        <v>305</v>
      </c>
    </row>
    <row r="122" spans="1:9" x14ac:dyDescent="0.25">
      <c r="A122" s="32" t="s">
        <v>110</v>
      </c>
      <c r="B122" s="33" t="s">
        <v>96</v>
      </c>
      <c r="C122" s="34">
        <v>4</v>
      </c>
      <c r="D122" s="36">
        <v>3</v>
      </c>
      <c r="E122" s="36">
        <v>3</v>
      </c>
      <c r="F122" s="36">
        <v>163</v>
      </c>
      <c r="G122" s="35"/>
      <c r="H122" s="37" t="s">
        <v>280</v>
      </c>
      <c r="I122" s="33" t="s">
        <v>343</v>
      </c>
    </row>
    <row r="123" spans="1:9" ht="15" customHeight="1" x14ac:dyDescent="0.25">
      <c r="A123" s="32" t="s">
        <v>152</v>
      </c>
      <c r="B123" s="33" t="s">
        <v>96</v>
      </c>
      <c r="C123" s="34">
        <v>4</v>
      </c>
      <c r="D123" s="36">
        <v>10</v>
      </c>
      <c r="E123" s="36">
        <v>10</v>
      </c>
      <c r="F123" s="36">
        <v>88</v>
      </c>
      <c r="G123" s="35"/>
      <c r="H123" s="33" t="s">
        <v>280</v>
      </c>
      <c r="I123" s="33" t="s">
        <v>344</v>
      </c>
    </row>
    <row r="124" spans="1:9" ht="30.6" x14ac:dyDescent="0.25">
      <c r="A124" s="32" t="s">
        <v>143</v>
      </c>
      <c r="B124" s="33" t="s">
        <v>96</v>
      </c>
      <c r="C124" s="34">
        <v>3</v>
      </c>
      <c r="D124" s="36">
        <v>10</v>
      </c>
      <c r="E124" s="36">
        <v>10</v>
      </c>
      <c r="F124" s="36">
        <v>5419</v>
      </c>
      <c r="G124" s="35" t="s">
        <v>270</v>
      </c>
      <c r="H124" s="37" t="s">
        <v>281</v>
      </c>
      <c r="I124" s="38" t="s">
        <v>1</v>
      </c>
    </row>
    <row r="125" spans="1:9" ht="20.399999999999999" x14ac:dyDescent="0.25">
      <c r="A125" s="32" t="s">
        <v>147</v>
      </c>
      <c r="B125" s="33" t="s">
        <v>96</v>
      </c>
      <c r="C125" s="34">
        <v>4</v>
      </c>
      <c r="D125" s="36">
        <v>9</v>
      </c>
      <c r="E125" s="36">
        <v>9</v>
      </c>
      <c r="F125" s="36">
        <v>692</v>
      </c>
      <c r="G125" s="35"/>
      <c r="H125" s="39" t="s">
        <v>280</v>
      </c>
      <c r="I125" s="33" t="s">
        <v>345</v>
      </c>
    </row>
    <row r="126" spans="1:9" ht="20.399999999999999" x14ac:dyDescent="0.25">
      <c r="A126" s="32" t="s">
        <v>148</v>
      </c>
      <c r="B126" s="33" t="s">
        <v>96</v>
      </c>
      <c r="C126" s="34">
        <v>5</v>
      </c>
      <c r="D126" s="36">
        <v>4</v>
      </c>
      <c r="E126" s="36">
        <v>4</v>
      </c>
      <c r="F126" s="36">
        <v>54</v>
      </c>
      <c r="G126" s="35"/>
      <c r="H126" s="39" t="s">
        <v>308</v>
      </c>
      <c r="I126" s="33" t="s">
        <v>346</v>
      </c>
    </row>
    <row r="127" spans="1:9" ht="15" customHeight="1" x14ac:dyDescent="0.25">
      <c r="A127" s="32" t="s">
        <v>129</v>
      </c>
      <c r="B127" s="33" t="s">
        <v>96</v>
      </c>
      <c r="C127" s="34">
        <v>4</v>
      </c>
      <c r="D127" s="36">
        <v>11</v>
      </c>
      <c r="E127" s="36">
        <v>8</v>
      </c>
      <c r="F127" s="36">
        <v>2465</v>
      </c>
      <c r="G127" s="35"/>
      <c r="H127" s="33" t="s">
        <v>280</v>
      </c>
      <c r="I127" s="33" t="s">
        <v>326</v>
      </c>
    </row>
    <row r="128" spans="1:9" ht="15" customHeight="1" x14ac:dyDescent="0.25">
      <c r="A128" s="32" t="s">
        <v>131</v>
      </c>
      <c r="B128" s="33" t="s">
        <v>96</v>
      </c>
      <c r="C128" s="34">
        <v>5</v>
      </c>
      <c r="D128" s="36">
        <v>6</v>
      </c>
      <c r="E128" s="36">
        <v>3</v>
      </c>
      <c r="F128" s="36">
        <v>56</v>
      </c>
      <c r="G128" s="35"/>
      <c r="H128" s="39" t="s">
        <v>308</v>
      </c>
      <c r="I128" s="33" t="s">
        <v>347</v>
      </c>
    </row>
    <row r="129" spans="1:9" ht="15" customHeight="1" x14ac:dyDescent="0.25">
      <c r="A129" s="32" t="s">
        <v>132</v>
      </c>
      <c r="B129" s="33" t="s">
        <v>96</v>
      </c>
      <c r="C129" s="34">
        <v>5</v>
      </c>
      <c r="D129" s="36">
        <v>9</v>
      </c>
      <c r="E129" s="36">
        <v>5</v>
      </c>
      <c r="F129" s="36">
        <v>43</v>
      </c>
      <c r="G129" s="35"/>
      <c r="H129" s="37" t="s">
        <v>308</v>
      </c>
      <c r="I129" s="33" t="s">
        <v>327</v>
      </c>
    </row>
    <row r="130" spans="1:9" ht="15" customHeight="1" x14ac:dyDescent="0.25">
      <c r="A130" s="32" t="s">
        <v>135</v>
      </c>
      <c r="B130" s="33" t="s">
        <v>96</v>
      </c>
      <c r="C130" s="34">
        <v>4</v>
      </c>
      <c r="D130" s="36">
        <v>9</v>
      </c>
      <c r="E130" s="36">
        <v>9</v>
      </c>
      <c r="F130" s="36">
        <v>4301</v>
      </c>
      <c r="G130" s="35"/>
      <c r="H130" s="37" t="s">
        <v>280</v>
      </c>
      <c r="I130" s="33" t="s">
        <v>327</v>
      </c>
    </row>
    <row r="132" spans="1:9" ht="15.6" x14ac:dyDescent="0.3">
      <c r="A132" s="40" t="s">
        <v>97</v>
      </c>
    </row>
    <row r="133" spans="1:9" ht="30.6" x14ac:dyDescent="0.25">
      <c r="A133" s="30" t="s">
        <v>41</v>
      </c>
      <c r="B133" s="30" t="s">
        <v>42</v>
      </c>
      <c r="C133" s="31" t="s">
        <v>292</v>
      </c>
      <c r="D133" s="30" t="s">
        <v>412</v>
      </c>
      <c r="E133" s="30" t="s">
        <v>316</v>
      </c>
      <c r="F133" s="30" t="s">
        <v>317</v>
      </c>
      <c r="G133" s="30" t="s">
        <v>273</v>
      </c>
      <c r="H133" s="30" t="s">
        <v>318</v>
      </c>
      <c r="I133" s="30" t="s">
        <v>276</v>
      </c>
    </row>
    <row r="134" spans="1:9" ht="20.399999999999999" x14ac:dyDescent="0.25">
      <c r="A134" s="32" t="s">
        <v>128</v>
      </c>
      <c r="B134" s="33" t="s">
        <v>97</v>
      </c>
      <c r="C134" s="34">
        <v>3</v>
      </c>
      <c r="D134" s="36">
        <v>3</v>
      </c>
      <c r="E134" s="36">
        <v>3</v>
      </c>
      <c r="F134" s="36">
        <v>99</v>
      </c>
      <c r="G134" s="35"/>
      <c r="H134" s="37" t="s">
        <v>285</v>
      </c>
      <c r="I134" s="38" t="s">
        <v>324</v>
      </c>
    </row>
    <row r="135" spans="1:9" ht="15" customHeight="1" x14ac:dyDescent="0.25">
      <c r="A135" s="32" t="s">
        <v>133</v>
      </c>
      <c r="B135" s="33" t="s">
        <v>97</v>
      </c>
      <c r="C135" s="34">
        <v>4</v>
      </c>
      <c r="D135" s="36">
        <v>9</v>
      </c>
      <c r="E135" s="36">
        <v>2</v>
      </c>
      <c r="F135" s="36"/>
      <c r="G135" s="35"/>
      <c r="H135" s="39" t="s">
        <v>280</v>
      </c>
      <c r="I135" s="38" t="s">
        <v>327</v>
      </c>
    </row>
    <row r="136" spans="1:9" ht="15" customHeight="1" x14ac:dyDescent="0.25">
      <c r="A136" s="32" t="s">
        <v>115</v>
      </c>
      <c r="B136" s="33" t="s">
        <v>97</v>
      </c>
      <c r="C136" s="34">
        <v>4</v>
      </c>
      <c r="D136" s="36">
        <v>10</v>
      </c>
      <c r="E136" s="36">
        <v>1</v>
      </c>
      <c r="F136" s="36"/>
      <c r="G136" s="35"/>
      <c r="H136" s="37" t="s">
        <v>280</v>
      </c>
      <c r="I136" s="33" t="s">
        <v>327</v>
      </c>
    </row>
    <row r="137" spans="1:9" ht="15" customHeight="1" x14ac:dyDescent="0.25">
      <c r="A137" s="32" t="s">
        <v>123</v>
      </c>
      <c r="B137" s="33" t="s">
        <v>97</v>
      </c>
      <c r="C137" s="34">
        <v>4</v>
      </c>
      <c r="D137" s="36">
        <v>11</v>
      </c>
      <c r="E137" s="36">
        <v>0</v>
      </c>
      <c r="F137" s="36"/>
      <c r="G137" s="35"/>
      <c r="H137" s="33" t="s">
        <v>280</v>
      </c>
      <c r="I137" s="33" t="s">
        <v>327</v>
      </c>
    </row>
    <row r="138" spans="1:9" ht="15" customHeight="1" x14ac:dyDescent="0.25">
      <c r="A138" s="32" t="s">
        <v>134</v>
      </c>
      <c r="B138" s="33" t="s">
        <v>97</v>
      </c>
      <c r="C138" s="34">
        <v>4</v>
      </c>
      <c r="D138" s="36">
        <v>11</v>
      </c>
      <c r="E138" s="36">
        <v>3</v>
      </c>
      <c r="F138" s="36"/>
      <c r="G138" s="35"/>
      <c r="H138" s="39" t="s">
        <v>329</v>
      </c>
      <c r="I138" s="33" t="s">
        <v>327</v>
      </c>
    </row>
    <row r="139" spans="1:9" ht="15" customHeight="1" x14ac:dyDescent="0.25">
      <c r="A139" s="32" t="s">
        <v>118</v>
      </c>
      <c r="B139" s="33" t="s">
        <v>97</v>
      </c>
      <c r="C139" s="34">
        <v>4</v>
      </c>
      <c r="D139" s="36">
        <v>10</v>
      </c>
      <c r="E139" s="36">
        <v>4</v>
      </c>
      <c r="F139" s="36"/>
      <c r="G139" s="35"/>
      <c r="H139" s="37" t="s">
        <v>280</v>
      </c>
      <c r="I139" s="33" t="s">
        <v>327</v>
      </c>
    </row>
    <row r="140" spans="1:9" ht="20.399999999999999" x14ac:dyDescent="0.25">
      <c r="A140" s="32" t="s">
        <v>107</v>
      </c>
      <c r="B140" s="33" t="s">
        <v>97</v>
      </c>
      <c r="C140" s="34">
        <v>3</v>
      </c>
      <c r="D140" s="36">
        <v>3</v>
      </c>
      <c r="E140" s="36">
        <v>1</v>
      </c>
      <c r="F140" s="36"/>
      <c r="G140" s="35"/>
      <c r="H140" s="37" t="s">
        <v>285</v>
      </c>
      <c r="I140" s="33" t="s">
        <v>331</v>
      </c>
    </row>
    <row r="141" spans="1:9" ht="15" customHeight="1" x14ac:dyDescent="0.25">
      <c r="A141" s="32" t="s">
        <v>124</v>
      </c>
      <c r="B141" s="33" t="s">
        <v>97</v>
      </c>
      <c r="C141" s="34">
        <v>4</v>
      </c>
      <c r="D141" s="36">
        <v>10</v>
      </c>
      <c r="E141" s="36">
        <v>1</v>
      </c>
      <c r="F141" s="36"/>
      <c r="G141" s="35"/>
      <c r="H141" s="37" t="s">
        <v>280</v>
      </c>
      <c r="I141" s="38" t="s">
        <v>327</v>
      </c>
    </row>
    <row r="142" spans="1:9" ht="15" customHeight="1" x14ac:dyDescent="0.25">
      <c r="A142" s="32" t="s">
        <v>151</v>
      </c>
      <c r="B142" s="33" t="s">
        <v>97</v>
      </c>
      <c r="C142" s="34">
        <v>5</v>
      </c>
      <c r="D142" s="36">
        <v>10</v>
      </c>
      <c r="E142" s="36">
        <v>10</v>
      </c>
      <c r="F142" s="36">
        <v>63</v>
      </c>
      <c r="G142" s="35"/>
      <c r="H142" s="39" t="s">
        <v>280</v>
      </c>
      <c r="I142" s="38" t="s">
        <v>327</v>
      </c>
    </row>
    <row r="143" spans="1:9" ht="30.6" x14ac:dyDescent="0.25">
      <c r="A143" s="32" t="s">
        <v>125</v>
      </c>
      <c r="B143" s="33" t="s">
        <v>97</v>
      </c>
      <c r="C143" s="34">
        <v>3</v>
      </c>
      <c r="D143" s="36">
        <v>11</v>
      </c>
      <c r="E143" s="36">
        <v>11</v>
      </c>
      <c r="F143" s="36">
        <v>479</v>
      </c>
      <c r="G143" s="35" t="s">
        <v>268</v>
      </c>
      <c r="H143" s="37" t="s">
        <v>281</v>
      </c>
      <c r="I143" s="38" t="s">
        <v>1</v>
      </c>
    </row>
    <row r="144" spans="1:9" ht="30.6" x14ac:dyDescent="0.25">
      <c r="A144" s="32" t="s">
        <v>112</v>
      </c>
      <c r="B144" s="33" t="s">
        <v>97</v>
      </c>
      <c r="C144" s="34">
        <v>3</v>
      </c>
      <c r="D144" s="36">
        <v>11</v>
      </c>
      <c r="E144" s="36">
        <v>11</v>
      </c>
      <c r="F144" s="36">
        <v>1737</v>
      </c>
      <c r="G144" s="35" t="s">
        <v>268</v>
      </c>
      <c r="H144" s="33" t="s">
        <v>281</v>
      </c>
      <c r="I144" s="38" t="s">
        <v>1</v>
      </c>
    </row>
    <row r="145" spans="1:9" ht="30.6" x14ac:dyDescent="0.25">
      <c r="A145" s="30" t="s">
        <v>41</v>
      </c>
      <c r="B145" s="30" t="s">
        <v>42</v>
      </c>
      <c r="C145" s="31" t="s">
        <v>292</v>
      </c>
      <c r="D145" s="30" t="s">
        <v>412</v>
      </c>
      <c r="E145" s="30" t="s">
        <v>316</v>
      </c>
      <c r="F145" s="30" t="s">
        <v>317</v>
      </c>
      <c r="G145" s="30" t="s">
        <v>273</v>
      </c>
      <c r="H145" s="30" t="s">
        <v>318</v>
      </c>
      <c r="I145" s="30" t="s">
        <v>276</v>
      </c>
    </row>
    <row r="146" spans="1:9" ht="15" customHeight="1" x14ac:dyDescent="0.25">
      <c r="A146" s="32" t="s">
        <v>153</v>
      </c>
      <c r="B146" s="33" t="s">
        <v>97</v>
      </c>
      <c r="C146" s="34">
        <v>4</v>
      </c>
      <c r="D146" s="36">
        <v>10</v>
      </c>
      <c r="E146" s="36">
        <v>6</v>
      </c>
      <c r="F146" s="36">
        <v>15</v>
      </c>
      <c r="G146" s="35"/>
      <c r="H146" s="39" t="s">
        <v>280</v>
      </c>
      <c r="I146" s="33"/>
    </row>
    <row r="147" spans="1:9" ht="51" x14ac:dyDescent="0.25">
      <c r="A147" s="32" t="s">
        <v>40</v>
      </c>
      <c r="B147" s="33" t="s">
        <v>97</v>
      </c>
      <c r="C147" s="34">
        <v>1</v>
      </c>
      <c r="D147" s="36">
        <v>11</v>
      </c>
      <c r="E147" s="36">
        <v>11</v>
      </c>
      <c r="F147" s="36">
        <v>40648</v>
      </c>
      <c r="G147" s="35" t="s">
        <v>272</v>
      </c>
      <c r="H147" s="37" t="s">
        <v>281</v>
      </c>
      <c r="I147" s="33" t="s">
        <v>306</v>
      </c>
    </row>
    <row r="148" spans="1:9" x14ac:dyDescent="0.25">
      <c r="A148" s="32" t="s">
        <v>110</v>
      </c>
      <c r="B148" s="33" t="s">
        <v>97</v>
      </c>
      <c r="C148" s="34">
        <v>4</v>
      </c>
      <c r="D148" s="36">
        <v>3</v>
      </c>
      <c r="E148" s="36">
        <v>2</v>
      </c>
      <c r="F148" s="36"/>
      <c r="G148" s="35"/>
      <c r="H148" s="37" t="s">
        <v>280</v>
      </c>
      <c r="I148" s="33" t="s">
        <v>343</v>
      </c>
    </row>
    <row r="149" spans="1:9" ht="15" customHeight="1" x14ac:dyDescent="0.25">
      <c r="A149" s="32" t="s">
        <v>152</v>
      </c>
      <c r="B149" s="33" t="s">
        <v>97</v>
      </c>
      <c r="C149" s="34">
        <v>4</v>
      </c>
      <c r="D149" s="36">
        <v>10</v>
      </c>
      <c r="E149" s="36">
        <v>10</v>
      </c>
      <c r="F149" s="36">
        <v>1289</v>
      </c>
      <c r="G149" s="35"/>
      <c r="H149" s="37" t="s">
        <v>280</v>
      </c>
      <c r="I149" s="38" t="s">
        <v>344</v>
      </c>
    </row>
    <row r="150" spans="1:9" ht="30.6" x14ac:dyDescent="0.25">
      <c r="A150" s="32" t="s">
        <v>143</v>
      </c>
      <c r="B150" s="33" t="s">
        <v>97</v>
      </c>
      <c r="C150" s="34">
        <v>3</v>
      </c>
      <c r="D150" s="36">
        <v>10</v>
      </c>
      <c r="E150" s="36">
        <v>10</v>
      </c>
      <c r="F150" s="36">
        <v>305</v>
      </c>
      <c r="G150" s="35" t="s">
        <v>270</v>
      </c>
      <c r="H150" s="39" t="s">
        <v>281</v>
      </c>
      <c r="I150" s="38" t="s">
        <v>1</v>
      </c>
    </row>
    <row r="151" spans="1:9" ht="15" customHeight="1" x14ac:dyDescent="0.25">
      <c r="A151" s="32" t="s">
        <v>129</v>
      </c>
      <c r="B151" s="33" t="s">
        <v>97</v>
      </c>
      <c r="C151" s="34">
        <v>4</v>
      </c>
      <c r="D151" s="36">
        <v>11</v>
      </c>
      <c r="E151" s="36">
        <v>0</v>
      </c>
      <c r="F151" s="36"/>
      <c r="G151" s="35"/>
      <c r="H151" s="37" t="s">
        <v>280</v>
      </c>
      <c r="I151" s="33" t="s">
        <v>326</v>
      </c>
    </row>
    <row r="152" spans="1:9" ht="15" customHeight="1" x14ac:dyDescent="0.25">
      <c r="A152" s="32" t="s">
        <v>135</v>
      </c>
      <c r="B152" s="33" t="s">
        <v>97</v>
      </c>
      <c r="C152" s="34">
        <v>4</v>
      </c>
      <c r="D152" s="36">
        <v>9</v>
      </c>
      <c r="E152" s="36">
        <v>0</v>
      </c>
      <c r="F152" s="36"/>
      <c r="G152" s="35"/>
      <c r="H152" s="33" t="s">
        <v>280</v>
      </c>
      <c r="I152" s="33" t="s">
        <v>327</v>
      </c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137"/>
  <sheetViews>
    <sheetView topLeftCell="A64" workbookViewId="0">
      <selection activeCell="G18" sqref="G18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410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30.6" x14ac:dyDescent="0.25">
      <c r="A6" s="32" t="s">
        <v>274</v>
      </c>
      <c r="B6" s="33" t="s">
        <v>91</v>
      </c>
      <c r="C6" s="34">
        <v>3</v>
      </c>
      <c r="D6" s="36">
        <v>11</v>
      </c>
      <c r="E6" s="36">
        <v>11</v>
      </c>
      <c r="F6" s="36">
        <v>479</v>
      </c>
      <c r="G6" s="35" t="s">
        <v>270</v>
      </c>
      <c r="H6" s="37" t="s">
        <v>281</v>
      </c>
      <c r="I6" s="33" t="s">
        <v>353</v>
      </c>
    </row>
    <row r="7" spans="1:9" ht="20.399999999999999" x14ac:dyDescent="0.25">
      <c r="A7" s="32" t="s">
        <v>176</v>
      </c>
      <c r="B7" s="33" t="s">
        <v>91</v>
      </c>
      <c r="C7" s="34">
        <v>3</v>
      </c>
      <c r="D7" s="36">
        <v>7</v>
      </c>
      <c r="E7" s="36">
        <v>7</v>
      </c>
      <c r="F7" s="36">
        <v>2284</v>
      </c>
      <c r="G7" s="35"/>
      <c r="H7" s="39" t="s">
        <v>285</v>
      </c>
      <c r="I7" s="33" t="s">
        <v>377</v>
      </c>
    </row>
    <row r="8" spans="1:9" x14ac:dyDescent="0.25">
      <c r="A8" s="32" t="s">
        <v>177</v>
      </c>
      <c r="B8" s="33" t="s">
        <v>91</v>
      </c>
      <c r="C8" s="34">
        <v>5</v>
      </c>
      <c r="D8" s="36">
        <v>4</v>
      </c>
      <c r="E8" s="36">
        <v>2</v>
      </c>
      <c r="F8" s="36"/>
      <c r="G8" s="35"/>
      <c r="H8" s="37" t="s">
        <v>308</v>
      </c>
      <c r="I8" s="33" t="s">
        <v>379</v>
      </c>
    </row>
    <row r="9" spans="1:9" ht="20.399999999999999" x14ac:dyDescent="0.25">
      <c r="A9" s="32" t="s">
        <v>190</v>
      </c>
      <c r="B9" s="33" t="s">
        <v>91</v>
      </c>
      <c r="C9" s="34">
        <v>4</v>
      </c>
      <c r="D9" s="36">
        <v>10</v>
      </c>
      <c r="E9" s="36">
        <v>5</v>
      </c>
      <c r="F9" s="36">
        <v>13</v>
      </c>
      <c r="G9" s="35"/>
      <c r="H9" s="37" t="s">
        <v>363</v>
      </c>
      <c r="I9" s="33" t="s">
        <v>388</v>
      </c>
    </row>
    <row r="10" spans="1:9" ht="30.6" x14ac:dyDescent="0.25">
      <c r="A10" s="32" t="s">
        <v>202</v>
      </c>
      <c r="B10" s="33" t="s">
        <v>91</v>
      </c>
      <c r="C10" s="34">
        <v>4</v>
      </c>
      <c r="D10" s="36">
        <v>7</v>
      </c>
      <c r="E10" s="36">
        <v>3</v>
      </c>
      <c r="F10" s="36">
        <v>45</v>
      </c>
      <c r="G10" s="35"/>
      <c r="H10" s="39" t="s">
        <v>280</v>
      </c>
      <c r="I10" s="33" t="s">
        <v>396</v>
      </c>
    </row>
    <row r="11" spans="1:9" ht="20.399999999999999" x14ac:dyDescent="0.25">
      <c r="A11" s="32" t="s">
        <v>180</v>
      </c>
      <c r="B11" s="33" t="s">
        <v>91</v>
      </c>
      <c r="C11" s="34">
        <v>4</v>
      </c>
      <c r="D11" s="36">
        <v>6</v>
      </c>
      <c r="E11" s="36">
        <v>6</v>
      </c>
      <c r="F11" s="36">
        <v>5983</v>
      </c>
      <c r="G11" s="35"/>
      <c r="H11" s="37" t="s">
        <v>280</v>
      </c>
      <c r="I11" s="33" t="s">
        <v>368</v>
      </c>
    </row>
    <row r="12" spans="1:9" ht="20.399999999999999" x14ac:dyDescent="0.25">
      <c r="A12" s="32" t="s">
        <v>181</v>
      </c>
      <c r="B12" s="33" t="s">
        <v>91</v>
      </c>
      <c r="C12" s="34">
        <v>4</v>
      </c>
      <c r="D12" s="36">
        <v>2</v>
      </c>
      <c r="E12" s="36">
        <v>0</v>
      </c>
      <c r="F12" s="36"/>
      <c r="G12" s="35"/>
      <c r="H12" s="37" t="s">
        <v>280</v>
      </c>
      <c r="I12" s="33" t="s">
        <v>369</v>
      </c>
    </row>
    <row r="13" spans="1:9" x14ac:dyDescent="0.25">
      <c r="A13" s="32" t="s">
        <v>359</v>
      </c>
      <c r="B13" s="33" t="s">
        <v>91</v>
      </c>
      <c r="C13" s="34">
        <v>3</v>
      </c>
      <c r="D13" s="36">
        <v>3</v>
      </c>
      <c r="E13" s="36">
        <v>1</v>
      </c>
      <c r="F13" s="36"/>
      <c r="G13" s="35"/>
      <c r="H13" s="37" t="s">
        <v>280</v>
      </c>
      <c r="I13" s="33" t="s">
        <v>357</v>
      </c>
    </row>
    <row r="14" spans="1:9" ht="40.799999999999997" x14ac:dyDescent="0.25">
      <c r="A14" s="32" t="s">
        <v>358</v>
      </c>
      <c r="B14" s="33" t="s">
        <v>91</v>
      </c>
      <c r="C14" s="34">
        <v>3</v>
      </c>
      <c r="D14" s="36">
        <v>8</v>
      </c>
      <c r="E14" s="36">
        <v>8</v>
      </c>
      <c r="F14" s="36">
        <v>10624</v>
      </c>
      <c r="G14" s="35" t="s">
        <v>271</v>
      </c>
      <c r="H14" s="37" t="s">
        <v>281</v>
      </c>
      <c r="I14" s="33" t="s">
        <v>356</v>
      </c>
    </row>
    <row r="15" spans="1:9" ht="30.6" x14ac:dyDescent="0.25">
      <c r="A15" s="32" t="s">
        <v>200</v>
      </c>
      <c r="B15" s="33" t="s">
        <v>91</v>
      </c>
      <c r="C15" s="34">
        <v>3</v>
      </c>
      <c r="D15" s="36">
        <v>11</v>
      </c>
      <c r="E15" s="36">
        <v>11</v>
      </c>
      <c r="F15" s="36">
        <v>745</v>
      </c>
      <c r="G15" s="35" t="s">
        <v>270</v>
      </c>
      <c r="H15" s="39" t="s">
        <v>281</v>
      </c>
      <c r="I15" s="33"/>
    </row>
    <row r="16" spans="1:9" ht="30.6" x14ac:dyDescent="0.25">
      <c r="A16" s="32" t="s">
        <v>194</v>
      </c>
      <c r="B16" s="33" t="s">
        <v>91</v>
      </c>
      <c r="C16" s="34">
        <v>3</v>
      </c>
      <c r="D16" s="36">
        <v>11</v>
      </c>
      <c r="E16" s="36">
        <v>11</v>
      </c>
      <c r="F16" s="36">
        <v>253</v>
      </c>
      <c r="G16" s="35" t="s">
        <v>270</v>
      </c>
      <c r="H16" s="37" t="s">
        <v>281</v>
      </c>
      <c r="I16" s="33"/>
    </row>
    <row r="17" spans="1:9" ht="20.399999999999999" x14ac:dyDescent="0.25">
      <c r="A17" s="32" t="s">
        <v>179</v>
      </c>
      <c r="B17" s="33" t="s">
        <v>91</v>
      </c>
      <c r="C17" s="34">
        <v>4</v>
      </c>
      <c r="D17" s="36">
        <v>5</v>
      </c>
      <c r="E17" s="36">
        <v>4</v>
      </c>
      <c r="F17" s="36">
        <v>170</v>
      </c>
      <c r="G17" s="35"/>
      <c r="H17" s="37" t="s">
        <v>280</v>
      </c>
      <c r="I17" s="33" t="s">
        <v>403</v>
      </c>
    </row>
    <row r="18" spans="1:9" ht="20.399999999999999" x14ac:dyDescent="0.25">
      <c r="A18" s="32" t="s">
        <v>203</v>
      </c>
      <c r="B18" s="33" t="s">
        <v>91</v>
      </c>
      <c r="C18" s="34">
        <v>4</v>
      </c>
      <c r="D18" s="36">
        <v>7</v>
      </c>
      <c r="E18" s="36">
        <v>4</v>
      </c>
      <c r="F18" s="36">
        <v>37</v>
      </c>
      <c r="G18" s="35"/>
      <c r="H18" s="37" t="s">
        <v>280</v>
      </c>
      <c r="I18" s="33" t="s">
        <v>387</v>
      </c>
    </row>
    <row r="19" spans="1:9" ht="20.399999999999999" x14ac:dyDescent="0.25">
      <c r="A19" s="32" t="s">
        <v>183</v>
      </c>
      <c r="B19" s="33" t="s">
        <v>91</v>
      </c>
      <c r="C19" s="34">
        <v>1</v>
      </c>
      <c r="D19" s="36">
        <v>11</v>
      </c>
      <c r="E19" s="36">
        <v>9</v>
      </c>
      <c r="F19" s="36">
        <v>52</v>
      </c>
      <c r="G19" s="35" t="s">
        <v>272</v>
      </c>
      <c r="H19" s="37" t="s">
        <v>281</v>
      </c>
      <c r="I19" s="33" t="s">
        <v>391</v>
      </c>
    </row>
    <row r="21" spans="1:9" s="41" customFormat="1" ht="15.6" x14ac:dyDescent="0.3">
      <c r="A21" s="40" t="s">
        <v>93</v>
      </c>
    </row>
    <row r="22" spans="1:9" ht="30.6" x14ac:dyDescent="0.25">
      <c r="A22" s="30" t="s">
        <v>41</v>
      </c>
      <c r="B22" s="30" t="s">
        <v>42</v>
      </c>
      <c r="C22" s="31" t="s">
        <v>292</v>
      </c>
      <c r="D22" s="30" t="s">
        <v>412</v>
      </c>
      <c r="E22" s="30" t="s">
        <v>316</v>
      </c>
      <c r="F22" s="30" t="s">
        <v>317</v>
      </c>
      <c r="G22" s="30" t="s">
        <v>273</v>
      </c>
      <c r="H22" s="30" t="s">
        <v>318</v>
      </c>
      <c r="I22" s="30" t="s">
        <v>276</v>
      </c>
    </row>
    <row r="23" spans="1:9" x14ac:dyDescent="0.25">
      <c r="A23" s="32" t="s">
        <v>178</v>
      </c>
      <c r="B23" s="33" t="s">
        <v>93</v>
      </c>
      <c r="C23" s="34">
        <v>5</v>
      </c>
      <c r="D23" s="36">
        <v>6</v>
      </c>
      <c r="E23" s="36">
        <v>6</v>
      </c>
      <c r="F23" s="36">
        <v>261</v>
      </c>
      <c r="G23" s="35"/>
      <c r="H23" s="37" t="s">
        <v>280</v>
      </c>
      <c r="I23" s="33" t="s">
        <v>376</v>
      </c>
    </row>
    <row r="24" spans="1:9" ht="30.6" x14ac:dyDescent="0.25">
      <c r="A24" s="32" t="s">
        <v>195</v>
      </c>
      <c r="B24" s="33" t="s">
        <v>93</v>
      </c>
      <c r="C24" s="34">
        <v>4</v>
      </c>
      <c r="D24" s="36">
        <v>5</v>
      </c>
      <c r="E24" s="36">
        <v>2</v>
      </c>
      <c r="F24" s="36"/>
      <c r="G24" s="35"/>
      <c r="H24" s="37" t="s">
        <v>280</v>
      </c>
      <c r="I24" s="38" t="s">
        <v>349</v>
      </c>
    </row>
    <row r="25" spans="1:9" ht="20.399999999999999" x14ac:dyDescent="0.25">
      <c r="A25" s="32" t="s">
        <v>191</v>
      </c>
      <c r="B25" s="33" t="s">
        <v>93</v>
      </c>
      <c r="C25" s="34">
        <v>4</v>
      </c>
      <c r="D25" s="36">
        <v>7</v>
      </c>
      <c r="E25" s="36">
        <v>1</v>
      </c>
      <c r="F25" s="36"/>
      <c r="G25" s="35"/>
      <c r="H25" s="37" t="s">
        <v>280</v>
      </c>
      <c r="I25" s="38" t="s">
        <v>350</v>
      </c>
    </row>
    <row r="26" spans="1:9" x14ac:dyDescent="0.25">
      <c r="A26" s="32" t="s">
        <v>154</v>
      </c>
      <c r="B26" s="33" t="s">
        <v>93</v>
      </c>
      <c r="C26" s="34">
        <v>5</v>
      </c>
      <c r="D26" s="36">
        <v>1</v>
      </c>
      <c r="E26" s="36"/>
      <c r="F26" s="36"/>
      <c r="G26" s="35"/>
      <c r="H26" s="39" t="s">
        <v>308</v>
      </c>
      <c r="I26" s="38" t="s">
        <v>352</v>
      </c>
    </row>
    <row r="27" spans="1:9" ht="30.6" x14ac:dyDescent="0.25">
      <c r="A27" s="32" t="s">
        <v>274</v>
      </c>
      <c r="B27" s="33" t="s">
        <v>93</v>
      </c>
      <c r="C27" s="34">
        <v>3</v>
      </c>
      <c r="D27" s="36">
        <v>11</v>
      </c>
      <c r="E27" s="36">
        <v>11</v>
      </c>
      <c r="F27" s="36">
        <v>1629</v>
      </c>
      <c r="G27" s="35" t="s">
        <v>270</v>
      </c>
      <c r="H27" s="39" t="s">
        <v>281</v>
      </c>
      <c r="I27" s="38" t="s">
        <v>5</v>
      </c>
    </row>
    <row r="28" spans="1:9" ht="30.6" x14ac:dyDescent="0.25">
      <c r="A28" s="30" t="s">
        <v>41</v>
      </c>
      <c r="B28" s="30" t="s">
        <v>42</v>
      </c>
      <c r="C28" s="31" t="s">
        <v>292</v>
      </c>
      <c r="D28" s="30" t="s">
        <v>412</v>
      </c>
      <c r="E28" s="30" t="s">
        <v>316</v>
      </c>
      <c r="F28" s="30" t="s">
        <v>317</v>
      </c>
      <c r="G28" s="30" t="s">
        <v>273</v>
      </c>
      <c r="H28" s="30" t="s">
        <v>318</v>
      </c>
      <c r="I28" s="30" t="s">
        <v>276</v>
      </c>
    </row>
    <row r="29" spans="1:9" ht="20.399999999999999" x14ac:dyDescent="0.25">
      <c r="A29" s="32" t="s">
        <v>185</v>
      </c>
      <c r="B29" s="33" t="s">
        <v>93</v>
      </c>
      <c r="C29" s="34">
        <v>4</v>
      </c>
      <c r="D29" s="36">
        <v>5</v>
      </c>
      <c r="E29" s="36">
        <v>1</v>
      </c>
      <c r="F29" s="36"/>
      <c r="G29" s="35"/>
      <c r="H29" s="37" t="s">
        <v>280</v>
      </c>
      <c r="I29" s="33" t="s">
        <v>354</v>
      </c>
    </row>
    <row r="30" spans="1:9" x14ac:dyDescent="0.25">
      <c r="A30" s="32" t="s">
        <v>201</v>
      </c>
      <c r="B30" s="33" t="s">
        <v>93</v>
      </c>
      <c r="C30" s="34">
        <v>4</v>
      </c>
      <c r="D30" s="36">
        <v>6</v>
      </c>
      <c r="E30" s="36"/>
      <c r="F30" s="36"/>
      <c r="G30" s="35"/>
      <c r="H30" s="33" t="s">
        <v>280</v>
      </c>
      <c r="I30" s="33" t="s">
        <v>355</v>
      </c>
    </row>
    <row r="31" spans="1:9" ht="20.399999999999999" x14ac:dyDescent="0.25">
      <c r="A31" s="32" t="s">
        <v>176</v>
      </c>
      <c r="B31" s="33" t="s">
        <v>93</v>
      </c>
      <c r="C31" s="34">
        <v>3</v>
      </c>
      <c r="D31" s="36">
        <v>7</v>
      </c>
      <c r="E31" s="36">
        <v>6</v>
      </c>
      <c r="F31" s="36">
        <v>1353</v>
      </c>
      <c r="G31" s="35"/>
      <c r="H31" s="37" t="s">
        <v>285</v>
      </c>
      <c r="I31" s="33" t="s">
        <v>377</v>
      </c>
    </row>
    <row r="32" spans="1:9" ht="30.6" x14ac:dyDescent="0.25">
      <c r="A32" s="32" t="s">
        <v>186</v>
      </c>
      <c r="B32" s="33" t="s">
        <v>93</v>
      </c>
      <c r="C32" s="34">
        <v>5</v>
      </c>
      <c r="D32" s="36">
        <v>2</v>
      </c>
      <c r="E32" s="36">
        <v>1</v>
      </c>
      <c r="F32" s="36"/>
      <c r="G32" s="35"/>
      <c r="H32" s="39" t="s">
        <v>308</v>
      </c>
      <c r="I32" s="33" t="s">
        <v>378</v>
      </c>
    </row>
    <row r="33" spans="1:9" x14ac:dyDescent="0.25">
      <c r="A33" s="32" t="s">
        <v>177</v>
      </c>
      <c r="B33" s="33" t="s">
        <v>93</v>
      </c>
      <c r="C33" s="34">
        <v>5</v>
      </c>
      <c r="D33" s="36">
        <v>4</v>
      </c>
      <c r="E33" s="36">
        <v>3</v>
      </c>
      <c r="F33" s="36">
        <v>13</v>
      </c>
      <c r="G33" s="35"/>
      <c r="H33" s="39" t="s">
        <v>308</v>
      </c>
      <c r="I33" s="33" t="s">
        <v>379</v>
      </c>
    </row>
    <row r="34" spans="1:9" ht="20.399999999999999" x14ac:dyDescent="0.25">
      <c r="A34" s="32" t="s">
        <v>187</v>
      </c>
      <c r="B34" s="33" t="s">
        <v>93</v>
      </c>
      <c r="C34" s="34">
        <v>5</v>
      </c>
      <c r="D34" s="36">
        <v>4</v>
      </c>
      <c r="E34" s="36">
        <v>0</v>
      </c>
      <c r="F34" s="36"/>
      <c r="G34" s="35"/>
      <c r="H34" s="33" t="s">
        <v>280</v>
      </c>
      <c r="I34" s="33" t="s">
        <v>361</v>
      </c>
    </row>
    <row r="35" spans="1:9" ht="20.399999999999999" x14ac:dyDescent="0.25">
      <c r="A35" s="32" t="s">
        <v>196</v>
      </c>
      <c r="B35" s="33" t="s">
        <v>93</v>
      </c>
      <c r="C35" s="34">
        <v>5</v>
      </c>
      <c r="D35" s="36">
        <v>5</v>
      </c>
      <c r="E35" s="36">
        <v>5</v>
      </c>
      <c r="F35" s="36">
        <v>92</v>
      </c>
      <c r="G35" s="35"/>
      <c r="H35" s="39" t="s">
        <v>308</v>
      </c>
      <c r="I35" s="33" t="s">
        <v>362</v>
      </c>
    </row>
    <row r="36" spans="1:9" ht="20.399999999999999" x14ac:dyDescent="0.25">
      <c r="A36" s="32" t="s">
        <v>190</v>
      </c>
      <c r="B36" s="33" t="s">
        <v>93</v>
      </c>
      <c r="C36" s="34">
        <v>4</v>
      </c>
      <c r="D36" s="36">
        <v>10</v>
      </c>
      <c r="E36" s="36">
        <v>10</v>
      </c>
      <c r="F36" s="36">
        <v>1199</v>
      </c>
      <c r="G36" s="35"/>
      <c r="H36" s="37" t="s">
        <v>363</v>
      </c>
      <c r="I36" s="38" t="s">
        <v>388</v>
      </c>
    </row>
    <row r="37" spans="1:9" x14ac:dyDescent="0.25">
      <c r="A37" s="32" t="s">
        <v>189</v>
      </c>
      <c r="B37" s="33" t="s">
        <v>93</v>
      </c>
      <c r="C37" s="34">
        <v>4</v>
      </c>
      <c r="D37" s="36">
        <v>8</v>
      </c>
      <c r="E37" s="36">
        <v>1</v>
      </c>
      <c r="F37" s="36"/>
      <c r="G37" s="35"/>
      <c r="H37" s="39" t="s">
        <v>280</v>
      </c>
      <c r="I37" s="38" t="s">
        <v>370</v>
      </c>
    </row>
    <row r="38" spans="1:9" ht="30.6" x14ac:dyDescent="0.25">
      <c r="A38" s="32" t="s">
        <v>208</v>
      </c>
      <c r="B38" s="33" t="s">
        <v>93</v>
      </c>
      <c r="C38" s="34">
        <v>4</v>
      </c>
      <c r="D38" s="36">
        <v>1</v>
      </c>
      <c r="E38" s="36">
        <v>0</v>
      </c>
      <c r="F38" s="36"/>
      <c r="G38" s="35"/>
      <c r="H38" s="39" t="s">
        <v>280</v>
      </c>
      <c r="I38" s="38" t="s">
        <v>371</v>
      </c>
    </row>
    <row r="39" spans="1:9" ht="30.6" x14ac:dyDescent="0.25">
      <c r="A39" s="32" t="s">
        <v>209</v>
      </c>
      <c r="B39" s="33" t="s">
        <v>93</v>
      </c>
      <c r="C39" s="34">
        <v>4</v>
      </c>
      <c r="D39" s="36">
        <v>5</v>
      </c>
      <c r="E39" s="36">
        <v>3</v>
      </c>
      <c r="F39" s="36">
        <v>10</v>
      </c>
      <c r="G39" s="35"/>
      <c r="H39" s="37" t="s">
        <v>280</v>
      </c>
      <c r="I39" s="33" t="s">
        <v>381</v>
      </c>
    </row>
    <row r="40" spans="1:9" ht="30.6" x14ac:dyDescent="0.25">
      <c r="A40" s="32" t="s">
        <v>211</v>
      </c>
      <c r="B40" s="33" t="s">
        <v>93</v>
      </c>
      <c r="C40" s="34">
        <v>4</v>
      </c>
      <c r="D40" s="36">
        <v>5</v>
      </c>
      <c r="E40" s="36">
        <v>0</v>
      </c>
      <c r="F40" s="36"/>
      <c r="G40" s="35"/>
      <c r="H40" s="37" t="s">
        <v>280</v>
      </c>
      <c r="I40" s="38" t="s">
        <v>383</v>
      </c>
    </row>
    <row r="41" spans="1:9" ht="40.799999999999997" x14ac:dyDescent="0.25">
      <c r="A41" s="32" t="s">
        <v>212</v>
      </c>
      <c r="B41" s="33" t="s">
        <v>93</v>
      </c>
      <c r="C41" s="34">
        <v>4</v>
      </c>
      <c r="D41" s="36">
        <v>5</v>
      </c>
      <c r="E41" s="36">
        <v>1</v>
      </c>
      <c r="F41" s="36">
        <v>79</v>
      </c>
      <c r="G41" s="35"/>
      <c r="H41" s="39" t="s">
        <v>280</v>
      </c>
      <c r="I41" s="38" t="s">
        <v>385</v>
      </c>
    </row>
    <row r="42" spans="1:9" ht="51" x14ac:dyDescent="0.25">
      <c r="A42" s="32" t="s">
        <v>210</v>
      </c>
      <c r="B42" s="33" t="s">
        <v>93</v>
      </c>
      <c r="C42" s="34">
        <v>5</v>
      </c>
      <c r="D42" s="36">
        <v>6</v>
      </c>
      <c r="E42" s="36">
        <v>1</v>
      </c>
      <c r="F42" s="36">
        <v>140</v>
      </c>
      <c r="G42" s="35"/>
      <c r="H42" s="39" t="s">
        <v>280</v>
      </c>
      <c r="I42" s="38" t="s">
        <v>372</v>
      </c>
    </row>
    <row r="43" spans="1:9" ht="30.6" x14ac:dyDescent="0.25">
      <c r="A43" s="32" t="s">
        <v>205</v>
      </c>
      <c r="B43" s="33" t="s">
        <v>93</v>
      </c>
      <c r="C43" s="34">
        <v>5</v>
      </c>
      <c r="D43" s="36">
        <v>1</v>
      </c>
      <c r="E43" s="36">
        <v>0</v>
      </c>
      <c r="F43" s="36"/>
      <c r="G43" s="35"/>
      <c r="H43" s="37" t="s">
        <v>308</v>
      </c>
      <c r="I43" s="33" t="s">
        <v>374</v>
      </c>
    </row>
    <row r="44" spans="1:9" ht="20.399999999999999" x14ac:dyDescent="0.25">
      <c r="A44" s="32" t="s">
        <v>197</v>
      </c>
      <c r="B44" s="33" t="s">
        <v>93</v>
      </c>
      <c r="C44" s="34">
        <v>4</v>
      </c>
      <c r="D44" s="36">
        <v>5</v>
      </c>
      <c r="E44" s="36">
        <v>3</v>
      </c>
      <c r="F44" s="36">
        <v>35</v>
      </c>
      <c r="G44" s="35"/>
      <c r="H44" s="33" t="s">
        <v>280</v>
      </c>
      <c r="I44" s="33" t="s">
        <v>392</v>
      </c>
    </row>
    <row r="45" spans="1:9" ht="30.6" x14ac:dyDescent="0.25">
      <c r="A45" s="32" t="s">
        <v>204</v>
      </c>
      <c r="B45" s="33" t="s">
        <v>93</v>
      </c>
      <c r="C45" s="34">
        <v>5</v>
      </c>
      <c r="D45" s="36">
        <v>2</v>
      </c>
      <c r="E45" s="36">
        <v>146</v>
      </c>
      <c r="F45" s="36"/>
      <c r="G45" s="35"/>
      <c r="H45" s="37" t="s">
        <v>280</v>
      </c>
      <c r="I45" s="33" t="s">
        <v>393</v>
      </c>
    </row>
    <row r="46" spans="1:9" ht="30.6" x14ac:dyDescent="0.25">
      <c r="A46" s="32" t="s">
        <v>202</v>
      </c>
      <c r="B46" s="33" t="s">
        <v>93</v>
      </c>
      <c r="C46" s="34">
        <v>4</v>
      </c>
      <c r="D46" s="36">
        <v>7</v>
      </c>
      <c r="E46" s="36">
        <v>4</v>
      </c>
      <c r="F46" s="36">
        <v>108</v>
      </c>
      <c r="G46" s="35"/>
      <c r="H46" s="39" t="s">
        <v>280</v>
      </c>
      <c r="I46" s="33" t="s">
        <v>395</v>
      </c>
    </row>
    <row r="47" spans="1:9" ht="20.399999999999999" x14ac:dyDescent="0.25">
      <c r="A47" s="32" t="s">
        <v>180</v>
      </c>
      <c r="B47" s="33" t="s">
        <v>93</v>
      </c>
      <c r="C47" s="34">
        <v>4</v>
      </c>
      <c r="D47" s="36">
        <v>5</v>
      </c>
      <c r="E47" s="36">
        <v>5</v>
      </c>
      <c r="F47" s="36"/>
      <c r="G47" s="35"/>
      <c r="H47" s="39" t="s">
        <v>280</v>
      </c>
      <c r="I47" s="33" t="s">
        <v>360</v>
      </c>
    </row>
    <row r="48" spans="1:9" ht="20.399999999999999" x14ac:dyDescent="0.25">
      <c r="A48" s="32" t="s">
        <v>181</v>
      </c>
      <c r="B48" s="33" t="s">
        <v>93</v>
      </c>
      <c r="C48" s="34">
        <v>4</v>
      </c>
      <c r="D48" s="36">
        <v>2</v>
      </c>
      <c r="E48" s="36">
        <v>2</v>
      </c>
      <c r="F48" s="36"/>
      <c r="G48" s="35"/>
      <c r="H48" s="33" t="s">
        <v>280</v>
      </c>
      <c r="I48" s="33" t="s">
        <v>369</v>
      </c>
    </row>
    <row r="49" spans="1:9" ht="18.75" customHeight="1" x14ac:dyDescent="0.25">
      <c r="A49" s="32" t="s">
        <v>359</v>
      </c>
      <c r="B49" s="33" t="s">
        <v>93</v>
      </c>
      <c r="C49" s="34">
        <v>3</v>
      </c>
      <c r="D49" s="36">
        <v>3</v>
      </c>
      <c r="E49" s="36">
        <v>1</v>
      </c>
      <c r="F49" s="36"/>
      <c r="G49" s="35"/>
      <c r="H49" s="37" t="s">
        <v>280</v>
      </c>
      <c r="I49" s="38" t="s">
        <v>357</v>
      </c>
    </row>
    <row r="50" spans="1:9" ht="30.6" x14ac:dyDescent="0.25">
      <c r="A50" s="30" t="s">
        <v>41</v>
      </c>
      <c r="B50" s="30" t="s">
        <v>42</v>
      </c>
      <c r="C50" s="31" t="s">
        <v>292</v>
      </c>
      <c r="D50" s="30" t="s">
        <v>412</v>
      </c>
      <c r="E50" s="30" t="s">
        <v>316</v>
      </c>
      <c r="F50" s="30" t="s">
        <v>317</v>
      </c>
      <c r="G50" s="30" t="s">
        <v>273</v>
      </c>
      <c r="H50" s="30" t="s">
        <v>318</v>
      </c>
      <c r="I50" s="30" t="s">
        <v>276</v>
      </c>
    </row>
    <row r="51" spans="1:9" ht="40.799999999999997" x14ac:dyDescent="0.25">
      <c r="A51" s="32" t="s">
        <v>358</v>
      </c>
      <c r="B51" s="33" t="s">
        <v>93</v>
      </c>
      <c r="C51" s="34">
        <v>3</v>
      </c>
      <c r="D51" s="36">
        <v>8</v>
      </c>
      <c r="E51" s="36">
        <v>8</v>
      </c>
      <c r="F51" s="36">
        <v>1725</v>
      </c>
      <c r="G51" s="35" t="s">
        <v>271</v>
      </c>
      <c r="H51" s="39" t="s">
        <v>281</v>
      </c>
      <c r="I51" s="38" t="s">
        <v>356</v>
      </c>
    </row>
    <row r="52" spans="1:9" ht="20.399999999999999" x14ac:dyDescent="0.25">
      <c r="A52" s="32" t="s">
        <v>175</v>
      </c>
      <c r="B52" s="33" t="s">
        <v>93</v>
      </c>
      <c r="C52" s="34">
        <v>4</v>
      </c>
      <c r="D52" s="36">
        <v>7</v>
      </c>
      <c r="E52" s="36">
        <v>7</v>
      </c>
      <c r="F52" s="36">
        <v>1829</v>
      </c>
      <c r="G52" s="35"/>
      <c r="H52" s="39" t="s">
        <v>280</v>
      </c>
      <c r="I52" s="38" t="s">
        <v>397</v>
      </c>
    </row>
    <row r="53" spans="1:9" ht="20.399999999999999" x14ac:dyDescent="0.25">
      <c r="A53" s="32" t="s">
        <v>192</v>
      </c>
      <c r="B53" s="33" t="s">
        <v>93</v>
      </c>
      <c r="C53" s="34">
        <v>4</v>
      </c>
      <c r="D53" s="36">
        <v>2</v>
      </c>
      <c r="E53" s="36">
        <v>0</v>
      </c>
      <c r="F53" s="36"/>
      <c r="G53" s="35"/>
      <c r="H53" s="37" t="s">
        <v>280</v>
      </c>
      <c r="I53" s="33" t="s">
        <v>398</v>
      </c>
    </row>
    <row r="54" spans="1:9" ht="20.399999999999999" x14ac:dyDescent="0.25">
      <c r="A54" s="32" t="s">
        <v>155</v>
      </c>
      <c r="B54" s="33" t="s">
        <v>93</v>
      </c>
      <c r="C54" s="34">
        <v>5</v>
      </c>
      <c r="D54" s="36">
        <v>3</v>
      </c>
      <c r="E54" s="36">
        <v>1</v>
      </c>
      <c r="F54" s="36">
        <v>250</v>
      </c>
      <c r="G54" s="35"/>
      <c r="H54" s="33" t="s">
        <v>308</v>
      </c>
      <c r="I54" s="33" t="s">
        <v>400</v>
      </c>
    </row>
    <row r="55" spans="1:9" ht="30.6" x14ac:dyDescent="0.25">
      <c r="A55" s="32" t="s">
        <v>200</v>
      </c>
      <c r="B55" s="33" t="s">
        <v>93</v>
      </c>
      <c r="C55" s="34">
        <v>3</v>
      </c>
      <c r="D55" s="36">
        <v>11</v>
      </c>
      <c r="E55" s="36">
        <v>11</v>
      </c>
      <c r="F55" s="36">
        <v>1370</v>
      </c>
      <c r="G55" s="35" t="s">
        <v>270</v>
      </c>
      <c r="H55" s="37" t="s">
        <v>281</v>
      </c>
      <c r="I55" s="38" t="s">
        <v>1</v>
      </c>
    </row>
    <row r="56" spans="1:9" ht="30.6" x14ac:dyDescent="0.25">
      <c r="A56" s="32" t="s">
        <v>194</v>
      </c>
      <c r="B56" s="33" t="s">
        <v>93</v>
      </c>
      <c r="C56" s="34">
        <v>3</v>
      </c>
      <c r="D56" s="36">
        <v>11</v>
      </c>
      <c r="E56" s="36">
        <v>11</v>
      </c>
      <c r="F56" s="36">
        <v>2936</v>
      </c>
      <c r="G56" s="35" t="s">
        <v>270</v>
      </c>
      <c r="H56" s="39" t="s">
        <v>281</v>
      </c>
      <c r="I56" s="38" t="s">
        <v>1</v>
      </c>
    </row>
    <row r="57" spans="1:9" x14ac:dyDescent="0.25">
      <c r="A57" s="32" t="s">
        <v>198</v>
      </c>
      <c r="B57" s="33" t="s">
        <v>93</v>
      </c>
      <c r="C57" s="34">
        <v>4</v>
      </c>
      <c r="D57" s="36">
        <v>5</v>
      </c>
      <c r="E57" s="36">
        <v>1</v>
      </c>
      <c r="F57" s="36">
        <v>20</v>
      </c>
      <c r="G57" s="35"/>
      <c r="H57" s="39" t="s">
        <v>280</v>
      </c>
      <c r="I57" s="33" t="s">
        <v>402</v>
      </c>
    </row>
    <row r="58" spans="1:9" ht="20.399999999999999" x14ac:dyDescent="0.25">
      <c r="A58" s="32" t="s">
        <v>179</v>
      </c>
      <c r="B58" s="33" t="s">
        <v>93</v>
      </c>
      <c r="C58" s="34">
        <v>4</v>
      </c>
      <c r="D58" s="36">
        <v>5</v>
      </c>
      <c r="E58" s="36">
        <v>5</v>
      </c>
      <c r="F58" s="36">
        <v>32</v>
      </c>
      <c r="G58" s="35"/>
      <c r="H58" s="33" t="s">
        <v>280</v>
      </c>
      <c r="I58" s="33" t="s">
        <v>403</v>
      </c>
    </row>
    <row r="59" spans="1:9" ht="20.399999999999999" x14ac:dyDescent="0.25">
      <c r="A59" s="32" t="s">
        <v>174</v>
      </c>
      <c r="B59" s="33" t="s">
        <v>93</v>
      </c>
      <c r="C59" s="34">
        <v>5</v>
      </c>
      <c r="D59" s="36">
        <v>2</v>
      </c>
      <c r="E59" s="36">
        <v>2</v>
      </c>
      <c r="F59" s="36">
        <v>130</v>
      </c>
      <c r="G59" s="35"/>
      <c r="H59" s="39" t="s">
        <v>308</v>
      </c>
      <c r="I59" s="33" t="s">
        <v>405</v>
      </c>
    </row>
    <row r="60" spans="1:9" ht="30.6" x14ac:dyDescent="0.25">
      <c r="A60" s="32" t="s">
        <v>188</v>
      </c>
      <c r="B60" s="33" t="s">
        <v>93</v>
      </c>
      <c r="C60" s="34">
        <v>4</v>
      </c>
      <c r="D60" s="36">
        <v>8</v>
      </c>
      <c r="E60" s="36">
        <v>1</v>
      </c>
      <c r="F60" s="36"/>
      <c r="G60" s="35"/>
      <c r="H60" s="37" t="s">
        <v>280</v>
      </c>
      <c r="I60" s="38" t="s">
        <v>406</v>
      </c>
    </row>
    <row r="61" spans="1:9" ht="20.399999999999999" x14ac:dyDescent="0.25">
      <c r="A61" s="32" t="s">
        <v>203</v>
      </c>
      <c r="B61" s="33" t="s">
        <v>93</v>
      </c>
      <c r="C61" s="34">
        <v>4</v>
      </c>
      <c r="D61" s="36">
        <v>7</v>
      </c>
      <c r="E61" s="36">
        <v>5</v>
      </c>
      <c r="F61" s="36">
        <v>272</v>
      </c>
      <c r="G61" s="35"/>
      <c r="H61" s="39" t="s">
        <v>280</v>
      </c>
      <c r="I61" s="38" t="s">
        <v>387</v>
      </c>
    </row>
    <row r="62" spans="1:9" ht="20.399999999999999" x14ac:dyDescent="0.25">
      <c r="A62" s="32" t="s">
        <v>182</v>
      </c>
      <c r="B62" s="33" t="s">
        <v>93</v>
      </c>
      <c r="C62" s="34">
        <v>4</v>
      </c>
      <c r="D62" s="36">
        <v>6</v>
      </c>
      <c r="E62" s="36">
        <v>1</v>
      </c>
      <c r="F62" s="36">
        <v>35</v>
      </c>
      <c r="G62" s="35"/>
      <c r="H62" s="39" t="s">
        <v>280</v>
      </c>
      <c r="I62" s="38" t="s">
        <v>408</v>
      </c>
    </row>
    <row r="63" spans="1:9" ht="30.6" x14ac:dyDescent="0.25">
      <c r="A63" s="32" t="s">
        <v>183</v>
      </c>
      <c r="B63" s="33" t="s">
        <v>93</v>
      </c>
      <c r="C63" s="34">
        <v>1</v>
      </c>
      <c r="D63" s="36">
        <v>11</v>
      </c>
      <c r="E63" s="36">
        <v>11</v>
      </c>
      <c r="F63" s="36">
        <v>599</v>
      </c>
      <c r="G63" s="35" t="s">
        <v>272</v>
      </c>
      <c r="H63" s="37" t="s">
        <v>281</v>
      </c>
      <c r="I63" s="33" t="s">
        <v>6</v>
      </c>
    </row>
    <row r="64" spans="1:9" x14ac:dyDescent="0.25">
      <c r="A64" s="32" t="s">
        <v>184</v>
      </c>
      <c r="B64" s="33" t="s">
        <v>93</v>
      </c>
      <c r="C64" s="34">
        <v>4</v>
      </c>
      <c r="D64" s="36">
        <v>9</v>
      </c>
      <c r="E64" s="36">
        <v>5</v>
      </c>
      <c r="F64" s="36">
        <v>68</v>
      </c>
      <c r="G64" s="35"/>
      <c r="H64" s="37" t="s">
        <v>280</v>
      </c>
      <c r="I64" s="38" t="s">
        <v>390</v>
      </c>
    </row>
    <row r="65" spans="1:9" ht="20.399999999999999" x14ac:dyDescent="0.25">
      <c r="A65" s="32" t="s">
        <v>199</v>
      </c>
      <c r="B65" s="33" t="s">
        <v>93</v>
      </c>
      <c r="C65" s="34">
        <v>4</v>
      </c>
      <c r="D65" s="36">
        <v>7</v>
      </c>
      <c r="E65" s="36">
        <v>5</v>
      </c>
      <c r="F65" s="36">
        <v>250</v>
      </c>
      <c r="G65" s="35"/>
      <c r="H65" s="39" t="s">
        <v>280</v>
      </c>
      <c r="I65" s="38" t="s">
        <v>389</v>
      </c>
    </row>
    <row r="66" spans="1:9" ht="20.399999999999999" x14ac:dyDescent="0.25">
      <c r="A66" s="32" t="s">
        <v>193</v>
      </c>
      <c r="B66" s="33" t="s">
        <v>93</v>
      </c>
      <c r="C66" s="34">
        <v>4</v>
      </c>
      <c r="D66" s="36">
        <v>6</v>
      </c>
      <c r="E66" s="36">
        <v>0</v>
      </c>
      <c r="F66" s="36"/>
      <c r="G66" s="35"/>
      <c r="H66" s="39" t="s">
        <v>280</v>
      </c>
      <c r="I66" s="38" t="s">
        <v>375</v>
      </c>
    </row>
    <row r="68" spans="1:9" ht="15.6" x14ac:dyDescent="0.3">
      <c r="A68" s="40" t="s">
        <v>95</v>
      </c>
    </row>
    <row r="69" spans="1:9" ht="30.6" x14ac:dyDescent="0.25">
      <c r="A69" s="30" t="s">
        <v>41</v>
      </c>
      <c r="B69" s="30" t="s">
        <v>42</v>
      </c>
      <c r="C69" s="31" t="s">
        <v>292</v>
      </c>
      <c r="D69" s="30" t="s">
        <v>412</v>
      </c>
      <c r="E69" s="30" t="s">
        <v>316</v>
      </c>
      <c r="F69" s="30" t="s">
        <v>317</v>
      </c>
      <c r="G69" s="30" t="s">
        <v>273</v>
      </c>
      <c r="H69" s="30" t="s">
        <v>318</v>
      </c>
      <c r="I69" s="30" t="s">
        <v>276</v>
      </c>
    </row>
    <row r="70" spans="1:9" ht="30.6" x14ac:dyDescent="0.25">
      <c r="A70" s="32" t="s">
        <v>274</v>
      </c>
      <c r="B70" s="33" t="s">
        <v>95</v>
      </c>
      <c r="C70" s="34">
        <v>3</v>
      </c>
      <c r="D70" s="36">
        <v>11</v>
      </c>
      <c r="E70" s="36">
        <v>10</v>
      </c>
      <c r="F70" s="36">
        <v>22</v>
      </c>
      <c r="G70" s="35" t="s">
        <v>270</v>
      </c>
      <c r="H70" s="37" t="s">
        <v>281</v>
      </c>
      <c r="I70" s="33" t="s">
        <v>353</v>
      </c>
    </row>
    <row r="71" spans="1:9" ht="20.399999999999999" x14ac:dyDescent="0.25">
      <c r="A71" s="32" t="s">
        <v>190</v>
      </c>
      <c r="B71" s="33" t="s">
        <v>95</v>
      </c>
      <c r="C71" s="34">
        <v>4</v>
      </c>
      <c r="D71" s="36">
        <v>10</v>
      </c>
      <c r="E71" s="36">
        <v>2</v>
      </c>
      <c r="F71" s="36"/>
      <c r="G71" s="35"/>
      <c r="H71" s="37" t="s">
        <v>363</v>
      </c>
      <c r="I71" s="33" t="s">
        <v>388</v>
      </c>
    </row>
    <row r="72" spans="1:9" ht="30.6" x14ac:dyDescent="0.25">
      <c r="A72" s="32" t="s">
        <v>200</v>
      </c>
      <c r="B72" s="33" t="s">
        <v>95</v>
      </c>
      <c r="C72" s="34">
        <v>3</v>
      </c>
      <c r="D72" s="36">
        <v>11</v>
      </c>
      <c r="E72" s="36">
        <v>6</v>
      </c>
      <c r="F72" s="36">
        <v>8</v>
      </c>
      <c r="G72" s="35" t="s">
        <v>270</v>
      </c>
      <c r="H72" s="37" t="s">
        <v>281</v>
      </c>
      <c r="I72" s="33"/>
    </row>
    <row r="73" spans="1:9" ht="30.6" x14ac:dyDescent="0.25">
      <c r="A73" s="32" t="s">
        <v>194</v>
      </c>
      <c r="B73" s="33" t="s">
        <v>95</v>
      </c>
      <c r="C73" s="34">
        <v>3</v>
      </c>
      <c r="D73" s="36">
        <v>11</v>
      </c>
      <c r="E73" s="36">
        <v>10</v>
      </c>
      <c r="F73" s="36">
        <v>12</v>
      </c>
      <c r="G73" s="35" t="s">
        <v>270</v>
      </c>
      <c r="H73" s="37" t="s">
        <v>281</v>
      </c>
      <c r="I73" s="33"/>
    </row>
    <row r="75" spans="1:9" ht="15.6" x14ac:dyDescent="0.3">
      <c r="A75" s="40" t="s">
        <v>96</v>
      </c>
    </row>
    <row r="76" spans="1:9" ht="30.6" x14ac:dyDescent="0.25">
      <c r="A76" s="30" t="s">
        <v>41</v>
      </c>
      <c r="B76" s="30" t="s">
        <v>42</v>
      </c>
      <c r="C76" s="31" t="s">
        <v>292</v>
      </c>
      <c r="D76" s="30" t="s">
        <v>412</v>
      </c>
      <c r="E76" s="30" t="s">
        <v>316</v>
      </c>
      <c r="F76" s="30" t="s">
        <v>317</v>
      </c>
      <c r="G76" s="30" t="s">
        <v>273</v>
      </c>
      <c r="H76" s="30" t="s">
        <v>318</v>
      </c>
      <c r="I76" s="30" t="s">
        <v>276</v>
      </c>
    </row>
    <row r="77" spans="1:9" ht="17.25" customHeight="1" x14ac:dyDescent="0.25">
      <c r="A77" s="32" t="s">
        <v>178</v>
      </c>
      <c r="B77" s="33" t="s">
        <v>96</v>
      </c>
      <c r="C77" s="34">
        <v>5</v>
      </c>
      <c r="D77" s="36">
        <v>6</v>
      </c>
      <c r="E77" s="36">
        <v>0</v>
      </c>
      <c r="F77" s="36"/>
      <c r="G77" s="35"/>
      <c r="H77" s="37" t="s">
        <v>280</v>
      </c>
      <c r="I77" s="38" t="s">
        <v>376</v>
      </c>
    </row>
    <row r="78" spans="1:9" ht="30.6" x14ac:dyDescent="0.25">
      <c r="A78" s="32" t="s">
        <v>195</v>
      </c>
      <c r="B78" s="33" t="s">
        <v>96</v>
      </c>
      <c r="C78" s="34">
        <v>4</v>
      </c>
      <c r="D78" s="36">
        <v>5</v>
      </c>
      <c r="E78" s="36">
        <v>5</v>
      </c>
      <c r="F78" s="36">
        <v>11289</v>
      </c>
      <c r="G78" s="35"/>
      <c r="H78" s="37" t="s">
        <v>280</v>
      </c>
      <c r="I78" s="38" t="s">
        <v>349</v>
      </c>
    </row>
    <row r="79" spans="1:9" ht="20.399999999999999" x14ac:dyDescent="0.25">
      <c r="A79" s="32" t="s">
        <v>191</v>
      </c>
      <c r="B79" s="33" t="s">
        <v>96</v>
      </c>
      <c r="C79" s="34">
        <v>4</v>
      </c>
      <c r="D79" s="36">
        <v>7</v>
      </c>
      <c r="E79" s="36">
        <v>6</v>
      </c>
      <c r="F79" s="36">
        <v>564</v>
      </c>
      <c r="G79" s="35"/>
      <c r="H79" s="37" t="s">
        <v>280</v>
      </c>
      <c r="I79" s="38" t="s">
        <v>350</v>
      </c>
    </row>
    <row r="80" spans="1:9" x14ac:dyDescent="0.25">
      <c r="A80" s="32" t="s">
        <v>154</v>
      </c>
      <c r="B80" s="33" t="s">
        <v>96</v>
      </c>
      <c r="C80" s="34">
        <v>5</v>
      </c>
      <c r="D80" s="36">
        <v>1</v>
      </c>
      <c r="E80" s="36">
        <v>1</v>
      </c>
      <c r="F80" s="36"/>
      <c r="G80" s="35"/>
      <c r="H80" s="39" t="s">
        <v>308</v>
      </c>
      <c r="I80" s="38" t="s">
        <v>351</v>
      </c>
    </row>
    <row r="81" spans="1:9" ht="30.6" x14ac:dyDescent="0.25">
      <c r="A81" s="32" t="s">
        <v>274</v>
      </c>
      <c r="B81" s="33" t="s">
        <v>96</v>
      </c>
      <c r="C81" s="34">
        <v>3</v>
      </c>
      <c r="D81" s="36">
        <v>11</v>
      </c>
      <c r="E81" s="36">
        <v>11</v>
      </c>
      <c r="F81" s="36">
        <v>3652</v>
      </c>
      <c r="G81" s="35" t="s">
        <v>270</v>
      </c>
      <c r="H81" s="37" t="s">
        <v>281</v>
      </c>
      <c r="I81" s="33" t="s">
        <v>5</v>
      </c>
    </row>
    <row r="82" spans="1:9" ht="20.399999999999999" x14ac:dyDescent="0.25">
      <c r="A82" s="32" t="s">
        <v>185</v>
      </c>
      <c r="B82" s="33" t="s">
        <v>96</v>
      </c>
      <c r="C82" s="34">
        <v>4</v>
      </c>
      <c r="D82" s="36">
        <v>5</v>
      </c>
      <c r="E82" s="36">
        <v>4</v>
      </c>
      <c r="F82" s="36">
        <v>288</v>
      </c>
      <c r="G82" s="35"/>
      <c r="H82" s="33" t="s">
        <v>280</v>
      </c>
      <c r="I82" s="33" t="s">
        <v>354</v>
      </c>
    </row>
    <row r="83" spans="1:9" ht="18" customHeight="1" x14ac:dyDescent="0.25">
      <c r="A83" s="32" t="s">
        <v>201</v>
      </c>
      <c r="B83" s="33" t="s">
        <v>96</v>
      </c>
      <c r="C83" s="34">
        <v>4</v>
      </c>
      <c r="D83" s="36">
        <v>6</v>
      </c>
      <c r="E83" s="36">
        <v>6</v>
      </c>
      <c r="F83" s="36">
        <v>177</v>
      </c>
      <c r="G83" s="35"/>
      <c r="H83" s="37" t="s">
        <v>280</v>
      </c>
      <c r="I83" s="33" t="s">
        <v>355</v>
      </c>
    </row>
    <row r="84" spans="1:9" ht="20.399999999999999" x14ac:dyDescent="0.25">
      <c r="A84" s="32" t="s">
        <v>176</v>
      </c>
      <c r="B84" s="33" t="s">
        <v>96</v>
      </c>
      <c r="C84" s="34">
        <v>3</v>
      </c>
      <c r="D84" s="36">
        <v>7</v>
      </c>
      <c r="E84" s="36">
        <v>5</v>
      </c>
      <c r="F84" s="36">
        <v>7</v>
      </c>
      <c r="G84" s="35"/>
      <c r="H84" s="39" t="s">
        <v>285</v>
      </c>
      <c r="I84" s="33" t="s">
        <v>377</v>
      </c>
    </row>
    <row r="85" spans="1:9" ht="30.6" x14ac:dyDescent="0.25">
      <c r="A85" s="32" t="s">
        <v>186</v>
      </c>
      <c r="B85" s="33" t="s">
        <v>96</v>
      </c>
      <c r="C85" s="34">
        <v>5</v>
      </c>
      <c r="D85" s="36">
        <v>2</v>
      </c>
      <c r="E85" s="36">
        <v>2</v>
      </c>
      <c r="F85" s="36"/>
      <c r="G85" s="35"/>
      <c r="H85" s="39" t="s">
        <v>308</v>
      </c>
      <c r="I85" s="33" t="s">
        <v>378</v>
      </c>
    </row>
    <row r="86" spans="1:9" x14ac:dyDescent="0.25">
      <c r="A86" s="32" t="s">
        <v>177</v>
      </c>
      <c r="B86" s="33" t="s">
        <v>96</v>
      </c>
      <c r="C86" s="34">
        <v>5</v>
      </c>
      <c r="D86" s="36">
        <v>4</v>
      </c>
      <c r="E86" s="36">
        <v>0</v>
      </c>
      <c r="F86" s="36"/>
      <c r="G86" s="35"/>
      <c r="H86" s="33" t="s">
        <v>308</v>
      </c>
      <c r="I86" s="33" t="s">
        <v>379</v>
      </c>
    </row>
    <row r="87" spans="1:9" ht="20.399999999999999" x14ac:dyDescent="0.25">
      <c r="A87" s="32" t="s">
        <v>187</v>
      </c>
      <c r="B87" s="33" t="s">
        <v>96</v>
      </c>
      <c r="C87" s="34">
        <v>5</v>
      </c>
      <c r="D87" s="36">
        <v>4</v>
      </c>
      <c r="E87" s="36">
        <v>4</v>
      </c>
      <c r="F87" s="36">
        <v>1222</v>
      </c>
      <c r="G87" s="35"/>
      <c r="H87" s="39" t="s">
        <v>280</v>
      </c>
      <c r="I87" s="33" t="s">
        <v>361</v>
      </c>
    </row>
    <row r="88" spans="1:9" ht="20.399999999999999" x14ac:dyDescent="0.25">
      <c r="A88" s="32" t="s">
        <v>196</v>
      </c>
      <c r="B88" s="33" t="s">
        <v>96</v>
      </c>
      <c r="C88" s="34">
        <v>5</v>
      </c>
      <c r="D88" s="36">
        <v>5</v>
      </c>
      <c r="E88" s="36">
        <v>5</v>
      </c>
      <c r="F88" s="36">
        <v>36</v>
      </c>
      <c r="G88" s="35"/>
      <c r="H88" s="37" t="s">
        <v>308</v>
      </c>
      <c r="I88" s="33" t="s">
        <v>362</v>
      </c>
    </row>
    <row r="89" spans="1:9" ht="20.399999999999999" x14ac:dyDescent="0.25">
      <c r="A89" s="32" t="s">
        <v>190</v>
      </c>
      <c r="B89" s="33" t="s">
        <v>96</v>
      </c>
      <c r="C89" s="34">
        <v>4</v>
      </c>
      <c r="D89" s="36">
        <v>10</v>
      </c>
      <c r="E89" s="36">
        <v>10</v>
      </c>
      <c r="F89" s="36">
        <v>3636</v>
      </c>
      <c r="G89" s="35"/>
      <c r="H89" s="37" t="s">
        <v>363</v>
      </c>
      <c r="I89" s="33" t="s">
        <v>388</v>
      </c>
    </row>
    <row r="90" spans="1:9" ht="15" customHeight="1" x14ac:dyDescent="0.25">
      <c r="A90" s="32" t="s">
        <v>189</v>
      </c>
      <c r="B90" s="33" t="s">
        <v>96</v>
      </c>
      <c r="C90" s="34">
        <v>4</v>
      </c>
      <c r="D90" s="36">
        <v>8</v>
      </c>
      <c r="E90" s="36">
        <v>8</v>
      </c>
      <c r="F90" s="36">
        <v>203</v>
      </c>
      <c r="G90" s="35"/>
      <c r="H90" s="37" t="s">
        <v>280</v>
      </c>
      <c r="I90" s="38" t="s">
        <v>370</v>
      </c>
    </row>
    <row r="91" spans="1:9" ht="30.6" x14ac:dyDescent="0.25">
      <c r="A91" s="32" t="s">
        <v>208</v>
      </c>
      <c r="B91" s="33" t="s">
        <v>96</v>
      </c>
      <c r="C91" s="34">
        <v>4</v>
      </c>
      <c r="D91" s="36">
        <v>1</v>
      </c>
      <c r="E91" s="36">
        <v>0</v>
      </c>
      <c r="F91" s="36"/>
      <c r="G91" s="35"/>
      <c r="H91" s="37" t="s">
        <v>280</v>
      </c>
      <c r="I91" s="38" t="s">
        <v>380</v>
      </c>
    </row>
    <row r="92" spans="1:9" ht="30.6" x14ac:dyDescent="0.25">
      <c r="A92" s="32" t="s">
        <v>209</v>
      </c>
      <c r="B92" s="33" t="s">
        <v>96</v>
      </c>
      <c r="C92" s="34">
        <v>4</v>
      </c>
      <c r="D92" s="36">
        <v>5</v>
      </c>
      <c r="E92" s="36">
        <v>5</v>
      </c>
      <c r="F92" s="36">
        <v>161</v>
      </c>
      <c r="G92" s="35"/>
      <c r="H92" s="37" t="s">
        <v>280</v>
      </c>
      <c r="I92" s="38" t="s">
        <v>382</v>
      </c>
    </row>
    <row r="93" spans="1:9" ht="40.799999999999997" x14ac:dyDescent="0.25">
      <c r="A93" s="32" t="s">
        <v>211</v>
      </c>
      <c r="B93" s="33" t="s">
        <v>96</v>
      </c>
      <c r="C93" s="34">
        <v>4</v>
      </c>
      <c r="D93" s="36">
        <v>5</v>
      </c>
      <c r="E93" s="36">
        <v>1</v>
      </c>
      <c r="F93" s="36"/>
      <c r="G93" s="35"/>
      <c r="H93" s="39" t="s">
        <v>280</v>
      </c>
      <c r="I93" s="38" t="s">
        <v>384</v>
      </c>
    </row>
    <row r="94" spans="1:9" ht="30.6" x14ac:dyDescent="0.25">
      <c r="A94" s="32" t="s">
        <v>212</v>
      </c>
      <c r="B94" s="33" t="s">
        <v>96</v>
      </c>
      <c r="C94" s="34">
        <v>4</v>
      </c>
      <c r="D94" s="36">
        <v>5</v>
      </c>
      <c r="E94" s="36">
        <v>4</v>
      </c>
      <c r="F94" s="36">
        <v>90</v>
      </c>
      <c r="G94" s="35"/>
      <c r="H94" s="37" t="s">
        <v>280</v>
      </c>
      <c r="I94" s="38" t="s">
        <v>386</v>
      </c>
    </row>
    <row r="95" spans="1:9" ht="30.6" x14ac:dyDescent="0.25">
      <c r="A95" s="32" t="s">
        <v>210</v>
      </c>
      <c r="B95" s="33" t="s">
        <v>96</v>
      </c>
      <c r="C95" s="34">
        <v>5</v>
      </c>
      <c r="D95" s="36">
        <v>6</v>
      </c>
      <c r="E95" s="36">
        <v>5</v>
      </c>
      <c r="F95" s="36">
        <v>1174</v>
      </c>
      <c r="G95" s="35"/>
      <c r="H95" s="37" t="s">
        <v>280</v>
      </c>
      <c r="I95" s="38" t="s">
        <v>373</v>
      </c>
    </row>
    <row r="96" spans="1:9" ht="30.6" x14ac:dyDescent="0.25">
      <c r="A96" s="32" t="s">
        <v>205</v>
      </c>
      <c r="B96" s="33" t="s">
        <v>96</v>
      </c>
      <c r="C96" s="34">
        <v>5</v>
      </c>
      <c r="D96" s="36">
        <v>1</v>
      </c>
      <c r="E96" s="36">
        <v>0</v>
      </c>
      <c r="F96" s="36"/>
      <c r="G96" s="35"/>
      <c r="H96" s="37" t="s">
        <v>308</v>
      </c>
      <c r="I96" s="38" t="s">
        <v>374</v>
      </c>
    </row>
    <row r="97" spans="1:9" ht="30.6" x14ac:dyDescent="0.25">
      <c r="A97" s="30" t="s">
        <v>41</v>
      </c>
      <c r="B97" s="30" t="s">
        <v>42</v>
      </c>
      <c r="C97" s="31" t="s">
        <v>292</v>
      </c>
      <c r="D97" s="30" t="s">
        <v>412</v>
      </c>
      <c r="E97" s="30" t="s">
        <v>316</v>
      </c>
      <c r="F97" s="30" t="s">
        <v>317</v>
      </c>
      <c r="G97" s="30" t="s">
        <v>273</v>
      </c>
      <c r="H97" s="30" t="s">
        <v>318</v>
      </c>
      <c r="I97" s="30" t="s">
        <v>276</v>
      </c>
    </row>
    <row r="98" spans="1:9" ht="20.399999999999999" x14ac:dyDescent="0.25">
      <c r="A98" s="32" t="s">
        <v>197</v>
      </c>
      <c r="B98" s="33" t="s">
        <v>96</v>
      </c>
      <c r="C98" s="34">
        <v>4</v>
      </c>
      <c r="D98" s="36">
        <v>5</v>
      </c>
      <c r="E98" s="36">
        <v>3</v>
      </c>
      <c r="F98" s="36">
        <v>167</v>
      </c>
      <c r="G98" s="35"/>
      <c r="H98" s="39" t="s">
        <v>280</v>
      </c>
      <c r="I98" s="38" t="s">
        <v>392</v>
      </c>
    </row>
    <row r="99" spans="1:9" ht="30.6" x14ac:dyDescent="0.25">
      <c r="A99" s="32" t="s">
        <v>204</v>
      </c>
      <c r="B99" s="33" t="s">
        <v>96</v>
      </c>
      <c r="C99" s="34">
        <v>5</v>
      </c>
      <c r="D99" s="36">
        <v>4</v>
      </c>
      <c r="E99" s="36">
        <v>1372</v>
      </c>
      <c r="F99" s="36"/>
      <c r="G99" s="35"/>
      <c r="H99" s="37" t="s">
        <v>280</v>
      </c>
      <c r="I99" s="33" t="s">
        <v>394</v>
      </c>
    </row>
    <row r="100" spans="1:9" ht="30.6" x14ac:dyDescent="0.25">
      <c r="A100" s="32" t="s">
        <v>202</v>
      </c>
      <c r="B100" s="33" t="s">
        <v>96</v>
      </c>
      <c r="C100" s="34">
        <v>4</v>
      </c>
      <c r="D100" s="36">
        <v>7</v>
      </c>
      <c r="E100" s="36">
        <v>7</v>
      </c>
      <c r="F100" s="36">
        <v>1618</v>
      </c>
      <c r="G100" s="35"/>
      <c r="H100" s="33" t="s">
        <v>280</v>
      </c>
      <c r="I100" s="33" t="s">
        <v>395</v>
      </c>
    </row>
    <row r="101" spans="1:9" ht="20.399999999999999" x14ac:dyDescent="0.25">
      <c r="A101" s="32" t="s">
        <v>180</v>
      </c>
      <c r="B101" s="33" t="s">
        <v>96</v>
      </c>
      <c r="C101" s="34">
        <v>4</v>
      </c>
      <c r="D101" s="36">
        <v>5</v>
      </c>
      <c r="E101" s="36">
        <v>1</v>
      </c>
      <c r="F101" s="36"/>
      <c r="G101" s="35"/>
      <c r="H101" s="37" t="s">
        <v>280</v>
      </c>
      <c r="I101" s="33" t="s">
        <v>360</v>
      </c>
    </row>
    <row r="102" spans="1:9" ht="20.399999999999999" x14ac:dyDescent="0.25">
      <c r="A102" s="32" t="s">
        <v>181</v>
      </c>
      <c r="B102" s="33" t="s">
        <v>96</v>
      </c>
      <c r="C102" s="34">
        <v>4</v>
      </c>
      <c r="D102" s="36">
        <v>2</v>
      </c>
      <c r="E102" s="36">
        <v>0</v>
      </c>
      <c r="F102" s="36"/>
      <c r="G102" s="35"/>
      <c r="H102" s="39" t="s">
        <v>280</v>
      </c>
      <c r="I102" s="33" t="s">
        <v>369</v>
      </c>
    </row>
    <row r="103" spans="1:9" ht="18" customHeight="1" x14ac:dyDescent="0.25">
      <c r="A103" s="32" t="s">
        <v>359</v>
      </c>
      <c r="B103" s="33" t="s">
        <v>96</v>
      </c>
      <c r="C103" s="34">
        <v>3</v>
      </c>
      <c r="D103" s="36">
        <v>3</v>
      </c>
      <c r="E103" s="36">
        <v>1</v>
      </c>
      <c r="F103" s="36"/>
      <c r="G103" s="35"/>
      <c r="H103" s="39" t="s">
        <v>280</v>
      </c>
      <c r="I103" s="33" t="s">
        <v>357</v>
      </c>
    </row>
    <row r="104" spans="1:9" ht="40.799999999999997" x14ac:dyDescent="0.25">
      <c r="A104" s="32" t="s">
        <v>358</v>
      </c>
      <c r="B104" s="33" t="s">
        <v>96</v>
      </c>
      <c r="C104" s="34">
        <v>3</v>
      </c>
      <c r="D104" s="36">
        <v>8</v>
      </c>
      <c r="E104" s="36">
        <v>7</v>
      </c>
      <c r="F104" s="36">
        <v>6</v>
      </c>
      <c r="G104" s="35" t="s">
        <v>271</v>
      </c>
      <c r="H104" s="33" t="s">
        <v>281</v>
      </c>
      <c r="I104" s="33" t="s">
        <v>356</v>
      </c>
    </row>
    <row r="105" spans="1:9" ht="20.399999999999999" x14ac:dyDescent="0.25">
      <c r="A105" s="32" t="s">
        <v>175</v>
      </c>
      <c r="B105" s="33" t="s">
        <v>96</v>
      </c>
      <c r="C105" s="34">
        <v>4</v>
      </c>
      <c r="D105" s="36">
        <v>7</v>
      </c>
      <c r="E105" s="36">
        <v>7</v>
      </c>
      <c r="F105" s="36">
        <v>650</v>
      </c>
      <c r="G105" s="35"/>
      <c r="H105" s="39" t="s">
        <v>280</v>
      </c>
      <c r="I105" s="33" t="s">
        <v>397</v>
      </c>
    </row>
    <row r="106" spans="1:9" ht="30.6" x14ac:dyDescent="0.25">
      <c r="A106" s="32" t="s">
        <v>192</v>
      </c>
      <c r="B106" s="33" t="s">
        <v>96</v>
      </c>
      <c r="C106" s="34">
        <v>4</v>
      </c>
      <c r="D106" s="36">
        <v>2</v>
      </c>
      <c r="E106" s="36">
        <v>2</v>
      </c>
      <c r="F106" s="36">
        <v>350</v>
      </c>
      <c r="G106" s="35"/>
      <c r="H106" s="37" t="s">
        <v>280</v>
      </c>
      <c r="I106" s="33" t="s">
        <v>399</v>
      </c>
    </row>
    <row r="107" spans="1:9" ht="20.399999999999999" x14ac:dyDescent="0.25">
      <c r="A107" s="32" t="s">
        <v>155</v>
      </c>
      <c r="B107" s="33" t="s">
        <v>96</v>
      </c>
      <c r="C107" s="34">
        <v>5</v>
      </c>
      <c r="D107" s="36">
        <v>3</v>
      </c>
      <c r="E107" s="36">
        <v>2</v>
      </c>
      <c r="F107" s="36">
        <v>27</v>
      </c>
      <c r="G107" s="35"/>
      <c r="H107" s="33" t="s">
        <v>308</v>
      </c>
      <c r="I107" s="33" t="s">
        <v>400</v>
      </c>
    </row>
    <row r="108" spans="1:9" ht="30.6" x14ac:dyDescent="0.25">
      <c r="A108" s="32" t="s">
        <v>200</v>
      </c>
      <c r="B108" s="33" t="s">
        <v>96</v>
      </c>
      <c r="C108" s="34">
        <v>3</v>
      </c>
      <c r="D108" s="36">
        <v>11</v>
      </c>
      <c r="E108" s="36">
        <v>11</v>
      </c>
      <c r="F108" s="36">
        <v>3437</v>
      </c>
      <c r="G108" s="35" t="s">
        <v>270</v>
      </c>
      <c r="H108" s="39" t="s">
        <v>281</v>
      </c>
      <c r="I108" s="38" t="s">
        <v>1</v>
      </c>
    </row>
    <row r="109" spans="1:9" ht="30.6" x14ac:dyDescent="0.25">
      <c r="A109" s="32" t="s">
        <v>194</v>
      </c>
      <c r="B109" s="33" t="s">
        <v>96</v>
      </c>
      <c r="C109" s="34">
        <v>3</v>
      </c>
      <c r="D109" s="36">
        <v>11</v>
      </c>
      <c r="E109" s="36">
        <v>11</v>
      </c>
      <c r="F109" s="36">
        <v>9862</v>
      </c>
      <c r="G109" s="35" t="s">
        <v>270</v>
      </c>
      <c r="H109" s="37" t="s">
        <v>281</v>
      </c>
      <c r="I109" s="38" t="s">
        <v>1</v>
      </c>
    </row>
    <row r="110" spans="1:9" ht="20.399999999999999" x14ac:dyDescent="0.25">
      <c r="A110" s="32" t="s">
        <v>198</v>
      </c>
      <c r="B110" s="33" t="s">
        <v>96</v>
      </c>
      <c r="C110" s="34">
        <v>4</v>
      </c>
      <c r="D110" s="36">
        <v>5</v>
      </c>
      <c r="E110" s="36">
        <v>2</v>
      </c>
      <c r="F110" s="36">
        <v>2</v>
      </c>
      <c r="G110" s="35"/>
      <c r="H110" s="37" t="s">
        <v>280</v>
      </c>
      <c r="I110" s="33" t="s">
        <v>401</v>
      </c>
    </row>
    <row r="111" spans="1:9" ht="30.6" x14ac:dyDescent="0.25">
      <c r="A111" s="32" t="s">
        <v>179</v>
      </c>
      <c r="B111" s="33" t="s">
        <v>96</v>
      </c>
      <c r="C111" s="34">
        <v>4</v>
      </c>
      <c r="D111" s="36">
        <v>5</v>
      </c>
      <c r="E111" s="36">
        <v>2</v>
      </c>
      <c r="F111" s="36">
        <v>2</v>
      </c>
      <c r="G111" s="35"/>
      <c r="H111" s="37" t="s">
        <v>280</v>
      </c>
      <c r="I111" s="38" t="s">
        <v>404</v>
      </c>
    </row>
    <row r="112" spans="1:9" ht="20.399999999999999" x14ac:dyDescent="0.25">
      <c r="A112" s="32" t="s">
        <v>174</v>
      </c>
      <c r="B112" s="33" t="s">
        <v>96</v>
      </c>
      <c r="C112" s="34">
        <v>5</v>
      </c>
      <c r="D112" s="36">
        <v>2</v>
      </c>
      <c r="E112" s="36">
        <v>0</v>
      </c>
      <c r="F112" s="36"/>
      <c r="G112" s="35"/>
      <c r="H112" s="37" t="s">
        <v>308</v>
      </c>
      <c r="I112" s="38" t="s">
        <v>405</v>
      </c>
    </row>
    <row r="113" spans="1:9" ht="20.399999999999999" x14ac:dyDescent="0.25">
      <c r="A113" s="32" t="s">
        <v>188</v>
      </c>
      <c r="B113" s="33" t="s">
        <v>96</v>
      </c>
      <c r="C113" s="34">
        <v>4</v>
      </c>
      <c r="D113" s="36">
        <v>8</v>
      </c>
      <c r="E113" s="36">
        <v>8</v>
      </c>
      <c r="F113" s="36">
        <v>352</v>
      </c>
      <c r="G113" s="35"/>
      <c r="H113" s="37" t="s">
        <v>280</v>
      </c>
      <c r="I113" s="38" t="s">
        <v>407</v>
      </c>
    </row>
    <row r="114" spans="1:9" ht="20.399999999999999" x14ac:dyDescent="0.25">
      <c r="A114" s="32" t="s">
        <v>203</v>
      </c>
      <c r="B114" s="33" t="s">
        <v>96</v>
      </c>
      <c r="C114" s="34">
        <v>4</v>
      </c>
      <c r="D114" s="36">
        <v>7</v>
      </c>
      <c r="E114" s="36">
        <v>7</v>
      </c>
      <c r="F114" s="36">
        <v>1433</v>
      </c>
      <c r="G114" s="35"/>
      <c r="H114" s="39" t="s">
        <v>280</v>
      </c>
      <c r="I114" s="38" t="s">
        <v>387</v>
      </c>
    </row>
    <row r="115" spans="1:9" ht="20.399999999999999" x14ac:dyDescent="0.25">
      <c r="A115" s="32" t="s">
        <v>182</v>
      </c>
      <c r="B115" s="33" t="s">
        <v>96</v>
      </c>
      <c r="C115" s="34">
        <v>4</v>
      </c>
      <c r="D115" s="36">
        <v>6</v>
      </c>
      <c r="E115" s="36">
        <v>5</v>
      </c>
      <c r="F115" s="36">
        <v>1000</v>
      </c>
      <c r="G115" s="35"/>
      <c r="H115" s="37" t="s">
        <v>280</v>
      </c>
      <c r="I115" s="38" t="s">
        <v>408</v>
      </c>
    </row>
    <row r="116" spans="1:9" ht="30.6" x14ac:dyDescent="0.25">
      <c r="A116" s="32" t="s">
        <v>183</v>
      </c>
      <c r="B116" s="33" t="s">
        <v>96</v>
      </c>
      <c r="C116" s="34">
        <v>1</v>
      </c>
      <c r="D116" s="36">
        <v>11</v>
      </c>
      <c r="E116" s="36">
        <v>11</v>
      </c>
      <c r="F116" s="36">
        <v>8585</v>
      </c>
      <c r="G116" s="35" t="s">
        <v>272</v>
      </c>
      <c r="H116" s="37" t="s">
        <v>281</v>
      </c>
      <c r="I116" s="38" t="s">
        <v>6</v>
      </c>
    </row>
    <row r="117" spans="1:9" ht="15.75" customHeight="1" x14ac:dyDescent="0.25">
      <c r="A117" s="32" t="s">
        <v>184</v>
      </c>
      <c r="B117" s="33" t="s">
        <v>96</v>
      </c>
      <c r="C117" s="34">
        <v>4</v>
      </c>
      <c r="D117" s="36">
        <v>9</v>
      </c>
      <c r="E117" s="36">
        <v>9</v>
      </c>
      <c r="F117" s="36">
        <v>10654</v>
      </c>
      <c r="G117" s="35"/>
      <c r="H117" s="37" t="s">
        <v>280</v>
      </c>
      <c r="I117" s="38" t="s">
        <v>390</v>
      </c>
    </row>
    <row r="118" spans="1:9" ht="20.399999999999999" x14ac:dyDescent="0.25">
      <c r="A118" s="32" t="s">
        <v>199</v>
      </c>
      <c r="B118" s="33" t="s">
        <v>96</v>
      </c>
      <c r="C118" s="34">
        <v>4</v>
      </c>
      <c r="D118" s="36">
        <v>7</v>
      </c>
      <c r="E118" s="36">
        <v>7</v>
      </c>
      <c r="F118" s="36">
        <v>2703</v>
      </c>
      <c r="G118" s="35"/>
      <c r="H118" s="39" t="s">
        <v>280</v>
      </c>
      <c r="I118" s="38" t="s">
        <v>389</v>
      </c>
    </row>
    <row r="119" spans="1:9" ht="20.399999999999999" x14ac:dyDescent="0.25">
      <c r="A119" s="32" t="s">
        <v>193</v>
      </c>
      <c r="B119" s="33" t="s">
        <v>96</v>
      </c>
      <c r="C119" s="34">
        <v>4</v>
      </c>
      <c r="D119" s="36">
        <v>6</v>
      </c>
      <c r="E119" s="36">
        <v>6</v>
      </c>
      <c r="F119" s="36">
        <v>331</v>
      </c>
      <c r="G119" s="35"/>
      <c r="H119" s="37" t="s">
        <v>280</v>
      </c>
      <c r="I119" s="33" t="s">
        <v>375</v>
      </c>
    </row>
    <row r="121" spans="1:9" ht="15.6" x14ac:dyDescent="0.3">
      <c r="A121" s="40" t="s">
        <v>97</v>
      </c>
    </row>
    <row r="122" spans="1:9" ht="30.6" x14ac:dyDescent="0.25">
      <c r="A122" s="30" t="s">
        <v>41</v>
      </c>
      <c r="B122" s="30" t="s">
        <v>42</v>
      </c>
      <c r="C122" s="31" t="s">
        <v>292</v>
      </c>
      <c r="D122" s="30" t="s">
        <v>412</v>
      </c>
      <c r="E122" s="30" t="s">
        <v>316</v>
      </c>
      <c r="F122" s="30" t="s">
        <v>317</v>
      </c>
      <c r="G122" s="30" t="s">
        <v>273</v>
      </c>
      <c r="H122" s="30" t="s">
        <v>318</v>
      </c>
      <c r="I122" s="30" t="s">
        <v>276</v>
      </c>
    </row>
    <row r="123" spans="1:9" ht="30.6" x14ac:dyDescent="0.25">
      <c r="A123" s="32" t="s">
        <v>274</v>
      </c>
      <c r="B123" s="33" t="s">
        <v>97</v>
      </c>
      <c r="C123" s="34">
        <v>3</v>
      </c>
      <c r="D123" s="36">
        <v>11</v>
      </c>
      <c r="E123" s="36">
        <v>11</v>
      </c>
      <c r="F123" s="36">
        <v>222</v>
      </c>
      <c r="G123" s="35" t="s">
        <v>270</v>
      </c>
      <c r="H123" s="37" t="s">
        <v>281</v>
      </c>
      <c r="I123" s="38" t="s">
        <v>5</v>
      </c>
    </row>
    <row r="124" spans="1:9" ht="20.399999999999999" x14ac:dyDescent="0.25">
      <c r="A124" s="32" t="s">
        <v>176</v>
      </c>
      <c r="B124" s="33" t="s">
        <v>97</v>
      </c>
      <c r="C124" s="34">
        <v>3</v>
      </c>
      <c r="D124" s="36">
        <v>7</v>
      </c>
      <c r="E124" s="36">
        <v>6</v>
      </c>
      <c r="F124" s="36">
        <v>13</v>
      </c>
      <c r="G124" s="35"/>
      <c r="H124" s="39" t="s">
        <v>285</v>
      </c>
      <c r="I124" s="38" t="s">
        <v>377</v>
      </c>
    </row>
    <row r="125" spans="1:9" ht="20.399999999999999" x14ac:dyDescent="0.25">
      <c r="A125" s="32" t="s">
        <v>190</v>
      </c>
      <c r="B125" s="33" t="s">
        <v>97</v>
      </c>
      <c r="C125" s="34">
        <v>4</v>
      </c>
      <c r="D125" s="36">
        <v>10</v>
      </c>
      <c r="E125" s="36">
        <v>10</v>
      </c>
      <c r="F125" s="36">
        <v>222</v>
      </c>
      <c r="G125" s="35"/>
      <c r="H125" s="37" t="s">
        <v>363</v>
      </c>
      <c r="I125" s="33" t="s">
        <v>388</v>
      </c>
    </row>
    <row r="126" spans="1:9" ht="30.6" x14ac:dyDescent="0.25">
      <c r="A126" s="32" t="s">
        <v>202</v>
      </c>
      <c r="B126" s="33" t="s">
        <v>97</v>
      </c>
      <c r="C126" s="34">
        <v>4</v>
      </c>
      <c r="D126" s="36">
        <v>7</v>
      </c>
      <c r="E126" s="36">
        <v>4</v>
      </c>
      <c r="F126" s="36">
        <v>28</v>
      </c>
      <c r="G126" s="35"/>
      <c r="H126" s="33" t="s">
        <v>280</v>
      </c>
      <c r="I126" s="33" t="s">
        <v>395</v>
      </c>
    </row>
    <row r="127" spans="1:9" ht="17.25" customHeight="1" x14ac:dyDescent="0.25">
      <c r="A127" s="32" t="s">
        <v>359</v>
      </c>
      <c r="B127" s="33" t="s">
        <v>97</v>
      </c>
      <c r="C127" s="34">
        <v>3</v>
      </c>
      <c r="D127" s="36">
        <v>3</v>
      </c>
      <c r="E127" s="36">
        <v>3</v>
      </c>
      <c r="F127" s="36">
        <v>513</v>
      </c>
      <c r="G127" s="35"/>
      <c r="H127" s="39" t="s">
        <v>280</v>
      </c>
      <c r="I127" s="33" t="s">
        <v>357</v>
      </c>
    </row>
    <row r="128" spans="1:9" ht="40.799999999999997" x14ac:dyDescent="0.25">
      <c r="A128" s="32" t="s">
        <v>358</v>
      </c>
      <c r="B128" s="33" t="s">
        <v>97</v>
      </c>
      <c r="C128" s="34">
        <v>3</v>
      </c>
      <c r="D128" s="36">
        <v>8</v>
      </c>
      <c r="E128" s="36">
        <v>7</v>
      </c>
      <c r="F128" s="36">
        <v>29</v>
      </c>
      <c r="G128" s="35" t="s">
        <v>271</v>
      </c>
      <c r="H128" s="37" t="s">
        <v>281</v>
      </c>
      <c r="I128" s="33" t="s">
        <v>356</v>
      </c>
    </row>
    <row r="129" spans="1:9" ht="30.6" x14ac:dyDescent="0.25">
      <c r="A129" s="32" t="s">
        <v>200</v>
      </c>
      <c r="B129" s="33" t="s">
        <v>97</v>
      </c>
      <c r="C129" s="34">
        <v>3</v>
      </c>
      <c r="D129" s="36">
        <v>10</v>
      </c>
      <c r="E129" s="36">
        <v>10</v>
      </c>
      <c r="F129" s="36">
        <v>168</v>
      </c>
      <c r="G129" s="35" t="s">
        <v>270</v>
      </c>
      <c r="H129" s="37" t="s">
        <v>281</v>
      </c>
      <c r="I129" s="38" t="s">
        <v>1</v>
      </c>
    </row>
    <row r="130" spans="1:9" ht="30.6" x14ac:dyDescent="0.25">
      <c r="A130" s="32" t="s">
        <v>194</v>
      </c>
      <c r="B130" s="33" t="s">
        <v>97</v>
      </c>
      <c r="C130" s="34">
        <v>3</v>
      </c>
      <c r="D130" s="36">
        <v>11</v>
      </c>
      <c r="E130" s="36">
        <v>11</v>
      </c>
      <c r="F130" s="36">
        <v>155</v>
      </c>
      <c r="G130" s="35" t="s">
        <v>270</v>
      </c>
      <c r="H130" s="37" t="s">
        <v>281</v>
      </c>
      <c r="I130" s="38" t="s">
        <v>1</v>
      </c>
    </row>
    <row r="131" spans="1:9" ht="20.399999999999999" x14ac:dyDescent="0.25">
      <c r="A131" s="32" t="s">
        <v>179</v>
      </c>
      <c r="B131" s="33" t="s">
        <v>97</v>
      </c>
      <c r="C131" s="34">
        <v>4</v>
      </c>
      <c r="D131" s="36">
        <v>5</v>
      </c>
      <c r="E131" s="36">
        <v>4</v>
      </c>
      <c r="F131" s="36">
        <v>24</v>
      </c>
      <c r="G131" s="35"/>
      <c r="H131" s="39" t="s">
        <v>280</v>
      </c>
      <c r="I131" s="38" t="s">
        <v>403</v>
      </c>
    </row>
    <row r="132" spans="1:9" ht="20.399999999999999" x14ac:dyDescent="0.25">
      <c r="A132" s="32" t="s">
        <v>203</v>
      </c>
      <c r="B132" s="33" t="s">
        <v>97</v>
      </c>
      <c r="C132" s="34">
        <v>4</v>
      </c>
      <c r="D132" s="36">
        <v>7</v>
      </c>
      <c r="E132" s="36">
        <v>3</v>
      </c>
      <c r="F132" s="36">
        <v>43</v>
      </c>
      <c r="G132" s="35"/>
      <c r="H132" s="37" t="s">
        <v>280</v>
      </c>
      <c r="I132" s="33" t="s">
        <v>387</v>
      </c>
    </row>
    <row r="133" spans="1:9" ht="30.6" x14ac:dyDescent="0.25">
      <c r="A133" s="32" t="s">
        <v>182</v>
      </c>
      <c r="B133" s="33" t="s">
        <v>97</v>
      </c>
      <c r="C133" s="34">
        <v>4</v>
      </c>
      <c r="D133" s="36">
        <v>6</v>
      </c>
      <c r="E133" s="36">
        <v>2</v>
      </c>
      <c r="F133" s="36">
        <v>8</v>
      </c>
      <c r="G133" s="35"/>
      <c r="H133" s="33" t="s">
        <v>280</v>
      </c>
      <c r="I133" s="33" t="s">
        <v>409</v>
      </c>
    </row>
    <row r="134" spans="1:9" ht="30.6" x14ac:dyDescent="0.25">
      <c r="A134" s="32" t="s">
        <v>183</v>
      </c>
      <c r="B134" s="33" t="s">
        <v>97</v>
      </c>
      <c r="C134" s="34">
        <v>1</v>
      </c>
      <c r="D134" s="36">
        <v>11</v>
      </c>
      <c r="E134" s="36">
        <v>11</v>
      </c>
      <c r="F134" s="36">
        <v>1006</v>
      </c>
      <c r="G134" s="35" t="s">
        <v>272</v>
      </c>
      <c r="H134" s="39" t="s">
        <v>281</v>
      </c>
      <c r="I134" s="33" t="s">
        <v>6</v>
      </c>
    </row>
    <row r="135" spans="1:9" ht="18" customHeight="1" x14ac:dyDescent="0.25">
      <c r="A135" s="32" t="s">
        <v>184</v>
      </c>
      <c r="B135" s="33" t="s">
        <v>97</v>
      </c>
      <c r="C135" s="34">
        <v>4</v>
      </c>
      <c r="D135" s="36">
        <v>9</v>
      </c>
      <c r="E135" s="36">
        <v>5</v>
      </c>
      <c r="F135" s="36">
        <v>10</v>
      </c>
      <c r="G135" s="35"/>
      <c r="H135" s="37" t="s">
        <v>280</v>
      </c>
      <c r="I135" s="33" t="s">
        <v>390</v>
      </c>
    </row>
    <row r="136" spans="1:9" ht="20.399999999999999" x14ac:dyDescent="0.25">
      <c r="A136" s="32" t="s">
        <v>199</v>
      </c>
      <c r="B136" s="33" t="s">
        <v>97</v>
      </c>
      <c r="C136" s="34">
        <v>4</v>
      </c>
      <c r="D136" s="36">
        <v>7</v>
      </c>
      <c r="E136" s="36">
        <v>2</v>
      </c>
      <c r="F136" s="36">
        <v>17</v>
      </c>
      <c r="G136" s="35"/>
      <c r="H136" s="37" t="s">
        <v>280</v>
      </c>
      <c r="I136" s="33" t="s">
        <v>389</v>
      </c>
    </row>
    <row r="137" spans="1:9" ht="20.399999999999999" x14ac:dyDescent="0.25">
      <c r="A137" s="32" t="s">
        <v>193</v>
      </c>
      <c r="B137" s="33" t="s">
        <v>97</v>
      </c>
      <c r="C137" s="34">
        <v>4</v>
      </c>
      <c r="D137" s="36">
        <v>6</v>
      </c>
      <c r="E137" s="36">
        <v>0</v>
      </c>
      <c r="F137" s="36"/>
      <c r="G137" s="35"/>
      <c r="H137" s="37" t="s">
        <v>280</v>
      </c>
      <c r="I137" s="38" t="s">
        <v>375</v>
      </c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150"/>
  <sheetViews>
    <sheetView workbookViewId="0">
      <pane ySplit="5" topLeftCell="A128" activePane="bottomLeft" state="frozen"/>
      <selection activeCell="G18" sqref="G18"/>
      <selection pane="bottomLeft" activeCell="H154" sqref="H154"/>
    </sheetView>
  </sheetViews>
  <sheetFormatPr defaultRowHeight="13.2" x14ac:dyDescent="0.25"/>
  <cols>
    <col min="1" max="1" width="23.33203125" customWidth="1"/>
    <col min="2" max="2" width="7.33203125" bestFit="1" customWidth="1"/>
    <col min="3" max="3" width="11.664062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465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x14ac:dyDescent="0.25">
      <c r="A6" s="32" t="s">
        <v>234</v>
      </c>
      <c r="B6" s="33" t="s">
        <v>91</v>
      </c>
      <c r="C6" s="34">
        <v>5</v>
      </c>
      <c r="D6" s="36">
        <v>2</v>
      </c>
      <c r="E6" s="36">
        <v>1</v>
      </c>
      <c r="F6" s="36">
        <v>55</v>
      </c>
      <c r="G6" s="35"/>
      <c r="H6" s="37" t="s">
        <v>280</v>
      </c>
      <c r="I6" s="33" t="s">
        <v>463</v>
      </c>
    </row>
    <row r="7" spans="1:9" ht="15" customHeight="1" x14ac:dyDescent="0.25">
      <c r="A7" s="32" t="s">
        <v>238</v>
      </c>
      <c r="B7" s="33" t="s">
        <v>91</v>
      </c>
      <c r="C7" s="34">
        <v>5</v>
      </c>
      <c r="D7" s="36">
        <v>6</v>
      </c>
      <c r="E7" s="36">
        <v>1</v>
      </c>
      <c r="F7" s="36">
        <v>175</v>
      </c>
      <c r="G7" s="35"/>
      <c r="H7" s="37" t="s">
        <v>280</v>
      </c>
      <c r="I7" s="33" t="s">
        <v>445</v>
      </c>
    </row>
    <row r="8" spans="1:9" ht="15" customHeight="1" x14ac:dyDescent="0.25">
      <c r="A8" s="32" t="s">
        <v>216</v>
      </c>
      <c r="B8" s="33" t="s">
        <v>91</v>
      </c>
      <c r="C8" s="34">
        <v>2</v>
      </c>
      <c r="D8" s="36">
        <v>11</v>
      </c>
      <c r="E8" s="36">
        <v>11</v>
      </c>
      <c r="F8" s="36">
        <v>632</v>
      </c>
      <c r="G8" s="35" t="s">
        <v>269</v>
      </c>
      <c r="H8" s="37" t="s">
        <v>281</v>
      </c>
      <c r="I8" s="33"/>
    </row>
    <row r="9" spans="1:9" ht="20.399999999999999" x14ac:dyDescent="0.25">
      <c r="A9" s="32" t="s">
        <v>225</v>
      </c>
      <c r="B9" s="33" t="s">
        <v>91</v>
      </c>
      <c r="C9" s="34">
        <v>1</v>
      </c>
      <c r="D9" s="36">
        <v>7</v>
      </c>
      <c r="E9" s="36">
        <v>7</v>
      </c>
      <c r="F9" s="36">
        <v>63</v>
      </c>
      <c r="G9" s="35" t="s">
        <v>272</v>
      </c>
      <c r="H9" s="39" t="s">
        <v>281</v>
      </c>
      <c r="I9" s="33" t="s">
        <v>9</v>
      </c>
    </row>
    <row r="10" spans="1:9" ht="15" customHeight="1" x14ac:dyDescent="0.25">
      <c r="A10" s="32" t="s">
        <v>244</v>
      </c>
      <c r="B10" s="33" t="s">
        <v>91</v>
      </c>
      <c r="C10" s="34">
        <v>4</v>
      </c>
      <c r="D10" s="36">
        <v>8</v>
      </c>
      <c r="E10" s="36">
        <v>2</v>
      </c>
      <c r="F10" s="36">
        <v>54</v>
      </c>
      <c r="G10" s="35"/>
      <c r="H10" s="39" t="s">
        <v>280</v>
      </c>
      <c r="I10" s="33" t="s">
        <v>445</v>
      </c>
    </row>
    <row r="11" spans="1:9" ht="20.399999999999999" x14ac:dyDescent="0.25">
      <c r="A11" s="32" t="s">
        <v>224</v>
      </c>
      <c r="B11" s="33" t="s">
        <v>91</v>
      </c>
      <c r="C11" s="34">
        <v>1</v>
      </c>
      <c r="D11" s="36">
        <v>10</v>
      </c>
      <c r="E11" s="36">
        <v>10</v>
      </c>
      <c r="F11" s="36">
        <v>383</v>
      </c>
      <c r="G11" s="35" t="s">
        <v>272</v>
      </c>
      <c r="H11" s="37" t="s">
        <v>281</v>
      </c>
      <c r="I11" s="33" t="s">
        <v>11</v>
      </c>
    </row>
    <row r="12" spans="1:9" ht="20.399999999999999" x14ac:dyDescent="0.25">
      <c r="A12" s="32" t="s">
        <v>227</v>
      </c>
      <c r="B12" s="33" t="s">
        <v>91</v>
      </c>
      <c r="C12" s="34">
        <v>4</v>
      </c>
      <c r="D12" s="36">
        <v>8</v>
      </c>
      <c r="E12" s="36">
        <v>3</v>
      </c>
      <c r="F12" s="36">
        <v>85</v>
      </c>
      <c r="G12" s="35"/>
      <c r="H12" s="37" t="s">
        <v>280</v>
      </c>
      <c r="I12" s="33" t="s">
        <v>448</v>
      </c>
    </row>
    <row r="13" spans="1:9" ht="20.399999999999999" x14ac:dyDescent="0.25">
      <c r="A13" s="32" t="s">
        <v>243</v>
      </c>
      <c r="B13" s="33" t="s">
        <v>91</v>
      </c>
      <c r="C13" s="34">
        <v>4</v>
      </c>
      <c r="D13" s="36">
        <v>9</v>
      </c>
      <c r="E13" s="36">
        <v>6</v>
      </c>
      <c r="F13" s="36">
        <v>84</v>
      </c>
      <c r="G13" s="35"/>
      <c r="H13" s="37" t="s">
        <v>280</v>
      </c>
      <c r="I13" s="33" t="s">
        <v>450</v>
      </c>
    </row>
    <row r="14" spans="1:9" ht="20.399999999999999" x14ac:dyDescent="0.25">
      <c r="A14" s="32" t="s">
        <v>217</v>
      </c>
      <c r="B14" s="33" t="s">
        <v>91</v>
      </c>
      <c r="C14" s="34">
        <v>2</v>
      </c>
      <c r="D14" s="36">
        <v>5</v>
      </c>
      <c r="E14" s="36">
        <v>3</v>
      </c>
      <c r="F14" s="36">
        <v>5105</v>
      </c>
      <c r="G14" s="35"/>
      <c r="H14" s="37" t="s">
        <v>281</v>
      </c>
      <c r="I14" s="33" t="s">
        <v>443</v>
      </c>
    </row>
    <row r="15" spans="1:9" ht="15" customHeight="1" x14ac:dyDescent="0.25">
      <c r="A15" s="32" t="s">
        <v>214</v>
      </c>
      <c r="B15" s="33" t="s">
        <v>91</v>
      </c>
      <c r="C15" s="34">
        <v>4</v>
      </c>
      <c r="D15" s="36">
        <v>9</v>
      </c>
      <c r="E15" s="36">
        <v>5</v>
      </c>
      <c r="F15" s="36">
        <v>71</v>
      </c>
      <c r="G15" s="35"/>
      <c r="H15" s="39" t="s">
        <v>280</v>
      </c>
      <c r="I15" s="33"/>
    </row>
    <row r="16" spans="1:9" ht="15" customHeight="1" x14ac:dyDescent="0.25">
      <c r="A16" s="32" t="s">
        <v>228</v>
      </c>
      <c r="B16" s="33" t="s">
        <v>91</v>
      </c>
      <c r="C16" s="34">
        <v>4</v>
      </c>
      <c r="D16" s="36">
        <v>11</v>
      </c>
      <c r="E16" s="36">
        <v>4</v>
      </c>
      <c r="F16" s="36">
        <v>41</v>
      </c>
      <c r="G16" s="35"/>
      <c r="H16" s="37" t="s">
        <v>280</v>
      </c>
      <c r="I16" s="33"/>
    </row>
    <row r="17" spans="1:9" ht="15" customHeight="1" x14ac:dyDescent="0.25">
      <c r="A17" s="32" t="s">
        <v>607</v>
      </c>
      <c r="B17" s="33" t="s">
        <v>91</v>
      </c>
      <c r="C17" s="34">
        <v>4</v>
      </c>
      <c r="D17" s="36">
        <v>11</v>
      </c>
      <c r="E17" s="36">
        <v>2</v>
      </c>
      <c r="F17" s="36">
        <v>85</v>
      </c>
      <c r="G17" s="35"/>
      <c r="H17" s="39" t="s">
        <v>280</v>
      </c>
      <c r="I17" s="33" t="s">
        <v>445</v>
      </c>
    </row>
    <row r="18" spans="1:9" ht="15" customHeight="1" x14ac:dyDescent="0.25">
      <c r="A18" s="32" t="s">
        <v>608</v>
      </c>
      <c r="B18" s="33" t="s">
        <v>91</v>
      </c>
      <c r="C18" s="34">
        <v>5</v>
      </c>
      <c r="D18" s="36">
        <v>10</v>
      </c>
      <c r="E18" s="36">
        <v>3</v>
      </c>
      <c r="F18" s="36">
        <v>30</v>
      </c>
      <c r="G18" s="35"/>
      <c r="H18" s="37" t="s">
        <v>280</v>
      </c>
      <c r="I18" s="33"/>
    </row>
    <row r="19" spans="1:9" ht="15" customHeight="1" x14ac:dyDescent="0.25">
      <c r="A19" s="32" t="s">
        <v>221</v>
      </c>
      <c r="B19" s="33" t="s">
        <v>91</v>
      </c>
      <c r="C19" s="34">
        <v>4</v>
      </c>
      <c r="D19" s="36">
        <v>9</v>
      </c>
      <c r="E19" s="36">
        <v>5</v>
      </c>
      <c r="F19" s="36">
        <v>50</v>
      </c>
      <c r="G19" s="35"/>
      <c r="H19" s="37" t="s">
        <v>280</v>
      </c>
      <c r="I19" s="33" t="s">
        <v>445</v>
      </c>
    </row>
    <row r="20" spans="1:9" ht="30.6" x14ac:dyDescent="0.25">
      <c r="A20" s="32" t="s">
        <v>230</v>
      </c>
      <c r="B20" s="33" t="s">
        <v>91</v>
      </c>
      <c r="C20" s="34">
        <v>3</v>
      </c>
      <c r="D20" s="36">
        <v>11</v>
      </c>
      <c r="E20" s="36">
        <v>11</v>
      </c>
      <c r="F20" s="36">
        <v>1257</v>
      </c>
      <c r="G20" s="35" t="s">
        <v>268</v>
      </c>
      <c r="H20" s="37" t="s">
        <v>281</v>
      </c>
      <c r="I20" s="33"/>
    </row>
    <row r="21" spans="1:9" ht="15" customHeight="1" x14ac:dyDescent="0.25">
      <c r="A21" s="32" t="s">
        <v>240</v>
      </c>
      <c r="B21" s="33" t="s">
        <v>91</v>
      </c>
      <c r="C21" s="34">
        <v>4</v>
      </c>
      <c r="D21" s="36">
        <v>10</v>
      </c>
      <c r="E21" s="36">
        <v>9</v>
      </c>
      <c r="F21" s="36">
        <v>228</v>
      </c>
      <c r="G21" s="35"/>
      <c r="H21" s="39" t="s">
        <v>280</v>
      </c>
      <c r="I21" s="33"/>
    </row>
    <row r="22" spans="1:9" ht="15" customHeight="1" x14ac:dyDescent="0.25">
      <c r="A22" s="32" t="s">
        <v>239</v>
      </c>
      <c r="B22" s="33" t="s">
        <v>91</v>
      </c>
      <c r="C22" s="34">
        <v>4</v>
      </c>
      <c r="D22" s="36">
        <v>10</v>
      </c>
      <c r="E22" s="36">
        <v>2</v>
      </c>
      <c r="F22" s="36">
        <v>21</v>
      </c>
      <c r="G22" s="35"/>
      <c r="H22" s="37" t="s">
        <v>280</v>
      </c>
      <c r="I22" s="33" t="s">
        <v>445</v>
      </c>
    </row>
    <row r="23" spans="1:9" ht="15" customHeight="1" x14ac:dyDescent="0.25">
      <c r="A23" s="32" t="s">
        <v>233</v>
      </c>
      <c r="B23" s="33" t="s">
        <v>91</v>
      </c>
      <c r="C23" s="34">
        <v>4</v>
      </c>
      <c r="D23" s="36">
        <v>11</v>
      </c>
      <c r="E23" s="36">
        <v>8</v>
      </c>
      <c r="F23" s="36">
        <v>34</v>
      </c>
      <c r="G23" s="35"/>
      <c r="H23" s="37" t="s">
        <v>280</v>
      </c>
      <c r="I23" s="33"/>
    </row>
    <row r="24" spans="1:9" ht="15" customHeight="1" x14ac:dyDescent="0.25">
      <c r="A24" s="32" t="s">
        <v>215</v>
      </c>
      <c r="B24" s="33" t="s">
        <v>91</v>
      </c>
      <c r="C24" s="34">
        <v>4</v>
      </c>
      <c r="D24" s="36">
        <v>9</v>
      </c>
      <c r="E24" s="36">
        <v>8</v>
      </c>
      <c r="F24" s="36">
        <v>41</v>
      </c>
      <c r="G24" s="35"/>
      <c r="H24" s="39" t="s">
        <v>280</v>
      </c>
      <c r="I24" s="33"/>
    </row>
    <row r="25" spans="1:9" ht="58.5" customHeight="1" x14ac:dyDescent="0.25">
      <c r="A25" s="32" t="s">
        <v>218</v>
      </c>
      <c r="B25" s="33" t="s">
        <v>91</v>
      </c>
      <c r="C25" s="34">
        <v>5</v>
      </c>
      <c r="D25" s="36">
        <v>1</v>
      </c>
      <c r="E25" s="36">
        <v>1</v>
      </c>
      <c r="F25" s="36">
        <v>13</v>
      </c>
      <c r="G25" s="35"/>
      <c r="H25" s="37" t="s">
        <v>280</v>
      </c>
      <c r="I25" s="33" t="s">
        <v>460</v>
      </c>
    </row>
    <row r="26" spans="1:9" ht="20.399999999999999" x14ac:dyDescent="0.25">
      <c r="A26" s="32" t="s">
        <v>219</v>
      </c>
      <c r="B26" s="33" t="s">
        <v>91</v>
      </c>
      <c r="C26" s="34">
        <v>3</v>
      </c>
      <c r="D26" s="36">
        <v>2</v>
      </c>
      <c r="E26" s="36">
        <v>2</v>
      </c>
      <c r="F26" s="36">
        <v>1289</v>
      </c>
      <c r="G26" s="35"/>
      <c r="H26" s="37" t="s">
        <v>285</v>
      </c>
      <c r="I26" s="33" t="s">
        <v>461</v>
      </c>
    </row>
    <row r="27" spans="1:9" ht="15" customHeight="1" x14ac:dyDescent="0.25">
      <c r="A27" s="32" t="s">
        <v>237</v>
      </c>
      <c r="B27" s="33" t="s">
        <v>91</v>
      </c>
      <c r="C27" s="34">
        <v>5</v>
      </c>
      <c r="D27" s="36">
        <v>7</v>
      </c>
      <c r="E27" s="36">
        <v>1</v>
      </c>
      <c r="F27" s="36">
        <v>125</v>
      </c>
      <c r="G27" s="35"/>
      <c r="H27" s="37" t="s">
        <v>280</v>
      </c>
      <c r="I27" s="33" t="s">
        <v>462</v>
      </c>
    </row>
    <row r="28" spans="1:9" ht="15" customHeight="1" x14ac:dyDescent="0.25">
      <c r="A28" s="32" t="s">
        <v>245</v>
      </c>
      <c r="B28" s="33" t="s">
        <v>91</v>
      </c>
      <c r="C28" s="34">
        <v>4</v>
      </c>
      <c r="D28" s="36">
        <v>11</v>
      </c>
      <c r="E28" s="36">
        <v>2</v>
      </c>
      <c r="F28" s="36">
        <v>96</v>
      </c>
      <c r="G28" s="35"/>
      <c r="H28" s="37" t="s">
        <v>280</v>
      </c>
      <c r="I28" s="33"/>
    </row>
    <row r="29" spans="1:9" ht="20.399999999999999" x14ac:dyDescent="0.25">
      <c r="A29" s="32" t="s">
        <v>226</v>
      </c>
      <c r="B29" s="33" t="s">
        <v>91</v>
      </c>
      <c r="C29" s="34">
        <v>1</v>
      </c>
      <c r="D29" s="36">
        <v>9</v>
      </c>
      <c r="E29" s="36">
        <v>9</v>
      </c>
      <c r="F29" s="36">
        <v>288</v>
      </c>
      <c r="G29" s="35" t="s">
        <v>272</v>
      </c>
      <c r="H29" s="39" t="s">
        <v>281</v>
      </c>
      <c r="I29" s="33" t="s">
        <v>12</v>
      </c>
    </row>
    <row r="30" spans="1:9" ht="15.75" customHeight="1" x14ac:dyDescent="0.25">
      <c r="A30" s="32" t="s">
        <v>231</v>
      </c>
      <c r="B30" s="33" t="s">
        <v>91</v>
      </c>
      <c r="C30" s="34">
        <v>2</v>
      </c>
      <c r="D30" s="36">
        <v>11</v>
      </c>
      <c r="E30" s="36">
        <v>11</v>
      </c>
      <c r="F30" s="36">
        <v>343</v>
      </c>
      <c r="G30" s="35" t="s">
        <v>269</v>
      </c>
      <c r="H30" s="37" t="s">
        <v>281</v>
      </c>
      <c r="I30" s="33"/>
    </row>
    <row r="31" spans="1:9" ht="20.399999999999999" x14ac:dyDescent="0.25">
      <c r="A31" s="32" t="s">
        <v>223</v>
      </c>
      <c r="B31" s="33" t="s">
        <v>91</v>
      </c>
      <c r="C31" s="34">
        <v>1</v>
      </c>
      <c r="D31" s="36">
        <v>9</v>
      </c>
      <c r="E31" s="36">
        <v>8</v>
      </c>
      <c r="F31" s="36">
        <v>240</v>
      </c>
      <c r="G31" s="35" t="s">
        <v>272</v>
      </c>
      <c r="H31" s="37" t="s">
        <v>281</v>
      </c>
      <c r="I31" s="33" t="s">
        <v>12</v>
      </c>
    </row>
    <row r="32" spans="1:9" ht="40.799999999999997" x14ac:dyDescent="0.25">
      <c r="A32" s="32" t="s">
        <v>229</v>
      </c>
      <c r="B32" s="33" t="s">
        <v>91</v>
      </c>
      <c r="C32" s="34">
        <v>3</v>
      </c>
      <c r="D32" s="36">
        <v>9</v>
      </c>
      <c r="E32" s="36">
        <v>8</v>
      </c>
      <c r="F32" s="36">
        <v>64</v>
      </c>
      <c r="G32" s="35" t="s">
        <v>271</v>
      </c>
      <c r="H32" s="37" t="s">
        <v>281</v>
      </c>
      <c r="I32" s="33"/>
    </row>
    <row r="33" spans="1:9" ht="30.6" x14ac:dyDescent="0.25">
      <c r="A33" s="32" t="s">
        <v>241</v>
      </c>
      <c r="B33" s="33" t="s">
        <v>91</v>
      </c>
      <c r="C33" s="34">
        <v>3</v>
      </c>
      <c r="D33" s="36">
        <v>11</v>
      </c>
      <c r="E33" s="36">
        <v>11</v>
      </c>
      <c r="F33" s="36">
        <v>3830</v>
      </c>
      <c r="G33" s="35" t="s">
        <v>268</v>
      </c>
      <c r="H33" s="37" t="s">
        <v>281</v>
      </c>
      <c r="I33" s="33"/>
    </row>
    <row r="35" spans="1:9" s="41" customFormat="1" ht="15.6" x14ac:dyDescent="0.3">
      <c r="A35" s="40" t="s">
        <v>93</v>
      </c>
    </row>
    <row r="36" spans="1:9" ht="30.6" x14ac:dyDescent="0.25">
      <c r="A36" s="30" t="s">
        <v>41</v>
      </c>
      <c r="B36" s="30" t="s">
        <v>42</v>
      </c>
      <c r="C36" s="31" t="s">
        <v>292</v>
      </c>
      <c r="D36" s="30" t="s">
        <v>412</v>
      </c>
      <c r="E36" s="30" t="s">
        <v>316</v>
      </c>
      <c r="F36" s="30" t="s">
        <v>317</v>
      </c>
      <c r="G36" s="30" t="s">
        <v>273</v>
      </c>
      <c r="H36" s="30" t="s">
        <v>318</v>
      </c>
      <c r="I36" s="30" t="s">
        <v>276</v>
      </c>
    </row>
    <row r="37" spans="1:9" x14ac:dyDescent="0.25">
      <c r="A37" s="32" t="s">
        <v>234</v>
      </c>
      <c r="B37" s="33" t="s">
        <v>93</v>
      </c>
      <c r="C37" s="34">
        <v>5</v>
      </c>
      <c r="D37" s="36">
        <v>2</v>
      </c>
      <c r="E37" s="36">
        <v>1</v>
      </c>
      <c r="F37" s="36">
        <v>20</v>
      </c>
      <c r="G37" s="35"/>
      <c r="H37" s="37" t="s">
        <v>280</v>
      </c>
      <c r="I37" s="33" t="s">
        <v>463</v>
      </c>
    </row>
    <row r="38" spans="1:9" ht="20.399999999999999" x14ac:dyDescent="0.25">
      <c r="A38" s="32" t="s">
        <v>213</v>
      </c>
      <c r="B38" s="33" t="s">
        <v>93</v>
      </c>
      <c r="C38" s="34">
        <v>5</v>
      </c>
      <c r="D38" s="36">
        <v>3</v>
      </c>
      <c r="E38" s="36">
        <v>1</v>
      </c>
      <c r="F38" s="36">
        <v>150</v>
      </c>
      <c r="G38" s="35"/>
      <c r="H38" s="37" t="s">
        <v>280</v>
      </c>
      <c r="I38" s="38" t="s">
        <v>444</v>
      </c>
    </row>
    <row r="39" spans="1:9" ht="15" customHeight="1" x14ac:dyDescent="0.25">
      <c r="A39" s="32" t="s">
        <v>238</v>
      </c>
      <c r="B39" s="33" t="s">
        <v>93</v>
      </c>
      <c r="C39" s="34">
        <v>5</v>
      </c>
      <c r="D39" s="36">
        <v>6</v>
      </c>
      <c r="E39" s="36">
        <v>3</v>
      </c>
      <c r="F39" s="36">
        <v>36</v>
      </c>
      <c r="G39" s="35"/>
      <c r="H39" s="39" t="s">
        <v>280</v>
      </c>
      <c r="I39" s="38" t="s">
        <v>445</v>
      </c>
    </row>
    <row r="40" spans="1:9" ht="20.399999999999999" x14ac:dyDescent="0.25">
      <c r="A40" s="32" t="s">
        <v>216</v>
      </c>
      <c r="B40" s="33" t="s">
        <v>93</v>
      </c>
      <c r="C40" s="34">
        <v>2</v>
      </c>
      <c r="D40" s="36">
        <v>11</v>
      </c>
      <c r="E40" s="36">
        <v>11</v>
      </c>
      <c r="F40" s="36">
        <v>1060</v>
      </c>
      <c r="G40" s="35" t="s">
        <v>269</v>
      </c>
      <c r="H40" s="39" t="s">
        <v>281</v>
      </c>
      <c r="I40" s="38" t="s">
        <v>1</v>
      </c>
    </row>
    <row r="41" spans="1:9" ht="20.399999999999999" x14ac:dyDescent="0.25">
      <c r="A41" s="32" t="s">
        <v>225</v>
      </c>
      <c r="B41" s="33" t="s">
        <v>93</v>
      </c>
      <c r="C41" s="34">
        <v>1</v>
      </c>
      <c r="D41" s="36">
        <v>7</v>
      </c>
      <c r="E41" s="36">
        <v>7</v>
      </c>
      <c r="F41" s="36">
        <v>1129</v>
      </c>
      <c r="G41" s="35" t="s">
        <v>272</v>
      </c>
      <c r="H41" s="37" t="s">
        <v>281</v>
      </c>
      <c r="I41" s="33" t="s">
        <v>9</v>
      </c>
    </row>
    <row r="42" spans="1:9" ht="15" customHeight="1" x14ac:dyDescent="0.25">
      <c r="A42" s="32" t="s">
        <v>244</v>
      </c>
      <c r="B42" s="33" t="s">
        <v>93</v>
      </c>
      <c r="C42" s="34">
        <v>4</v>
      </c>
      <c r="D42" s="36">
        <v>8</v>
      </c>
      <c r="E42" s="36">
        <v>6</v>
      </c>
      <c r="F42" s="36">
        <v>51</v>
      </c>
      <c r="G42" s="35"/>
      <c r="H42" s="33" t="s">
        <v>280</v>
      </c>
      <c r="I42" s="33" t="s">
        <v>445</v>
      </c>
    </row>
    <row r="43" spans="1:9" ht="40.799999999999997" x14ac:dyDescent="0.25">
      <c r="A43" s="32" t="s">
        <v>224</v>
      </c>
      <c r="B43" s="33" t="s">
        <v>93</v>
      </c>
      <c r="C43" s="34">
        <v>1</v>
      </c>
      <c r="D43" s="36">
        <v>10</v>
      </c>
      <c r="E43" s="36">
        <v>10</v>
      </c>
      <c r="F43" s="36">
        <v>4449</v>
      </c>
      <c r="G43" s="35" t="s">
        <v>272</v>
      </c>
      <c r="H43" s="37" t="s">
        <v>281</v>
      </c>
      <c r="I43" s="33" t="s">
        <v>10</v>
      </c>
    </row>
    <row r="44" spans="1:9" ht="15" customHeight="1" x14ac:dyDescent="0.25">
      <c r="A44" s="32" t="s">
        <v>222</v>
      </c>
      <c r="B44" s="33" t="s">
        <v>93</v>
      </c>
      <c r="C44" s="34">
        <v>5</v>
      </c>
      <c r="D44" s="36">
        <v>5</v>
      </c>
      <c r="E44" s="36">
        <v>1</v>
      </c>
      <c r="F44" s="36">
        <v>7</v>
      </c>
      <c r="G44" s="35"/>
      <c r="H44" s="39" t="s">
        <v>280</v>
      </c>
      <c r="I44" s="33" t="s">
        <v>447</v>
      </c>
    </row>
    <row r="45" spans="1:9" ht="20.399999999999999" x14ac:dyDescent="0.25">
      <c r="A45" s="32" t="s">
        <v>227</v>
      </c>
      <c r="B45" s="33" t="s">
        <v>93</v>
      </c>
      <c r="C45" s="34">
        <v>4</v>
      </c>
      <c r="D45" s="36">
        <v>8</v>
      </c>
      <c r="E45" s="36">
        <v>6</v>
      </c>
      <c r="F45" s="36">
        <v>43</v>
      </c>
      <c r="G45" s="35"/>
      <c r="H45" s="39" t="s">
        <v>280</v>
      </c>
      <c r="I45" s="33" t="s">
        <v>448</v>
      </c>
    </row>
    <row r="46" spans="1:9" ht="30.6" x14ac:dyDescent="0.25">
      <c r="A46" s="32" t="s">
        <v>246</v>
      </c>
      <c r="B46" s="33" t="s">
        <v>93</v>
      </c>
      <c r="C46" s="34">
        <v>4</v>
      </c>
      <c r="D46" s="36">
        <v>3</v>
      </c>
      <c r="E46" s="36">
        <v>1</v>
      </c>
      <c r="F46" s="36">
        <v>10</v>
      </c>
      <c r="G46" s="35"/>
      <c r="H46" s="33" t="s">
        <v>280</v>
      </c>
      <c r="I46" s="33" t="s">
        <v>449</v>
      </c>
    </row>
    <row r="47" spans="1:9" ht="20.399999999999999" x14ac:dyDescent="0.25">
      <c r="A47" s="32" t="s">
        <v>243</v>
      </c>
      <c r="B47" s="33" t="s">
        <v>93</v>
      </c>
      <c r="C47" s="34">
        <v>4</v>
      </c>
      <c r="D47" s="36">
        <v>9</v>
      </c>
      <c r="E47" s="36">
        <v>8</v>
      </c>
      <c r="F47" s="36">
        <v>61</v>
      </c>
      <c r="G47" s="35"/>
      <c r="H47" s="39" t="s">
        <v>280</v>
      </c>
      <c r="I47" s="33" t="s">
        <v>452</v>
      </c>
    </row>
    <row r="48" spans="1:9" ht="20.399999999999999" x14ac:dyDescent="0.25">
      <c r="A48" s="32" t="s">
        <v>217</v>
      </c>
      <c r="B48" s="33" t="s">
        <v>93</v>
      </c>
      <c r="C48" s="34">
        <v>2</v>
      </c>
      <c r="D48" s="36">
        <v>5</v>
      </c>
      <c r="E48" s="36">
        <v>4</v>
      </c>
      <c r="F48" s="36">
        <v>1254</v>
      </c>
      <c r="G48" s="35" t="s">
        <v>269</v>
      </c>
      <c r="H48" s="37" t="s">
        <v>281</v>
      </c>
      <c r="I48" s="38" t="s">
        <v>443</v>
      </c>
    </row>
    <row r="49" spans="1:9" ht="20.399999999999999" x14ac:dyDescent="0.25">
      <c r="A49" s="32" t="s">
        <v>236</v>
      </c>
      <c r="B49" s="33" t="s">
        <v>93</v>
      </c>
      <c r="C49" s="34">
        <v>5</v>
      </c>
      <c r="D49" s="36">
        <v>3</v>
      </c>
      <c r="E49" s="36">
        <v>1</v>
      </c>
      <c r="F49" s="36">
        <v>3</v>
      </c>
      <c r="G49" s="35"/>
      <c r="H49" s="39" t="s">
        <v>280</v>
      </c>
      <c r="I49" s="38" t="s">
        <v>454</v>
      </c>
    </row>
    <row r="50" spans="1:9" ht="15" customHeight="1" x14ac:dyDescent="0.25">
      <c r="A50" s="32" t="s">
        <v>214</v>
      </c>
      <c r="B50" s="33" t="s">
        <v>93</v>
      </c>
      <c r="C50" s="34">
        <v>4</v>
      </c>
      <c r="D50" s="36">
        <v>9</v>
      </c>
      <c r="E50" s="36">
        <v>9</v>
      </c>
      <c r="F50" s="36">
        <v>107</v>
      </c>
      <c r="G50" s="35"/>
      <c r="H50" s="39" t="s">
        <v>280</v>
      </c>
      <c r="I50" s="38"/>
    </row>
    <row r="51" spans="1:9" ht="15" customHeight="1" x14ac:dyDescent="0.25">
      <c r="A51" s="32" t="s">
        <v>228</v>
      </c>
      <c r="B51" s="33" t="s">
        <v>93</v>
      </c>
      <c r="C51" s="34">
        <v>4</v>
      </c>
      <c r="D51" s="36">
        <v>11</v>
      </c>
      <c r="E51" s="36">
        <v>9</v>
      </c>
      <c r="F51" s="36">
        <v>82</v>
      </c>
      <c r="G51" s="35"/>
      <c r="H51" s="37" t="s">
        <v>280</v>
      </c>
      <c r="I51" s="33"/>
    </row>
    <row r="52" spans="1:9" ht="15" customHeight="1" x14ac:dyDescent="0.25">
      <c r="A52" s="32" t="s">
        <v>607</v>
      </c>
      <c r="B52" s="33" t="s">
        <v>93</v>
      </c>
      <c r="C52" s="34">
        <v>4</v>
      </c>
      <c r="D52" s="36">
        <v>11</v>
      </c>
      <c r="E52" s="36">
        <v>9</v>
      </c>
      <c r="F52" s="36">
        <v>89</v>
      </c>
      <c r="G52" s="35"/>
      <c r="H52" s="37" t="s">
        <v>280</v>
      </c>
      <c r="I52" s="38" t="s">
        <v>445</v>
      </c>
    </row>
    <row r="53" spans="1:9" ht="15" customHeight="1" x14ac:dyDescent="0.25">
      <c r="A53" s="32" t="s">
        <v>608</v>
      </c>
      <c r="B53" s="33" t="s">
        <v>93</v>
      </c>
      <c r="C53" s="34">
        <v>5</v>
      </c>
      <c r="D53" s="36">
        <v>10</v>
      </c>
      <c r="E53" s="36">
        <v>7</v>
      </c>
      <c r="F53" s="36">
        <v>58</v>
      </c>
      <c r="G53" s="35"/>
      <c r="H53" s="37" t="s">
        <v>280</v>
      </c>
      <c r="I53" s="38"/>
    </row>
    <row r="54" spans="1:9" ht="15" customHeight="1" x14ac:dyDescent="0.25">
      <c r="A54" s="32" t="s">
        <v>232</v>
      </c>
      <c r="B54" s="33" t="s">
        <v>93</v>
      </c>
      <c r="C54" s="34">
        <v>4</v>
      </c>
      <c r="D54" s="36">
        <v>5</v>
      </c>
      <c r="E54" s="36">
        <v>0</v>
      </c>
      <c r="F54" s="36"/>
      <c r="G54" s="35"/>
      <c r="H54" s="39" t="s">
        <v>280</v>
      </c>
      <c r="I54" s="38" t="s">
        <v>455</v>
      </c>
    </row>
    <row r="55" spans="1:9" ht="15" customHeight="1" x14ac:dyDescent="0.25">
      <c r="A55" s="32" t="s">
        <v>221</v>
      </c>
      <c r="B55" s="33" t="s">
        <v>93</v>
      </c>
      <c r="C55" s="34">
        <v>4</v>
      </c>
      <c r="D55" s="36">
        <v>9</v>
      </c>
      <c r="E55" s="36">
        <v>8</v>
      </c>
      <c r="F55" s="36">
        <v>147</v>
      </c>
      <c r="G55" s="35"/>
      <c r="H55" s="39" t="s">
        <v>280</v>
      </c>
      <c r="I55" s="38" t="s">
        <v>445</v>
      </c>
    </row>
    <row r="56" spans="1:9" ht="30.6" x14ac:dyDescent="0.25">
      <c r="A56" s="32" t="s">
        <v>230</v>
      </c>
      <c r="B56" s="33" t="s">
        <v>93</v>
      </c>
      <c r="C56" s="34">
        <v>3</v>
      </c>
      <c r="D56" s="36">
        <v>11</v>
      </c>
      <c r="E56" s="36">
        <v>11</v>
      </c>
      <c r="F56" s="36">
        <v>501</v>
      </c>
      <c r="G56" s="35" t="s">
        <v>268</v>
      </c>
      <c r="H56" s="37" t="s">
        <v>281</v>
      </c>
      <c r="I56" s="33" t="s">
        <v>1</v>
      </c>
    </row>
    <row r="57" spans="1:9" ht="15" customHeight="1" x14ac:dyDescent="0.25">
      <c r="A57" s="32" t="s">
        <v>240</v>
      </c>
      <c r="B57" s="33" t="s">
        <v>93</v>
      </c>
      <c r="C57" s="34">
        <v>4</v>
      </c>
      <c r="D57" s="36">
        <v>10</v>
      </c>
      <c r="E57" s="36">
        <v>10</v>
      </c>
      <c r="F57" s="36">
        <v>497</v>
      </c>
      <c r="G57" s="35"/>
      <c r="H57" s="33" t="s">
        <v>280</v>
      </c>
      <c r="I57" s="33"/>
    </row>
    <row r="58" spans="1:9" ht="15" customHeight="1" x14ac:dyDescent="0.25">
      <c r="A58" s="32" t="s">
        <v>239</v>
      </c>
      <c r="B58" s="33" t="s">
        <v>93</v>
      </c>
      <c r="C58" s="34">
        <v>4</v>
      </c>
      <c r="D58" s="36">
        <v>10</v>
      </c>
      <c r="E58" s="36">
        <v>6</v>
      </c>
      <c r="F58" s="36">
        <v>21</v>
      </c>
      <c r="G58" s="35"/>
      <c r="H58" s="37" t="s">
        <v>280</v>
      </c>
      <c r="I58" s="33" t="s">
        <v>445</v>
      </c>
    </row>
    <row r="59" spans="1:9" ht="15" customHeight="1" x14ac:dyDescent="0.25">
      <c r="A59" s="32" t="s">
        <v>242</v>
      </c>
      <c r="B59" s="33" t="s">
        <v>93</v>
      </c>
      <c r="C59" s="34">
        <v>4</v>
      </c>
      <c r="D59" s="36">
        <v>9</v>
      </c>
      <c r="E59" s="36">
        <v>7</v>
      </c>
      <c r="F59" s="36">
        <v>36</v>
      </c>
      <c r="G59" s="35"/>
      <c r="H59" s="39" t="s">
        <v>280</v>
      </c>
      <c r="I59" s="33" t="s">
        <v>457</v>
      </c>
    </row>
    <row r="60" spans="1:9" ht="15" customHeight="1" x14ac:dyDescent="0.25">
      <c r="A60" s="32" t="s">
        <v>233</v>
      </c>
      <c r="B60" s="33" t="s">
        <v>93</v>
      </c>
      <c r="C60" s="34">
        <v>4</v>
      </c>
      <c r="D60" s="36">
        <v>11</v>
      </c>
      <c r="E60" s="36">
        <v>8</v>
      </c>
      <c r="F60" s="36">
        <v>78</v>
      </c>
      <c r="G60" s="35"/>
      <c r="H60" s="39" t="s">
        <v>280</v>
      </c>
      <c r="I60" s="33"/>
    </row>
    <row r="61" spans="1:9" ht="30.6" x14ac:dyDescent="0.25">
      <c r="A61" s="32" t="s">
        <v>220</v>
      </c>
      <c r="B61" s="33" t="s">
        <v>93</v>
      </c>
      <c r="C61" s="34">
        <v>5</v>
      </c>
      <c r="D61" s="36">
        <v>1</v>
      </c>
      <c r="E61" s="36">
        <v>0</v>
      </c>
      <c r="F61" s="36"/>
      <c r="G61" s="35"/>
      <c r="H61" s="33" t="s">
        <v>280</v>
      </c>
      <c r="I61" s="33" t="s">
        <v>458</v>
      </c>
    </row>
    <row r="62" spans="1:9" ht="20.399999999999999" x14ac:dyDescent="0.25">
      <c r="A62" s="32" t="s">
        <v>247</v>
      </c>
      <c r="B62" s="33" t="s">
        <v>93</v>
      </c>
      <c r="C62" s="34">
        <v>5</v>
      </c>
      <c r="D62" s="36">
        <v>2</v>
      </c>
      <c r="E62" s="36">
        <v>2</v>
      </c>
      <c r="F62" s="36">
        <v>58</v>
      </c>
      <c r="G62" s="35"/>
      <c r="H62" s="37" t="s">
        <v>280</v>
      </c>
      <c r="I62" s="38" t="s">
        <v>459</v>
      </c>
    </row>
    <row r="63" spans="1:9" ht="15" customHeight="1" x14ac:dyDescent="0.25">
      <c r="A63" s="32" t="s">
        <v>215</v>
      </c>
      <c r="B63" s="33" t="s">
        <v>93</v>
      </c>
      <c r="C63" s="34">
        <v>4</v>
      </c>
      <c r="D63" s="36">
        <v>9</v>
      </c>
      <c r="E63" s="36">
        <v>8</v>
      </c>
      <c r="F63" s="36">
        <v>148</v>
      </c>
      <c r="G63" s="35"/>
      <c r="H63" s="39" t="s">
        <v>280</v>
      </c>
      <c r="I63" s="38"/>
    </row>
    <row r="64" spans="1:9" ht="40.799999999999997" x14ac:dyDescent="0.25">
      <c r="A64" s="32" t="s">
        <v>218</v>
      </c>
      <c r="B64" s="33" t="s">
        <v>93</v>
      </c>
      <c r="C64" s="34">
        <v>5</v>
      </c>
      <c r="D64" s="36">
        <v>1</v>
      </c>
      <c r="E64" s="36">
        <v>1</v>
      </c>
      <c r="F64" s="36">
        <v>29</v>
      </c>
      <c r="G64" s="35"/>
      <c r="H64" s="39" t="s">
        <v>280</v>
      </c>
      <c r="I64" s="38" t="s">
        <v>460</v>
      </c>
    </row>
    <row r="65" spans="1:9" ht="20.399999999999999" x14ac:dyDescent="0.25">
      <c r="A65" s="32" t="s">
        <v>219</v>
      </c>
      <c r="B65" s="33" t="s">
        <v>93</v>
      </c>
      <c r="C65" s="34">
        <v>3</v>
      </c>
      <c r="D65" s="36">
        <v>2</v>
      </c>
      <c r="E65" s="36">
        <v>2</v>
      </c>
      <c r="F65" s="36">
        <v>212</v>
      </c>
      <c r="G65" s="35"/>
      <c r="H65" s="37" t="s">
        <v>285</v>
      </c>
      <c r="I65" s="33"/>
    </row>
    <row r="66" spans="1:9" ht="15" customHeight="1" x14ac:dyDescent="0.25">
      <c r="A66" s="32" t="s">
        <v>237</v>
      </c>
      <c r="B66" s="33" t="s">
        <v>93</v>
      </c>
      <c r="C66" s="34">
        <v>5</v>
      </c>
      <c r="D66" s="36">
        <v>7</v>
      </c>
      <c r="E66" s="36">
        <v>4</v>
      </c>
      <c r="F66" s="36">
        <v>22</v>
      </c>
      <c r="G66" s="35"/>
      <c r="H66" s="33" t="s">
        <v>280</v>
      </c>
      <c r="I66" s="33" t="s">
        <v>462</v>
      </c>
    </row>
    <row r="67" spans="1:9" ht="15" customHeight="1" x14ac:dyDescent="0.25">
      <c r="A67" s="32" t="s">
        <v>245</v>
      </c>
      <c r="B67" s="33" t="s">
        <v>93</v>
      </c>
      <c r="C67" s="34">
        <v>4</v>
      </c>
      <c r="D67" s="36">
        <v>11</v>
      </c>
      <c r="E67" s="36">
        <v>11</v>
      </c>
      <c r="F67" s="36">
        <v>111</v>
      </c>
      <c r="G67" s="35"/>
      <c r="H67" s="37" t="s">
        <v>280</v>
      </c>
      <c r="I67" s="38"/>
    </row>
    <row r="68" spans="1:9" ht="30.6" x14ac:dyDescent="0.25">
      <c r="A68" s="32" t="s">
        <v>226</v>
      </c>
      <c r="B68" s="33" t="s">
        <v>93</v>
      </c>
      <c r="C68" s="34">
        <v>1</v>
      </c>
      <c r="D68" s="36">
        <v>9</v>
      </c>
      <c r="E68" s="36">
        <v>8</v>
      </c>
      <c r="F68" s="36">
        <v>697</v>
      </c>
      <c r="G68" s="35" t="s">
        <v>272</v>
      </c>
      <c r="H68" s="39" t="s">
        <v>281</v>
      </c>
      <c r="I68" s="38" t="s">
        <v>13</v>
      </c>
    </row>
    <row r="69" spans="1:9" ht="20.399999999999999" x14ac:dyDescent="0.25">
      <c r="A69" s="32" t="s">
        <v>231</v>
      </c>
      <c r="B69" s="33" t="s">
        <v>93</v>
      </c>
      <c r="C69" s="34">
        <v>2</v>
      </c>
      <c r="D69" s="36">
        <v>11</v>
      </c>
      <c r="E69" s="36">
        <v>11</v>
      </c>
      <c r="F69" s="36">
        <v>1115</v>
      </c>
      <c r="G69" s="35" t="s">
        <v>269</v>
      </c>
      <c r="H69" s="39" t="s">
        <v>281</v>
      </c>
      <c r="I69" s="33" t="s">
        <v>1</v>
      </c>
    </row>
    <row r="70" spans="1:9" ht="20.399999999999999" x14ac:dyDescent="0.25">
      <c r="A70" s="32" t="s">
        <v>223</v>
      </c>
      <c r="B70" s="33" t="s">
        <v>93</v>
      </c>
      <c r="C70" s="34">
        <v>1</v>
      </c>
      <c r="D70" s="36">
        <v>9</v>
      </c>
      <c r="E70" s="36">
        <v>9</v>
      </c>
      <c r="F70" s="36">
        <v>731</v>
      </c>
      <c r="G70" s="35" t="s">
        <v>272</v>
      </c>
      <c r="H70" s="33" t="s">
        <v>281</v>
      </c>
      <c r="I70" s="33" t="s">
        <v>12</v>
      </c>
    </row>
    <row r="71" spans="1:9" ht="40.799999999999997" x14ac:dyDescent="0.25">
      <c r="A71" s="32" t="s">
        <v>229</v>
      </c>
      <c r="B71" s="33" t="s">
        <v>93</v>
      </c>
      <c r="C71" s="34">
        <v>3</v>
      </c>
      <c r="D71" s="36">
        <v>9</v>
      </c>
      <c r="E71" s="36">
        <v>8</v>
      </c>
      <c r="F71" s="36">
        <v>916</v>
      </c>
      <c r="G71" s="35" t="s">
        <v>271</v>
      </c>
      <c r="H71" s="39" t="s">
        <v>281</v>
      </c>
      <c r="I71" s="33"/>
    </row>
    <row r="72" spans="1:9" ht="30.6" x14ac:dyDescent="0.25">
      <c r="A72" s="32" t="s">
        <v>241</v>
      </c>
      <c r="B72" s="33" t="s">
        <v>93</v>
      </c>
      <c r="C72" s="34">
        <v>3</v>
      </c>
      <c r="D72" s="36">
        <v>11</v>
      </c>
      <c r="E72" s="36">
        <v>11</v>
      </c>
      <c r="F72" s="36">
        <v>297</v>
      </c>
      <c r="G72" s="35" t="s">
        <v>268</v>
      </c>
      <c r="H72" s="37" t="s">
        <v>281</v>
      </c>
      <c r="I72" s="38" t="s">
        <v>1</v>
      </c>
    </row>
    <row r="74" spans="1:9" ht="15.6" x14ac:dyDescent="0.3">
      <c r="A74" s="40" t="s">
        <v>95</v>
      </c>
    </row>
    <row r="75" spans="1:9" ht="30.6" x14ac:dyDescent="0.25">
      <c r="A75" s="30" t="s">
        <v>41</v>
      </c>
      <c r="B75" s="30" t="s">
        <v>42</v>
      </c>
      <c r="C75" s="31" t="s">
        <v>292</v>
      </c>
      <c r="D75" s="30" t="s">
        <v>412</v>
      </c>
      <c r="E75" s="30" t="s">
        <v>316</v>
      </c>
      <c r="F75" s="30" t="s">
        <v>317</v>
      </c>
      <c r="G75" s="30" t="s">
        <v>273</v>
      </c>
      <c r="H75" s="30" t="s">
        <v>318</v>
      </c>
      <c r="I75" s="30" t="s">
        <v>276</v>
      </c>
    </row>
    <row r="76" spans="1:9" ht="15" customHeight="1" x14ac:dyDescent="0.25">
      <c r="A76" s="32" t="s">
        <v>216</v>
      </c>
      <c r="B76" s="33" t="s">
        <v>95</v>
      </c>
      <c r="C76" s="34">
        <v>2</v>
      </c>
      <c r="D76" s="36">
        <v>11</v>
      </c>
      <c r="E76" s="36">
        <v>7</v>
      </c>
      <c r="F76" s="36">
        <v>8</v>
      </c>
      <c r="G76" s="35" t="s">
        <v>269</v>
      </c>
      <c r="H76" s="37" t="s">
        <v>281</v>
      </c>
      <c r="I76" s="33"/>
    </row>
    <row r="77" spans="1:9" ht="20.399999999999999" x14ac:dyDescent="0.25">
      <c r="A77" s="32" t="s">
        <v>224</v>
      </c>
      <c r="B77" s="33" t="s">
        <v>95</v>
      </c>
      <c r="C77" s="34">
        <v>1</v>
      </c>
      <c r="D77" s="36">
        <v>10</v>
      </c>
      <c r="E77" s="36">
        <v>8</v>
      </c>
      <c r="F77" s="36">
        <v>22</v>
      </c>
      <c r="G77" s="35" t="s">
        <v>272</v>
      </c>
      <c r="H77" s="37" t="s">
        <v>281</v>
      </c>
      <c r="I77" s="33" t="s">
        <v>11</v>
      </c>
    </row>
    <row r="78" spans="1:9" ht="15" customHeight="1" x14ac:dyDescent="0.25">
      <c r="A78" s="32" t="s">
        <v>243</v>
      </c>
      <c r="B78" s="33" t="s">
        <v>95</v>
      </c>
      <c r="C78" s="34">
        <v>4</v>
      </c>
      <c r="D78" s="36">
        <v>9</v>
      </c>
      <c r="E78" s="36">
        <v>3</v>
      </c>
      <c r="F78" s="36">
        <v>28</v>
      </c>
      <c r="G78" s="35"/>
      <c r="H78" s="37" t="s">
        <v>280</v>
      </c>
      <c r="I78" s="33"/>
    </row>
    <row r="79" spans="1:9" ht="30.6" x14ac:dyDescent="0.25">
      <c r="A79" s="32" t="s">
        <v>230</v>
      </c>
      <c r="B79" s="33" t="s">
        <v>95</v>
      </c>
      <c r="C79" s="34">
        <v>3</v>
      </c>
      <c r="D79" s="36">
        <v>11</v>
      </c>
      <c r="E79" s="36">
        <v>8</v>
      </c>
      <c r="F79" s="36">
        <v>15</v>
      </c>
      <c r="G79" s="35" t="s">
        <v>268</v>
      </c>
      <c r="H79" s="37" t="s">
        <v>281</v>
      </c>
      <c r="I79" s="33"/>
    </row>
    <row r="80" spans="1:9" ht="20.399999999999999" x14ac:dyDescent="0.25">
      <c r="A80" s="32" t="s">
        <v>226</v>
      </c>
      <c r="B80" s="33" t="s">
        <v>95</v>
      </c>
      <c r="C80" s="34">
        <v>1</v>
      </c>
      <c r="D80" s="36">
        <v>9</v>
      </c>
      <c r="E80" s="36">
        <v>5</v>
      </c>
      <c r="F80" s="36">
        <v>10</v>
      </c>
      <c r="G80" s="35" t="s">
        <v>272</v>
      </c>
      <c r="H80" s="37" t="s">
        <v>281</v>
      </c>
      <c r="I80" s="33" t="s">
        <v>12</v>
      </c>
    </row>
    <row r="81" spans="1:9" ht="15" customHeight="1" x14ac:dyDescent="0.25">
      <c r="A81" s="32" t="s">
        <v>231</v>
      </c>
      <c r="B81" s="33" t="s">
        <v>95</v>
      </c>
      <c r="C81" s="34">
        <v>2</v>
      </c>
      <c r="D81" s="36">
        <v>11</v>
      </c>
      <c r="E81" s="36">
        <v>7</v>
      </c>
      <c r="F81" s="36">
        <v>4</v>
      </c>
      <c r="G81" s="35" t="s">
        <v>269</v>
      </c>
      <c r="H81" s="37" t="s">
        <v>281</v>
      </c>
      <c r="I81" s="33"/>
    </row>
    <row r="82" spans="1:9" ht="20.399999999999999" x14ac:dyDescent="0.25">
      <c r="A82" s="32" t="s">
        <v>223</v>
      </c>
      <c r="B82" s="33" t="s">
        <v>95</v>
      </c>
      <c r="C82" s="34">
        <v>1</v>
      </c>
      <c r="D82" s="36">
        <v>9</v>
      </c>
      <c r="E82" s="36">
        <v>6</v>
      </c>
      <c r="F82" s="36">
        <v>9</v>
      </c>
      <c r="G82" s="35" t="s">
        <v>272</v>
      </c>
      <c r="H82" s="37" t="s">
        <v>281</v>
      </c>
      <c r="I82" s="33" t="s">
        <v>12</v>
      </c>
    </row>
    <row r="83" spans="1:9" ht="30.6" x14ac:dyDescent="0.25">
      <c r="A83" s="32" t="s">
        <v>241</v>
      </c>
      <c r="B83" s="33" t="s">
        <v>95</v>
      </c>
      <c r="C83" s="34">
        <v>3</v>
      </c>
      <c r="D83" s="36">
        <v>11</v>
      </c>
      <c r="E83" s="36">
        <v>9</v>
      </c>
      <c r="F83" s="36">
        <v>46</v>
      </c>
      <c r="G83" s="35" t="s">
        <v>268</v>
      </c>
      <c r="H83" s="37" t="s">
        <v>281</v>
      </c>
      <c r="I83" s="33"/>
    </row>
    <row r="85" spans="1:9" ht="20.25" customHeight="1" x14ac:dyDescent="0.3">
      <c r="A85" s="40" t="s">
        <v>96</v>
      </c>
    </row>
    <row r="86" spans="1:9" ht="30.6" x14ac:dyDescent="0.25">
      <c r="A86" s="30" t="s">
        <v>41</v>
      </c>
      <c r="B86" s="30" t="s">
        <v>42</v>
      </c>
      <c r="C86" s="31" t="s">
        <v>292</v>
      </c>
      <c r="D86" s="30" t="s">
        <v>412</v>
      </c>
      <c r="E86" s="30" t="s">
        <v>316</v>
      </c>
      <c r="F86" s="30" t="s">
        <v>317</v>
      </c>
      <c r="G86" s="30" t="s">
        <v>273</v>
      </c>
      <c r="H86" s="30" t="s">
        <v>318</v>
      </c>
      <c r="I86" s="30" t="s">
        <v>276</v>
      </c>
    </row>
    <row r="87" spans="1:9" x14ac:dyDescent="0.25">
      <c r="A87" s="32" t="s">
        <v>234</v>
      </c>
      <c r="B87" s="33" t="s">
        <v>96</v>
      </c>
      <c r="C87" s="34">
        <v>5</v>
      </c>
      <c r="D87" s="36">
        <v>2</v>
      </c>
      <c r="E87" s="36">
        <v>2</v>
      </c>
      <c r="F87" s="36">
        <v>170</v>
      </c>
      <c r="G87" s="35"/>
      <c r="H87" s="37" t="s">
        <v>280</v>
      </c>
      <c r="I87" s="38" t="s">
        <v>463</v>
      </c>
    </row>
    <row r="88" spans="1:9" ht="20.399999999999999" x14ac:dyDescent="0.25">
      <c r="A88" s="32" t="s">
        <v>213</v>
      </c>
      <c r="B88" s="33" t="s">
        <v>96</v>
      </c>
      <c r="C88" s="34">
        <v>5</v>
      </c>
      <c r="D88" s="36">
        <v>3</v>
      </c>
      <c r="E88" s="36">
        <v>2</v>
      </c>
      <c r="F88" s="36">
        <v>418</v>
      </c>
      <c r="G88" s="35"/>
      <c r="H88" s="37" t="s">
        <v>280</v>
      </c>
      <c r="I88" s="38" t="s">
        <v>444</v>
      </c>
    </row>
    <row r="89" spans="1:9" ht="20.399999999999999" x14ac:dyDescent="0.25">
      <c r="A89" s="32" t="s">
        <v>238</v>
      </c>
      <c r="B89" s="33" t="s">
        <v>96</v>
      </c>
      <c r="C89" s="34">
        <v>5</v>
      </c>
      <c r="D89" s="36">
        <v>6</v>
      </c>
      <c r="E89" s="36">
        <v>4</v>
      </c>
      <c r="F89" s="36">
        <v>1435</v>
      </c>
      <c r="G89" s="35"/>
      <c r="H89" s="39" t="s">
        <v>280</v>
      </c>
      <c r="I89" s="38" t="s">
        <v>446</v>
      </c>
    </row>
    <row r="90" spans="1:9" ht="20.399999999999999" x14ac:dyDescent="0.25">
      <c r="A90" s="32" t="s">
        <v>216</v>
      </c>
      <c r="B90" s="33" t="s">
        <v>96</v>
      </c>
      <c r="C90" s="34">
        <v>2</v>
      </c>
      <c r="D90" s="36">
        <v>11</v>
      </c>
      <c r="E90" s="36">
        <v>11</v>
      </c>
      <c r="F90" s="36">
        <v>9673</v>
      </c>
      <c r="G90" s="35" t="s">
        <v>269</v>
      </c>
      <c r="H90" s="37" t="s">
        <v>281</v>
      </c>
      <c r="I90" s="33" t="s">
        <v>1</v>
      </c>
    </row>
    <row r="91" spans="1:9" ht="20.399999999999999" x14ac:dyDescent="0.25">
      <c r="A91" s="32" t="s">
        <v>225</v>
      </c>
      <c r="B91" s="33" t="s">
        <v>96</v>
      </c>
      <c r="C91" s="34">
        <v>1</v>
      </c>
      <c r="D91" s="36">
        <v>10</v>
      </c>
      <c r="E91" s="36">
        <v>10</v>
      </c>
      <c r="F91" s="36">
        <v>11511</v>
      </c>
      <c r="G91" s="35" t="s">
        <v>272</v>
      </c>
      <c r="H91" s="33" t="s">
        <v>281</v>
      </c>
      <c r="I91" s="33" t="s">
        <v>9</v>
      </c>
    </row>
    <row r="92" spans="1:9" ht="15" customHeight="1" x14ac:dyDescent="0.25">
      <c r="A92" s="32" t="s">
        <v>244</v>
      </c>
      <c r="B92" s="33" t="s">
        <v>96</v>
      </c>
      <c r="C92" s="34">
        <v>4</v>
      </c>
      <c r="D92" s="36">
        <v>8</v>
      </c>
      <c r="E92" s="36">
        <v>8</v>
      </c>
      <c r="F92" s="36">
        <v>3518</v>
      </c>
      <c r="G92" s="35"/>
      <c r="H92" s="37" t="s">
        <v>280</v>
      </c>
      <c r="I92" s="33" t="s">
        <v>445</v>
      </c>
    </row>
    <row r="93" spans="1:9" ht="40.799999999999997" x14ac:dyDescent="0.25">
      <c r="A93" s="32" t="s">
        <v>224</v>
      </c>
      <c r="B93" s="33" t="s">
        <v>96</v>
      </c>
      <c r="C93" s="34">
        <v>1</v>
      </c>
      <c r="D93" s="36">
        <v>10</v>
      </c>
      <c r="E93" s="36">
        <v>10</v>
      </c>
      <c r="F93" s="36">
        <v>47042</v>
      </c>
      <c r="G93" s="35" t="s">
        <v>272</v>
      </c>
      <c r="H93" s="39" t="s">
        <v>281</v>
      </c>
      <c r="I93" s="33" t="s">
        <v>10</v>
      </c>
    </row>
    <row r="94" spans="1:9" ht="15" customHeight="1" x14ac:dyDescent="0.25">
      <c r="A94" s="32" t="s">
        <v>222</v>
      </c>
      <c r="B94" s="33" t="s">
        <v>96</v>
      </c>
      <c r="C94" s="34">
        <v>5</v>
      </c>
      <c r="D94" s="36">
        <v>5</v>
      </c>
      <c r="E94" s="36">
        <v>4</v>
      </c>
      <c r="F94" s="36">
        <v>419</v>
      </c>
      <c r="G94" s="35"/>
      <c r="H94" s="39" t="s">
        <v>280</v>
      </c>
      <c r="I94" s="33" t="s">
        <v>447</v>
      </c>
    </row>
    <row r="95" spans="1:9" ht="20.399999999999999" x14ac:dyDescent="0.25">
      <c r="A95" s="32" t="s">
        <v>227</v>
      </c>
      <c r="B95" s="33" t="s">
        <v>96</v>
      </c>
      <c r="C95" s="34">
        <v>4</v>
      </c>
      <c r="D95" s="36">
        <v>10</v>
      </c>
      <c r="E95" s="36">
        <v>10</v>
      </c>
      <c r="F95" s="36">
        <v>7118</v>
      </c>
      <c r="G95" s="35"/>
      <c r="H95" s="33" t="s">
        <v>280</v>
      </c>
      <c r="I95" s="33" t="s">
        <v>448</v>
      </c>
    </row>
    <row r="96" spans="1:9" ht="30.6" x14ac:dyDescent="0.25">
      <c r="A96" s="32" t="s">
        <v>246</v>
      </c>
      <c r="B96" s="33" t="s">
        <v>96</v>
      </c>
      <c r="C96" s="34">
        <v>4</v>
      </c>
      <c r="D96" s="36">
        <v>3</v>
      </c>
      <c r="E96" s="36">
        <v>3</v>
      </c>
      <c r="F96" s="36">
        <v>540</v>
      </c>
      <c r="G96" s="35"/>
      <c r="H96" s="39" t="s">
        <v>280</v>
      </c>
      <c r="I96" s="33" t="s">
        <v>449</v>
      </c>
    </row>
    <row r="97" spans="1:9" ht="20.399999999999999" x14ac:dyDescent="0.25">
      <c r="A97" s="32" t="s">
        <v>243</v>
      </c>
      <c r="B97" s="33" t="s">
        <v>96</v>
      </c>
      <c r="C97" s="34">
        <v>4</v>
      </c>
      <c r="D97" s="36">
        <v>9</v>
      </c>
      <c r="E97" s="36">
        <v>7</v>
      </c>
      <c r="F97" s="36">
        <v>6184</v>
      </c>
      <c r="G97" s="35"/>
      <c r="H97" s="37" t="s">
        <v>280</v>
      </c>
      <c r="I97" s="33" t="s">
        <v>451</v>
      </c>
    </row>
    <row r="98" spans="1:9" ht="30.6" x14ac:dyDescent="0.25">
      <c r="A98" s="32" t="s">
        <v>217</v>
      </c>
      <c r="B98" s="33" t="s">
        <v>96</v>
      </c>
      <c r="C98" s="34">
        <v>2</v>
      </c>
      <c r="D98" s="36">
        <v>5</v>
      </c>
      <c r="E98" s="36">
        <v>3</v>
      </c>
      <c r="F98" s="36">
        <v>884</v>
      </c>
      <c r="G98" s="35" t="s">
        <v>269</v>
      </c>
      <c r="H98" s="37" t="s">
        <v>281</v>
      </c>
      <c r="I98" s="33" t="s">
        <v>464</v>
      </c>
    </row>
    <row r="99" spans="1:9" ht="15" customHeight="1" x14ac:dyDescent="0.25">
      <c r="A99" s="32" t="s">
        <v>236</v>
      </c>
      <c r="B99" s="33" t="s">
        <v>96</v>
      </c>
      <c r="C99" s="34">
        <v>5</v>
      </c>
      <c r="D99" s="36">
        <v>3</v>
      </c>
      <c r="E99" s="36">
        <v>2</v>
      </c>
      <c r="F99" s="36">
        <v>109</v>
      </c>
      <c r="G99" s="35"/>
      <c r="H99" s="37" t="s">
        <v>280</v>
      </c>
      <c r="I99" s="38" t="s">
        <v>453</v>
      </c>
    </row>
    <row r="100" spans="1:9" ht="15" customHeight="1" x14ac:dyDescent="0.25">
      <c r="A100" s="32" t="s">
        <v>214</v>
      </c>
      <c r="B100" s="33" t="s">
        <v>96</v>
      </c>
      <c r="C100" s="34">
        <v>4</v>
      </c>
      <c r="D100" s="36">
        <v>9</v>
      </c>
      <c r="E100" s="36">
        <v>8</v>
      </c>
      <c r="F100" s="36">
        <v>671</v>
      </c>
      <c r="G100" s="35"/>
      <c r="H100" s="37" t="s">
        <v>280</v>
      </c>
      <c r="I100" s="38"/>
    </row>
    <row r="101" spans="1:9" ht="15" customHeight="1" x14ac:dyDescent="0.25">
      <c r="A101" s="32" t="s">
        <v>228</v>
      </c>
      <c r="B101" s="33" t="s">
        <v>96</v>
      </c>
      <c r="C101" s="34">
        <v>4</v>
      </c>
      <c r="D101" s="36">
        <v>11</v>
      </c>
      <c r="E101" s="36">
        <v>11</v>
      </c>
      <c r="F101" s="36">
        <v>1396</v>
      </c>
      <c r="G101" s="35"/>
      <c r="H101" s="37" t="s">
        <v>280</v>
      </c>
      <c r="I101" s="38"/>
    </row>
    <row r="102" spans="1:9" ht="15" customHeight="1" x14ac:dyDescent="0.25">
      <c r="A102" s="32" t="s">
        <v>607</v>
      </c>
      <c r="B102" s="33" t="s">
        <v>96</v>
      </c>
      <c r="C102" s="34">
        <v>4</v>
      </c>
      <c r="D102" s="36">
        <v>11</v>
      </c>
      <c r="E102" s="36">
        <v>11</v>
      </c>
      <c r="F102" s="36">
        <v>6264</v>
      </c>
      <c r="G102" s="35"/>
      <c r="H102" s="37" t="s">
        <v>280</v>
      </c>
      <c r="I102" s="38" t="s">
        <v>445</v>
      </c>
    </row>
    <row r="103" spans="1:9" ht="15" customHeight="1" x14ac:dyDescent="0.25">
      <c r="A103" s="32" t="s">
        <v>608</v>
      </c>
      <c r="B103" s="33" t="s">
        <v>96</v>
      </c>
      <c r="C103" s="34">
        <v>5</v>
      </c>
      <c r="D103" s="36">
        <v>10</v>
      </c>
      <c r="E103" s="36">
        <v>9</v>
      </c>
      <c r="F103" s="36">
        <v>520</v>
      </c>
      <c r="G103" s="35"/>
      <c r="H103" s="39" t="s">
        <v>280</v>
      </c>
      <c r="I103" s="38"/>
    </row>
    <row r="104" spans="1:9" ht="20.399999999999999" x14ac:dyDescent="0.25">
      <c r="A104" s="32" t="s">
        <v>232</v>
      </c>
      <c r="B104" s="33" t="s">
        <v>96</v>
      </c>
      <c r="C104" s="34">
        <v>4</v>
      </c>
      <c r="D104" s="36">
        <v>5</v>
      </c>
      <c r="E104" s="36">
        <v>5</v>
      </c>
      <c r="F104" s="36">
        <v>383</v>
      </c>
      <c r="G104" s="35"/>
      <c r="H104" s="37" t="s">
        <v>280</v>
      </c>
      <c r="I104" s="38" t="s">
        <v>456</v>
      </c>
    </row>
    <row r="105" spans="1:9" ht="15" customHeight="1" x14ac:dyDescent="0.25">
      <c r="A105" s="32" t="s">
        <v>221</v>
      </c>
      <c r="B105" s="33" t="s">
        <v>96</v>
      </c>
      <c r="C105" s="34">
        <v>4</v>
      </c>
      <c r="D105" s="36">
        <v>9</v>
      </c>
      <c r="E105" s="36">
        <v>9</v>
      </c>
      <c r="F105" s="36">
        <v>2355</v>
      </c>
      <c r="G105" s="35"/>
      <c r="H105" s="37" t="s">
        <v>280</v>
      </c>
      <c r="I105" s="38" t="s">
        <v>445</v>
      </c>
    </row>
    <row r="106" spans="1:9" ht="30.6" x14ac:dyDescent="0.25">
      <c r="A106" s="32" t="s">
        <v>230</v>
      </c>
      <c r="B106" s="33" t="s">
        <v>96</v>
      </c>
      <c r="C106" s="34">
        <v>3</v>
      </c>
      <c r="D106" s="36">
        <v>11</v>
      </c>
      <c r="E106" s="36">
        <v>11</v>
      </c>
      <c r="F106" s="36">
        <v>6257</v>
      </c>
      <c r="G106" s="35" t="s">
        <v>268</v>
      </c>
      <c r="H106" s="37" t="s">
        <v>281</v>
      </c>
      <c r="I106" s="38" t="s">
        <v>1</v>
      </c>
    </row>
    <row r="107" spans="1:9" ht="15" customHeight="1" x14ac:dyDescent="0.25">
      <c r="A107" s="32" t="s">
        <v>240</v>
      </c>
      <c r="B107" s="33" t="s">
        <v>96</v>
      </c>
      <c r="C107" s="34">
        <v>4</v>
      </c>
      <c r="D107" s="36">
        <v>10</v>
      </c>
      <c r="E107" s="36">
        <v>10</v>
      </c>
      <c r="F107" s="36">
        <v>4255</v>
      </c>
      <c r="G107" s="35"/>
      <c r="H107" s="37" t="s">
        <v>280</v>
      </c>
      <c r="I107" s="38"/>
    </row>
    <row r="108" spans="1:9" ht="15" customHeight="1" x14ac:dyDescent="0.25">
      <c r="A108" s="32" t="s">
        <v>239</v>
      </c>
      <c r="B108" s="33" t="s">
        <v>96</v>
      </c>
      <c r="C108" s="34">
        <v>4</v>
      </c>
      <c r="D108" s="36">
        <v>10</v>
      </c>
      <c r="E108" s="36">
        <v>10</v>
      </c>
      <c r="F108" s="36">
        <v>594</v>
      </c>
      <c r="G108" s="35"/>
      <c r="H108" s="39" t="s">
        <v>280</v>
      </c>
      <c r="I108" s="38" t="s">
        <v>445</v>
      </c>
    </row>
    <row r="109" spans="1:9" ht="15" customHeight="1" x14ac:dyDescent="0.25">
      <c r="A109" s="32" t="s">
        <v>242</v>
      </c>
      <c r="B109" s="33" t="s">
        <v>96</v>
      </c>
      <c r="C109" s="34">
        <v>4</v>
      </c>
      <c r="D109" s="36">
        <v>9</v>
      </c>
      <c r="E109" s="36">
        <v>9</v>
      </c>
      <c r="F109" s="36">
        <v>948</v>
      </c>
      <c r="G109" s="35"/>
      <c r="H109" s="37" t="s">
        <v>280</v>
      </c>
      <c r="I109" s="33" t="s">
        <v>457</v>
      </c>
    </row>
    <row r="110" spans="1:9" ht="15" customHeight="1" x14ac:dyDescent="0.25">
      <c r="A110" s="32" t="s">
        <v>233</v>
      </c>
      <c r="B110" s="33" t="s">
        <v>96</v>
      </c>
      <c r="C110" s="34">
        <v>4</v>
      </c>
      <c r="D110" s="36">
        <v>11</v>
      </c>
      <c r="E110" s="36">
        <v>10</v>
      </c>
      <c r="F110" s="36">
        <v>646</v>
      </c>
      <c r="G110" s="35"/>
      <c r="H110" s="33" t="s">
        <v>280</v>
      </c>
      <c r="I110" s="33"/>
    </row>
    <row r="111" spans="1:9" ht="30.6" x14ac:dyDescent="0.25">
      <c r="A111" s="32" t="s">
        <v>220</v>
      </c>
      <c r="B111" s="33" t="s">
        <v>96</v>
      </c>
      <c r="C111" s="34">
        <v>5</v>
      </c>
      <c r="D111" s="36">
        <v>1</v>
      </c>
      <c r="E111" s="36">
        <v>1</v>
      </c>
      <c r="F111" s="36"/>
      <c r="G111" s="35"/>
      <c r="H111" s="37" t="s">
        <v>280</v>
      </c>
      <c r="I111" s="33" t="s">
        <v>458</v>
      </c>
    </row>
    <row r="112" spans="1:9" ht="20.399999999999999" x14ac:dyDescent="0.25">
      <c r="A112" s="32" t="s">
        <v>247</v>
      </c>
      <c r="B112" s="33" t="s">
        <v>96</v>
      </c>
      <c r="C112" s="34">
        <v>5</v>
      </c>
      <c r="D112" s="36">
        <v>2</v>
      </c>
      <c r="E112" s="36">
        <v>2</v>
      </c>
      <c r="F112" s="36">
        <v>488</v>
      </c>
      <c r="G112" s="35"/>
      <c r="H112" s="39" t="s">
        <v>280</v>
      </c>
      <c r="I112" s="33" t="s">
        <v>459</v>
      </c>
    </row>
    <row r="113" spans="1:9" ht="15" customHeight="1" x14ac:dyDescent="0.25">
      <c r="A113" s="32" t="s">
        <v>215</v>
      </c>
      <c r="B113" s="33" t="s">
        <v>96</v>
      </c>
      <c r="C113" s="34">
        <v>4</v>
      </c>
      <c r="D113" s="36">
        <v>9</v>
      </c>
      <c r="E113" s="36">
        <v>8</v>
      </c>
      <c r="F113" s="36">
        <v>140</v>
      </c>
      <c r="G113" s="35"/>
      <c r="H113" s="39" t="s">
        <v>280</v>
      </c>
      <c r="I113" s="33"/>
    </row>
    <row r="114" spans="1:9" ht="40.799999999999997" x14ac:dyDescent="0.25">
      <c r="A114" s="32" t="s">
        <v>218</v>
      </c>
      <c r="B114" s="33" t="s">
        <v>96</v>
      </c>
      <c r="C114" s="34">
        <v>5</v>
      </c>
      <c r="D114" s="36">
        <v>2</v>
      </c>
      <c r="E114" s="36">
        <v>1</v>
      </c>
      <c r="F114" s="36">
        <v>500</v>
      </c>
      <c r="G114" s="35"/>
      <c r="H114" s="33" t="s">
        <v>280</v>
      </c>
      <c r="I114" s="33" t="s">
        <v>460</v>
      </c>
    </row>
    <row r="115" spans="1:9" ht="20.399999999999999" x14ac:dyDescent="0.25">
      <c r="A115" s="32" t="s">
        <v>219</v>
      </c>
      <c r="B115" s="33" t="s">
        <v>96</v>
      </c>
      <c r="C115" s="34">
        <v>3</v>
      </c>
      <c r="D115" s="36">
        <v>2</v>
      </c>
      <c r="E115" s="36">
        <v>0</v>
      </c>
      <c r="F115" s="36"/>
      <c r="G115" s="35"/>
      <c r="H115" s="39" t="s">
        <v>285</v>
      </c>
      <c r="I115" s="33"/>
    </row>
    <row r="116" spans="1:9" ht="15" customHeight="1" x14ac:dyDescent="0.25">
      <c r="A116" s="32" t="s">
        <v>237</v>
      </c>
      <c r="B116" s="33" t="s">
        <v>96</v>
      </c>
      <c r="C116" s="34">
        <v>5</v>
      </c>
      <c r="D116" s="36">
        <v>7</v>
      </c>
      <c r="E116" s="36">
        <v>5</v>
      </c>
      <c r="F116" s="36">
        <v>974</v>
      </c>
      <c r="G116" s="35"/>
      <c r="H116" s="37" t="s">
        <v>280</v>
      </c>
      <c r="I116" s="33" t="s">
        <v>462</v>
      </c>
    </row>
    <row r="117" spans="1:9" ht="15" customHeight="1" x14ac:dyDescent="0.25">
      <c r="A117" s="32" t="s">
        <v>245</v>
      </c>
      <c r="B117" s="33" t="s">
        <v>96</v>
      </c>
      <c r="C117" s="34">
        <v>4</v>
      </c>
      <c r="D117" s="36">
        <v>11</v>
      </c>
      <c r="E117" s="36">
        <v>11</v>
      </c>
      <c r="F117" s="36">
        <v>4850</v>
      </c>
      <c r="G117" s="35"/>
      <c r="H117" s="33" t="s">
        <v>280</v>
      </c>
      <c r="I117" s="33"/>
    </row>
    <row r="118" spans="1:9" ht="30.6" x14ac:dyDescent="0.25">
      <c r="A118" s="32" t="s">
        <v>226</v>
      </c>
      <c r="B118" s="33" t="s">
        <v>96</v>
      </c>
      <c r="C118" s="34">
        <v>1</v>
      </c>
      <c r="D118" s="36">
        <v>10</v>
      </c>
      <c r="E118" s="36">
        <v>10</v>
      </c>
      <c r="F118" s="36">
        <v>10497</v>
      </c>
      <c r="G118" s="35" t="s">
        <v>272</v>
      </c>
      <c r="H118" s="39" t="s">
        <v>281</v>
      </c>
      <c r="I118" s="38" t="s">
        <v>13</v>
      </c>
    </row>
    <row r="119" spans="1:9" ht="20.399999999999999" x14ac:dyDescent="0.25">
      <c r="A119" s="32" t="s">
        <v>231</v>
      </c>
      <c r="B119" s="33" t="s">
        <v>96</v>
      </c>
      <c r="C119" s="34">
        <v>2</v>
      </c>
      <c r="D119" s="36">
        <v>11</v>
      </c>
      <c r="E119" s="36">
        <v>11</v>
      </c>
      <c r="F119" s="36">
        <v>12877</v>
      </c>
      <c r="G119" s="35" t="s">
        <v>269</v>
      </c>
      <c r="H119" s="37" t="s">
        <v>281</v>
      </c>
      <c r="I119" s="38" t="s">
        <v>1</v>
      </c>
    </row>
    <row r="120" spans="1:9" ht="30.6" x14ac:dyDescent="0.25">
      <c r="A120" s="32" t="s">
        <v>223</v>
      </c>
      <c r="B120" s="33" t="s">
        <v>96</v>
      </c>
      <c r="C120" s="34">
        <v>1</v>
      </c>
      <c r="D120" s="36">
        <v>10</v>
      </c>
      <c r="E120" s="36">
        <v>10</v>
      </c>
      <c r="F120" s="36">
        <v>15766</v>
      </c>
      <c r="G120" s="35" t="s">
        <v>272</v>
      </c>
      <c r="H120" s="37" t="s">
        <v>281</v>
      </c>
      <c r="I120" s="33" t="s">
        <v>13</v>
      </c>
    </row>
    <row r="121" spans="1:9" ht="40.799999999999997" x14ac:dyDescent="0.25">
      <c r="A121" s="32" t="s">
        <v>229</v>
      </c>
      <c r="B121" s="33" t="s">
        <v>96</v>
      </c>
      <c r="C121" s="34">
        <v>3</v>
      </c>
      <c r="D121" s="36">
        <v>9</v>
      </c>
      <c r="E121" s="36">
        <v>9</v>
      </c>
      <c r="F121" s="36">
        <v>9291</v>
      </c>
      <c r="G121" s="35" t="s">
        <v>271</v>
      </c>
      <c r="H121" s="37" t="s">
        <v>281</v>
      </c>
      <c r="I121" s="38"/>
    </row>
    <row r="122" spans="1:9" ht="30.6" x14ac:dyDescent="0.25">
      <c r="A122" s="32" t="s">
        <v>241</v>
      </c>
      <c r="B122" s="33" t="s">
        <v>96</v>
      </c>
      <c r="C122" s="34">
        <v>3</v>
      </c>
      <c r="D122" s="36">
        <v>11</v>
      </c>
      <c r="E122" s="36">
        <v>11</v>
      </c>
      <c r="F122" s="36">
        <v>8975</v>
      </c>
      <c r="G122" s="35" t="s">
        <v>268</v>
      </c>
      <c r="H122" s="37" t="s">
        <v>281</v>
      </c>
      <c r="I122" s="38" t="s">
        <v>1</v>
      </c>
    </row>
    <row r="124" spans="1:9" ht="15.6" x14ac:dyDescent="0.3">
      <c r="A124" s="40" t="s">
        <v>97</v>
      </c>
    </row>
    <row r="125" spans="1:9" ht="30.6" x14ac:dyDescent="0.25">
      <c r="A125" s="30" t="s">
        <v>41</v>
      </c>
      <c r="B125" s="30" t="s">
        <v>42</v>
      </c>
      <c r="C125" s="31" t="s">
        <v>292</v>
      </c>
      <c r="D125" s="30" t="s">
        <v>412</v>
      </c>
      <c r="E125" s="30" t="s">
        <v>316</v>
      </c>
      <c r="F125" s="30" t="s">
        <v>317</v>
      </c>
      <c r="G125" s="30" t="s">
        <v>273</v>
      </c>
      <c r="H125" s="30" t="s">
        <v>318</v>
      </c>
      <c r="I125" s="30" t="s">
        <v>276</v>
      </c>
    </row>
    <row r="126" spans="1:9" ht="20.399999999999999" x14ac:dyDescent="0.25">
      <c r="A126" s="32" t="s">
        <v>216</v>
      </c>
      <c r="B126" s="33" t="s">
        <v>97</v>
      </c>
      <c r="C126" s="34">
        <v>2</v>
      </c>
      <c r="D126" s="36">
        <v>11</v>
      </c>
      <c r="E126" s="36">
        <v>11</v>
      </c>
      <c r="F126" s="36">
        <v>1283</v>
      </c>
      <c r="G126" s="35" t="s">
        <v>269</v>
      </c>
      <c r="H126" s="37" t="s">
        <v>281</v>
      </c>
      <c r="I126" s="38" t="s">
        <v>1</v>
      </c>
    </row>
    <row r="127" spans="1:9" ht="20.399999999999999" x14ac:dyDescent="0.25">
      <c r="A127" s="32" t="s">
        <v>225</v>
      </c>
      <c r="B127" s="33" t="s">
        <v>97</v>
      </c>
      <c r="C127" s="34">
        <v>1</v>
      </c>
      <c r="D127" s="36">
        <v>7</v>
      </c>
      <c r="E127" s="36">
        <v>7</v>
      </c>
      <c r="F127" s="36">
        <v>620</v>
      </c>
      <c r="G127" s="35" t="s">
        <v>272</v>
      </c>
      <c r="H127" s="39" t="s">
        <v>281</v>
      </c>
      <c r="I127" s="38" t="s">
        <v>9</v>
      </c>
    </row>
    <row r="128" spans="1:9" ht="18.75" customHeight="1" x14ac:dyDescent="0.25">
      <c r="A128" s="32" t="s">
        <v>244</v>
      </c>
      <c r="B128" s="33" t="s">
        <v>97</v>
      </c>
      <c r="C128" s="34">
        <v>4</v>
      </c>
      <c r="D128" s="36">
        <v>8</v>
      </c>
      <c r="E128" s="36">
        <v>2</v>
      </c>
      <c r="F128" s="36">
        <v>21</v>
      </c>
      <c r="G128" s="35"/>
      <c r="H128" s="37" t="s">
        <v>280</v>
      </c>
      <c r="I128" s="33" t="s">
        <v>445</v>
      </c>
    </row>
    <row r="129" spans="1:9" ht="40.799999999999997" x14ac:dyDescent="0.25">
      <c r="A129" s="32" t="s">
        <v>224</v>
      </c>
      <c r="B129" s="33" t="s">
        <v>97</v>
      </c>
      <c r="C129" s="34">
        <v>1</v>
      </c>
      <c r="D129" s="36">
        <v>11</v>
      </c>
      <c r="E129" s="36">
        <v>11</v>
      </c>
      <c r="F129" s="36">
        <v>21987</v>
      </c>
      <c r="G129" s="35" t="s">
        <v>272</v>
      </c>
      <c r="H129" s="33" t="s">
        <v>281</v>
      </c>
      <c r="I129" s="33" t="s">
        <v>10</v>
      </c>
    </row>
    <row r="130" spans="1:9" ht="20.399999999999999" x14ac:dyDescent="0.25">
      <c r="A130" s="32" t="s">
        <v>227</v>
      </c>
      <c r="B130" s="33" t="s">
        <v>97</v>
      </c>
      <c r="C130" s="34">
        <v>4</v>
      </c>
      <c r="D130" s="36">
        <v>8</v>
      </c>
      <c r="E130" s="36">
        <v>3</v>
      </c>
      <c r="F130" s="36">
        <v>2</v>
      </c>
      <c r="G130" s="35"/>
      <c r="H130" s="39" t="s">
        <v>280</v>
      </c>
      <c r="I130" s="33" t="s">
        <v>448</v>
      </c>
    </row>
    <row r="131" spans="1:9" ht="20.399999999999999" x14ac:dyDescent="0.25">
      <c r="A131" s="32" t="s">
        <v>243</v>
      </c>
      <c r="B131" s="33" t="s">
        <v>97</v>
      </c>
      <c r="C131" s="34">
        <v>4</v>
      </c>
      <c r="D131" s="36">
        <v>9</v>
      </c>
      <c r="E131" s="36">
        <v>6</v>
      </c>
      <c r="F131" s="36">
        <v>33</v>
      </c>
      <c r="G131" s="35"/>
      <c r="H131" s="37" t="s">
        <v>280</v>
      </c>
      <c r="I131" s="33" t="s">
        <v>450</v>
      </c>
    </row>
    <row r="132" spans="1:9" ht="20.399999999999999" x14ac:dyDescent="0.25">
      <c r="A132" s="32" t="s">
        <v>217</v>
      </c>
      <c r="B132" s="33" t="s">
        <v>97</v>
      </c>
      <c r="C132" s="34">
        <v>2</v>
      </c>
      <c r="D132" s="36">
        <v>10</v>
      </c>
      <c r="E132" s="36">
        <v>10</v>
      </c>
      <c r="F132" s="36">
        <v>4959</v>
      </c>
      <c r="G132" s="35" t="s">
        <v>269</v>
      </c>
      <c r="H132" s="37" t="s">
        <v>281</v>
      </c>
      <c r="I132" s="38" t="s">
        <v>1</v>
      </c>
    </row>
    <row r="133" spans="1:9" ht="15" customHeight="1" x14ac:dyDescent="0.25">
      <c r="A133" s="32" t="s">
        <v>214</v>
      </c>
      <c r="B133" s="33" t="s">
        <v>97</v>
      </c>
      <c r="C133" s="34">
        <v>4</v>
      </c>
      <c r="D133" s="36">
        <v>9</v>
      </c>
      <c r="E133" s="36">
        <v>2</v>
      </c>
      <c r="F133" s="36">
        <v>10</v>
      </c>
      <c r="G133" s="35"/>
      <c r="H133" s="37" t="s">
        <v>280</v>
      </c>
      <c r="I133" s="38"/>
    </row>
    <row r="134" spans="1:9" ht="15" customHeight="1" x14ac:dyDescent="0.25">
      <c r="A134" s="32" t="s">
        <v>228</v>
      </c>
      <c r="B134" s="33" t="s">
        <v>97</v>
      </c>
      <c r="C134" s="34">
        <v>4</v>
      </c>
      <c r="D134" s="36">
        <v>11</v>
      </c>
      <c r="E134" s="36">
        <v>6</v>
      </c>
      <c r="F134" s="36">
        <v>9</v>
      </c>
      <c r="G134" s="35"/>
      <c r="H134" s="39" t="s">
        <v>280</v>
      </c>
      <c r="I134" s="38"/>
    </row>
    <row r="135" spans="1:9" ht="15" customHeight="1" x14ac:dyDescent="0.25">
      <c r="A135" s="32" t="s">
        <v>608</v>
      </c>
      <c r="B135" s="33" t="s">
        <v>97</v>
      </c>
      <c r="C135" s="34">
        <v>5</v>
      </c>
      <c r="D135" s="36">
        <v>10</v>
      </c>
      <c r="E135" s="36">
        <v>0</v>
      </c>
      <c r="F135" s="36"/>
      <c r="G135" s="35"/>
      <c r="H135" s="37" t="s">
        <v>280</v>
      </c>
      <c r="I135" s="33"/>
    </row>
    <row r="136" spans="1:9" ht="15" customHeight="1" x14ac:dyDescent="0.25">
      <c r="A136" s="32" t="s">
        <v>221</v>
      </c>
      <c r="B136" s="33" t="s">
        <v>97</v>
      </c>
      <c r="C136" s="34">
        <v>4</v>
      </c>
      <c r="D136" s="36">
        <v>9</v>
      </c>
      <c r="E136" s="36">
        <v>5</v>
      </c>
      <c r="F136" s="36">
        <v>102</v>
      </c>
      <c r="G136" s="35"/>
      <c r="H136" s="33" t="s">
        <v>280</v>
      </c>
      <c r="I136" s="33" t="s">
        <v>445</v>
      </c>
    </row>
    <row r="137" spans="1:9" ht="30.6" x14ac:dyDescent="0.25">
      <c r="A137" s="32" t="s">
        <v>230</v>
      </c>
      <c r="B137" s="33" t="s">
        <v>97</v>
      </c>
      <c r="C137" s="34">
        <v>3</v>
      </c>
      <c r="D137" s="36">
        <v>11</v>
      </c>
      <c r="E137" s="36">
        <v>11</v>
      </c>
      <c r="F137" s="36">
        <v>520</v>
      </c>
      <c r="G137" s="35" t="s">
        <v>268</v>
      </c>
      <c r="H137" s="39" t="s">
        <v>281</v>
      </c>
      <c r="I137" s="33" t="s">
        <v>1</v>
      </c>
    </row>
    <row r="138" spans="1:9" ht="15" customHeight="1" x14ac:dyDescent="0.25">
      <c r="A138" s="32" t="s">
        <v>240</v>
      </c>
      <c r="B138" s="33" t="s">
        <v>97</v>
      </c>
      <c r="C138" s="34">
        <v>4</v>
      </c>
      <c r="D138" s="36">
        <v>10</v>
      </c>
      <c r="E138" s="36">
        <v>8</v>
      </c>
      <c r="F138" s="36">
        <v>29</v>
      </c>
      <c r="G138" s="35"/>
      <c r="H138" s="37" t="s">
        <v>280</v>
      </c>
      <c r="I138" s="33"/>
    </row>
    <row r="139" spans="1:9" ht="15" customHeight="1" x14ac:dyDescent="0.25">
      <c r="A139" s="32" t="s">
        <v>242</v>
      </c>
      <c r="B139" s="33" t="s">
        <v>97</v>
      </c>
      <c r="C139" s="34">
        <v>4</v>
      </c>
      <c r="D139" s="36">
        <v>9</v>
      </c>
      <c r="E139" s="36">
        <v>0</v>
      </c>
      <c r="F139" s="36"/>
      <c r="G139" s="35"/>
      <c r="H139" s="37" t="s">
        <v>280</v>
      </c>
      <c r="I139" s="33" t="s">
        <v>457</v>
      </c>
    </row>
    <row r="140" spans="1:9" ht="15" customHeight="1" x14ac:dyDescent="0.25">
      <c r="A140" s="32" t="s">
        <v>233</v>
      </c>
      <c r="B140" s="33" t="s">
        <v>97</v>
      </c>
      <c r="C140" s="34">
        <v>4</v>
      </c>
      <c r="D140" s="36">
        <v>11</v>
      </c>
      <c r="E140" s="36">
        <v>4</v>
      </c>
      <c r="F140" s="36">
        <v>12</v>
      </c>
      <c r="G140" s="35"/>
      <c r="H140" s="37" t="s">
        <v>280</v>
      </c>
      <c r="I140" s="38"/>
    </row>
    <row r="141" spans="1:9" ht="15" customHeight="1" x14ac:dyDescent="0.25">
      <c r="A141" s="32" t="s">
        <v>215</v>
      </c>
      <c r="B141" s="33" t="s">
        <v>97</v>
      </c>
      <c r="C141" s="34">
        <v>4</v>
      </c>
      <c r="D141" s="36">
        <v>9</v>
      </c>
      <c r="E141" s="36">
        <v>7</v>
      </c>
      <c r="F141" s="36">
        <v>57</v>
      </c>
      <c r="G141" s="35"/>
      <c r="H141" s="33" t="s">
        <v>280</v>
      </c>
      <c r="I141" s="33"/>
    </row>
    <row r="142" spans="1:9" ht="40.799999999999997" x14ac:dyDescent="0.25">
      <c r="A142" s="32" t="s">
        <v>218</v>
      </c>
      <c r="B142" s="33" t="s">
        <v>97</v>
      </c>
      <c r="C142" s="34">
        <v>5</v>
      </c>
      <c r="D142" s="36">
        <v>1</v>
      </c>
      <c r="E142" s="36">
        <v>1</v>
      </c>
      <c r="F142" s="36">
        <v>10</v>
      </c>
      <c r="G142" s="35"/>
      <c r="H142" s="33" t="s">
        <v>280</v>
      </c>
      <c r="I142" s="33" t="s">
        <v>460</v>
      </c>
    </row>
    <row r="143" spans="1:9" ht="20.399999999999999" x14ac:dyDescent="0.25">
      <c r="A143" s="32" t="s">
        <v>219</v>
      </c>
      <c r="B143" s="33" t="s">
        <v>97</v>
      </c>
      <c r="C143" s="34">
        <v>3</v>
      </c>
      <c r="D143" s="36">
        <v>2</v>
      </c>
      <c r="E143" s="36">
        <v>2</v>
      </c>
      <c r="F143" s="36">
        <v>13</v>
      </c>
      <c r="G143" s="35"/>
      <c r="H143" s="33" t="s">
        <v>285</v>
      </c>
      <c r="I143" s="33"/>
    </row>
    <row r="144" spans="1:9" ht="15" customHeight="1" x14ac:dyDescent="0.25">
      <c r="A144" s="32" t="s">
        <v>237</v>
      </c>
      <c r="B144" s="33" t="s">
        <v>97</v>
      </c>
      <c r="C144" s="34">
        <v>5</v>
      </c>
      <c r="D144" s="36">
        <v>7</v>
      </c>
      <c r="E144" s="36">
        <v>0</v>
      </c>
      <c r="F144" s="36"/>
      <c r="G144" s="35"/>
      <c r="H144" s="33" t="s">
        <v>280</v>
      </c>
      <c r="I144" s="33" t="s">
        <v>462</v>
      </c>
    </row>
    <row r="145" spans="1:9" ht="15" customHeight="1" x14ac:dyDescent="0.25">
      <c r="A145" s="32" t="s">
        <v>245</v>
      </c>
      <c r="B145" s="33" t="s">
        <v>97</v>
      </c>
      <c r="C145" s="34">
        <v>4</v>
      </c>
      <c r="D145" s="36">
        <v>11</v>
      </c>
      <c r="E145" s="36">
        <v>0</v>
      </c>
      <c r="F145" s="36"/>
      <c r="G145" s="35"/>
      <c r="H145" s="33" t="s">
        <v>280</v>
      </c>
      <c r="I145" s="33"/>
    </row>
    <row r="146" spans="1:9" ht="30.6" x14ac:dyDescent="0.25">
      <c r="A146" s="32" t="s">
        <v>226</v>
      </c>
      <c r="B146" s="33" t="s">
        <v>97</v>
      </c>
      <c r="C146" s="34">
        <v>1</v>
      </c>
      <c r="D146" s="36">
        <v>10</v>
      </c>
      <c r="E146" s="36">
        <v>10</v>
      </c>
      <c r="F146" s="36">
        <v>151</v>
      </c>
      <c r="G146" s="35" t="s">
        <v>272</v>
      </c>
      <c r="H146" s="33" t="s">
        <v>281</v>
      </c>
      <c r="I146" s="33" t="s">
        <v>13</v>
      </c>
    </row>
    <row r="147" spans="1:9" ht="20.399999999999999" x14ac:dyDescent="0.25">
      <c r="A147" s="32" t="s">
        <v>231</v>
      </c>
      <c r="B147" s="33" t="s">
        <v>97</v>
      </c>
      <c r="C147" s="34">
        <v>2</v>
      </c>
      <c r="D147" s="36">
        <v>11</v>
      </c>
      <c r="E147" s="36">
        <v>11</v>
      </c>
      <c r="F147" s="36">
        <v>787</v>
      </c>
      <c r="G147" s="35" t="s">
        <v>269</v>
      </c>
      <c r="H147" s="33" t="s">
        <v>281</v>
      </c>
      <c r="I147" s="33" t="s">
        <v>1</v>
      </c>
    </row>
    <row r="148" spans="1:9" ht="30.6" x14ac:dyDescent="0.25">
      <c r="A148" s="32" t="s">
        <v>223</v>
      </c>
      <c r="B148" s="33" t="s">
        <v>97</v>
      </c>
      <c r="C148" s="34">
        <v>1</v>
      </c>
      <c r="D148" s="36">
        <v>10</v>
      </c>
      <c r="E148" s="36">
        <v>10</v>
      </c>
      <c r="F148" s="36">
        <v>279</v>
      </c>
      <c r="G148" s="35" t="s">
        <v>272</v>
      </c>
      <c r="H148" s="33" t="s">
        <v>281</v>
      </c>
      <c r="I148" s="33" t="s">
        <v>13</v>
      </c>
    </row>
    <row r="149" spans="1:9" ht="40.799999999999997" x14ac:dyDescent="0.25">
      <c r="A149" s="32" t="s">
        <v>229</v>
      </c>
      <c r="B149" s="33" t="s">
        <v>97</v>
      </c>
      <c r="C149" s="34">
        <v>3</v>
      </c>
      <c r="D149" s="36">
        <v>9</v>
      </c>
      <c r="E149" s="36">
        <v>8</v>
      </c>
      <c r="F149" s="36">
        <v>7</v>
      </c>
      <c r="G149" s="35" t="s">
        <v>271</v>
      </c>
      <c r="H149" s="33" t="s">
        <v>281</v>
      </c>
      <c r="I149" s="33"/>
    </row>
    <row r="150" spans="1:9" ht="30.6" x14ac:dyDescent="0.25">
      <c r="A150" s="32" t="s">
        <v>241</v>
      </c>
      <c r="B150" s="33" t="s">
        <v>97</v>
      </c>
      <c r="C150" s="34">
        <v>3</v>
      </c>
      <c r="D150" s="36">
        <v>11</v>
      </c>
      <c r="E150" s="36">
        <v>11</v>
      </c>
      <c r="F150" s="36">
        <v>338</v>
      </c>
      <c r="G150" s="35" t="s">
        <v>268</v>
      </c>
      <c r="H150" s="33" t="s">
        <v>281</v>
      </c>
      <c r="I150" s="33" t="s">
        <v>1</v>
      </c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2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71"/>
  <sheetViews>
    <sheetView topLeftCell="A28" workbookViewId="0">
      <selection activeCell="C9" sqref="C9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442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20.399999999999999" x14ac:dyDescent="0.25">
      <c r="A6" s="32" t="s">
        <v>250</v>
      </c>
      <c r="B6" s="33" t="s">
        <v>91</v>
      </c>
      <c r="C6" s="34">
        <v>3</v>
      </c>
      <c r="D6" s="36">
        <v>8</v>
      </c>
      <c r="E6" s="36">
        <v>4</v>
      </c>
      <c r="F6" s="36">
        <v>102</v>
      </c>
      <c r="G6" s="35"/>
      <c r="H6" s="37" t="s">
        <v>285</v>
      </c>
      <c r="I6" s="33" t="s">
        <v>428</v>
      </c>
    </row>
    <row r="7" spans="1:9" ht="23.25" customHeight="1" x14ac:dyDescent="0.25">
      <c r="A7" s="32" t="s">
        <v>252</v>
      </c>
      <c r="B7" s="33" t="s">
        <v>91</v>
      </c>
      <c r="C7" s="34">
        <v>2</v>
      </c>
      <c r="D7" s="36">
        <v>11</v>
      </c>
      <c r="E7" s="36">
        <v>11</v>
      </c>
      <c r="F7" s="36">
        <v>54</v>
      </c>
      <c r="G7" s="35" t="s">
        <v>269</v>
      </c>
      <c r="H7" s="39" t="s">
        <v>281</v>
      </c>
      <c r="I7" s="33"/>
    </row>
    <row r="8" spans="1:9" ht="30.6" x14ac:dyDescent="0.25">
      <c r="A8" s="32" t="s">
        <v>259</v>
      </c>
      <c r="B8" s="33" t="s">
        <v>91</v>
      </c>
      <c r="C8" s="34">
        <v>3</v>
      </c>
      <c r="D8" s="36">
        <v>1</v>
      </c>
      <c r="E8" s="36">
        <v>0</v>
      </c>
      <c r="F8" s="36"/>
      <c r="G8" s="35"/>
      <c r="H8" s="37" t="s">
        <v>285</v>
      </c>
      <c r="I8" s="33" t="s">
        <v>424</v>
      </c>
    </row>
    <row r="9" spans="1:9" ht="20.25" customHeight="1" x14ac:dyDescent="0.25">
      <c r="A9" s="32" t="s">
        <v>251</v>
      </c>
      <c r="B9" s="33" t="s">
        <v>91</v>
      </c>
      <c r="C9" s="34">
        <v>2</v>
      </c>
      <c r="D9" s="36">
        <v>11</v>
      </c>
      <c r="E9" s="36">
        <v>10</v>
      </c>
      <c r="F9" s="36">
        <v>103</v>
      </c>
      <c r="G9" s="35" t="s">
        <v>269</v>
      </c>
      <c r="H9" s="37" t="s">
        <v>281</v>
      </c>
      <c r="I9" s="33"/>
    </row>
    <row r="10" spans="1:9" ht="40.799999999999997" x14ac:dyDescent="0.25">
      <c r="A10" s="32" t="s">
        <v>256</v>
      </c>
      <c r="B10" s="33" t="s">
        <v>91</v>
      </c>
      <c r="C10" s="34">
        <v>3</v>
      </c>
      <c r="D10" s="36">
        <v>10</v>
      </c>
      <c r="E10" s="36">
        <v>4</v>
      </c>
      <c r="F10" s="36">
        <v>53</v>
      </c>
      <c r="G10" s="35" t="s">
        <v>271</v>
      </c>
      <c r="H10" s="39" t="s">
        <v>281</v>
      </c>
      <c r="I10" s="33" t="s">
        <v>441</v>
      </c>
    </row>
    <row r="11" spans="1:9" ht="20.399999999999999" x14ac:dyDescent="0.25">
      <c r="A11" s="32" t="s">
        <v>255</v>
      </c>
      <c r="B11" s="33" t="s">
        <v>91</v>
      </c>
      <c r="C11" s="34">
        <v>3</v>
      </c>
      <c r="D11" s="36">
        <v>10</v>
      </c>
      <c r="E11" s="36">
        <v>2</v>
      </c>
      <c r="F11" s="36">
        <v>20</v>
      </c>
      <c r="G11" s="35"/>
      <c r="H11" s="37" t="s">
        <v>285</v>
      </c>
      <c r="I11" s="33" t="s">
        <v>435</v>
      </c>
    </row>
    <row r="12" spans="1:9" ht="20.399999999999999" x14ac:dyDescent="0.25">
      <c r="A12" s="32" t="s">
        <v>249</v>
      </c>
      <c r="B12" s="33" t="s">
        <v>91</v>
      </c>
      <c r="C12" s="34">
        <v>3</v>
      </c>
      <c r="D12" s="36">
        <v>7</v>
      </c>
      <c r="E12" s="36">
        <v>3</v>
      </c>
      <c r="F12" s="36">
        <v>113</v>
      </c>
      <c r="G12" s="35"/>
      <c r="H12" s="37" t="s">
        <v>285</v>
      </c>
      <c r="I12" s="33" t="s">
        <v>414</v>
      </c>
    </row>
    <row r="13" spans="1:9" ht="18" customHeight="1" x14ac:dyDescent="0.25">
      <c r="A13" s="32" t="s">
        <v>253</v>
      </c>
      <c r="B13" s="33" t="s">
        <v>91</v>
      </c>
      <c r="C13" s="34">
        <v>2</v>
      </c>
      <c r="D13" s="36">
        <v>11</v>
      </c>
      <c r="E13" s="36">
        <v>11</v>
      </c>
      <c r="F13" s="36">
        <v>108</v>
      </c>
      <c r="G13" s="35" t="s">
        <v>269</v>
      </c>
      <c r="H13" s="39" t="s">
        <v>281</v>
      </c>
      <c r="I13" s="33"/>
    </row>
    <row r="14" spans="1:9" ht="20.25" customHeight="1" x14ac:dyDescent="0.25"/>
    <row r="15" spans="1:9" s="41" customFormat="1" ht="21.75" customHeight="1" x14ac:dyDescent="0.3">
      <c r="A15" s="40" t="s">
        <v>93</v>
      </c>
    </row>
    <row r="16" spans="1:9" ht="30.6" x14ac:dyDescent="0.25">
      <c r="A16" s="30" t="s">
        <v>41</v>
      </c>
      <c r="B16" s="30" t="s">
        <v>42</v>
      </c>
      <c r="C16" s="31" t="s">
        <v>292</v>
      </c>
      <c r="D16" s="30" t="s">
        <v>412</v>
      </c>
      <c r="E16" s="30" t="s">
        <v>316</v>
      </c>
      <c r="F16" s="30" t="s">
        <v>317</v>
      </c>
      <c r="G16" s="30" t="s">
        <v>273</v>
      </c>
      <c r="H16" s="30" t="s">
        <v>318</v>
      </c>
      <c r="I16" s="30" t="s">
        <v>276</v>
      </c>
    </row>
    <row r="17" spans="1:9" ht="20.399999999999999" x14ac:dyDescent="0.25">
      <c r="A17" s="32" t="s">
        <v>250</v>
      </c>
      <c r="B17" s="33" t="s">
        <v>93</v>
      </c>
      <c r="C17" s="34">
        <v>3</v>
      </c>
      <c r="D17" s="36">
        <v>8</v>
      </c>
      <c r="E17" s="36">
        <v>7</v>
      </c>
      <c r="F17" s="36">
        <v>109</v>
      </c>
      <c r="G17" s="35"/>
      <c r="H17" s="37" t="s">
        <v>285</v>
      </c>
      <c r="I17" s="33" t="s">
        <v>429</v>
      </c>
    </row>
    <row r="18" spans="1:9" ht="20.399999999999999" x14ac:dyDescent="0.25">
      <c r="A18" s="32" t="s">
        <v>252</v>
      </c>
      <c r="B18" s="33" t="s">
        <v>93</v>
      </c>
      <c r="C18" s="34">
        <v>2</v>
      </c>
      <c r="D18" s="36">
        <v>11</v>
      </c>
      <c r="E18" s="36">
        <v>11</v>
      </c>
      <c r="F18" s="36">
        <v>897</v>
      </c>
      <c r="G18" s="35" t="s">
        <v>269</v>
      </c>
      <c r="H18" s="37" t="s">
        <v>281</v>
      </c>
      <c r="I18" s="38" t="s">
        <v>1</v>
      </c>
    </row>
    <row r="19" spans="1:9" ht="20.399999999999999" x14ac:dyDescent="0.25">
      <c r="A19" s="32" t="s">
        <v>248</v>
      </c>
      <c r="B19" s="33" t="s">
        <v>93</v>
      </c>
      <c r="C19" s="34">
        <v>3</v>
      </c>
      <c r="D19" s="36">
        <v>9</v>
      </c>
      <c r="E19" s="36">
        <v>5</v>
      </c>
      <c r="F19" s="36">
        <v>314</v>
      </c>
      <c r="G19" s="35"/>
      <c r="H19" s="37" t="s">
        <v>285</v>
      </c>
      <c r="I19" s="38" t="s">
        <v>418</v>
      </c>
    </row>
    <row r="20" spans="1:9" ht="20.399999999999999" x14ac:dyDescent="0.25">
      <c r="A20" s="32" t="s">
        <v>260</v>
      </c>
      <c r="B20" s="33" t="s">
        <v>93</v>
      </c>
      <c r="C20" s="34">
        <v>3</v>
      </c>
      <c r="D20" s="36">
        <v>9</v>
      </c>
      <c r="E20" s="36">
        <v>8</v>
      </c>
      <c r="F20" s="36">
        <v>46</v>
      </c>
      <c r="G20" s="35"/>
      <c r="H20" s="39" t="s">
        <v>285</v>
      </c>
      <c r="I20" s="38" t="s">
        <v>421</v>
      </c>
    </row>
    <row r="21" spans="1:9" ht="20.399999999999999" x14ac:dyDescent="0.25">
      <c r="A21" s="32" t="s">
        <v>261</v>
      </c>
      <c r="B21" s="33" t="s">
        <v>93</v>
      </c>
      <c r="C21" s="34">
        <v>5</v>
      </c>
      <c r="D21" s="36">
        <v>3</v>
      </c>
      <c r="E21" s="36">
        <v>2</v>
      </c>
      <c r="F21" s="36">
        <v>127</v>
      </c>
      <c r="G21" s="35"/>
      <c r="H21" s="39" t="s">
        <v>280</v>
      </c>
      <c r="I21" s="38" t="s">
        <v>422</v>
      </c>
    </row>
    <row r="22" spans="1:9" ht="30.6" x14ac:dyDescent="0.25">
      <c r="A22" s="32" t="s">
        <v>257</v>
      </c>
      <c r="B22" s="33" t="s">
        <v>93</v>
      </c>
      <c r="C22" s="34">
        <v>3</v>
      </c>
      <c r="D22" s="36">
        <v>10</v>
      </c>
      <c r="E22" s="36">
        <v>7</v>
      </c>
      <c r="F22" s="36">
        <v>186</v>
      </c>
      <c r="G22" s="35"/>
      <c r="H22" s="37" t="s">
        <v>285</v>
      </c>
      <c r="I22" s="33" t="s">
        <v>432</v>
      </c>
    </row>
    <row r="23" spans="1:9" ht="20.399999999999999" x14ac:dyDescent="0.25">
      <c r="A23" s="32" t="s">
        <v>258</v>
      </c>
      <c r="B23" s="33" t="s">
        <v>93</v>
      </c>
      <c r="C23" s="34">
        <v>5</v>
      </c>
      <c r="D23" s="36">
        <v>4</v>
      </c>
      <c r="E23" s="36">
        <v>0</v>
      </c>
      <c r="F23" s="36"/>
      <c r="G23" s="35"/>
      <c r="H23" s="33" t="s">
        <v>280</v>
      </c>
      <c r="I23" s="33" t="s">
        <v>423</v>
      </c>
    </row>
    <row r="24" spans="1:9" ht="30.6" x14ac:dyDescent="0.25">
      <c r="A24" s="32" t="s">
        <v>259</v>
      </c>
      <c r="B24" s="33" t="s">
        <v>93</v>
      </c>
      <c r="C24" s="34">
        <v>3</v>
      </c>
      <c r="D24" s="36">
        <v>1</v>
      </c>
      <c r="E24" s="36">
        <v>1</v>
      </c>
      <c r="F24" s="36">
        <v>3</v>
      </c>
      <c r="G24" s="35"/>
      <c r="H24" s="37" t="s">
        <v>285</v>
      </c>
      <c r="I24" s="33" t="s">
        <v>424</v>
      </c>
    </row>
    <row r="25" spans="1:9" ht="20.399999999999999" x14ac:dyDescent="0.25">
      <c r="A25" s="32" t="s">
        <v>251</v>
      </c>
      <c r="B25" s="33" t="s">
        <v>93</v>
      </c>
      <c r="C25" s="34">
        <v>2</v>
      </c>
      <c r="D25" s="36">
        <v>11</v>
      </c>
      <c r="E25" s="36">
        <v>11</v>
      </c>
      <c r="F25" s="36">
        <v>1801</v>
      </c>
      <c r="G25" s="35" t="s">
        <v>269</v>
      </c>
      <c r="H25" s="37" t="s">
        <v>281</v>
      </c>
      <c r="I25" s="38" t="s">
        <v>1</v>
      </c>
    </row>
    <row r="26" spans="1:9" ht="40.799999999999997" x14ac:dyDescent="0.25">
      <c r="A26" s="32" t="s">
        <v>256</v>
      </c>
      <c r="B26" s="33" t="s">
        <v>93</v>
      </c>
      <c r="C26" s="34">
        <v>3</v>
      </c>
      <c r="D26" s="36">
        <v>10</v>
      </c>
      <c r="E26" s="36">
        <v>9</v>
      </c>
      <c r="F26" s="36">
        <v>133</v>
      </c>
      <c r="G26" s="35" t="s">
        <v>271</v>
      </c>
      <c r="H26" s="37" t="s">
        <v>281</v>
      </c>
      <c r="I26" s="38" t="s">
        <v>440</v>
      </c>
    </row>
    <row r="27" spans="1:9" ht="20.399999999999999" x14ac:dyDescent="0.25">
      <c r="A27" s="32" t="s">
        <v>255</v>
      </c>
      <c r="B27" s="33" t="s">
        <v>93</v>
      </c>
      <c r="C27" s="34">
        <v>3</v>
      </c>
      <c r="D27" s="36">
        <v>10</v>
      </c>
      <c r="E27" s="36">
        <v>7</v>
      </c>
      <c r="F27" s="36">
        <v>290</v>
      </c>
      <c r="G27" s="35"/>
      <c r="H27" s="39" t="s">
        <v>285</v>
      </c>
      <c r="I27" s="38" t="s">
        <v>426</v>
      </c>
    </row>
    <row r="28" spans="1:9" ht="30.6" x14ac:dyDescent="0.25">
      <c r="A28" s="30" t="s">
        <v>41</v>
      </c>
      <c r="B28" s="30" t="s">
        <v>42</v>
      </c>
      <c r="C28" s="31" t="s">
        <v>292</v>
      </c>
      <c r="D28" s="30" t="s">
        <v>412</v>
      </c>
      <c r="E28" s="30" t="s">
        <v>316</v>
      </c>
      <c r="F28" s="30" t="s">
        <v>317</v>
      </c>
      <c r="G28" s="30" t="s">
        <v>273</v>
      </c>
      <c r="H28" s="30" t="s">
        <v>318</v>
      </c>
      <c r="I28" s="30" t="s">
        <v>276</v>
      </c>
    </row>
    <row r="29" spans="1:9" ht="40.799999999999997" x14ac:dyDescent="0.25">
      <c r="A29" s="32" t="s">
        <v>265</v>
      </c>
      <c r="B29" s="33" t="s">
        <v>93</v>
      </c>
      <c r="C29" s="34">
        <v>3</v>
      </c>
      <c r="D29" s="36">
        <v>7</v>
      </c>
      <c r="E29" s="36">
        <v>7</v>
      </c>
      <c r="F29" s="36">
        <v>758</v>
      </c>
      <c r="G29" s="35" t="s">
        <v>271</v>
      </c>
      <c r="H29" s="39" t="s">
        <v>281</v>
      </c>
      <c r="I29" s="38" t="s">
        <v>437</v>
      </c>
    </row>
    <row r="30" spans="1:9" ht="20.399999999999999" x14ac:dyDescent="0.25">
      <c r="A30" s="32" t="s">
        <v>249</v>
      </c>
      <c r="B30" s="33" t="s">
        <v>93</v>
      </c>
      <c r="C30" s="34">
        <v>3</v>
      </c>
      <c r="D30" s="36">
        <v>7</v>
      </c>
      <c r="E30" s="36">
        <v>6</v>
      </c>
      <c r="F30" s="36">
        <v>528</v>
      </c>
      <c r="G30" s="35"/>
      <c r="H30" s="37" t="s">
        <v>285</v>
      </c>
      <c r="I30" s="33" t="s">
        <v>417</v>
      </c>
    </row>
    <row r="31" spans="1:9" ht="20.399999999999999" x14ac:dyDescent="0.25">
      <c r="A31" s="32" t="s">
        <v>266</v>
      </c>
      <c r="B31" s="33" t="s">
        <v>93</v>
      </c>
      <c r="C31" s="34">
        <v>5</v>
      </c>
      <c r="D31" s="36">
        <v>4</v>
      </c>
      <c r="E31" s="36">
        <v>4</v>
      </c>
      <c r="F31" s="36">
        <v>180</v>
      </c>
      <c r="G31" s="35"/>
      <c r="H31" s="33" t="s">
        <v>280</v>
      </c>
      <c r="I31" s="33" t="s">
        <v>436</v>
      </c>
    </row>
    <row r="32" spans="1:9" ht="20.399999999999999" x14ac:dyDescent="0.25">
      <c r="A32" s="32" t="s">
        <v>253</v>
      </c>
      <c r="B32" s="33" t="s">
        <v>93</v>
      </c>
      <c r="C32" s="34">
        <v>2</v>
      </c>
      <c r="D32" s="36">
        <v>11</v>
      </c>
      <c r="E32" s="36">
        <v>11</v>
      </c>
      <c r="F32" s="36">
        <v>1915</v>
      </c>
      <c r="G32" s="35" t="s">
        <v>269</v>
      </c>
      <c r="H32" s="37" t="s">
        <v>281</v>
      </c>
      <c r="I32" s="33" t="s">
        <v>1</v>
      </c>
    </row>
    <row r="33" spans="1:9" ht="18" customHeight="1" x14ac:dyDescent="0.25">
      <c r="A33" s="32" t="s">
        <v>254</v>
      </c>
      <c r="B33" s="33" t="s">
        <v>93</v>
      </c>
      <c r="C33" s="34">
        <v>5</v>
      </c>
      <c r="D33" s="36">
        <v>5</v>
      </c>
      <c r="E33" s="36">
        <v>0</v>
      </c>
      <c r="F33" s="36"/>
      <c r="G33" s="35"/>
      <c r="H33" s="39" t="s">
        <v>280</v>
      </c>
      <c r="I33" s="33" t="s">
        <v>413</v>
      </c>
    </row>
    <row r="35" spans="1:9" ht="15.6" x14ac:dyDescent="0.3">
      <c r="A35" s="40" t="s">
        <v>95</v>
      </c>
    </row>
    <row r="36" spans="1:9" ht="30.6" x14ac:dyDescent="0.25">
      <c r="A36" s="30" t="s">
        <v>41</v>
      </c>
      <c r="B36" s="30" t="s">
        <v>42</v>
      </c>
      <c r="C36" s="31" t="s">
        <v>292</v>
      </c>
      <c r="D36" s="30" t="s">
        <v>412</v>
      </c>
      <c r="E36" s="30" t="s">
        <v>316</v>
      </c>
      <c r="F36" s="30" t="s">
        <v>317</v>
      </c>
      <c r="G36" s="30" t="s">
        <v>273</v>
      </c>
      <c r="H36" s="30" t="s">
        <v>318</v>
      </c>
      <c r="I36" s="30" t="s">
        <v>276</v>
      </c>
    </row>
    <row r="37" spans="1:9" ht="24" customHeight="1" x14ac:dyDescent="0.25">
      <c r="A37" s="32" t="s">
        <v>251</v>
      </c>
      <c r="B37" s="33" t="s">
        <v>95</v>
      </c>
      <c r="C37" s="34">
        <v>2</v>
      </c>
      <c r="D37" s="36">
        <v>11</v>
      </c>
      <c r="E37" s="36">
        <v>7</v>
      </c>
      <c r="F37" s="36">
        <v>9</v>
      </c>
      <c r="G37" s="35" t="s">
        <v>269</v>
      </c>
      <c r="H37" s="37" t="s">
        <v>281</v>
      </c>
      <c r="I37" s="33"/>
    </row>
    <row r="38" spans="1:9" ht="24" customHeight="1" x14ac:dyDescent="0.25">
      <c r="A38" s="32" t="s">
        <v>253</v>
      </c>
      <c r="B38" s="33" t="s">
        <v>95</v>
      </c>
      <c r="C38" s="34">
        <v>2</v>
      </c>
      <c r="D38" s="36">
        <v>11</v>
      </c>
      <c r="E38" s="36">
        <v>7</v>
      </c>
      <c r="F38" s="36">
        <v>7</v>
      </c>
      <c r="G38" s="35" t="s">
        <v>269</v>
      </c>
      <c r="H38" s="37" t="s">
        <v>281</v>
      </c>
      <c r="I38" s="33"/>
    </row>
    <row r="40" spans="1:9" ht="15.6" x14ac:dyDescent="0.3">
      <c r="A40" s="40" t="s">
        <v>96</v>
      </c>
    </row>
    <row r="41" spans="1:9" ht="30.6" x14ac:dyDescent="0.25">
      <c r="A41" s="30" t="s">
        <v>41</v>
      </c>
      <c r="B41" s="30" t="s">
        <v>42</v>
      </c>
      <c r="C41" s="31" t="s">
        <v>292</v>
      </c>
      <c r="D41" s="30" t="s">
        <v>412</v>
      </c>
      <c r="E41" s="30" t="s">
        <v>316</v>
      </c>
      <c r="F41" s="30" t="s">
        <v>317</v>
      </c>
      <c r="G41" s="30" t="s">
        <v>273</v>
      </c>
      <c r="H41" s="30" t="s">
        <v>318</v>
      </c>
      <c r="I41" s="30" t="s">
        <v>276</v>
      </c>
    </row>
    <row r="42" spans="1:9" ht="20.399999999999999" x14ac:dyDescent="0.25">
      <c r="A42" s="32" t="s">
        <v>250</v>
      </c>
      <c r="B42" s="33" t="s">
        <v>96</v>
      </c>
      <c r="C42" s="34">
        <v>3</v>
      </c>
      <c r="D42" s="36">
        <v>8</v>
      </c>
      <c r="E42" s="36">
        <v>7</v>
      </c>
      <c r="F42" s="36">
        <v>2191</v>
      </c>
      <c r="G42" s="35"/>
      <c r="H42" s="37" t="s">
        <v>285</v>
      </c>
      <c r="I42" s="38" t="s">
        <v>430</v>
      </c>
    </row>
    <row r="43" spans="1:9" ht="20.399999999999999" x14ac:dyDescent="0.25">
      <c r="A43" s="32" t="s">
        <v>252</v>
      </c>
      <c r="B43" s="33" t="s">
        <v>96</v>
      </c>
      <c r="C43" s="34">
        <v>2</v>
      </c>
      <c r="D43" s="36">
        <v>11</v>
      </c>
      <c r="E43" s="36">
        <v>11</v>
      </c>
      <c r="F43" s="36">
        <v>4191</v>
      </c>
      <c r="G43" s="35" t="s">
        <v>269</v>
      </c>
      <c r="H43" s="37" t="s">
        <v>281</v>
      </c>
      <c r="I43" s="38" t="s">
        <v>1</v>
      </c>
    </row>
    <row r="44" spans="1:9" ht="20.399999999999999" x14ac:dyDescent="0.25">
      <c r="A44" s="32" t="s">
        <v>248</v>
      </c>
      <c r="B44" s="33" t="s">
        <v>96</v>
      </c>
      <c r="C44" s="34">
        <v>3</v>
      </c>
      <c r="D44" s="36">
        <v>9</v>
      </c>
      <c r="E44" s="36">
        <v>9</v>
      </c>
      <c r="F44" s="36">
        <v>1382</v>
      </c>
      <c r="G44" s="35"/>
      <c r="H44" s="37" t="s">
        <v>285</v>
      </c>
      <c r="I44" s="38" t="s">
        <v>419</v>
      </c>
    </row>
    <row r="45" spans="1:9" ht="20.399999999999999" x14ac:dyDescent="0.25">
      <c r="A45" s="32" t="s">
        <v>260</v>
      </c>
      <c r="B45" s="33" t="s">
        <v>96</v>
      </c>
      <c r="C45" s="34">
        <v>3</v>
      </c>
      <c r="D45" s="36">
        <v>9</v>
      </c>
      <c r="E45" s="36">
        <v>8</v>
      </c>
      <c r="F45" s="36">
        <v>5623</v>
      </c>
      <c r="G45" s="35"/>
      <c r="H45" s="39" t="s">
        <v>285</v>
      </c>
      <c r="I45" s="38" t="s">
        <v>420</v>
      </c>
    </row>
    <row r="46" spans="1:9" ht="20.399999999999999" x14ac:dyDescent="0.25">
      <c r="A46" s="32" t="s">
        <v>261</v>
      </c>
      <c r="B46" s="33" t="s">
        <v>96</v>
      </c>
      <c r="C46" s="34">
        <v>5</v>
      </c>
      <c r="D46" s="36">
        <v>3</v>
      </c>
      <c r="E46" s="36">
        <v>3</v>
      </c>
      <c r="F46" s="36">
        <v>1680</v>
      </c>
      <c r="G46" s="35"/>
      <c r="H46" s="37" t="s">
        <v>280</v>
      </c>
      <c r="I46" s="33" t="s">
        <v>422</v>
      </c>
    </row>
    <row r="47" spans="1:9" ht="30.6" x14ac:dyDescent="0.25">
      <c r="A47" s="32" t="s">
        <v>257</v>
      </c>
      <c r="B47" s="33" t="s">
        <v>96</v>
      </c>
      <c r="C47" s="34">
        <v>3</v>
      </c>
      <c r="D47" s="36">
        <v>10</v>
      </c>
      <c r="E47" s="36">
        <v>8</v>
      </c>
      <c r="F47" s="36">
        <v>2780</v>
      </c>
      <c r="G47" s="35"/>
      <c r="H47" s="33" t="s">
        <v>285</v>
      </c>
      <c r="I47" s="33" t="s">
        <v>433</v>
      </c>
    </row>
    <row r="48" spans="1:9" ht="20.399999999999999" x14ac:dyDescent="0.25">
      <c r="A48" s="32" t="s">
        <v>258</v>
      </c>
      <c r="B48" s="33" t="s">
        <v>96</v>
      </c>
      <c r="C48" s="34">
        <v>5</v>
      </c>
      <c r="D48" s="36">
        <v>4</v>
      </c>
      <c r="E48" s="36">
        <v>4</v>
      </c>
      <c r="F48" s="36">
        <v>249</v>
      </c>
      <c r="G48" s="35"/>
      <c r="H48" s="37" t="s">
        <v>280</v>
      </c>
      <c r="I48" s="33" t="s">
        <v>423</v>
      </c>
    </row>
    <row r="49" spans="1:9" ht="30.6" x14ac:dyDescent="0.25">
      <c r="A49" s="32" t="s">
        <v>259</v>
      </c>
      <c r="B49" s="33" t="s">
        <v>96</v>
      </c>
      <c r="C49" s="34">
        <v>3</v>
      </c>
      <c r="D49" s="36">
        <v>1</v>
      </c>
      <c r="E49" s="36">
        <v>0</v>
      </c>
      <c r="F49" s="36"/>
      <c r="G49" s="35"/>
      <c r="H49" s="39" t="s">
        <v>285</v>
      </c>
      <c r="I49" s="33" t="s">
        <v>424</v>
      </c>
    </row>
    <row r="50" spans="1:9" ht="20.399999999999999" x14ac:dyDescent="0.25">
      <c r="A50" s="32" t="s">
        <v>251</v>
      </c>
      <c r="B50" s="33" t="s">
        <v>96</v>
      </c>
      <c r="C50" s="34">
        <v>2</v>
      </c>
      <c r="D50" s="36">
        <v>11</v>
      </c>
      <c r="E50" s="36">
        <v>11</v>
      </c>
      <c r="F50" s="36">
        <v>8093</v>
      </c>
      <c r="G50" s="35" t="s">
        <v>269</v>
      </c>
      <c r="H50" s="37" t="s">
        <v>281</v>
      </c>
      <c r="I50" s="38" t="s">
        <v>1</v>
      </c>
    </row>
    <row r="51" spans="1:9" ht="40.799999999999997" x14ac:dyDescent="0.25">
      <c r="A51" s="32" t="s">
        <v>256</v>
      </c>
      <c r="B51" s="33" t="s">
        <v>96</v>
      </c>
      <c r="C51" s="34">
        <v>3</v>
      </c>
      <c r="D51" s="36">
        <v>10</v>
      </c>
      <c r="E51" s="36">
        <v>10</v>
      </c>
      <c r="F51" s="36">
        <v>4310</v>
      </c>
      <c r="G51" s="35" t="s">
        <v>271</v>
      </c>
      <c r="H51" s="37" t="s">
        <v>281</v>
      </c>
      <c r="I51" s="38" t="s">
        <v>439</v>
      </c>
    </row>
    <row r="52" spans="1:9" ht="20.399999999999999" x14ac:dyDescent="0.25">
      <c r="A52" s="32" t="s">
        <v>255</v>
      </c>
      <c r="B52" s="33" t="s">
        <v>96</v>
      </c>
      <c r="C52" s="34">
        <v>3</v>
      </c>
      <c r="D52" s="36">
        <v>10</v>
      </c>
      <c r="E52" s="36">
        <v>10</v>
      </c>
      <c r="F52" s="36">
        <v>4281</v>
      </c>
      <c r="G52" s="35"/>
      <c r="H52" s="39" t="s">
        <v>285</v>
      </c>
      <c r="I52" s="38" t="s">
        <v>427</v>
      </c>
    </row>
    <row r="53" spans="1:9" ht="30.6" x14ac:dyDescent="0.25">
      <c r="A53" s="30" t="s">
        <v>41</v>
      </c>
      <c r="B53" s="30" t="s">
        <v>42</v>
      </c>
      <c r="C53" s="31" t="s">
        <v>292</v>
      </c>
      <c r="D53" s="30" t="s">
        <v>412</v>
      </c>
      <c r="E53" s="30" t="s">
        <v>316</v>
      </c>
      <c r="F53" s="30" t="s">
        <v>317</v>
      </c>
      <c r="G53" s="30" t="s">
        <v>273</v>
      </c>
      <c r="H53" s="30" t="s">
        <v>318</v>
      </c>
      <c r="I53" s="30" t="s">
        <v>276</v>
      </c>
    </row>
    <row r="54" spans="1:9" ht="40.799999999999997" x14ac:dyDescent="0.25">
      <c r="A54" s="32" t="s">
        <v>265</v>
      </c>
      <c r="B54" s="33" t="s">
        <v>96</v>
      </c>
      <c r="C54" s="34">
        <v>3</v>
      </c>
      <c r="D54" s="36">
        <v>7</v>
      </c>
      <c r="E54" s="36">
        <v>7</v>
      </c>
      <c r="F54" s="36">
        <v>3974</v>
      </c>
      <c r="G54" s="35" t="s">
        <v>271</v>
      </c>
      <c r="H54" s="37" t="s">
        <v>281</v>
      </c>
      <c r="I54" s="33" t="s">
        <v>437</v>
      </c>
    </row>
    <row r="55" spans="1:9" ht="20.399999999999999" x14ac:dyDescent="0.25">
      <c r="A55" s="32" t="s">
        <v>249</v>
      </c>
      <c r="B55" s="33" t="s">
        <v>96</v>
      </c>
      <c r="C55" s="34">
        <v>3</v>
      </c>
      <c r="D55" s="36">
        <v>7</v>
      </c>
      <c r="E55" s="36">
        <v>7</v>
      </c>
      <c r="F55" s="36">
        <v>4251</v>
      </c>
      <c r="G55" s="35"/>
      <c r="H55" s="33" t="s">
        <v>285</v>
      </c>
      <c r="I55" s="33" t="s">
        <v>416</v>
      </c>
    </row>
    <row r="56" spans="1:9" ht="20.399999999999999" x14ac:dyDescent="0.25">
      <c r="A56" s="32" t="s">
        <v>266</v>
      </c>
      <c r="B56" s="33" t="s">
        <v>96</v>
      </c>
      <c r="C56" s="34">
        <v>5</v>
      </c>
      <c r="D56" s="36">
        <v>4</v>
      </c>
      <c r="E56" s="36">
        <v>4</v>
      </c>
      <c r="F56" s="36">
        <v>4393</v>
      </c>
      <c r="G56" s="35"/>
      <c r="H56" s="37" t="s">
        <v>280</v>
      </c>
      <c r="I56" s="33" t="s">
        <v>436</v>
      </c>
    </row>
    <row r="57" spans="1:9" ht="20.399999999999999" x14ac:dyDescent="0.25">
      <c r="A57" s="32" t="s">
        <v>253</v>
      </c>
      <c r="B57" s="33" t="s">
        <v>96</v>
      </c>
      <c r="C57" s="34">
        <v>2</v>
      </c>
      <c r="D57" s="36">
        <v>11</v>
      </c>
      <c r="E57" s="36">
        <v>11</v>
      </c>
      <c r="F57" s="36">
        <v>4483</v>
      </c>
      <c r="G57" s="35" t="s">
        <v>269</v>
      </c>
      <c r="H57" s="39" t="s">
        <v>281</v>
      </c>
      <c r="I57" s="33" t="s">
        <v>1</v>
      </c>
    </row>
    <row r="58" spans="1:9" ht="21" customHeight="1" x14ac:dyDescent="0.25">
      <c r="A58" s="32" t="s">
        <v>254</v>
      </c>
      <c r="B58" s="33" t="s">
        <v>96</v>
      </c>
      <c r="C58" s="34">
        <v>5</v>
      </c>
      <c r="D58" s="36">
        <v>5</v>
      </c>
      <c r="E58" s="36">
        <v>5</v>
      </c>
      <c r="F58" s="36">
        <v>73</v>
      </c>
      <c r="G58" s="35"/>
      <c r="H58" s="39" t="s">
        <v>280</v>
      </c>
      <c r="I58" s="33" t="s">
        <v>413</v>
      </c>
    </row>
    <row r="60" spans="1:9" ht="15.6" x14ac:dyDescent="0.3">
      <c r="A60" s="40" t="s">
        <v>97</v>
      </c>
    </row>
    <row r="61" spans="1:9" ht="30.6" x14ac:dyDescent="0.25">
      <c r="A61" s="30" t="s">
        <v>41</v>
      </c>
      <c r="B61" s="30" t="s">
        <v>42</v>
      </c>
      <c r="C61" s="31" t="s">
        <v>292</v>
      </c>
      <c r="D61" s="30" t="s">
        <v>412</v>
      </c>
      <c r="E61" s="30" t="s">
        <v>316</v>
      </c>
      <c r="F61" s="30" t="s">
        <v>317</v>
      </c>
      <c r="G61" s="30" t="s">
        <v>273</v>
      </c>
      <c r="H61" s="30" t="s">
        <v>318</v>
      </c>
      <c r="I61" s="30" t="s">
        <v>276</v>
      </c>
    </row>
    <row r="62" spans="1:9" ht="20.399999999999999" x14ac:dyDescent="0.25">
      <c r="A62" s="32" t="s">
        <v>250</v>
      </c>
      <c r="B62" s="33" t="s">
        <v>97</v>
      </c>
      <c r="C62" s="34">
        <v>3</v>
      </c>
      <c r="D62" s="36">
        <v>8</v>
      </c>
      <c r="E62" s="36">
        <v>3</v>
      </c>
      <c r="F62" s="36"/>
      <c r="G62" s="35"/>
      <c r="H62" s="37" t="s">
        <v>285</v>
      </c>
      <c r="I62" s="38" t="s">
        <v>431</v>
      </c>
    </row>
    <row r="63" spans="1:9" ht="20.399999999999999" x14ac:dyDescent="0.25">
      <c r="A63" s="32" t="s">
        <v>252</v>
      </c>
      <c r="B63" s="33" t="s">
        <v>97</v>
      </c>
      <c r="C63" s="34">
        <v>2</v>
      </c>
      <c r="D63" s="36">
        <v>11</v>
      </c>
      <c r="E63" s="36">
        <v>11</v>
      </c>
      <c r="F63" s="36">
        <v>244</v>
      </c>
      <c r="G63" s="35" t="s">
        <v>269</v>
      </c>
      <c r="H63" s="39" t="s">
        <v>281</v>
      </c>
      <c r="I63" s="38" t="s">
        <v>1</v>
      </c>
    </row>
    <row r="64" spans="1:9" ht="30.6" x14ac:dyDescent="0.25">
      <c r="A64" s="32" t="s">
        <v>257</v>
      </c>
      <c r="B64" s="33" t="s">
        <v>97</v>
      </c>
      <c r="C64" s="34">
        <v>3</v>
      </c>
      <c r="D64" s="36">
        <v>10</v>
      </c>
      <c r="E64" s="36">
        <v>4</v>
      </c>
      <c r="F64" s="36">
        <v>10</v>
      </c>
      <c r="G64" s="35"/>
      <c r="H64" s="37" t="s">
        <v>285</v>
      </c>
      <c r="I64" s="33" t="s">
        <v>434</v>
      </c>
    </row>
    <row r="65" spans="1:9" ht="20.399999999999999" x14ac:dyDescent="0.25">
      <c r="A65" s="32" t="s">
        <v>251</v>
      </c>
      <c r="B65" s="33" t="s">
        <v>97</v>
      </c>
      <c r="C65" s="34">
        <v>2</v>
      </c>
      <c r="D65" s="36">
        <v>11</v>
      </c>
      <c r="E65" s="36">
        <v>11</v>
      </c>
      <c r="F65" s="36">
        <v>389</v>
      </c>
      <c r="G65" s="35" t="s">
        <v>269</v>
      </c>
      <c r="H65" s="33" t="s">
        <v>281</v>
      </c>
      <c r="I65" s="33" t="s">
        <v>1</v>
      </c>
    </row>
    <row r="66" spans="1:9" ht="40.799999999999997" x14ac:dyDescent="0.25">
      <c r="A66" s="32" t="s">
        <v>256</v>
      </c>
      <c r="B66" s="33" t="s">
        <v>97</v>
      </c>
      <c r="C66" s="34">
        <v>3</v>
      </c>
      <c r="D66" s="36">
        <v>10</v>
      </c>
      <c r="E66" s="36">
        <v>6</v>
      </c>
      <c r="F66" s="36">
        <v>50</v>
      </c>
      <c r="G66" s="35" t="s">
        <v>271</v>
      </c>
      <c r="H66" s="39" t="s">
        <v>281</v>
      </c>
      <c r="I66" s="38" t="s">
        <v>438</v>
      </c>
    </row>
    <row r="67" spans="1:9" ht="20.399999999999999" x14ac:dyDescent="0.25">
      <c r="A67" s="32" t="s">
        <v>255</v>
      </c>
      <c r="B67" s="33" t="s">
        <v>97</v>
      </c>
      <c r="C67" s="34">
        <v>3</v>
      </c>
      <c r="D67" s="36">
        <v>10</v>
      </c>
      <c r="E67" s="36">
        <v>7</v>
      </c>
      <c r="F67" s="36">
        <v>29</v>
      </c>
      <c r="G67" s="35"/>
      <c r="H67" s="37" t="s">
        <v>285</v>
      </c>
      <c r="I67" s="33" t="s">
        <v>425</v>
      </c>
    </row>
    <row r="68" spans="1:9" ht="40.799999999999997" x14ac:dyDescent="0.25">
      <c r="A68" s="32" t="s">
        <v>265</v>
      </c>
      <c r="B68" s="33" t="s">
        <v>97</v>
      </c>
      <c r="C68" s="34">
        <v>3</v>
      </c>
      <c r="D68" s="36">
        <v>7</v>
      </c>
      <c r="E68" s="36">
        <v>7</v>
      </c>
      <c r="F68" s="36">
        <v>17</v>
      </c>
      <c r="G68" s="35" t="s">
        <v>271</v>
      </c>
      <c r="H68" s="33" t="s">
        <v>281</v>
      </c>
      <c r="I68" s="33" t="s">
        <v>437</v>
      </c>
    </row>
    <row r="69" spans="1:9" ht="20.399999999999999" x14ac:dyDescent="0.25">
      <c r="A69" s="32" t="s">
        <v>249</v>
      </c>
      <c r="B69" s="33" t="s">
        <v>97</v>
      </c>
      <c r="C69" s="34">
        <v>3</v>
      </c>
      <c r="D69" s="36">
        <v>7</v>
      </c>
      <c r="E69" s="36">
        <v>2</v>
      </c>
      <c r="F69" s="36">
        <v>5</v>
      </c>
      <c r="G69" s="35"/>
      <c r="H69" s="39" t="s">
        <v>285</v>
      </c>
      <c r="I69" s="33" t="s">
        <v>415</v>
      </c>
    </row>
    <row r="70" spans="1:9" ht="20.399999999999999" x14ac:dyDescent="0.25">
      <c r="A70" s="32" t="s">
        <v>266</v>
      </c>
      <c r="B70" s="33" t="s">
        <v>97</v>
      </c>
      <c r="C70" s="34">
        <v>5</v>
      </c>
      <c r="D70" s="36">
        <v>4</v>
      </c>
      <c r="E70" s="36">
        <v>4</v>
      </c>
      <c r="F70" s="36">
        <v>53</v>
      </c>
      <c r="G70" s="35"/>
      <c r="H70" s="37" t="s">
        <v>280</v>
      </c>
      <c r="I70" s="33" t="s">
        <v>436</v>
      </c>
    </row>
    <row r="71" spans="1:9" ht="20.399999999999999" x14ac:dyDescent="0.25">
      <c r="A71" s="32" t="s">
        <v>253</v>
      </c>
      <c r="B71" s="33" t="s">
        <v>97</v>
      </c>
      <c r="C71" s="34">
        <v>2</v>
      </c>
      <c r="D71" s="36">
        <v>11</v>
      </c>
      <c r="E71" s="36">
        <v>11</v>
      </c>
      <c r="F71" s="36">
        <v>519</v>
      </c>
      <c r="G71" s="35" t="s">
        <v>269</v>
      </c>
      <c r="H71" s="37" t="s">
        <v>281</v>
      </c>
      <c r="I71" s="33" t="s">
        <v>1</v>
      </c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51"/>
  <sheetViews>
    <sheetView topLeftCell="A25" workbookViewId="0">
      <selection activeCell="B54" sqref="B54"/>
    </sheetView>
  </sheetViews>
  <sheetFormatPr defaultRowHeight="13.2" x14ac:dyDescent="0.25"/>
  <cols>
    <col min="1" max="1" width="19.6640625" customWidth="1"/>
    <col min="2" max="2" width="7.33203125" bestFit="1" customWidth="1"/>
    <col min="3" max="3" width="12.109375" customWidth="1"/>
    <col min="4" max="6" width="8.44140625" customWidth="1"/>
    <col min="7" max="7" width="34.44140625" customWidth="1"/>
    <col min="8" max="8" width="27.44140625" customWidth="1"/>
    <col min="9" max="9" width="38.33203125" customWidth="1"/>
  </cols>
  <sheetData>
    <row r="1" spans="1:9" ht="20.25" customHeight="1" x14ac:dyDescent="0.25">
      <c r="A1" s="43" t="s">
        <v>320</v>
      </c>
      <c r="G1" s="42"/>
    </row>
    <row r="2" spans="1:9" ht="15.6" x14ac:dyDescent="0.3">
      <c r="A2" s="40" t="s">
        <v>367</v>
      </c>
    </row>
    <row r="3" spans="1:9" x14ac:dyDescent="0.25">
      <c r="A3" s="1"/>
    </row>
    <row r="4" spans="1:9" s="41" customFormat="1" ht="15.6" x14ac:dyDescent="0.3">
      <c r="A4" s="40" t="s">
        <v>91</v>
      </c>
    </row>
    <row r="5" spans="1:9" ht="30.6" x14ac:dyDescent="0.25">
      <c r="A5" s="30" t="s">
        <v>41</v>
      </c>
      <c r="B5" s="30" t="s">
        <v>42</v>
      </c>
      <c r="C5" s="31" t="s">
        <v>292</v>
      </c>
      <c r="D5" s="30" t="s">
        <v>412</v>
      </c>
      <c r="E5" s="30" t="s">
        <v>316</v>
      </c>
      <c r="F5" s="30" t="s">
        <v>317</v>
      </c>
      <c r="G5" s="30" t="s">
        <v>273</v>
      </c>
      <c r="H5" s="30" t="s">
        <v>318</v>
      </c>
      <c r="I5" s="30" t="s">
        <v>276</v>
      </c>
    </row>
    <row r="6" spans="1:9" ht="30.6" x14ac:dyDescent="0.25">
      <c r="A6" s="32" t="s">
        <v>275</v>
      </c>
      <c r="B6" s="33" t="s">
        <v>91</v>
      </c>
      <c r="C6" s="34">
        <v>3</v>
      </c>
      <c r="D6" s="36">
        <v>10</v>
      </c>
      <c r="E6" s="36">
        <v>10</v>
      </c>
      <c r="F6" s="36">
        <v>19</v>
      </c>
      <c r="G6" s="35" t="s">
        <v>270</v>
      </c>
      <c r="H6" s="37" t="s">
        <v>281</v>
      </c>
      <c r="I6" s="33" t="s">
        <v>366</v>
      </c>
    </row>
    <row r="7" spans="1:9" x14ac:dyDescent="0.25">
      <c r="A7" s="32" t="s">
        <v>17</v>
      </c>
      <c r="B7" s="33" t="s">
        <v>91</v>
      </c>
      <c r="C7" s="34">
        <v>2</v>
      </c>
      <c r="D7" s="36">
        <v>11</v>
      </c>
      <c r="E7" s="36">
        <v>2</v>
      </c>
      <c r="F7" s="36">
        <v>2</v>
      </c>
      <c r="G7" s="35" t="s">
        <v>269</v>
      </c>
      <c r="H7" s="39" t="s">
        <v>281</v>
      </c>
      <c r="I7" s="33" t="s">
        <v>364</v>
      </c>
    </row>
    <row r="9" spans="1:9" s="41" customFormat="1" ht="15.6" x14ac:dyDescent="0.3">
      <c r="A9" s="40" t="s">
        <v>93</v>
      </c>
    </row>
    <row r="10" spans="1:9" ht="30.6" x14ac:dyDescent="0.25">
      <c r="A10" s="30" t="s">
        <v>41</v>
      </c>
      <c r="B10" s="30" t="s">
        <v>42</v>
      </c>
      <c r="C10" s="31" t="s">
        <v>292</v>
      </c>
      <c r="D10" s="30" t="s">
        <v>412</v>
      </c>
      <c r="E10" s="30" t="s">
        <v>316</v>
      </c>
      <c r="F10" s="30" t="s">
        <v>317</v>
      </c>
      <c r="G10" s="30" t="s">
        <v>273</v>
      </c>
      <c r="H10" s="30" t="s">
        <v>318</v>
      </c>
      <c r="I10" s="30" t="s">
        <v>276</v>
      </c>
    </row>
    <row r="11" spans="1:9" ht="20.399999999999999" x14ac:dyDescent="0.25">
      <c r="A11" s="32" t="s">
        <v>16</v>
      </c>
      <c r="B11" s="33" t="s">
        <v>93</v>
      </c>
      <c r="C11" s="34">
        <v>3</v>
      </c>
      <c r="D11" s="36">
        <v>7</v>
      </c>
      <c r="E11" s="36">
        <v>7</v>
      </c>
      <c r="F11" s="36">
        <v>213</v>
      </c>
      <c r="G11" s="35"/>
      <c r="H11" s="37" t="s">
        <v>285</v>
      </c>
      <c r="I11" s="33" t="s">
        <v>365</v>
      </c>
    </row>
    <row r="12" spans="1:9" ht="30.6" x14ac:dyDescent="0.25">
      <c r="A12" s="32" t="s">
        <v>275</v>
      </c>
      <c r="B12" s="33" t="s">
        <v>93</v>
      </c>
      <c r="C12" s="34">
        <v>3</v>
      </c>
      <c r="D12" s="36">
        <v>10</v>
      </c>
      <c r="E12" s="36">
        <v>10</v>
      </c>
      <c r="F12" s="36">
        <v>1240</v>
      </c>
      <c r="G12" s="35" t="s">
        <v>270</v>
      </c>
      <c r="H12" s="37" t="s">
        <v>281</v>
      </c>
      <c r="I12" s="38" t="s">
        <v>366</v>
      </c>
    </row>
    <row r="13" spans="1:9" x14ac:dyDescent="0.25">
      <c r="A13" s="32" t="s">
        <v>17</v>
      </c>
      <c r="B13" s="33" t="s">
        <v>93</v>
      </c>
      <c r="C13" s="34">
        <v>2</v>
      </c>
      <c r="D13" s="36">
        <v>11</v>
      </c>
      <c r="E13" s="36">
        <v>11</v>
      </c>
      <c r="F13" s="36">
        <v>1127</v>
      </c>
      <c r="G13" s="35" t="s">
        <v>269</v>
      </c>
      <c r="H13" s="37" t="s">
        <v>281</v>
      </c>
      <c r="I13" s="38" t="s">
        <v>364</v>
      </c>
    </row>
    <row r="15" spans="1:9" ht="15.6" x14ac:dyDescent="0.3">
      <c r="A15" s="40" t="s">
        <v>95</v>
      </c>
    </row>
    <row r="16" spans="1:9" ht="30.6" x14ac:dyDescent="0.25">
      <c r="A16" s="30" t="s">
        <v>41</v>
      </c>
      <c r="B16" s="30" t="s">
        <v>42</v>
      </c>
      <c r="C16" s="31" t="s">
        <v>292</v>
      </c>
      <c r="D16" s="30" t="s">
        <v>412</v>
      </c>
      <c r="E16" s="30" t="s">
        <v>316</v>
      </c>
      <c r="F16" s="30" t="s">
        <v>317</v>
      </c>
      <c r="G16" s="30" t="s">
        <v>273</v>
      </c>
      <c r="H16" s="30" t="s">
        <v>318</v>
      </c>
      <c r="I16" s="30" t="s">
        <v>276</v>
      </c>
    </row>
    <row r="17" spans="1:9" ht="30.6" x14ac:dyDescent="0.25">
      <c r="A17" s="32" t="s">
        <v>275</v>
      </c>
      <c r="B17" s="33" t="s">
        <v>95</v>
      </c>
      <c r="C17" s="34">
        <v>3</v>
      </c>
      <c r="D17" s="36">
        <v>10</v>
      </c>
      <c r="E17" s="36">
        <v>4</v>
      </c>
      <c r="F17" s="36">
        <v>11</v>
      </c>
      <c r="G17" s="35" t="s">
        <v>270</v>
      </c>
      <c r="H17" s="37" t="s">
        <v>281</v>
      </c>
      <c r="I17" s="33" t="s">
        <v>366</v>
      </c>
    </row>
    <row r="18" spans="1:9" x14ac:dyDescent="0.25">
      <c r="A18" s="32" t="s">
        <v>17</v>
      </c>
      <c r="B18" s="33" t="s">
        <v>95</v>
      </c>
      <c r="C18" s="34">
        <v>2</v>
      </c>
      <c r="D18" s="36">
        <v>11</v>
      </c>
      <c r="E18" s="36">
        <v>2</v>
      </c>
      <c r="F18" s="36">
        <v>1</v>
      </c>
      <c r="G18" s="35" t="s">
        <v>269</v>
      </c>
      <c r="H18" s="37" t="s">
        <v>281</v>
      </c>
      <c r="I18" s="33" t="s">
        <v>364</v>
      </c>
    </row>
    <row r="20" spans="1:9" ht="15.6" x14ac:dyDescent="0.3">
      <c r="A20" s="40" t="s">
        <v>96</v>
      </c>
    </row>
    <row r="21" spans="1:9" ht="30.6" x14ac:dyDescent="0.25">
      <c r="A21" s="30" t="s">
        <v>41</v>
      </c>
      <c r="B21" s="30" t="s">
        <v>42</v>
      </c>
      <c r="C21" s="31" t="s">
        <v>292</v>
      </c>
      <c r="D21" s="30" t="s">
        <v>412</v>
      </c>
      <c r="E21" s="30" t="s">
        <v>316</v>
      </c>
      <c r="F21" s="30" t="s">
        <v>317</v>
      </c>
      <c r="G21" s="30" t="s">
        <v>273</v>
      </c>
      <c r="H21" s="30" t="s">
        <v>318</v>
      </c>
      <c r="I21" s="30" t="s">
        <v>276</v>
      </c>
    </row>
    <row r="22" spans="1:9" ht="30.6" x14ac:dyDescent="0.25">
      <c r="A22" s="32" t="s">
        <v>275</v>
      </c>
      <c r="B22" s="33" t="s">
        <v>96</v>
      </c>
      <c r="C22" s="34">
        <v>3</v>
      </c>
      <c r="D22" s="36">
        <v>10</v>
      </c>
      <c r="E22" s="36">
        <v>10</v>
      </c>
      <c r="F22" s="36">
        <v>7888</v>
      </c>
      <c r="G22" s="35" t="s">
        <v>270</v>
      </c>
      <c r="H22" s="37" t="s">
        <v>281</v>
      </c>
      <c r="I22" s="38" t="s">
        <v>366</v>
      </c>
    </row>
    <row r="23" spans="1:9" x14ac:dyDescent="0.25">
      <c r="A23" s="32" t="s">
        <v>17</v>
      </c>
      <c r="B23" s="33" t="s">
        <v>96</v>
      </c>
      <c r="C23" s="34">
        <v>2</v>
      </c>
      <c r="D23" s="36">
        <v>11</v>
      </c>
      <c r="E23" s="36">
        <v>6</v>
      </c>
      <c r="F23" s="36">
        <v>650</v>
      </c>
      <c r="G23" s="35" t="s">
        <v>269</v>
      </c>
      <c r="H23" s="37" t="s">
        <v>281</v>
      </c>
      <c r="I23" s="38" t="s">
        <v>364</v>
      </c>
    </row>
    <row r="25" spans="1:9" ht="15.6" x14ac:dyDescent="0.3">
      <c r="A25" s="40" t="s">
        <v>97</v>
      </c>
    </row>
    <row r="26" spans="1:9" ht="30.6" x14ac:dyDescent="0.25">
      <c r="A26" s="30" t="s">
        <v>41</v>
      </c>
      <c r="B26" s="30" t="s">
        <v>42</v>
      </c>
      <c r="C26" s="31" t="s">
        <v>292</v>
      </c>
      <c r="D26" s="30" t="s">
        <v>412</v>
      </c>
      <c r="E26" s="30" t="s">
        <v>316</v>
      </c>
      <c r="F26" s="30" t="s">
        <v>317</v>
      </c>
      <c r="G26" s="30" t="s">
        <v>273</v>
      </c>
      <c r="H26" s="30" t="s">
        <v>318</v>
      </c>
      <c r="I26" s="30" t="s">
        <v>276</v>
      </c>
    </row>
    <row r="27" spans="1:9" ht="20.399999999999999" x14ac:dyDescent="0.25">
      <c r="A27" s="32" t="s">
        <v>16</v>
      </c>
      <c r="B27" s="33" t="s">
        <v>97</v>
      </c>
      <c r="C27" s="34">
        <v>3</v>
      </c>
      <c r="D27" s="36">
        <v>7</v>
      </c>
      <c r="E27" s="36">
        <v>3</v>
      </c>
      <c r="F27" s="36">
        <v>6</v>
      </c>
      <c r="G27" s="35"/>
      <c r="H27" s="37" t="s">
        <v>285</v>
      </c>
      <c r="I27" s="38" t="s">
        <v>365</v>
      </c>
    </row>
    <row r="28" spans="1:9" ht="30.6" x14ac:dyDescent="0.25">
      <c r="A28" s="32" t="s">
        <v>275</v>
      </c>
      <c r="B28" s="33" t="s">
        <v>97</v>
      </c>
      <c r="C28" s="34">
        <v>3</v>
      </c>
      <c r="D28" s="36">
        <v>8</v>
      </c>
      <c r="E28" s="36">
        <v>8</v>
      </c>
      <c r="F28" s="36">
        <v>591</v>
      </c>
      <c r="G28" s="35" t="s">
        <v>270</v>
      </c>
      <c r="H28" s="39" t="s">
        <v>281</v>
      </c>
      <c r="I28" s="38" t="s">
        <v>366</v>
      </c>
    </row>
    <row r="29" spans="1:9" ht="20.399999999999999" x14ac:dyDescent="0.25">
      <c r="A29" s="32" t="s">
        <v>17</v>
      </c>
      <c r="B29" s="33" t="s">
        <v>97</v>
      </c>
      <c r="C29" s="34">
        <v>2</v>
      </c>
      <c r="D29" s="36">
        <v>11</v>
      </c>
      <c r="E29" s="36">
        <v>11</v>
      </c>
      <c r="F29" s="36">
        <v>2881</v>
      </c>
      <c r="G29" s="35" t="s">
        <v>269</v>
      </c>
      <c r="H29" s="39" t="s">
        <v>281</v>
      </c>
      <c r="I29" s="38" t="s">
        <v>8</v>
      </c>
    </row>
    <row r="47" spans="2:24" ht="13.8" x14ac:dyDescent="0.25">
      <c r="B47" s="193">
        <v>2017</v>
      </c>
      <c r="C47" s="193">
        <v>2016</v>
      </c>
      <c r="D47" s="193">
        <v>2015</v>
      </c>
      <c r="E47" s="193">
        <v>2014</v>
      </c>
      <c r="F47" s="193">
        <v>2013</v>
      </c>
      <c r="G47" s="193">
        <v>2012</v>
      </c>
      <c r="H47" s="193">
        <v>2011</v>
      </c>
      <c r="I47" s="193">
        <v>2010</v>
      </c>
      <c r="J47" s="193">
        <v>2009</v>
      </c>
      <c r="K47" s="193">
        <v>2008</v>
      </c>
      <c r="L47" s="193">
        <v>2007</v>
      </c>
      <c r="M47" s="193">
        <v>2006</v>
      </c>
      <c r="N47" s="193">
        <v>2005</v>
      </c>
      <c r="O47" s="193">
        <v>2004</v>
      </c>
      <c r="P47" s="193">
        <v>2003</v>
      </c>
      <c r="Q47" s="193">
        <v>2002</v>
      </c>
      <c r="R47" s="193">
        <v>2001</v>
      </c>
      <c r="S47" s="193">
        <v>2000</v>
      </c>
      <c r="T47" s="193">
        <v>1999</v>
      </c>
      <c r="U47" s="193">
        <v>1998</v>
      </c>
      <c r="V47" s="193">
        <v>1997</v>
      </c>
      <c r="W47" s="193">
        <v>1996</v>
      </c>
      <c r="X47" s="193">
        <v>1995</v>
      </c>
    </row>
    <row r="48" spans="2:24" ht="13.8" x14ac:dyDescent="0.25">
      <c r="B48" s="147"/>
      <c r="C48" s="147"/>
      <c r="D48" s="147"/>
      <c r="E48" s="45"/>
      <c r="F48" s="45"/>
      <c r="G48" s="45"/>
      <c r="H48" s="45"/>
      <c r="I48" s="45"/>
      <c r="J48" s="45"/>
      <c r="K48" s="49"/>
      <c r="L48" s="49"/>
      <c r="M48" s="49"/>
      <c r="P48" s="17"/>
      <c r="Q48" s="17"/>
      <c r="R48" s="8"/>
      <c r="S48" s="8"/>
      <c r="T48" s="9"/>
      <c r="U48" s="10"/>
      <c r="V48" s="5"/>
      <c r="W48" s="5"/>
      <c r="X48" s="4"/>
    </row>
    <row r="49" spans="2:24" ht="13.8" x14ac:dyDescent="0.25">
      <c r="B49" s="17"/>
      <c r="C49" s="194">
        <v>0.25</v>
      </c>
      <c r="D49" s="194">
        <v>0.75</v>
      </c>
      <c r="G49" s="45"/>
      <c r="H49" s="45"/>
      <c r="I49" s="45"/>
      <c r="J49" s="45"/>
      <c r="K49" s="49"/>
      <c r="L49" s="49"/>
      <c r="M49" s="49"/>
      <c r="S49" s="8"/>
      <c r="T49" s="9"/>
      <c r="U49" s="10"/>
      <c r="V49" s="5"/>
      <c r="W49" s="5"/>
      <c r="X49" s="4"/>
    </row>
    <row r="50" spans="2:24" ht="13.8" x14ac:dyDescent="0.25">
      <c r="B50" s="17">
        <v>1995</v>
      </c>
      <c r="C50" s="17">
        <v>4035.2</v>
      </c>
      <c r="D50" s="8">
        <v>13666</v>
      </c>
      <c r="G50" s="45"/>
      <c r="H50" s="45"/>
      <c r="I50" s="45"/>
      <c r="J50" s="45"/>
      <c r="K50" s="49"/>
      <c r="L50" s="49"/>
      <c r="M50" s="49"/>
      <c r="S50" s="8"/>
      <c r="T50" s="9"/>
      <c r="U50" s="10"/>
      <c r="V50" s="5"/>
      <c r="W50" s="5"/>
      <c r="X50" s="4"/>
    </row>
    <row r="51" spans="2:24" ht="13.8" x14ac:dyDescent="0.25">
      <c r="B51" s="17">
        <v>2017</v>
      </c>
      <c r="C51" s="17">
        <v>4035.2</v>
      </c>
      <c r="D51" s="8">
        <v>13666</v>
      </c>
      <c r="G51" s="45"/>
      <c r="H51" s="45"/>
      <c r="I51" s="45"/>
      <c r="J51" s="45"/>
      <c r="K51" s="49"/>
      <c r="L51" s="49"/>
      <c r="M51" s="49"/>
      <c r="S51" s="8"/>
      <c r="T51" s="9"/>
      <c r="U51" s="10"/>
      <c r="V51" s="5"/>
      <c r="W51" s="5"/>
      <c r="X51" s="4"/>
    </row>
  </sheetData>
  <phoneticPr fontId="11" type="noConversion"/>
  <printOptions horizontalCentered="1"/>
  <pageMargins left="0.31496062992125984" right="0.31496062992125984" top="0.39370078740157483" bottom="0.59055118110236227" header="0.19685039370078741" footer="0.19685039370078741"/>
  <pageSetup scale="80" fitToHeight="0" orientation="landscape" r:id="rId1"/>
  <headerFooter alignWithMargins="0">
    <oddFooter xml:space="preserve">&amp;L&amp;9&amp;F / &amp;A&amp;C&amp;"Arial,Bold"&amp;8Assessment Priorities:&amp;"Arial,Regular"
1 - Indicator Stocks   2 - Pacific Salmon Commission (PSC)
3 - Extensive Surveys   4 and 5 - Community Groups and Charter Patrol&amp;R&amp;9Page  &amp;P  of  &amp;N 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V9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T4" sqref="T4"/>
    </sheetView>
  </sheetViews>
  <sheetFormatPr defaultRowHeight="13.2" x14ac:dyDescent="0.25"/>
  <cols>
    <col min="1" max="1" width="9.109375" style="18" customWidth="1"/>
  </cols>
  <sheetData>
    <row r="1" spans="1:72" x14ac:dyDescent="0.25">
      <c r="A1" s="27" t="s">
        <v>19</v>
      </c>
      <c r="S1" t="s">
        <v>2</v>
      </c>
      <c r="U1" t="s">
        <v>2</v>
      </c>
      <c r="AA1" t="s">
        <v>466</v>
      </c>
    </row>
    <row r="2" spans="1:72" x14ac:dyDescent="0.25">
      <c r="A2" s="27" t="s">
        <v>20</v>
      </c>
      <c r="S2" t="s">
        <v>3</v>
      </c>
      <c r="U2" t="s">
        <v>3</v>
      </c>
    </row>
    <row r="3" spans="1:72" x14ac:dyDescent="0.25">
      <c r="G3" t="s">
        <v>477</v>
      </c>
      <c r="I3" t="s">
        <v>477</v>
      </c>
      <c r="K3" t="s">
        <v>478</v>
      </c>
    </row>
    <row r="4" spans="1:72" x14ac:dyDescent="0.25">
      <c r="A4" s="18" t="s">
        <v>37</v>
      </c>
      <c r="B4" t="s">
        <v>41</v>
      </c>
      <c r="C4" t="s">
        <v>42</v>
      </c>
      <c r="D4" t="s">
        <v>292</v>
      </c>
      <c r="E4" t="s">
        <v>412</v>
      </c>
      <c r="F4" t="s">
        <v>316</v>
      </c>
      <c r="G4" t="s">
        <v>479</v>
      </c>
      <c r="H4" t="s">
        <v>480</v>
      </c>
      <c r="I4" t="s">
        <v>317</v>
      </c>
      <c r="J4" t="s">
        <v>476</v>
      </c>
      <c r="K4" t="s">
        <v>469</v>
      </c>
      <c r="L4" t="s">
        <v>476</v>
      </c>
      <c r="M4" t="s">
        <v>273</v>
      </c>
      <c r="N4" t="s">
        <v>279</v>
      </c>
      <c r="O4" t="s">
        <v>276</v>
      </c>
      <c r="P4" t="s">
        <v>411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t="s">
        <v>68</v>
      </c>
      <c r="AZ4" t="s">
        <v>69</v>
      </c>
      <c r="BA4" t="s">
        <v>70</v>
      </c>
      <c r="BB4" t="s">
        <v>71</v>
      </c>
      <c r="BC4" t="s">
        <v>72</v>
      </c>
      <c r="BD4" t="s">
        <v>73</v>
      </c>
      <c r="BE4" t="s">
        <v>74</v>
      </c>
      <c r="BF4" t="s">
        <v>75</v>
      </c>
      <c r="BG4" t="s">
        <v>76</v>
      </c>
      <c r="BH4" t="s">
        <v>77</v>
      </c>
      <c r="BI4" t="s">
        <v>78</v>
      </c>
      <c r="BJ4" t="s">
        <v>79</v>
      </c>
      <c r="BK4" t="s">
        <v>80</v>
      </c>
      <c r="BL4" t="s">
        <v>81</v>
      </c>
      <c r="BM4" t="s">
        <v>82</v>
      </c>
      <c r="BN4" t="s">
        <v>83</v>
      </c>
      <c r="BO4" t="s">
        <v>84</v>
      </c>
      <c r="BP4" t="s">
        <v>85</v>
      </c>
      <c r="BQ4" t="s">
        <v>86</v>
      </c>
      <c r="BR4" t="s">
        <v>87</v>
      </c>
      <c r="BS4" t="s">
        <v>88</v>
      </c>
      <c r="BT4" t="s">
        <v>89</v>
      </c>
    </row>
    <row r="5" spans="1:72" x14ac:dyDescent="0.25">
      <c r="A5" s="18" t="s">
        <v>21</v>
      </c>
      <c r="B5" t="s">
        <v>25</v>
      </c>
      <c r="C5" t="s">
        <v>97</v>
      </c>
      <c r="D5">
        <v>5</v>
      </c>
      <c r="E5">
        <v>6</v>
      </c>
      <c r="F5">
        <v>3</v>
      </c>
      <c r="G5">
        <f>AVERAGE(Q5:BT5)</f>
        <v>49.5</v>
      </c>
      <c r="H5" s="91">
        <f>G5/G$98</f>
        <v>2.4588060180147893E-3</v>
      </c>
      <c r="I5">
        <v>65</v>
      </c>
      <c r="J5">
        <f>COUNT(T5:AC5)</f>
        <v>3</v>
      </c>
      <c r="K5" s="17">
        <f t="shared" ref="K5:K11" si="0">AVERAGE(AE5:AX5)</f>
        <v>3</v>
      </c>
      <c r="L5" s="17">
        <f>COUNT(AD5:AX5)</f>
        <v>1</v>
      </c>
      <c r="N5" t="s">
        <v>280</v>
      </c>
      <c r="O5" t="s">
        <v>277</v>
      </c>
      <c r="P5">
        <v>65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262</v>
      </c>
      <c r="Z5">
        <v>30</v>
      </c>
      <c r="AA5" t="s">
        <v>262</v>
      </c>
      <c r="AB5">
        <v>150</v>
      </c>
      <c r="AC5">
        <v>15</v>
      </c>
      <c r="AD5" t="s">
        <v>262</v>
      </c>
      <c r="AE5" t="s">
        <v>264</v>
      </c>
      <c r="AF5" t="s">
        <v>264</v>
      </c>
      <c r="AG5" t="s">
        <v>264</v>
      </c>
      <c r="AH5" t="s">
        <v>102</v>
      </c>
      <c r="AI5" t="s">
        <v>264</v>
      </c>
      <c r="AJ5" t="s">
        <v>264</v>
      </c>
      <c r="AK5" t="s">
        <v>264</v>
      </c>
      <c r="AL5" t="s">
        <v>264</v>
      </c>
      <c r="AM5" t="s">
        <v>264</v>
      </c>
      <c r="AN5">
        <v>3</v>
      </c>
      <c r="AO5" t="s">
        <v>264</v>
      </c>
      <c r="AP5" t="s">
        <v>264</v>
      </c>
      <c r="AQ5" t="s">
        <v>264</v>
      </c>
      <c r="AR5" t="s">
        <v>264</v>
      </c>
      <c r="AS5" t="s">
        <v>264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</row>
    <row r="6" spans="1:72" x14ac:dyDescent="0.25">
      <c r="A6" s="18" t="s">
        <v>21</v>
      </c>
      <c r="B6" t="s">
        <v>24</v>
      </c>
      <c r="C6" t="s">
        <v>97</v>
      </c>
      <c r="D6">
        <v>4</v>
      </c>
      <c r="E6">
        <v>6</v>
      </c>
      <c r="F6">
        <v>6</v>
      </c>
      <c r="G6">
        <f t="shared" ref="G6:G69" si="1">AVERAGE(Q6:BT6)</f>
        <v>21.375</v>
      </c>
      <c r="H6" s="91">
        <f t="shared" ref="H6:H69" si="2">G6/G$98</f>
        <v>1.0617571441427498E-3</v>
      </c>
      <c r="I6">
        <v>39</v>
      </c>
      <c r="J6">
        <f t="shared" ref="J6:J69" si="3">COUNT(T6:AC6)</f>
        <v>5</v>
      </c>
      <c r="K6" s="17">
        <f t="shared" si="0"/>
        <v>11.666666666666666</v>
      </c>
      <c r="L6" s="17">
        <f t="shared" ref="L6:L69" si="4">COUNT(AD6:AX6)</f>
        <v>10</v>
      </c>
      <c r="N6" t="s">
        <v>280</v>
      </c>
      <c r="O6" t="s">
        <v>291</v>
      </c>
      <c r="P6">
        <v>39.166666666666664</v>
      </c>
      <c r="R6" t="s">
        <v>102</v>
      </c>
      <c r="S6" t="s">
        <v>102</v>
      </c>
      <c r="T6" t="s">
        <v>102</v>
      </c>
      <c r="U6" t="s">
        <v>263</v>
      </c>
      <c r="V6" t="s">
        <v>263</v>
      </c>
      <c r="W6" t="s">
        <v>263</v>
      </c>
      <c r="X6" t="s">
        <v>263</v>
      </c>
      <c r="Y6">
        <v>7</v>
      </c>
      <c r="Z6">
        <v>3</v>
      </c>
      <c r="AA6">
        <v>2</v>
      </c>
      <c r="AB6">
        <v>210</v>
      </c>
      <c r="AC6">
        <v>10</v>
      </c>
      <c r="AD6">
        <v>3</v>
      </c>
      <c r="AE6">
        <v>9</v>
      </c>
      <c r="AF6" t="s">
        <v>264</v>
      </c>
      <c r="AG6">
        <v>2</v>
      </c>
      <c r="AH6" t="s">
        <v>264</v>
      </c>
      <c r="AI6">
        <v>4</v>
      </c>
      <c r="AJ6">
        <v>6</v>
      </c>
      <c r="AK6">
        <v>28</v>
      </c>
      <c r="AL6" t="s">
        <v>264</v>
      </c>
      <c r="AM6" t="s">
        <v>264</v>
      </c>
      <c r="AN6">
        <v>4</v>
      </c>
      <c r="AO6" t="s">
        <v>264</v>
      </c>
      <c r="AP6" t="s">
        <v>264</v>
      </c>
      <c r="AQ6" t="s">
        <v>264</v>
      </c>
      <c r="AR6" t="s">
        <v>264</v>
      </c>
      <c r="AS6" t="s">
        <v>262</v>
      </c>
      <c r="AT6">
        <v>12</v>
      </c>
      <c r="AU6">
        <v>15</v>
      </c>
      <c r="AV6">
        <v>25</v>
      </c>
      <c r="AW6" t="s">
        <v>264</v>
      </c>
      <c r="AX6" t="s">
        <v>262</v>
      </c>
      <c r="AY6">
        <v>2</v>
      </c>
      <c r="AZ6" t="s">
        <v>264</v>
      </c>
      <c r="BA6" t="s">
        <v>264</v>
      </c>
      <c r="BB6" t="s">
        <v>264</v>
      </c>
      <c r="BC6" t="s">
        <v>264</v>
      </c>
      <c r="BD6" t="s">
        <v>264</v>
      </c>
      <c r="BE6" t="s">
        <v>264</v>
      </c>
      <c r="BF6" t="s">
        <v>264</v>
      </c>
      <c r="BG6" t="s">
        <v>264</v>
      </c>
      <c r="BH6" t="s">
        <v>264</v>
      </c>
      <c r="BI6" t="s">
        <v>264</v>
      </c>
      <c r="BJ6" t="s">
        <v>264</v>
      </c>
      <c r="BK6" t="s">
        <v>264</v>
      </c>
      <c r="BL6" t="s">
        <v>264</v>
      </c>
      <c r="BM6" t="s">
        <v>264</v>
      </c>
      <c r="BN6" t="s">
        <v>264</v>
      </c>
      <c r="BO6" t="s">
        <v>264</v>
      </c>
      <c r="BP6" t="s">
        <v>264</v>
      </c>
      <c r="BQ6" t="s">
        <v>264</v>
      </c>
      <c r="BR6" t="s">
        <v>264</v>
      </c>
      <c r="BS6" t="s">
        <v>264</v>
      </c>
      <c r="BT6" t="s">
        <v>264</v>
      </c>
    </row>
    <row r="7" spans="1:72" x14ac:dyDescent="0.25">
      <c r="A7" s="18" t="s">
        <v>21</v>
      </c>
      <c r="B7" t="s">
        <v>36</v>
      </c>
      <c r="C7" t="s">
        <v>97</v>
      </c>
      <c r="D7">
        <v>3</v>
      </c>
      <c r="E7">
        <v>8</v>
      </c>
      <c r="F7">
        <v>8</v>
      </c>
      <c r="G7">
        <f t="shared" si="1"/>
        <v>226.55102040816325</v>
      </c>
      <c r="H7" s="91">
        <f t="shared" si="2"/>
        <v>1.1253434593272386E-2</v>
      </c>
      <c r="I7">
        <v>103</v>
      </c>
      <c r="J7">
        <f t="shared" si="3"/>
        <v>7</v>
      </c>
      <c r="K7" s="17">
        <f t="shared" si="0"/>
        <v>43.473684210526315</v>
      </c>
      <c r="L7" s="17">
        <f t="shared" si="4"/>
        <v>20</v>
      </c>
      <c r="M7" t="s">
        <v>270</v>
      </c>
      <c r="N7" t="s">
        <v>281</v>
      </c>
      <c r="O7" t="s">
        <v>1</v>
      </c>
      <c r="P7">
        <v>103.125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>
        <v>239</v>
      </c>
      <c r="X7">
        <v>20</v>
      </c>
      <c r="Y7">
        <v>19</v>
      </c>
      <c r="Z7">
        <v>50</v>
      </c>
      <c r="AA7">
        <v>224</v>
      </c>
      <c r="AB7">
        <v>120</v>
      </c>
      <c r="AC7">
        <v>94</v>
      </c>
      <c r="AD7">
        <v>59</v>
      </c>
      <c r="AE7">
        <v>9</v>
      </c>
      <c r="AF7">
        <v>12</v>
      </c>
      <c r="AG7">
        <v>30</v>
      </c>
      <c r="AH7">
        <v>24</v>
      </c>
      <c r="AI7">
        <v>27</v>
      </c>
      <c r="AJ7">
        <v>30</v>
      </c>
      <c r="AK7">
        <v>85</v>
      </c>
      <c r="AL7">
        <v>6</v>
      </c>
      <c r="AM7">
        <v>75</v>
      </c>
      <c r="AN7">
        <v>8</v>
      </c>
      <c r="AO7">
        <v>150</v>
      </c>
      <c r="AP7">
        <v>75</v>
      </c>
      <c r="AQ7">
        <v>75</v>
      </c>
      <c r="AR7">
        <v>75</v>
      </c>
      <c r="AS7">
        <v>20</v>
      </c>
      <c r="AT7">
        <v>25</v>
      </c>
      <c r="AU7">
        <v>50</v>
      </c>
      <c r="AV7">
        <v>25</v>
      </c>
      <c r="AW7" t="s">
        <v>262</v>
      </c>
      <c r="AX7">
        <v>25</v>
      </c>
      <c r="AY7">
        <v>200</v>
      </c>
      <c r="AZ7">
        <v>400</v>
      </c>
      <c r="BA7">
        <v>3500</v>
      </c>
      <c r="BB7">
        <v>750</v>
      </c>
      <c r="BC7">
        <v>750</v>
      </c>
      <c r="BD7">
        <v>200</v>
      </c>
      <c r="BE7">
        <v>400</v>
      </c>
      <c r="BF7">
        <v>750</v>
      </c>
      <c r="BG7">
        <v>75</v>
      </c>
      <c r="BH7">
        <v>200</v>
      </c>
      <c r="BI7">
        <v>200</v>
      </c>
      <c r="BJ7">
        <v>750</v>
      </c>
      <c r="BK7">
        <v>200</v>
      </c>
      <c r="BL7">
        <v>75</v>
      </c>
      <c r="BM7">
        <v>200</v>
      </c>
      <c r="BN7">
        <v>75</v>
      </c>
      <c r="BO7">
        <v>200</v>
      </c>
      <c r="BP7">
        <v>25</v>
      </c>
      <c r="BQ7">
        <v>25</v>
      </c>
      <c r="BR7">
        <v>75</v>
      </c>
      <c r="BS7">
        <v>200</v>
      </c>
      <c r="BT7">
        <v>200</v>
      </c>
    </row>
    <row r="8" spans="1:72" x14ac:dyDescent="0.25">
      <c r="A8" s="18" t="s">
        <v>21</v>
      </c>
      <c r="B8" t="s">
        <v>33</v>
      </c>
      <c r="C8" t="s">
        <v>97</v>
      </c>
      <c r="D8">
        <v>3</v>
      </c>
      <c r="E8">
        <v>9</v>
      </c>
      <c r="F8">
        <v>6</v>
      </c>
      <c r="G8">
        <f t="shared" si="1"/>
        <v>32.299999999999997</v>
      </c>
      <c r="H8" s="91">
        <f t="shared" si="2"/>
        <v>1.6044330178157107E-3</v>
      </c>
      <c r="I8">
        <v>22</v>
      </c>
      <c r="J8">
        <f t="shared" si="3"/>
        <v>5</v>
      </c>
      <c r="K8" s="17">
        <f t="shared" si="0"/>
        <v>48</v>
      </c>
      <c r="L8" s="17">
        <f t="shared" si="4"/>
        <v>5</v>
      </c>
      <c r="N8" t="s">
        <v>285</v>
      </c>
      <c r="P8">
        <v>21.833333333333332</v>
      </c>
      <c r="R8" t="s">
        <v>262</v>
      </c>
      <c r="S8" t="s">
        <v>262</v>
      </c>
      <c r="T8">
        <v>2</v>
      </c>
      <c r="V8">
        <v>31</v>
      </c>
      <c r="W8" t="s">
        <v>262</v>
      </c>
      <c r="X8">
        <v>5</v>
      </c>
      <c r="Y8" t="s">
        <v>262</v>
      </c>
      <c r="Z8" t="s">
        <v>102</v>
      </c>
      <c r="AA8">
        <v>73</v>
      </c>
      <c r="AB8">
        <v>15</v>
      </c>
      <c r="AC8" t="s">
        <v>262</v>
      </c>
      <c r="AD8">
        <v>5</v>
      </c>
      <c r="AE8" t="s">
        <v>264</v>
      </c>
      <c r="AF8" t="s">
        <v>262</v>
      </c>
      <c r="AG8">
        <v>47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  <c r="AO8">
        <v>100</v>
      </c>
      <c r="AP8" t="s">
        <v>102</v>
      </c>
      <c r="AQ8" t="s">
        <v>102</v>
      </c>
      <c r="AR8">
        <v>25</v>
      </c>
      <c r="AS8">
        <v>20</v>
      </c>
      <c r="AT8" t="s">
        <v>102</v>
      </c>
      <c r="AU8" t="s">
        <v>102</v>
      </c>
      <c r="AV8" t="s">
        <v>102</v>
      </c>
      <c r="AW8" t="s">
        <v>102</v>
      </c>
      <c r="AX8" t="s">
        <v>102</v>
      </c>
      <c r="AY8" t="s">
        <v>102</v>
      </c>
      <c r="AZ8" t="s">
        <v>102</v>
      </c>
      <c r="BA8" t="s">
        <v>102</v>
      </c>
      <c r="BB8" t="s">
        <v>102</v>
      </c>
      <c r="BC8" t="s">
        <v>102</v>
      </c>
      <c r="BD8" t="s">
        <v>102</v>
      </c>
      <c r="BE8" t="s">
        <v>102</v>
      </c>
      <c r="BF8" t="s">
        <v>102</v>
      </c>
      <c r="BG8" t="s">
        <v>102</v>
      </c>
      <c r="BH8" t="s">
        <v>102</v>
      </c>
      <c r="BI8" t="s">
        <v>102</v>
      </c>
      <c r="BJ8" t="s">
        <v>102</v>
      </c>
      <c r="BK8" t="s">
        <v>102</v>
      </c>
      <c r="BL8" t="s">
        <v>102</v>
      </c>
      <c r="BM8" t="s">
        <v>102</v>
      </c>
      <c r="BN8" t="s">
        <v>102</v>
      </c>
      <c r="BO8" t="s">
        <v>102</v>
      </c>
      <c r="BP8" t="s">
        <v>102</v>
      </c>
      <c r="BQ8" t="s">
        <v>102</v>
      </c>
      <c r="BR8" t="s">
        <v>102</v>
      </c>
      <c r="BS8" t="s">
        <v>102</v>
      </c>
      <c r="BT8" t="s">
        <v>102</v>
      </c>
    </row>
    <row r="9" spans="1:72" x14ac:dyDescent="0.25">
      <c r="A9" s="18" t="s">
        <v>21</v>
      </c>
      <c r="B9" t="s">
        <v>32</v>
      </c>
      <c r="C9" t="s">
        <v>97</v>
      </c>
      <c r="D9">
        <v>4</v>
      </c>
      <c r="E9">
        <v>7</v>
      </c>
      <c r="F9">
        <v>3</v>
      </c>
      <c r="G9">
        <f t="shared" si="1"/>
        <v>17</v>
      </c>
      <c r="H9" s="91">
        <f t="shared" si="2"/>
        <v>8.4443843042932151E-4</v>
      </c>
      <c r="I9">
        <v>21</v>
      </c>
      <c r="J9">
        <f t="shared" si="3"/>
        <v>3</v>
      </c>
      <c r="K9" s="17">
        <f t="shared" si="0"/>
        <v>6</v>
      </c>
      <c r="L9" s="17">
        <f t="shared" si="4"/>
        <v>1</v>
      </c>
      <c r="N9" t="s">
        <v>280</v>
      </c>
      <c r="O9" t="s">
        <v>290</v>
      </c>
      <c r="P9">
        <v>20.666666666666668</v>
      </c>
      <c r="R9" t="s">
        <v>262</v>
      </c>
      <c r="S9" t="s">
        <v>262</v>
      </c>
      <c r="T9">
        <v>25</v>
      </c>
      <c r="V9" t="s">
        <v>262</v>
      </c>
      <c r="X9" t="s">
        <v>262</v>
      </c>
      <c r="Y9" t="s">
        <v>102</v>
      </c>
      <c r="Z9" t="s">
        <v>262</v>
      </c>
      <c r="AA9">
        <v>5</v>
      </c>
      <c r="AB9">
        <v>32</v>
      </c>
      <c r="AC9" t="s">
        <v>102</v>
      </c>
      <c r="AD9" t="s">
        <v>262</v>
      </c>
      <c r="AE9" t="s">
        <v>264</v>
      </c>
      <c r="AF9" t="s">
        <v>264</v>
      </c>
      <c r="AG9" t="s">
        <v>264</v>
      </c>
      <c r="AH9" t="s">
        <v>102</v>
      </c>
      <c r="AI9">
        <v>6</v>
      </c>
      <c r="AJ9" t="s">
        <v>102</v>
      </c>
      <c r="AK9" t="s">
        <v>102</v>
      </c>
      <c r="AL9" t="s">
        <v>102</v>
      </c>
      <c r="AM9" t="s">
        <v>102</v>
      </c>
      <c r="AN9" t="s">
        <v>102</v>
      </c>
      <c r="AO9" t="s">
        <v>264</v>
      </c>
      <c r="AP9" t="s">
        <v>102</v>
      </c>
      <c r="AQ9" t="s">
        <v>102</v>
      </c>
      <c r="AR9" t="s">
        <v>264</v>
      </c>
      <c r="AS9" t="s">
        <v>264</v>
      </c>
      <c r="AT9" t="s">
        <v>102</v>
      </c>
      <c r="AU9" t="s">
        <v>102</v>
      </c>
      <c r="AV9" t="s">
        <v>102</v>
      </c>
      <c r="AW9" t="s">
        <v>102</v>
      </c>
      <c r="AX9" t="s">
        <v>102</v>
      </c>
      <c r="AY9" t="s">
        <v>102</v>
      </c>
      <c r="AZ9" t="s">
        <v>102</v>
      </c>
      <c r="BA9" t="s">
        <v>102</v>
      </c>
      <c r="BB9" t="s">
        <v>102</v>
      </c>
      <c r="BC9" t="s">
        <v>102</v>
      </c>
      <c r="BD9" t="s">
        <v>102</v>
      </c>
      <c r="BE9" t="s">
        <v>102</v>
      </c>
      <c r="BF9" t="s">
        <v>102</v>
      </c>
      <c r="BG9" t="s">
        <v>102</v>
      </c>
      <c r="BH9" t="s">
        <v>102</v>
      </c>
      <c r="BI9" t="s">
        <v>102</v>
      </c>
      <c r="BJ9" t="s">
        <v>102</v>
      </c>
      <c r="BK9" t="s">
        <v>102</v>
      </c>
      <c r="BL9" t="s">
        <v>102</v>
      </c>
      <c r="BM9" t="s">
        <v>102</v>
      </c>
      <c r="BN9" t="s">
        <v>102</v>
      </c>
      <c r="BO9" t="s">
        <v>102</v>
      </c>
      <c r="BP9" t="s">
        <v>102</v>
      </c>
      <c r="BQ9" t="s">
        <v>102</v>
      </c>
      <c r="BR9" t="s">
        <v>102</v>
      </c>
      <c r="BS9" t="s">
        <v>102</v>
      </c>
      <c r="BT9" t="s">
        <v>102</v>
      </c>
    </row>
    <row r="10" spans="1:72" x14ac:dyDescent="0.25">
      <c r="A10" s="18" t="s">
        <v>21</v>
      </c>
      <c r="B10" t="s">
        <v>27</v>
      </c>
      <c r="C10" t="s">
        <v>97</v>
      </c>
      <c r="D10">
        <v>3</v>
      </c>
      <c r="E10">
        <v>11</v>
      </c>
      <c r="F10">
        <v>11</v>
      </c>
      <c r="G10">
        <f t="shared" si="1"/>
        <v>1101.1272727272728</v>
      </c>
      <c r="H10" s="91">
        <f t="shared" si="2"/>
        <v>5.4696128581455158E-2</v>
      </c>
      <c r="I10">
        <v>1644</v>
      </c>
      <c r="J10">
        <f t="shared" si="3"/>
        <v>10</v>
      </c>
      <c r="K10" s="17">
        <f t="shared" si="0"/>
        <v>559.35</v>
      </c>
      <c r="L10" s="17">
        <f t="shared" si="4"/>
        <v>21</v>
      </c>
      <c r="M10" t="s">
        <v>268</v>
      </c>
      <c r="N10" t="s">
        <v>281</v>
      </c>
      <c r="O10" t="s">
        <v>0</v>
      </c>
      <c r="P10">
        <v>1644.090909090909</v>
      </c>
      <c r="R10">
        <v>1500</v>
      </c>
      <c r="S10">
        <v>4515</v>
      </c>
      <c r="T10">
        <v>1200</v>
      </c>
      <c r="U10">
        <v>3500</v>
      </c>
      <c r="V10">
        <v>1929</v>
      </c>
      <c r="W10">
        <v>1411</v>
      </c>
      <c r="X10">
        <v>814</v>
      </c>
      <c r="Y10">
        <v>370</v>
      </c>
      <c r="Z10">
        <v>1557</v>
      </c>
      <c r="AA10">
        <v>4566</v>
      </c>
      <c r="AB10">
        <v>1078</v>
      </c>
      <c r="AC10">
        <v>950</v>
      </c>
      <c r="AD10">
        <v>710</v>
      </c>
      <c r="AE10">
        <v>600</v>
      </c>
      <c r="AF10">
        <v>1300</v>
      </c>
      <c r="AG10">
        <v>500</v>
      </c>
      <c r="AH10">
        <v>450</v>
      </c>
      <c r="AI10">
        <v>500</v>
      </c>
      <c r="AJ10">
        <v>300</v>
      </c>
      <c r="AK10">
        <v>1500</v>
      </c>
      <c r="AL10">
        <v>600</v>
      </c>
      <c r="AM10">
        <v>487</v>
      </c>
      <c r="AN10">
        <v>150</v>
      </c>
      <c r="AO10">
        <v>1200</v>
      </c>
      <c r="AP10">
        <v>775</v>
      </c>
      <c r="AQ10">
        <v>775</v>
      </c>
      <c r="AR10">
        <v>750</v>
      </c>
      <c r="AS10">
        <v>500</v>
      </c>
      <c r="AT10">
        <v>400</v>
      </c>
      <c r="AU10">
        <v>50</v>
      </c>
      <c r="AV10">
        <v>75</v>
      </c>
      <c r="AW10">
        <v>75</v>
      </c>
      <c r="AX10">
        <v>200</v>
      </c>
      <c r="AY10">
        <v>750</v>
      </c>
      <c r="AZ10">
        <v>3500</v>
      </c>
      <c r="BA10">
        <v>3500</v>
      </c>
      <c r="BB10">
        <v>400</v>
      </c>
      <c r="BC10">
        <v>7500</v>
      </c>
      <c r="BD10">
        <v>400</v>
      </c>
      <c r="BE10">
        <v>750</v>
      </c>
      <c r="BF10">
        <v>400</v>
      </c>
      <c r="BG10">
        <v>1500</v>
      </c>
      <c r="BH10">
        <v>750</v>
      </c>
      <c r="BI10">
        <v>1500</v>
      </c>
      <c r="BJ10">
        <v>400</v>
      </c>
      <c r="BK10">
        <v>400</v>
      </c>
      <c r="BL10">
        <v>400</v>
      </c>
      <c r="BM10">
        <v>1500</v>
      </c>
      <c r="BN10">
        <v>200</v>
      </c>
      <c r="BO10">
        <v>200</v>
      </c>
      <c r="BP10">
        <v>200</v>
      </c>
      <c r="BQ10">
        <v>25</v>
      </c>
      <c r="BR10">
        <v>200</v>
      </c>
      <c r="BS10">
        <v>400</v>
      </c>
      <c r="BT10">
        <v>400</v>
      </c>
    </row>
    <row r="11" spans="1:72" x14ac:dyDescent="0.25">
      <c r="A11" s="18" t="s">
        <v>21</v>
      </c>
      <c r="B11" t="s">
        <v>23</v>
      </c>
      <c r="C11" t="s">
        <v>97</v>
      </c>
      <c r="D11">
        <v>4</v>
      </c>
      <c r="E11">
        <v>11</v>
      </c>
      <c r="F11">
        <v>10</v>
      </c>
      <c r="G11">
        <f t="shared" si="1"/>
        <v>621.48</v>
      </c>
      <c r="H11" s="91">
        <f t="shared" si="2"/>
        <v>3.0870682102542044E-2</v>
      </c>
      <c r="I11">
        <v>953</v>
      </c>
      <c r="J11">
        <f t="shared" si="3"/>
        <v>10</v>
      </c>
      <c r="K11" s="17">
        <f t="shared" si="0"/>
        <v>180.95</v>
      </c>
      <c r="L11" s="17">
        <f t="shared" si="4"/>
        <v>20</v>
      </c>
      <c r="N11" t="s">
        <v>285</v>
      </c>
      <c r="P11">
        <v>953</v>
      </c>
      <c r="T11">
        <v>450</v>
      </c>
      <c r="U11">
        <v>1500</v>
      </c>
      <c r="V11">
        <v>1000</v>
      </c>
      <c r="W11">
        <v>750</v>
      </c>
      <c r="X11">
        <v>744</v>
      </c>
      <c r="Y11">
        <v>368</v>
      </c>
      <c r="Z11">
        <v>700</v>
      </c>
      <c r="AA11">
        <v>2400</v>
      </c>
      <c r="AB11">
        <v>1000</v>
      </c>
      <c r="AC11">
        <v>618</v>
      </c>
      <c r="AD11" t="s">
        <v>263</v>
      </c>
      <c r="AE11">
        <v>29</v>
      </c>
      <c r="AF11">
        <v>97</v>
      </c>
      <c r="AG11">
        <v>128</v>
      </c>
      <c r="AH11">
        <v>450</v>
      </c>
      <c r="AI11">
        <v>800</v>
      </c>
      <c r="AJ11">
        <v>110</v>
      </c>
      <c r="AK11">
        <v>250</v>
      </c>
      <c r="AL11">
        <v>250</v>
      </c>
      <c r="AM11">
        <v>112</v>
      </c>
      <c r="AN11">
        <v>400</v>
      </c>
      <c r="AO11">
        <v>400</v>
      </c>
      <c r="AP11">
        <v>18</v>
      </c>
      <c r="AQ11">
        <v>3</v>
      </c>
      <c r="AR11">
        <v>30</v>
      </c>
      <c r="AS11">
        <v>36</v>
      </c>
      <c r="AT11">
        <v>45</v>
      </c>
      <c r="AU11">
        <v>6</v>
      </c>
      <c r="AV11">
        <v>25</v>
      </c>
      <c r="AW11">
        <v>30</v>
      </c>
      <c r="AX11">
        <v>400</v>
      </c>
      <c r="AY11">
        <v>200</v>
      </c>
      <c r="AZ11">
        <v>3500</v>
      </c>
      <c r="BA11">
        <v>200</v>
      </c>
      <c r="BB11">
        <v>750</v>
      </c>
      <c r="BC11">
        <v>1500</v>
      </c>
      <c r="BD11">
        <v>1500</v>
      </c>
      <c r="BE11">
        <v>3500</v>
      </c>
      <c r="BF11">
        <v>1500</v>
      </c>
      <c r="BG11">
        <v>750</v>
      </c>
      <c r="BH11">
        <v>400</v>
      </c>
      <c r="BI11">
        <v>750</v>
      </c>
      <c r="BJ11">
        <v>1500</v>
      </c>
      <c r="BK11">
        <v>750</v>
      </c>
      <c r="BL11">
        <v>200</v>
      </c>
      <c r="BM11">
        <v>400</v>
      </c>
      <c r="BN11">
        <v>200</v>
      </c>
      <c r="BO11">
        <v>200</v>
      </c>
      <c r="BP11">
        <v>25</v>
      </c>
      <c r="BQ11" t="s">
        <v>264</v>
      </c>
      <c r="BR11">
        <v>25</v>
      </c>
      <c r="BS11">
        <v>75</v>
      </c>
      <c r="BT11" t="s">
        <v>264</v>
      </c>
    </row>
    <row r="12" spans="1:72" x14ac:dyDescent="0.25">
      <c r="A12" s="18">
        <v>21</v>
      </c>
      <c r="B12" t="s">
        <v>90</v>
      </c>
      <c r="C12" t="s">
        <v>97</v>
      </c>
      <c r="D12">
        <v>5</v>
      </c>
      <c r="E12">
        <v>0</v>
      </c>
      <c r="F12">
        <v>0</v>
      </c>
      <c r="H12" s="91">
        <f t="shared" si="2"/>
        <v>0</v>
      </c>
      <c r="J12">
        <f t="shared" si="3"/>
        <v>0</v>
      </c>
      <c r="K12" s="17"/>
      <c r="L12" s="17">
        <f t="shared" si="4"/>
        <v>0</v>
      </c>
      <c r="N12" t="s">
        <v>280</v>
      </c>
      <c r="O12" t="s">
        <v>293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262</v>
      </c>
      <c r="AG12" t="s">
        <v>102</v>
      </c>
      <c r="AH12" t="s">
        <v>102</v>
      </c>
      <c r="AI12" t="s">
        <v>264</v>
      </c>
      <c r="AJ12" t="s">
        <v>264</v>
      </c>
    </row>
    <row r="13" spans="1:72" x14ac:dyDescent="0.25">
      <c r="A13" s="18">
        <v>21</v>
      </c>
      <c r="B13" t="s">
        <v>100</v>
      </c>
      <c r="C13" t="s">
        <v>97</v>
      </c>
      <c r="D13">
        <v>4</v>
      </c>
      <c r="E13">
        <v>9</v>
      </c>
      <c r="F13">
        <v>5</v>
      </c>
      <c r="G13">
        <f t="shared" si="1"/>
        <v>19.333333333333332</v>
      </c>
      <c r="H13" s="91">
        <f t="shared" si="2"/>
        <v>9.6034174440981653E-4</v>
      </c>
      <c r="I13">
        <v>3</v>
      </c>
      <c r="J13">
        <f t="shared" si="3"/>
        <v>3</v>
      </c>
      <c r="K13" s="17">
        <f t="shared" ref="K13:K76" si="5">AVERAGE(AE13:AX13)</f>
        <v>52.5</v>
      </c>
      <c r="L13" s="17">
        <f t="shared" si="4"/>
        <v>2</v>
      </c>
      <c r="N13" t="s">
        <v>285</v>
      </c>
      <c r="O13" t="s">
        <v>286</v>
      </c>
      <c r="P13">
        <v>3.3333333333333335</v>
      </c>
      <c r="R13" t="s">
        <v>262</v>
      </c>
      <c r="S13">
        <v>1</v>
      </c>
      <c r="T13">
        <v>7</v>
      </c>
      <c r="U13">
        <v>1</v>
      </c>
      <c r="V13">
        <v>2</v>
      </c>
      <c r="W13" t="s">
        <v>262</v>
      </c>
      <c r="X13" t="s">
        <v>262</v>
      </c>
      <c r="Y13" t="s">
        <v>263</v>
      </c>
      <c r="Z13" t="s">
        <v>262</v>
      </c>
      <c r="AA13" t="s">
        <v>263</v>
      </c>
      <c r="AB13" t="s">
        <v>262</v>
      </c>
      <c r="AC13" t="s">
        <v>102</v>
      </c>
      <c r="AD13" t="s">
        <v>102</v>
      </c>
      <c r="AE13" t="s">
        <v>102</v>
      </c>
      <c r="AF13" t="s">
        <v>264</v>
      </c>
      <c r="AG13" t="s">
        <v>102</v>
      </c>
      <c r="AH13" t="s">
        <v>264</v>
      </c>
      <c r="AI13" t="s">
        <v>264</v>
      </c>
      <c r="AJ13" t="s">
        <v>264</v>
      </c>
      <c r="AK13" t="s">
        <v>102</v>
      </c>
      <c r="AL13" t="s">
        <v>102</v>
      </c>
      <c r="AM13" t="s">
        <v>102</v>
      </c>
      <c r="AN13" t="s">
        <v>102</v>
      </c>
      <c r="AO13" t="s">
        <v>264</v>
      </c>
      <c r="AP13" t="s">
        <v>102</v>
      </c>
      <c r="AQ13" t="s">
        <v>102</v>
      </c>
      <c r="AR13" t="s">
        <v>102</v>
      </c>
      <c r="AS13" t="s">
        <v>102</v>
      </c>
      <c r="AT13" t="s">
        <v>262</v>
      </c>
      <c r="AU13">
        <v>30</v>
      </c>
      <c r="AV13" t="s">
        <v>264</v>
      </c>
      <c r="AW13" t="s">
        <v>264</v>
      </c>
      <c r="AX13">
        <v>75</v>
      </c>
      <c r="AY13" t="s">
        <v>264</v>
      </c>
      <c r="AZ13" t="s">
        <v>264</v>
      </c>
      <c r="BA13" t="s">
        <v>264</v>
      </c>
      <c r="BB13" t="s">
        <v>264</v>
      </c>
      <c r="BC13" t="s">
        <v>264</v>
      </c>
      <c r="BD13" t="s">
        <v>262</v>
      </c>
      <c r="BE13" t="s">
        <v>264</v>
      </c>
      <c r="BF13" t="s">
        <v>264</v>
      </c>
      <c r="BG13" t="s">
        <v>264</v>
      </c>
      <c r="BH13" t="s">
        <v>264</v>
      </c>
      <c r="BI13" t="s">
        <v>262</v>
      </c>
      <c r="BJ13" t="s">
        <v>262</v>
      </c>
      <c r="BK13" t="s">
        <v>262</v>
      </c>
      <c r="BL13" t="s">
        <v>262</v>
      </c>
      <c r="BM13" t="s">
        <v>262</v>
      </c>
      <c r="BN13" t="s">
        <v>102</v>
      </c>
      <c r="BO13" t="s">
        <v>262</v>
      </c>
      <c r="BP13" t="s">
        <v>262</v>
      </c>
      <c r="BQ13" t="s">
        <v>264</v>
      </c>
      <c r="BR13" t="s">
        <v>262</v>
      </c>
      <c r="BS13" t="s">
        <v>262</v>
      </c>
      <c r="BT13" t="s">
        <v>102</v>
      </c>
    </row>
    <row r="14" spans="1:72" x14ac:dyDescent="0.25">
      <c r="A14" s="18">
        <v>22</v>
      </c>
      <c r="B14" t="s">
        <v>106</v>
      </c>
      <c r="C14" t="s">
        <v>97</v>
      </c>
      <c r="D14">
        <v>4</v>
      </c>
      <c r="E14">
        <v>6</v>
      </c>
      <c r="F14">
        <v>1</v>
      </c>
      <c r="G14">
        <f t="shared" si="1"/>
        <v>1500</v>
      </c>
      <c r="H14" s="91">
        <f t="shared" si="2"/>
        <v>7.4509273273175428E-2</v>
      </c>
      <c r="J14">
        <f t="shared" si="3"/>
        <v>0</v>
      </c>
      <c r="K14" s="17">
        <f t="shared" si="5"/>
        <v>1500</v>
      </c>
      <c r="L14" s="17">
        <f t="shared" si="4"/>
        <v>1</v>
      </c>
      <c r="N14" t="s">
        <v>280</v>
      </c>
      <c r="O14" t="s">
        <v>325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262</v>
      </c>
      <c r="Y14" t="s">
        <v>263</v>
      </c>
      <c r="Z14" t="s">
        <v>262</v>
      </c>
      <c r="AA14" t="s">
        <v>262</v>
      </c>
      <c r="AB14" t="s">
        <v>262</v>
      </c>
      <c r="AC14" t="s">
        <v>262</v>
      </c>
      <c r="AE14" t="s">
        <v>264</v>
      </c>
      <c r="AF14" t="s">
        <v>102</v>
      </c>
      <c r="AG14" t="s">
        <v>264</v>
      </c>
      <c r="AH14">
        <v>1500</v>
      </c>
      <c r="AI14" t="s">
        <v>264</v>
      </c>
      <c r="AJ14" t="s">
        <v>264</v>
      </c>
      <c r="AK14" t="s">
        <v>102</v>
      </c>
      <c r="AL14" t="s">
        <v>102</v>
      </c>
      <c r="AM14" t="s">
        <v>102</v>
      </c>
      <c r="AN14" t="s">
        <v>102</v>
      </c>
      <c r="AO14" t="s">
        <v>102</v>
      </c>
      <c r="AP14" t="s">
        <v>102</v>
      </c>
      <c r="AQ14" t="s">
        <v>102</v>
      </c>
      <c r="AR14" t="s">
        <v>102</v>
      </c>
      <c r="AS14" t="s">
        <v>102</v>
      </c>
      <c r="AT14" t="s">
        <v>102</v>
      </c>
      <c r="AU14" t="s">
        <v>102</v>
      </c>
      <c r="AV14" t="s">
        <v>102</v>
      </c>
      <c r="AW14" t="s">
        <v>102</v>
      </c>
      <c r="AX14" t="s">
        <v>102</v>
      </c>
      <c r="AY14" t="s">
        <v>102</v>
      </c>
      <c r="AZ14" t="s">
        <v>102</v>
      </c>
      <c r="BA14" t="s">
        <v>102</v>
      </c>
      <c r="BB14" t="s">
        <v>102</v>
      </c>
      <c r="BC14" t="s">
        <v>102</v>
      </c>
      <c r="BD14" t="s">
        <v>102</v>
      </c>
      <c r="BE14" t="s">
        <v>102</v>
      </c>
      <c r="BF14" t="s">
        <v>102</v>
      </c>
      <c r="BG14" t="s">
        <v>102</v>
      </c>
      <c r="BH14" t="s">
        <v>102</v>
      </c>
      <c r="BI14" t="s">
        <v>102</v>
      </c>
      <c r="BJ14" t="s">
        <v>102</v>
      </c>
      <c r="BK14" t="s">
        <v>102</v>
      </c>
      <c r="BL14" t="s">
        <v>102</v>
      </c>
      <c r="BM14" t="s">
        <v>102</v>
      </c>
      <c r="BN14" t="s">
        <v>102</v>
      </c>
      <c r="BO14" t="s">
        <v>102</v>
      </c>
      <c r="BP14" t="s">
        <v>102</v>
      </c>
      <c r="BQ14" t="s">
        <v>102</v>
      </c>
      <c r="BR14" t="s">
        <v>102</v>
      </c>
      <c r="BS14" t="s">
        <v>102</v>
      </c>
      <c r="BT14" t="s">
        <v>102</v>
      </c>
    </row>
    <row r="15" spans="1:72" x14ac:dyDescent="0.25">
      <c r="A15" s="18">
        <v>22</v>
      </c>
      <c r="B15" t="s">
        <v>105</v>
      </c>
      <c r="C15" t="s">
        <v>97</v>
      </c>
      <c r="D15">
        <v>4</v>
      </c>
      <c r="E15">
        <v>7</v>
      </c>
      <c r="F15">
        <v>3</v>
      </c>
      <c r="G15">
        <f t="shared" si="1"/>
        <v>38.285714285714285</v>
      </c>
      <c r="H15" s="91">
        <f t="shared" si="2"/>
        <v>1.9017604987820013E-3</v>
      </c>
      <c r="J15">
        <f t="shared" si="3"/>
        <v>1</v>
      </c>
      <c r="K15" s="17">
        <f t="shared" si="5"/>
        <v>41.25</v>
      </c>
      <c r="L15" s="17">
        <f t="shared" si="4"/>
        <v>4</v>
      </c>
      <c r="N15" t="s">
        <v>280</v>
      </c>
      <c r="O15" t="s">
        <v>300</v>
      </c>
      <c r="P15">
        <v>72</v>
      </c>
      <c r="S15">
        <v>6</v>
      </c>
      <c r="T15" t="s">
        <v>262</v>
      </c>
      <c r="U15" t="s">
        <v>102</v>
      </c>
      <c r="V15" t="s">
        <v>102</v>
      </c>
      <c r="W15" t="s">
        <v>102</v>
      </c>
      <c r="X15" t="s">
        <v>262</v>
      </c>
      <c r="Y15" t="s">
        <v>263</v>
      </c>
      <c r="Z15" t="s">
        <v>262</v>
      </c>
      <c r="AA15">
        <v>72</v>
      </c>
      <c r="AB15" t="s">
        <v>262</v>
      </c>
      <c r="AC15" t="s">
        <v>263</v>
      </c>
      <c r="AE15" t="s">
        <v>264</v>
      </c>
      <c r="AF15" t="s">
        <v>264</v>
      </c>
      <c r="AG15">
        <v>20</v>
      </c>
      <c r="AH15" t="s">
        <v>262</v>
      </c>
      <c r="AI15">
        <v>75</v>
      </c>
      <c r="AJ15">
        <v>50</v>
      </c>
      <c r="AK15" t="s">
        <v>102</v>
      </c>
      <c r="AL15" t="s">
        <v>264</v>
      </c>
      <c r="AM15">
        <v>20</v>
      </c>
      <c r="AN15" t="s">
        <v>102</v>
      </c>
      <c r="AO15" t="s">
        <v>264</v>
      </c>
      <c r="AP15" t="s">
        <v>102</v>
      </c>
      <c r="AQ15" t="s">
        <v>102</v>
      </c>
      <c r="AR15" t="s">
        <v>102</v>
      </c>
      <c r="AS15" t="s">
        <v>264</v>
      </c>
      <c r="AT15" t="s">
        <v>264</v>
      </c>
      <c r="AU15" t="s">
        <v>264</v>
      </c>
      <c r="AV15" t="s">
        <v>264</v>
      </c>
      <c r="AW15" t="s">
        <v>264</v>
      </c>
      <c r="AX15" t="s">
        <v>264</v>
      </c>
      <c r="AY15" t="s">
        <v>264</v>
      </c>
      <c r="AZ15" t="s">
        <v>264</v>
      </c>
      <c r="BA15" t="s">
        <v>264</v>
      </c>
      <c r="BB15" t="s">
        <v>264</v>
      </c>
      <c r="BC15" t="s">
        <v>264</v>
      </c>
      <c r="BD15" t="s">
        <v>264</v>
      </c>
      <c r="BE15" t="s">
        <v>264</v>
      </c>
      <c r="BF15" t="s">
        <v>264</v>
      </c>
      <c r="BG15" t="s">
        <v>262</v>
      </c>
      <c r="BH15">
        <v>25</v>
      </c>
      <c r="BI15" t="s">
        <v>264</v>
      </c>
      <c r="BJ15" t="s">
        <v>264</v>
      </c>
      <c r="BK15" t="s">
        <v>264</v>
      </c>
      <c r="BL15" t="s">
        <v>264</v>
      </c>
      <c r="BM15" t="s">
        <v>264</v>
      </c>
      <c r="BN15" t="s">
        <v>264</v>
      </c>
      <c r="BO15" t="s">
        <v>264</v>
      </c>
      <c r="BP15" t="s">
        <v>264</v>
      </c>
      <c r="BQ15" t="s">
        <v>264</v>
      </c>
      <c r="BR15" t="s">
        <v>264</v>
      </c>
      <c r="BS15" t="s">
        <v>264</v>
      </c>
      <c r="BT15" t="s">
        <v>264</v>
      </c>
    </row>
    <row r="16" spans="1:72" x14ac:dyDescent="0.25">
      <c r="A16" s="18">
        <v>22</v>
      </c>
      <c r="B16" t="s">
        <v>103</v>
      </c>
      <c r="C16" t="s">
        <v>97</v>
      </c>
      <c r="D16">
        <v>4</v>
      </c>
      <c r="E16">
        <v>6</v>
      </c>
      <c r="F16">
        <v>1</v>
      </c>
      <c r="G16">
        <f t="shared" si="1"/>
        <v>1</v>
      </c>
      <c r="H16" s="91">
        <f t="shared" si="2"/>
        <v>4.9672848848783616E-5</v>
      </c>
      <c r="J16">
        <f t="shared" si="3"/>
        <v>1</v>
      </c>
      <c r="K16" s="17"/>
      <c r="L16" s="17">
        <f t="shared" si="4"/>
        <v>0</v>
      </c>
      <c r="N16" t="s">
        <v>280</v>
      </c>
      <c r="O16" t="s">
        <v>301</v>
      </c>
      <c r="P16">
        <v>1</v>
      </c>
      <c r="R16" t="s">
        <v>102</v>
      </c>
      <c r="S16" t="s">
        <v>102</v>
      </c>
      <c r="T16" t="s">
        <v>262</v>
      </c>
      <c r="U16" t="s">
        <v>102</v>
      </c>
      <c r="V16" t="s">
        <v>262</v>
      </c>
      <c r="W16" t="s">
        <v>102</v>
      </c>
      <c r="X16" t="s">
        <v>102</v>
      </c>
      <c r="Y16" t="s">
        <v>102</v>
      </c>
      <c r="Z16" t="s">
        <v>262</v>
      </c>
      <c r="AA16">
        <v>1</v>
      </c>
      <c r="AB16" t="s">
        <v>262</v>
      </c>
      <c r="AC16" t="s">
        <v>262</v>
      </c>
      <c r="AE16" t="s">
        <v>264</v>
      </c>
      <c r="AF16" t="s">
        <v>264</v>
      </c>
      <c r="AG16" t="s">
        <v>264</v>
      </c>
      <c r="AH16" t="s">
        <v>264</v>
      </c>
      <c r="AI16" t="s">
        <v>264</v>
      </c>
      <c r="AJ16" t="s">
        <v>264</v>
      </c>
      <c r="AK16" t="s">
        <v>102</v>
      </c>
      <c r="AL16" t="s">
        <v>264</v>
      </c>
      <c r="AM16" t="s">
        <v>264</v>
      </c>
      <c r="AN16" t="s">
        <v>102</v>
      </c>
      <c r="AO16" t="s">
        <v>264</v>
      </c>
      <c r="AP16" t="s">
        <v>102</v>
      </c>
      <c r="AQ16" t="s">
        <v>102</v>
      </c>
      <c r="AR16" t="s">
        <v>264</v>
      </c>
      <c r="AS16" t="s">
        <v>264</v>
      </c>
      <c r="AT16" t="s">
        <v>264</v>
      </c>
      <c r="AU16" t="s">
        <v>264</v>
      </c>
      <c r="AV16" t="s">
        <v>264</v>
      </c>
      <c r="AW16" t="s">
        <v>264</v>
      </c>
      <c r="AX16" t="s">
        <v>264</v>
      </c>
      <c r="AY16" t="s">
        <v>264</v>
      </c>
      <c r="AZ16" t="s">
        <v>264</v>
      </c>
      <c r="BA16" t="s">
        <v>264</v>
      </c>
      <c r="BB16" t="s">
        <v>264</v>
      </c>
      <c r="BC16" t="s">
        <v>264</v>
      </c>
      <c r="BD16" t="s">
        <v>264</v>
      </c>
      <c r="BE16" t="s">
        <v>264</v>
      </c>
      <c r="BF16" t="s">
        <v>264</v>
      </c>
      <c r="BG16" t="s">
        <v>264</v>
      </c>
      <c r="BH16" t="s">
        <v>102</v>
      </c>
      <c r="BI16" t="s">
        <v>102</v>
      </c>
      <c r="BJ16" t="s">
        <v>102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</row>
    <row r="17" spans="1:72" x14ac:dyDescent="0.25">
      <c r="A17" s="18">
        <v>22</v>
      </c>
      <c r="B17" t="s">
        <v>101</v>
      </c>
      <c r="C17" t="s">
        <v>97</v>
      </c>
      <c r="D17">
        <v>1</v>
      </c>
      <c r="E17">
        <v>11</v>
      </c>
      <c r="F17">
        <v>11</v>
      </c>
      <c r="G17">
        <f t="shared" si="1"/>
        <v>8702.0181818181827</v>
      </c>
      <c r="H17" s="91"/>
      <c r="I17">
        <v>22430</v>
      </c>
      <c r="K17" s="17">
        <f t="shared" si="5"/>
        <v>8709.85</v>
      </c>
      <c r="L17" s="17"/>
      <c r="M17" t="s">
        <v>272</v>
      </c>
      <c r="N17" t="s">
        <v>281</v>
      </c>
      <c r="O17" t="s">
        <v>4</v>
      </c>
      <c r="P17">
        <v>22429.909090909092</v>
      </c>
      <c r="R17">
        <v>6500</v>
      </c>
      <c r="S17">
        <v>14285</v>
      </c>
      <c r="T17">
        <v>15962</v>
      </c>
      <c r="U17">
        <v>18790</v>
      </c>
      <c r="V17">
        <v>37235</v>
      </c>
      <c r="W17">
        <v>20367</v>
      </c>
      <c r="X17">
        <v>15295</v>
      </c>
      <c r="Y17">
        <v>8685</v>
      </c>
      <c r="Z17">
        <v>20712</v>
      </c>
      <c r="AA17">
        <v>34854</v>
      </c>
      <c r="AB17">
        <v>34482</v>
      </c>
      <c r="AC17">
        <v>29809</v>
      </c>
      <c r="AD17">
        <v>10538</v>
      </c>
      <c r="AE17">
        <v>11000</v>
      </c>
      <c r="AF17">
        <v>25000</v>
      </c>
      <c r="AG17">
        <v>30000</v>
      </c>
      <c r="AH17">
        <v>12000</v>
      </c>
      <c r="AI17">
        <v>19000</v>
      </c>
      <c r="AJ17">
        <v>17000</v>
      </c>
      <c r="AK17">
        <v>21047</v>
      </c>
      <c r="AL17">
        <v>2500</v>
      </c>
      <c r="AM17">
        <v>8000</v>
      </c>
      <c r="AN17">
        <v>12000</v>
      </c>
      <c r="AO17">
        <v>2200</v>
      </c>
      <c r="AP17">
        <v>1300</v>
      </c>
      <c r="AQ17">
        <v>2000</v>
      </c>
      <c r="AR17">
        <v>1000</v>
      </c>
      <c r="AS17">
        <v>3000</v>
      </c>
      <c r="AT17">
        <v>3500</v>
      </c>
      <c r="AU17">
        <v>1200</v>
      </c>
      <c r="AV17">
        <v>1000</v>
      </c>
      <c r="AW17">
        <v>650</v>
      </c>
      <c r="AX17">
        <v>800</v>
      </c>
      <c r="AY17">
        <v>3000</v>
      </c>
      <c r="AZ17">
        <v>850</v>
      </c>
      <c r="BA17">
        <v>800</v>
      </c>
      <c r="BB17">
        <v>1200</v>
      </c>
      <c r="BC17">
        <v>750</v>
      </c>
      <c r="BD17">
        <v>1500</v>
      </c>
      <c r="BE17">
        <v>3500</v>
      </c>
      <c r="BF17">
        <v>1500</v>
      </c>
      <c r="BG17">
        <v>3500</v>
      </c>
      <c r="BH17">
        <v>3500</v>
      </c>
      <c r="BI17">
        <v>3500</v>
      </c>
      <c r="BJ17">
        <v>1500</v>
      </c>
      <c r="BK17">
        <v>1500</v>
      </c>
      <c r="BL17">
        <v>1500</v>
      </c>
      <c r="BM17">
        <v>750</v>
      </c>
      <c r="BN17">
        <v>400</v>
      </c>
      <c r="BO17">
        <v>1500</v>
      </c>
      <c r="BP17">
        <v>3500</v>
      </c>
      <c r="BQ17">
        <v>400</v>
      </c>
      <c r="BR17">
        <v>750</v>
      </c>
      <c r="BS17">
        <v>750</v>
      </c>
      <c r="BT17">
        <v>750</v>
      </c>
    </row>
    <row r="18" spans="1:72" x14ac:dyDescent="0.25">
      <c r="A18" s="18">
        <v>23</v>
      </c>
      <c r="B18" t="s">
        <v>128</v>
      </c>
      <c r="C18" t="s">
        <v>97</v>
      </c>
      <c r="D18">
        <v>3</v>
      </c>
      <c r="E18">
        <v>3</v>
      </c>
      <c r="F18">
        <v>3</v>
      </c>
      <c r="G18">
        <f t="shared" si="1"/>
        <v>67.2</v>
      </c>
      <c r="H18" s="91">
        <f t="shared" si="2"/>
        <v>3.3380154426382591E-3</v>
      </c>
      <c r="I18">
        <v>99</v>
      </c>
      <c r="J18">
        <f t="shared" si="3"/>
        <v>3</v>
      </c>
      <c r="K18" s="17"/>
      <c r="L18" s="17">
        <f t="shared" si="4"/>
        <v>0</v>
      </c>
      <c r="N18" t="s">
        <v>285</v>
      </c>
      <c r="O18" t="s">
        <v>324</v>
      </c>
      <c r="P18">
        <v>39</v>
      </c>
      <c r="R18">
        <v>182</v>
      </c>
      <c r="S18">
        <v>37</v>
      </c>
      <c r="T18">
        <v>37</v>
      </c>
      <c r="U18" t="s">
        <v>102</v>
      </c>
      <c r="V18">
        <v>78</v>
      </c>
      <c r="W18">
        <v>2</v>
      </c>
    </row>
    <row r="19" spans="1:72" x14ac:dyDescent="0.25">
      <c r="A19" s="18">
        <v>23</v>
      </c>
      <c r="B19" t="s">
        <v>133</v>
      </c>
      <c r="C19" t="s">
        <v>97</v>
      </c>
      <c r="D19">
        <v>4</v>
      </c>
      <c r="E19">
        <v>9</v>
      </c>
      <c r="F19">
        <v>2</v>
      </c>
      <c r="G19">
        <f t="shared" si="1"/>
        <v>24</v>
      </c>
      <c r="H19" s="91">
        <f t="shared" si="2"/>
        <v>1.1921483723708068E-3</v>
      </c>
      <c r="J19">
        <f t="shared" si="3"/>
        <v>1</v>
      </c>
      <c r="K19" s="17">
        <f t="shared" si="5"/>
        <v>27.5</v>
      </c>
      <c r="L19" s="17">
        <f t="shared" si="4"/>
        <v>3</v>
      </c>
      <c r="N19" t="s">
        <v>280</v>
      </c>
      <c r="O19" t="s">
        <v>327</v>
      </c>
      <c r="P19">
        <v>15</v>
      </c>
      <c r="R19" t="s">
        <v>102</v>
      </c>
      <c r="S19" t="s">
        <v>102</v>
      </c>
      <c r="T19" t="s">
        <v>102</v>
      </c>
      <c r="U19" t="s">
        <v>262</v>
      </c>
      <c r="V19" t="s">
        <v>102</v>
      </c>
      <c r="W19" t="s">
        <v>262</v>
      </c>
      <c r="X19">
        <v>10</v>
      </c>
      <c r="Y19" t="s">
        <v>262</v>
      </c>
      <c r="Z19" t="s">
        <v>262</v>
      </c>
      <c r="AA19" t="s">
        <v>262</v>
      </c>
      <c r="AB19" t="s">
        <v>262</v>
      </c>
      <c r="AC19" t="s">
        <v>262</v>
      </c>
      <c r="AD19">
        <v>20</v>
      </c>
      <c r="AE19">
        <v>30</v>
      </c>
      <c r="AF19" t="s">
        <v>264</v>
      </c>
      <c r="AG19" t="s">
        <v>264</v>
      </c>
      <c r="AH19" t="s">
        <v>264</v>
      </c>
      <c r="AI19" t="s">
        <v>264</v>
      </c>
      <c r="AJ19" t="s">
        <v>102</v>
      </c>
      <c r="AK19" t="s">
        <v>264</v>
      </c>
      <c r="AL19" t="s">
        <v>102</v>
      </c>
      <c r="AM19" t="s">
        <v>102</v>
      </c>
      <c r="AN19" t="s">
        <v>264</v>
      </c>
      <c r="AO19" t="s">
        <v>264</v>
      </c>
      <c r="AP19" t="s">
        <v>264</v>
      </c>
      <c r="AQ19" t="s">
        <v>264</v>
      </c>
      <c r="AR19" t="s">
        <v>264</v>
      </c>
      <c r="AS19" t="s">
        <v>102</v>
      </c>
      <c r="AT19" t="s">
        <v>262</v>
      </c>
      <c r="AU19" t="s">
        <v>262</v>
      </c>
      <c r="AV19" t="s">
        <v>264</v>
      </c>
      <c r="AW19" t="s">
        <v>264</v>
      </c>
      <c r="AX19">
        <v>25</v>
      </c>
      <c r="AY19">
        <v>50</v>
      </c>
      <c r="AZ19">
        <v>25</v>
      </c>
      <c r="BA19">
        <v>25</v>
      </c>
      <c r="BB19">
        <v>25</v>
      </c>
      <c r="BC19">
        <v>25</v>
      </c>
      <c r="BD19" t="s">
        <v>262</v>
      </c>
      <c r="BE19" t="s">
        <v>264</v>
      </c>
      <c r="BF19" t="s">
        <v>262</v>
      </c>
      <c r="BG19" t="s">
        <v>262</v>
      </c>
      <c r="BH19" t="s">
        <v>262</v>
      </c>
      <c r="BI19" t="s">
        <v>264</v>
      </c>
      <c r="BJ19">
        <v>2</v>
      </c>
      <c r="BK19" t="s">
        <v>264</v>
      </c>
      <c r="BL19" t="s">
        <v>264</v>
      </c>
      <c r="BM19">
        <v>25</v>
      </c>
      <c r="BN19">
        <v>25</v>
      </c>
      <c r="BO19">
        <v>25</v>
      </c>
      <c r="BP19" t="s">
        <v>264</v>
      </c>
      <c r="BQ19" t="s">
        <v>264</v>
      </c>
      <c r="BR19" t="s">
        <v>264</v>
      </c>
      <c r="BS19" t="s">
        <v>264</v>
      </c>
      <c r="BT19" t="s">
        <v>264</v>
      </c>
    </row>
    <row r="20" spans="1:72" x14ac:dyDescent="0.25">
      <c r="A20" s="18">
        <v>23</v>
      </c>
      <c r="B20" t="s">
        <v>115</v>
      </c>
      <c r="C20" t="s">
        <v>97</v>
      </c>
      <c r="D20">
        <v>4</v>
      </c>
      <c r="E20">
        <v>10</v>
      </c>
      <c r="F20">
        <v>1</v>
      </c>
      <c r="G20">
        <f t="shared" si="1"/>
        <v>6</v>
      </c>
      <c r="H20" s="91">
        <f t="shared" si="2"/>
        <v>2.980370930927017E-4</v>
      </c>
      <c r="J20">
        <f t="shared" si="3"/>
        <v>0</v>
      </c>
      <c r="K20" s="17"/>
      <c r="L20" s="17">
        <f t="shared" si="4"/>
        <v>1</v>
      </c>
      <c r="N20" t="s">
        <v>280</v>
      </c>
      <c r="O20" t="s">
        <v>327</v>
      </c>
      <c r="P20">
        <v>6</v>
      </c>
      <c r="R20" t="s">
        <v>102</v>
      </c>
      <c r="S20" t="s">
        <v>102</v>
      </c>
      <c r="T20" t="s">
        <v>262</v>
      </c>
      <c r="U20" t="s">
        <v>262</v>
      </c>
      <c r="V20" t="s">
        <v>262</v>
      </c>
      <c r="W20" t="s">
        <v>262</v>
      </c>
      <c r="X20" t="s">
        <v>262</v>
      </c>
      <c r="Y20" t="s">
        <v>262</v>
      </c>
      <c r="Z20" t="s">
        <v>262</v>
      </c>
      <c r="AA20" t="s">
        <v>262</v>
      </c>
      <c r="AB20" t="s">
        <v>262</v>
      </c>
      <c r="AC20" t="s">
        <v>102</v>
      </c>
      <c r="AD20">
        <v>6</v>
      </c>
      <c r="AE20" t="s">
        <v>102</v>
      </c>
      <c r="AF20" t="s">
        <v>264</v>
      </c>
      <c r="AG20" t="s">
        <v>102</v>
      </c>
      <c r="AH20" t="s">
        <v>264</v>
      </c>
      <c r="AI20" t="s">
        <v>264</v>
      </c>
      <c r="AJ20" t="s">
        <v>102</v>
      </c>
      <c r="AK20" t="s">
        <v>102</v>
      </c>
      <c r="AL20" t="s">
        <v>102</v>
      </c>
      <c r="AM20" t="s">
        <v>264</v>
      </c>
      <c r="AN20" t="s">
        <v>264</v>
      </c>
      <c r="AO20" t="s">
        <v>262</v>
      </c>
      <c r="AP20" t="s">
        <v>102</v>
      </c>
      <c r="AQ20" t="s">
        <v>264</v>
      </c>
      <c r="AR20" t="s">
        <v>264</v>
      </c>
      <c r="AS20" t="s">
        <v>102</v>
      </c>
      <c r="AT20" t="s">
        <v>264</v>
      </c>
      <c r="AU20" t="s">
        <v>264</v>
      </c>
      <c r="AV20" t="s">
        <v>264</v>
      </c>
      <c r="AW20" t="s">
        <v>264</v>
      </c>
      <c r="AX20" t="s">
        <v>264</v>
      </c>
      <c r="AY20" t="s">
        <v>264</v>
      </c>
      <c r="AZ20" t="s">
        <v>264</v>
      </c>
      <c r="BA20" t="s">
        <v>264</v>
      </c>
      <c r="BB20" t="s">
        <v>264</v>
      </c>
      <c r="BC20" t="s">
        <v>264</v>
      </c>
      <c r="BD20" t="s">
        <v>264</v>
      </c>
      <c r="BE20" t="s">
        <v>264</v>
      </c>
      <c r="BF20" t="s">
        <v>264</v>
      </c>
      <c r="BG20" t="s">
        <v>264</v>
      </c>
      <c r="BH20" t="s">
        <v>264</v>
      </c>
      <c r="BI20" t="s">
        <v>264</v>
      </c>
      <c r="BJ20" t="s">
        <v>264</v>
      </c>
      <c r="BK20" t="s">
        <v>264</v>
      </c>
      <c r="BL20" t="s">
        <v>264</v>
      </c>
      <c r="BM20" t="s">
        <v>264</v>
      </c>
      <c r="BN20" t="s">
        <v>264</v>
      </c>
      <c r="BO20" t="s">
        <v>264</v>
      </c>
      <c r="BP20" t="s">
        <v>264</v>
      </c>
      <c r="BQ20" t="s">
        <v>264</v>
      </c>
      <c r="BR20" t="s">
        <v>264</v>
      </c>
      <c r="BS20" t="s">
        <v>264</v>
      </c>
      <c r="BT20" t="s">
        <v>264</v>
      </c>
    </row>
    <row r="21" spans="1:72" x14ac:dyDescent="0.25">
      <c r="A21" s="18">
        <v>23</v>
      </c>
      <c r="B21" t="s">
        <v>123</v>
      </c>
      <c r="C21" t="s">
        <v>97</v>
      </c>
      <c r="D21">
        <v>4</v>
      </c>
      <c r="E21">
        <v>11</v>
      </c>
      <c r="F21">
        <v>0</v>
      </c>
      <c r="G21">
        <f t="shared" si="1"/>
        <v>22.285714285714285</v>
      </c>
      <c r="H21" s="91">
        <f t="shared" si="2"/>
        <v>1.1069949172014635E-3</v>
      </c>
      <c r="J21">
        <f t="shared" si="3"/>
        <v>0</v>
      </c>
      <c r="K21" s="17">
        <f t="shared" si="5"/>
        <v>17.399999999999999</v>
      </c>
      <c r="L21" s="17">
        <f t="shared" si="4"/>
        <v>5</v>
      </c>
      <c r="N21" t="s">
        <v>280</v>
      </c>
      <c r="O21" t="s">
        <v>327</v>
      </c>
      <c r="R21" t="s">
        <v>102</v>
      </c>
      <c r="S21" t="s">
        <v>102</v>
      </c>
      <c r="T21" t="s">
        <v>262</v>
      </c>
      <c r="U21" t="s">
        <v>262</v>
      </c>
      <c r="V21" t="s">
        <v>262</v>
      </c>
      <c r="W21" t="s">
        <v>262</v>
      </c>
      <c r="X21" t="s">
        <v>262</v>
      </c>
      <c r="Y21" t="s">
        <v>262</v>
      </c>
      <c r="Z21" t="s">
        <v>262</v>
      </c>
      <c r="AA21" t="s">
        <v>262</v>
      </c>
      <c r="AB21" t="s">
        <v>262</v>
      </c>
      <c r="AC21" t="s">
        <v>262</v>
      </c>
      <c r="AD21" t="s">
        <v>262</v>
      </c>
      <c r="AE21" t="s">
        <v>264</v>
      </c>
      <c r="AF21" t="s">
        <v>264</v>
      </c>
      <c r="AG21" t="s">
        <v>102</v>
      </c>
      <c r="AH21" t="s">
        <v>102</v>
      </c>
      <c r="AI21">
        <v>2</v>
      </c>
      <c r="AJ21" t="s">
        <v>102</v>
      </c>
      <c r="AK21" t="s">
        <v>102</v>
      </c>
      <c r="AL21" t="s">
        <v>102</v>
      </c>
      <c r="AM21" t="s">
        <v>102</v>
      </c>
      <c r="AN21">
        <v>25</v>
      </c>
      <c r="AO21" t="s">
        <v>262</v>
      </c>
      <c r="AP21" t="s">
        <v>264</v>
      </c>
      <c r="AQ21" t="s">
        <v>264</v>
      </c>
      <c r="AR21" t="s">
        <v>264</v>
      </c>
      <c r="AS21" t="s">
        <v>102</v>
      </c>
      <c r="AT21" t="s">
        <v>262</v>
      </c>
      <c r="AU21" t="s">
        <v>262</v>
      </c>
      <c r="AV21">
        <v>20</v>
      </c>
      <c r="AW21">
        <v>15</v>
      </c>
      <c r="AX21">
        <v>25</v>
      </c>
      <c r="AY21">
        <v>25</v>
      </c>
      <c r="AZ21">
        <v>25</v>
      </c>
      <c r="BA21">
        <v>25</v>
      </c>
      <c r="BB21">
        <v>25</v>
      </c>
      <c r="BC21" t="s">
        <v>262</v>
      </c>
      <c r="BD21">
        <v>25</v>
      </c>
      <c r="BE21" t="s">
        <v>264</v>
      </c>
      <c r="BF21">
        <v>25</v>
      </c>
      <c r="BG21">
        <v>25</v>
      </c>
      <c r="BH21">
        <v>25</v>
      </c>
      <c r="BI21">
        <v>25</v>
      </c>
      <c r="BJ21" t="s">
        <v>264</v>
      </c>
      <c r="BK21" t="s">
        <v>264</v>
      </c>
      <c r="BL21" t="s">
        <v>264</v>
      </c>
      <c r="BM21" t="s">
        <v>264</v>
      </c>
      <c r="BN21" t="s">
        <v>264</v>
      </c>
      <c r="BO21" t="s">
        <v>264</v>
      </c>
      <c r="BP21" t="s">
        <v>264</v>
      </c>
      <c r="BQ21" t="s">
        <v>264</v>
      </c>
      <c r="BR21" t="s">
        <v>264</v>
      </c>
      <c r="BS21" t="s">
        <v>264</v>
      </c>
      <c r="BT21" t="s">
        <v>264</v>
      </c>
    </row>
    <row r="22" spans="1:72" x14ac:dyDescent="0.25">
      <c r="A22" s="18">
        <v>23</v>
      </c>
      <c r="B22" t="s">
        <v>134</v>
      </c>
      <c r="C22" t="s">
        <v>97</v>
      </c>
      <c r="D22">
        <v>4</v>
      </c>
      <c r="E22">
        <v>11</v>
      </c>
      <c r="F22">
        <v>3</v>
      </c>
      <c r="G22">
        <f t="shared" si="1"/>
        <v>32.333333333333336</v>
      </c>
      <c r="H22" s="91">
        <f t="shared" si="2"/>
        <v>1.6060887794440038E-3</v>
      </c>
      <c r="J22">
        <f t="shared" si="3"/>
        <v>3</v>
      </c>
      <c r="K22" s="17">
        <f t="shared" si="5"/>
        <v>10</v>
      </c>
      <c r="L22" s="17">
        <f t="shared" si="4"/>
        <v>3</v>
      </c>
      <c r="N22" t="s">
        <v>329</v>
      </c>
      <c r="O22" t="s">
        <v>327</v>
      </c>
      <c r="P22">
        <v>85.333333333333329</v>
      </c>
      <c r="R22" t="s">
        <v>102</v>
      </c>
      <c r="S22" t="s">
        <v>102</v>
      </c>
      <c r="T22" t="s">
        <v>262</v>
      </c>
      <c r="U22" t="s">
        <v>262</v>
      </c>
      <c r="V22" t="s">
        <v>262</v>
      </c>
      <c r="W22" t="s">
        <v>262</v>
      </c>
      <c r="X22" t="s">
        <v>262</v>
      </c>
      <c r="Y22" t="s">
        <v>262</v>
      </c>
      <c r="Z22">
        <v>50</v>
      </c>
      <c r="AA22">
        <v>200</v>
      </c>
      <c r="AB22" t="s">
        <v>263</v>
      </c>
      <c r="AC22">
        <v>6</v>
      </c>
      <c r="AD22" t="s">
        <v>262</v>
      </c>
      <c r="AE22" t="s">
        <v>262</v>
      </c>
      <c r="AF22" t="s">
        <v>264</v>
      </c>
      <c r="AG22">
        <v>10</v>
      </c>
      <c r="AH22">
        <v>10</v>
      </c>
      <c r="AI22" t="s">
        <v>264</v>
      </c>
      <c r="AJ22">
        <v>10</v>
      </c>
      <c r="AK22" t="s">
        <v>262</v>
      </c>
      <c r="AL22" t="s">
        <v>102</v>
      </c>
      <c r="AM22" t="s">
        <v>102</v>
      </c>
      <c r="AN22" t="s">
        <v>264</v>
      </c>
      <c r="AO22" t="s">
        <v>262</v>
      </c>
      <c r="AP22" t="s">
        <v>262</v>
      </c>
      <c r="AQ22" t="s">
        <v>264</v>
      </c>
      <c r="AR22" t="s">
        <v>264</v>
      </c>
      <c r="AS22" t="s">
        <v>264</v>
      </c>
      <c r="AT22" t="s">
        <v>264</v>
      </c>
      <c r="AU22" t="s">
        <v>264</v>
      </c>
      <c r="AV22" t="s">
        <v>264</v>
      </c>
      <c r="AW22" t="s">
        <v>262</v>
      </c>
      <c r="AX22" t="s">
        <v>262</v>
      </c>
      <c r="AY22">
        <v>40</v>
      </c>
      <c r="AZ22">
        <v>50</v>
      </c>
      <c r="BA22">
        <v>25</v>
      </c>
      <c r="BB22">
        <v>25</v>
      </c>
      <c r="BC22" t="s">
        <v>262</v>
      </c>
      <c r="BD22" t="s">
        <v>262</v>
      </c>
      <c r="BE22">
        <v>25</v>
      </c>
      <c r="BF22">
        <v>25</v>
      </c>
      <c r="BG22">
        <v>25</v>
      </c>
      <c r="BH22">
        <v>25</v>
      </c>
      <c r="BI22">
        <v>25</v>
      </c>
      <c r="BJ22">
        <v>25</v>
      </c>
      <c r="BK22">
        <v>25</v>
      </c>
      <c r="BL22">
        <v>25</v>
      </c>
      <c r="BM22">
        <v>25</v>
      </c>
      <c r="BN22" t="s">
        <v>264</v>
      </c>
      <c r="BO22">
        <v>25</v>
      </c>
      <c r="BP22">
        <v>25</v>
      </c>
      <c r="BQ22">
        <v>25</v>
      </c>
      <c r="BR22">
        <v>25</v>
      </c>
      <c r="BS22" t="s">
        <v>264</v>
      </c>
      <c r="BT22">
        <v>25</v>
      </c>
    </row>
    <row r="23" spans="1:72" x14ac:dyDescent="0.25">
      <c r="A23" s="18">
        <v>23</v>
      </c>
      <c r="B23" t="s">
        <v>118</v>
      </c>
      <c r="C23" t="s">
        <v>97</v>
      </c>
      <c r="D23">
        <v>4</v>
      </c>
      <c r="E23">
        <v>10</v>
      </c>
      <c r="F23">
        <v>4</v>
      </c>
      <c r="G23">
        <f t="shared" si="1"/>
        <v>30.904761904761905</v>
      </c>
      <c r="H23" s="91">
        <f t="shared" si="2"/>
        <v>1.5351275668028842E-3</v>
      </c>
      <c r="J23">
        <f t="shared" si="3"/>
        <v>3</v>
      </c>
      <c r="K23" s="17">
        <f t="shared" si="5"/>
        <v>32</v>
      </c>
      <c r="L23" s="17">
        <f t="shared" si="4"/>
        <v>7</v>
      </c>
      <c r="N23" t="s">
        <v>280</v>
      </c>
      <c r="O23" t="s">
        <v>327</v>
      </c>
      <c r="P23">
        <v>29.25</v>
      </c>
      <c r="R23" t="s">
        <v>102</v>
      </c>
      <c r="S23" t="s">
        <v>102</v>
      </c>
      <c r="T23" t="s">
        <v>262</v>
      </c>
      <c r="U23" t="s">
        <v>102</v>
      </c>
      <c r="V23" t="s">
        <v>262</v>
      </c>
      <c r="W23" t="s">
        <v>262</v>
      </c>
      <c r="X23">
        <v>10</v>
      </c>
      <c r="Y23">
        <v>25</v>
      </c>
      <c r="Z23">
        <v>80</v>
      </c>
      <c r="AA23" t="s">
        <v>262</v>
      </c>
      <c r="AB23" t="s">
        <v>262</v>
      </c>
      <c r="AC23" t="s">
        <v>262</v>
      </c>
      <c r="AD23">
        <v>2</v>
      </c>
      <c r="AE23" t="s">
        <v>262</v>
      </c>
      <c r="AF23" t="s">
        <v>264</v>
      </c>
      <c r="AG23" t="s">
        <v>264</v>
      </c>
      <c r="AH23" t="s">
        <v>264</v>
      </c>
      <c r="AI23">
        <v>6</v>
      </c>
      <c r="AJ23" t="s">
        <v>102</v>
      </c>
      <c r="AK23" t="s">
        <v>102</v>
      </c>
      <c r="AL23" t="s">
        <v>102</v>
      </c>
      <c r="AM23" t="s">
        <v>102</v>
      </c>
      <c r="AN23">
        <v>2</v>
      </c>
      <c r="AO23" t="s">
        <v>264</v>
      </c>
      <c r="AP23" t="s">
        <v>102</v>
      </c>
      <c r="AQ23">
        <v>4</v>
      </c>
      <c r="AR23" t="s">
        <v>102</v>
      </c>
      <c r="AS23" t="s">
        <v>102</v>
      </c>
      <c r="AT23" t="s">
        <v>262</v>
      </c>
      <c r="AU23" t="s">
        <v>262</v>
      </c>
      <c r="AV23">
        <v>50</v>
      </c>
      <c r="AW23">
        <v>90</v>
      </c>
      <c r="AX23">
        <v>40</v>
      </c>
      <c r="AY23">
        <v>40</v>
      </c>
      <c r="AZ23">
        <v>75</v>
      </c>
      <c r="BA23">
        <v>25</v>
      </c>
      <c r="BB23">
        <v>25</v>
      </c>
      <c r="BC23">
        <v>25</v>
      </c>
      <c r="BD23" t="s">
        <v>262</v>
      </c>
      <c r="BE23">
        <v>25</v>
      </c>
      <c r="BF23" t="s">
        <v>264</v>
      </c>
      <c r="BG23" t="s">
        <v>264</v>
      </c>
      <c r="BH23" t="s">
        <v>264</v>
      </c>
      <c r="BI23" t="s">
        <v>264</v>
      </c>
      <c r="BJ23" t="s">
        <v>262</v>
      </c>
      <c r="BK23">
        <v>25</v>
      </c>
      <c r="BL23">
        <v>25</v>
      </c>
      <c r="BM23" t="s">
        <v>262</v>
      </c>
      <c r="BN23" t="s">
        <v>264</v>
      </c>
      <c r="BO23">
        <v>25</v>
      </c>
      <c r="BP23">
        <v>25</v>
      </c>
      <c r="BQ23">
        <v>25</v>
      </c>
      <c r="BR23" t="s">
        <v>264</v>
      </c>
      <c r="BS23" t="s">
        <v>264</v>
      </c>
      <c r="BT23" t="s">
        <v>264</v>
      </c>
    </row>
    <row r="24" spans="1:72" x14ac:dyDescent="0.25">
      <c r="A24" s="18">
        <v>23</v>
      </c>
      <c r="B24" t="s">
        <v>107</v>
      </c>
      <c r="C24" t="s">
        <v>97</v>
      </c>
      <c r="D24">
        <v>3</v>
      </c>
      <c r="E24">
        <v>3</v>
      </c>
      <c r="F24">
        <v>1</v>
      </c>
      <c r="G24">
        <f t="shared" si="1"/>
        <v>500.06451612903226</v>
      </c>
      <c r="H24" s="91">
        <f t="shared" si="2"/>
        <v>2.4839629124317537E-2</v>
      </c>
      <c r="J24">
        <f t="shared" si="3"/>
        <v>0</v>
      </c>
      <c r="K24" s="17">
        <f t="shared" si="5"/>
        <v>175</v>
      </c>
      <c r="L24" s="17">
        <f t="shared" si="4"/>
        <v>9</v>
      </c>
      <c r="N24" t="s">
        <v>285</v>
      </c>
      <c r="O24" t="s">
        <v>331</v>
      </c>
      <c r="P24">
        <v>2</v>
      </c>
      <c r="R24" t="s">
        <v>102</v>
      </c>
      <c r="S24" t="s">
        <v>102</v>
      </c>
      <c r="T24" t="s">
        <v>102</v>
      </c>
      <c r="U24" t="s">
        <v>102</v>
      </c>
      <c r="V24" t="s">
        <v>102</v>
      </c>
      <c r="W24" t="s">
        <v>262</v>
      </c>
      <c r="X24" t="s">
        <v>102</v>
      </c>
      <c r="Y24" t="s">
        <v>102</v>
      </c>
      <c r="Z24" t="s">
        <v>102</v>
      </c>
      <c r="AA24" t="s">
        <v>262</v>
      </c>
      <c r="AB24" t="s">
        <v>102</v>
      </c>
      <c r="AC24" t="s">
        <v>102</v>
      </c>
      <c r="AD24">
        <v>2</v>
      </c>
      <c r="AE24">
        <v>10</v>
      </c>
      <c r="AF24" t="s">
        <v>264</v>
      </c>
      <c r="AG24">
        <v>50</v>
      </c>
      <c r="AH24" t="s">
        <v>264</v>
      </c>
      <c r="AI24" t="s">
        <v>264</v>
      </c>
      <c r="AJ24" t="s">
        <v>102</v>
      </c>
      <c r="AK24" t="s">
        <v>264</v>
      </c>
      <c r="AL24" t="s">
        <v>264</v>
      </c>
      <c r="AM24" t="s">
        <v>102</v>
      </c>
      <c r="AN24" t="s">
        <v>264</v>
      </c>
      <c r="AO24" t="s">
        <v>262</v>
      </c>
      <c r="AP24" t="s">
        <v>102</v>
      </c>
      <c r="AQ24" t="s">
        <v>264</v>
      </c>
      <c r="AR24">
        <v>10</v>
      </c>
      <c r="AS24" t="s">
        <v>264</v>
      </c>
      <c r="AT24">
        <v>250</v>
      </c>
      <c r="AU24">
        <v>150</v>
      </c>
      <c r="AV24">
        <v>210</v>
      </c>
      <c r="AW24">
        <v>320</v>
      </c>
      <c r="AX24">
        <v>400</v>
      </c>
      <c r="AY24">
        <v>150</v>
      </c>
      <c r="AZ24">
        <v>250</v>
      </c>
      <c r="BA24">
        <v>400</v>
      </c>
      <c r="BB24">
        <v>750</v>
      </c>
      <c r="BC24">
        <v>200</v>
      </c>
      <c r="BD24">
        <v>200</v>
      </c>
      <c r="BE24">
        <v>400</v>
      </c>
      <c r="BF24">
        <v>400</v>
      </c>
      <c r="BG24">
        <v>750</v>
      </c>
      <c r="BH24">
        <v>750</v>
      </c>
      <c r="BI24">
        <v>400</v>
      </c>
      <c r="BJ24">
        <v>400</v>
      </c>
      <c r="BK24">
        <v>750</v>
      </c>
      <c r="BL24">
        <v>1500</v>
      </c>
      <c r="BM24">
        <v>400</v>
      </c>
      <c r="BN24">
        <v>750</v>
      </c>
      <c r="BO24">
        <v>1500</v>
      </c>
      <c r="BP24">
        <v>750</v>
      </c>
      <c r="BQ24">
        <v>750</v>
      </c>
      <c r="BR24">
        <v>750</v>
      </c>
      <c r="BS24">
        <v>400</v>
      </c>
      <c r="BT24">
        <v>1500</v>
      </c>
    </row>
    <row r="25" spans="1:72" x14ac:dyDescent="0.25">
      <c r="A25" s="18">
        <v>23</v>
      </c>
      <c r="B25" t="s">
        <v>124</v>
      </c>
      <c r="C25" t="s">
        <v>97</v>
      </c>
      <c r="D25">
        <v>4</v>
      </c>
      <c r="E25">
        <v>10</v>
      </c>
      <c r="F25">
        <v>1</v>
      </c>
      <c r="G25">
        <f t="shared" si="1"/>
        <v>13.5</v>
      </c>
      <c r="H25" s="91">
        <f t="shared" si="2"/>
        <v>6.7058345945857881E-4</v>
      </c>
      <c r="J25">
        <f t="shared" si="3"/>
        <v>0</v>
      </c>
      <c r="K25" s="17"/>
      <c r="L25" s="17">
        <f t="shared" si="4"/>
        <v>1</v>
      </c>
      <c r="N25" t="s">
        <v>280</v>
      </c>
      <c r="O25" t="s">
        <v>327</v>
      </c>
      <c r="P25">
        <v>2</v>
      </c>
      <c r="R25" t="s">
        <v>102</v>
      </c>
      <c r="S25" t="s">
        <v>102</v>
      </c>
      <c r="T25" t="s">
        <v>262</v>
      </c>
      <c r="U25" t="s">
        <v>262</v>
      </c>
      <c r="V25" t="s">
        <v>102</v>
      </c>
      <c r="W25" t="s">
        <v>262</v>
      </c>
      <c r="X25" t="s">
        <v>262</v>
      </c>
      <c r="Y25" t="s">
        <v>262</v>
      </c>
      <c r="Z25" t="s">
        <v>262</v>
      </c>
      <c r="AA25" t="s">
        <v>262</v>
      </c>
      <c r="AB25" t="s">
        <v>262</v>
      </c>
      <c r="AC25" t="s">
        <v>262</v>
      </c>
      <c r="AD25">
        <v>2</v>
      </c>
      <c r="AE25" t="s">
        <v>102</v>
      </c>
      <c r="AF25" t="s">
        <v>264</v>
      </c>
      <c r="AG25" t="s">
        <v>102</v>
      </c>
      <c r="AH25" t="s">
        <v>102</v>
      </c>
      <c r="AI25" t="s">
        <v>264</v>
      </c>
      <c r="AJ25" t="s">
        <v>102</v>
      </c>
      <c r="AK25" t="s">
        <v>102</v>
      </c>
      <c r="AL25" t="s">
        <v>102</v>
      </c>
      <c r="AM25" t="s">
        <v>102</v>
      </c>
      <c r="AN25" t="s">
        <v>102</v>
      </c>
      <c r="AO25" t="s">
        <v>262</v>
      </c>
      <c r="AP25" t="s">
        <v>264</v>
      </c>
      <c r="AQ25" t="s">
        <v>102</v>
      </c>
      <c r="AR25" t="s">
        <v>102</v>
      </c>
      <c r="AS25" t="s">
        <v>102</v>
      </c>
      <c r="AT25" t="s">
        <v>264</v>
      </c>
      <c r="AU25" t="s">
        <v>264</v>
      </c>
      <c r="AV25" t="s">
        <v>264</v>
      </c>
      <c r="AW25" t="s">
        <v>264</v>
      </c>
      <c r="AX25" t="s">
        <v>264</v>
      </c>
      <c r="AY25" t="s">
        <v>264</v>
      </c>
      <c r="AZ25" t="s">
        <v>264</v>
      </c>
      <c r="BA25" t="s">
        <v>264</v>
      </c>
      <c r="BB25" t="s">
        <v>264</v>
      </c>
      <c r="BC25" t="s">
        <v>264</v>
      </c>
      <c r="BD25" t="s">
        <v>264</v>
      </c>
      <c r="BE25" t="s">
        <v>264</v>
      </c>
      <c r="BF25" t="s">
        <v>264</v>
      </c>
      <c r="BG25" t="s">
        <v>264</v>
      </c>
      <c r="BH25" t="s">
        <v>264</v>
      </c>
      <c r="BI25">
        <v>25</v>
      </c>
      <c r="BJ25" t="s">
        <v>264</v>
      </c>
      <c r="BK25" t="s">
        <v>264</v>
      </c>
      <c r="BL25" t="s">
        <v>264</v>
      </c>
      <c r="BM25" t="s">
        <v>264</v>
      </c>
      <c r="BN25" t="s">
        <v>264</v>
      </c>
      <c r="BO25" t="s">
        <v>264</v>
      </c>
      <c r="BP25" t="s">
        <v>264</v>
      </c>
      <c r="BQ25" t="s">
        <v>264</v>
      </c>
      <c r="BR25" t="s">
        <v>264</v>
      </c>
      <c r="BS25" t="s">
        <v>264</v>
      </c>
      <c r="BT25" t="s">
        <v>264</v>
      </c>
    </row>
    <row r="26" spans="1:72" x14ac:dyDescent="0.25">
      <c r="A26" s="18">
        <v>23</v>
      </c>
      <c r="B26" t="s">
        <v>151</v>
      </c>
      <c r="C26" t="s">
        <v>97</v>
      </c>
      <c r="D26">
        <v>5</v>
      </c>
      <c r="E26">
        <v>10</v>
      </c>
      <c r="F26">
        <v>10</v>
      </c>
      <c r="G26">
        <f t="shared" si="1"/>
        <v>44.470588235294116</v>
      </c>
      <c r="H26" s="91">
        <f t="shared" si="2"/>
        <v>2.2089808076282596E-3</v>
      </c>
      <c r="I26">
        <v>63</v>
      </c>
      <c r="J26">
        <f t="shared" si="3"/>
        <v>9</v>
      </c>
      <c r="K26" s="17">
        <f t="shared" si="5"/>
        <v>14.2</v>
      </c>
      <c r="L26" s="17">
        <f t="shared" si="4"/>
        <v>6</v>
      </c>
      <c r="N26" t="s">
        <v>280</v>
      </c>
      <c r="O26" t="s">
        <v>327</v>
      </c>
      <c r="P26">
        <v>62.6</v>
      </c>
      <c r="R26">
        <v>35</v>
      </c>
      <c r="S26">
        <v>24</v>
      </c>
      <c r="T26">
        <v>54</v>
      </c>
      <c r="U26">
        <v>55</v>
      </c>
      <c r="V26" t="s">
        <v>102</v>
      </c>
      <c r="W26">
        <v>135</v>
      </c>
      <c r="X26">
        <v>120</v>
      </c>
      <c r="Y26">
        <v>40</v>
      </c>
      <c r="Z26">
        <v>16</v>
      </c>
      <c r="AA26">
        <v>125</v>
      </c>
      <c r="AB26">
        <v>60</v>
      </c>
      <c r="AC26">
        <v>20</v>
      </c>
      <c r="AD26">
        <v>1</v>
      </c>
      <c r="AE26">
        <v>4</v>
      </c>
      <c r="AF26" t="s">
        <v>263</v>
      </c>
      <c r="AG26">
        <v>30</v>
      </c>
      <c r="AH26">
        <v>30</v>
      </c>
      <c r="AI26">
        <v>5</v>
      </c>
      <c r="AJ26" t="s">
        <v>264</v>
      </c>
      <c r="AK26" t="s">
        <v>264</v>
      </c>
      <c r="AL26" t="s">
        <v>102</v>
      </c>
      <c r="AM26" t="s">
        <v>102</v>
      </c>
      <c r="AN26">
        <v>2</v>
      </c>
      <c r="AO26" t="s">
        <v>264</v>
      </c>
      <c r="AP26" t="s">
        <v>102</v>
      </c>
      <c r="AQ26" t="s">
        <v>264</v>
      </c>
      <c r="AR26" t="s">
        <v>102</v>
      </c>
      <c r="AS26" t="s">
        <v>102</v>
      </c>
      <c r="AT26" t="s">
        <v>264</v>
      </c>
      <c r="AU26" t="s">
        <v>264</v>
      </c>
      <c r="AV26" t="s">
        <v>264</v>
      </c>
      <c r="AW26" t="s">
        <v>264</v>
      </c>
      <c r="AX26" t="s">
        <v>264</v>
      </c>
      <c r="AY26" t="s">
        <v>264</v>
      </c>
      <c r="AZ26" t="s">
        <v>264</v>
      </c>
      <c r="BA26" t="s">
        <v>264</v>
      </c>
      <c r="BB26" t="s">
        <v>264</v>
      </c>
      <c r="BC26" t="s">
        <v>264</v>
      </c>
      <c r="BD26" t="s">
        <v>264</v>
      </c>
      <c r="BE26" t="s">
        <v>264</v>
      </c>
      <c r="BF26" t="s">
        <v>264</v>
      </c>
      <c r="BG26" t="s">
        <v>264</v>
      </c>
      <c r="BH26" t="s">
        <v>264</v>
      </c>
      <c r="BI26" t="s">
        <v>264</v>
      </c>
      <c r="BJ26" t="s">
        <v>264</v>
      </c>
      <c r="BK26" t="s">
        <v>264</v>
      </c>
      <c r="BL26" t="s">
        <v>264</v>
      </c>
      <c r="BM26" t="s">
        <v>264</v>
      </c>
      <c r="BN26" t="s">
        <v>264</v>
      </c>
      <c r="BO26" t="s">
        <v>264</v>
      </c>
      <c r="BP26" t="s">
        <v>264</v>
      </c>
      <c r="BQ26" t="s">
        <v>264</v>
      </c>
      <c r="BR26" t="s">
        <v>264</v>
      </c>
      <c r="BS26" t="s">
        <v>264</v>
      </c>
      <c r="BT26" t="s">
        <v>264</v>
      </c>
    </row>
    <row r="27" spans="1:72" x14ac:dyDescent="0.25">
      <c r="A27" s="18">
        <v>23</v>
      </c>
      <c r="B27" t="s">
        <v>125</v>
      </c>
      <c r="C27" t="s">
        <v>97</v>
      </c>
      <c r="D27">
        <v>3</v>
      </c>
      <c r="E27">
        <v>11</v>
      </c>
      <c r="F27">
        <v>11</v>
      </c>
      <c r="G27">
        <f t="shared" si="1"/>
        <v>669.16666666666663</v>
      </c>
      <c r="H27" s="91">
        <f t="shared" si="2"/>
        <v>3.3239414687977704E-2</v>
      </c>
      <c r="I27">
        <v>479</v>
      </c>
      <c r="J27">
        <f t="shared" si="3"/>
        <v>10</v>
      </c>
      <c r="K27" s="17">
        <f t="shared" si="5"/>
        <v>274.68421052631578</v>
      </c>
      <c r="L27" s="17">
        <f t="shared" si="4"/>
        <v>20</v>
      </c>
      <c r="M27" t="s">
        <v>268</v>
      </c>
      <c r="N27" t="s">
        <v>281</v>
      </c>
      <c r="O27" t="s">
        <v>1</v>
      </c>
      <c r="P27">
        <v>478.63636363636363</v>
      </c>
      <c r="R27">
        <v>166</v>
      </c>
      <c r="S27">
        <v>485</v>
      </c>
      <c r="T27">
        <v>159</v>
      </c>
      <c r="U27">
        <v>1221</v>
      </c>
      <c r="V27">
        <v>660</v>
      </c>
      <c r="W27">
        <v>517</v>
      </c>
      <c r="X27">
        <v>225</v>
      </c>
      <c r="Y27">
        <v>68</v>
      </c>
      <c r="Z27">
        <v>931</v>
      </c>
      <c r="AA27">
        <v>784</v>
      </c>
      <c r="AB27">
        <v>242</v>
      </c>
      <c r="AC27">
        <v>246</v>
      </c>
      <c r="AD27">
        <v>212</v>
      </c>
      <c r="AE27">
        <v>450</v>
      </c>
      <c r="AF27">
        <v>83</v>
      </c>
      <c r="AG27">
        <v>150</v>
      </c>
      <c r="AH27">
        <v>171</v>
      </c>
      <c r="AI27">
        <v>230</v>
      </c>
      <c r="AJ27">
        <v>300</v>
      </c>
      <c r="AK27">
        <v>50</v>
      </c>
      <c r="AL27" t="s">
        <v>264</v>
      </c>
      <c r="AM27">
        <v>300</v>
      </c>
      <c r="AN27">
        <v>250</v>
      </c>
      <c r="AO27">
        <v>35</v>
      </c>
      <c r="AP27">
        <v>100</v>
      </c>
      <c r="AQ27">
        <v>425</v>
      </c>
      <c r="AR27">
        <v>250</v>
      </c>
      <c r="AS27">
        <v>175</v>
      </c>
      <c r="AT27">
        <v>200</v>
      </c>
      <c r="AU27">
        <v>300</v>
      </c>
      <c r="AV27">
        <v>450</v>
      </c>
      <c r="AW27">
        <v>550</v>
      </c>
      <c r="AX27">
        <v>750</v>
      </c>
      <c r="AY27">
        <v>600</v>
      </c>
      <c r="AZ27">
        <v>750</v>
      </c>
      <c r="BA27">
        <v>900</v>
      </c>
      <c r="BB27">
        <v>1200</v>
      </c>
      <c r="BC27">
        <v>750</v>
      </c>
      <c r="BD27">
        <v>750</v>
      </c>
      <c r="BE27">
        <v>400</v>
      </c>
      <c r="BF27">
        <v>400</v>
      </c>
      <c r="BG27">
        <v>750</v>
      </c>
      <c r="BH27">
        <v>400</v>
      </c>
      <c r="BI27">
        <v>400</v>
      </c>
      <c r="BJ27">
        <v>1500</v>
      </c>
      <c r="BK27">
        <v>400</v>
      </c>
      <c r="BL27">
        <v>1500</v>
      </c>
      <c r="BM27">
        <v>750</v>
      </c>
      <c r="BN27">
        <v>1500</v>
      </c>
      <c r="BO27">
        <v>400</v>
      </c>
      <c r="BP27">
        <v>400</v>
      </c>
      <c r="BQ27">
        <v>750</v>
      </c>
      <c r="BR27">
        <v>3500</v>
      </c>
      <c r="BS27">
        <v>3500</v>
      </c>
      <c r="BT27">
        <v>3500</v>
      </c>
    </row>
    <row r="28" spans="1:72" x14ac:dyDescent="0.25">
      <c r="A28" s="18">
        <v>23</v>
      </c>
      <c r="B28" t="s">
        <v>112</v>
      </c>
      <c r="C28" t="s">
        <v>97</v>
      </c>
      <c r="D28">
        <v>3</v>
      </c>
      <c r="E28">
        <v>11</v>
      </c>
      <c r="F28">
        <v>11</v>
      </c>
      <c r="G28">
        <f t="shared" si="1"/>
        <v>785.12962962962968</v>
      </c>
      <c r="H28" s="91">
        <f t="shared" si="2"/>
        <v>3.8999625419294061E-2</v>
      </c>
      <c r="I28">
        <v>1737</v>
      </c>
      <c r="J28">
        <f t="shared" si="3"/>
        <v>10</v>
      </c>
      <c r="K28" s="17">
        <f t="shared" si="5"/>
        <v>466.42105263157896</v>
      </c>
      <c r="L28" s="17">
        <f t="shared" si="4"/>
        <v>20</v>
      </c>
      <c r="M28" t="s">
        <v>268</v>
      </c>
      <c r="N28" t="s">
        <v>281</v>
      </c>
      <c r="O28" t="s">
        <v>1</v>
      </c>
      <c r="P28">
        <v>1736.909090909091</v>
      </c>
      <c r="R28">
        <v>1300</v>
      </c>
      <c r="S28">
        <v>3304</v>
      </c>
      <c r="T28">
        <v>1138</v>
      </c>
      <c r="U28">
        <v>3445</v>
      </c>
      <c r="V28">
        <v>3705</v>
      </c>
      <c r="W28">
        <v>3299</v>
      </c>
      <c r="X28">
        <v>1536</v>
      </c>
      <c r="Y28">
        <v>301</v>
      </c>
      <c r="Z28">
        <v>767</v>
      </c>
      <c r="AA28">
        <v>2417</v>
      </c>
      <c r="AB28">
        <v>1869</v>
      </c>
      <c r="AC28">
        <v>493</v>
      </c>
      <c r="AD28">
        <v>136</v>
      </c>
      <c r="AE28">
        <v>800</v>
      </c>
      <c r="AF28">
        <v>1200</v>
      </c>
      <c r="AG28">
        <v>750</v>
      </c>
      <c r="AH28">
        <v>1500</v>
      </c>
      <c r="AI28">
        <v>550</v>
      </c>
      <c r="AJ28">
        <v>600</v>
      </c>
      <c r="AK28">
        <v>300</v>
      </c>
      <c r="AL28" t="s">
        <v>264</v>
      </c>
      <c r="AM28">
        <v>350</v>
      </c>
      <c r="AN28">
        <v>300</v>
      </c>
      <c r="AO28">
        <v>90</v>
      </c>
      <c r="AP28">
        <v>127</v>
      </c>
      <c r="AQ28">
        <v>145</v>
      </c>
      <c r="AR28">
        <v>160</v>
      </c>
      <c r="AS28">
        <v>300</v>
      </c>
      <c r="AT28">
        <v>400</v>
      </c>
      <c r="AU28">
        <v>25</v>
      </c>
      <c r="AV28">
        <v>390</v>
      </c>
      <c r="AW28">
        <v>475</v>
      </c>
      <c r="AX28">
        <v>400</v>
      </c>
      <c r="AY28">
        <v>700</v>
      </c>
      <c r="AZ28">
        <v>75</v>
      </c>
      <c r="BA28">
        <v>400</v>
      </c>
      <c r="BB28">
        <v>750</v>
      </c>
      <c r="BC28">
        <v>400</v>
      </c>
      <c r="BD28">
        <v>400</v>
      </c>
      <c r="BE28">
        <v>750</v>
      </c>
      <c r="BF28">
        <v>400</v>
      </c>
      <c r="BG28">
        <v>750</v>
      </c>
      <c r="BH28">
        <v>750</v>
      </c>
      <c r="BI28">
        <v>400</v>
      </c>
      <c r="BJ28">
        <v>750</v>
      </c>
      <c r="BK28">
        <v>200</v>
      </c>
      <c r="BL28">
        <v>400</v>
      </c>
      <c r="BM28">
        <v>200</v>
      </c>
      <c r="BN28">
        <v>200</v>
      </c>
      <c r="BO28">
        <v>200</v>
      </c>
      <c r="BP28">
        <v>200</v>
      </c>
      <c r="BQ28">
        <v>200</v>
      </c>
      <c r="BR28">
        <v>200</v>
      </c>
      <c r="BS28">
        <v>750</v>
      </c>
      <c r="BT28">
        <v>750</v>
      </c>
    </row>
    <row r="29" spans="1:72" x14ac:dyDescent="0.25">
      <c r="A29" s="18">
        <v>23</v>
      </c>
      <c r="B29" t="s">
        <v>153</v>
      </c>
      <c r="C29" t="s">
        <v>97</v>
      </c>
      <c r="D29">
        <v>4</v>
      </c>
      <c r="E29">
        <v>10</v>
      </c>
      <c r="F29">
        <v>6</v>
      </c>
      <c r="G29">
        <f t="shared" si="1"/>
        <v>14.833333333333334</v>
      </c>
      <c r="H29" s="91">
        <f t="shared" si="2"/>
        <v>7.3681392459029041E-4</v>
      </c>
      <c r="I29">
        <v>15</v>
      </c>
      <c r="J29">
        <f t="shared" si="3"/>
        <v>6</v>
      </c>
      <c r="K29" s="17"/>
      <c r="L29" s="17">
        <f t="shared" si="4"/>
        <v>0</v>
      </c>
      <c r="N29" t="s">
        <v>280</v>
      </c>
      <c r="P29">
        <v>14.833333333333334</v>
      </c>
      <c r="S29" t="s">
        <v>262</v>
      </c>
      <c r="T29" t="s">
        <v>262</v>
      </c>
      <c r="U29" t="s">
        <v>262</v>
      </c>
      <c r="V29" t="s">
        <v>102</v>
      </c>
      <c r="W29">
        <v>16</v>
      </c>
      <c r="X29">
        <v>40</v>
      </c>
      <c r="Y29">
        <v>25</v>
      </c>
      <c r="Z29">
        <v>3</v>
      </c>
      <c r="AA29" t="s">
        <v>262</v>
      </c>
      <c r="AB29">
        <v>3</v>
      </c>
      <c r="AC29">
        <v>2</v>
      </c>
      <c r="AD29" t="s">
        <v>262</v>
      </c>
      <c r="AE29" t="s">
        <v>264</v>
      </c>
      <c r="AF29" t="s">
        <v>264</v>
      </c>
      <c r="AG29" t="s">
        <v>264</v>
      </c>
      <c r="AH29" t="s">
        <v>264</v>
      </c>
      <c r="AI29" t="s">
        <v>264</v>
      </c>
      <c r="AJ29" t="s">
        <v>264</v>
      </c>
      <c r="AK29" t="s">
        <v>264</v>
      </c>
      <c r="AL29" t="s">
        <v>102</v>
      </c>
      <c r="AM29" t="s">
        <v>102</v>
      </c>
      <c r="AN29" t="s">
        <v>264</v>
      </c>
      <c r="AO29" t="s">
        <v>264</v>
      </c>
      <c r="AP29" t="s">
        <v>264</v>
      </c>
      <c r="AQ29" t="s">
        <v>264</v>
      </c>
      <c r="AR29" t="s">
        <v>102</v>
      </c>
      <c r="AS29" t="s">
        <v>102</v>
      </c>
      <c r="AT29" t="s">
        <v>264</v>
      </c>
      <c r="AU29" t="s">
        <v>264</v>
      </c>
      <c r="AV29" t="s">
        <v>264</v>
      </c>
      <c r="AW29" t="s">
        <v>264</v>
      </c>
      <c r="AX29" t="s">
        <v>264</v>
      </c>
      <c r="AY29" t="s">
        <v>264</v>
      </c>
      <c r="AZ29" t="s">
        <v>264</v>
      </c>
      <c r="BA29" t="s">
        <v>264</v>
      </c>
      <c r="BB29" t="s">
        <v>264</v>
      </c>
      <c r="BC29" t="s">
        <v>264</v>
      </c>
      <c r="BD29" t="s">
        <v>264</v>
      </c>
      <c r="BE29" t="s">
        <v>264</v>
      </c>
      <c r="BF29" t="s">
        <v>264</v>
      </c>
      <c r="BG29" t="s">
        <v>264</v>
      </c>
      <c r="BH29" t="s">
        <v>264</v>
      </c>
      <c r="BI29" t="s">
        <v>264</v>
      </c>
      <c r="BJ29" t="s">
        <v>264</v>
      </c>
      <c r="BK29" t="s">
        <v>264</v>
      </c>
      <c r="BL29" t="s">
        <v>264</v>
      </c>
      <c r="BM29" t="s">
        <v>264</v>
      </c>
      <c r="BN29" t="s">
        <v>264</v>
      </c>
      <c r="BO29" t="s">
        <v>264</v>
      </c>
      <c r="BP29" t="s">
        <v>264</v>
      </c>
      <c r="BQ29" t="s">
        <v>264</v>
      </c>
      <c r="BR29" t="s">
        <v>264</v>
      </c>
      <c r="BS29" t="s">
        <v>264</v>
      </c>
      <c r="BT29" t="s">
        <v>264</v>
      </c>
    </row>
    <row r="30" spans="1:72" x14ac:dyDescent="0.25">
      <c r="A30" s="18">
        <v>23</v>
      </c>
      <c r="B30" t="s">
        <v>40</v>
      </c>
      <c r="C30" t="s">
        <v>97</v>
      </c>
      <c r="D30">
        <v>1</v>
      </c>
      <c r="E30">
        <v>11</v>
      </c>
      <c r="F30">
        <v>11</v>
      </c>
      <c r="G30">
        <f t="shared" si="1"/>
        <v>11332.545454545454</v>
      </c>
      <c r="H30" s="91"/>
      <c r="I30">
        <v>40648</v>
      </c>
      <c r="J30">
        <f t="shared" si="3"/>
        <v>0</v>
      </c>
      <c r="K30" s="17">
        <f t="shared" si="5"/>
        <v>13770.363636363636</v>
      </c>
      <c r="L30" s="17">
        <f t="shared" si="4"/>
        <v>11</v>
      </c>
      <c r="M30" t="s">
        <v>272</v>
      </c>
      <c r="N30" t="s">
        <v>281</v>
      </c>
      <c r="O30" t="s">
        <v>306</v>
      </c>
      <c r="AN30">
        <v>54500</v>
      </c>
      <c r="AO30">
        <v>6500</v>
      </c>
      <c r="AP30">
        <v>11000</v>
      </c>
      <c r="AQ30">
        <v>8474</v>
      </c>
      <c r="AR30">
        <v>7500</v>
      </c>
      <c r="AS30">
        <v>4000</v>
      </c>
      <c r="AT30">
        <v>10200</v>
      </c>
      <c r="AU30">
        <v>9000</v>
      </c>
      <c r="AV30">
        <v>12300</v>
      </c>
      <c r="AW30">
        <v>13000</v>
      </c>
      <c r="AX30">
        <v>15000</v>
      </c>
      <c r="AY30">
        <v>12500</v>
      </c>
      <c r="AZ30">
        <v>11000</v>
      </c>
      <c r="BA30">
        <v>9000</v>
      </c>
      <c r="BB30">
        <v>13500</v>
      </c>
      <c r="BC30">
        <v>8500</v>
      </c>
      <c r="BD30">
        <v>13000</v>
      </c>
      <c r="BE30">
        <v>12500</v>
      </c>
      <c r="BF30">
        <v>15000</v>
      </c>
      <c r="BG30">
        <v>7500</v>
      </c>
      <c r="BH30">
        <v>7500</v>
      </c>
      <c r="BI30">
        <v>15000</v>
      </c>
      <c r="BJ30">
        <v>7500</v>
      </c>
      <c r="BK30">
        <v>7500</v>
      </c>
      <c r="BL30">
        <v>7500</v>
      </c>
      <c r="BM30">
        <v>7500</v>
      </c>
      <c r="BN30">
        <v>7500</v>
      </c>
      <c r="BO30">
        <v>15000</v>
      </c>
      <c r="BP30">
        <v>7500</v>
      </c>
      <c r="BQ30">
        <v>15000</v>
      </c>
      <c r="BR30">
        <v>7500</v>
      </c>
      <c r="BS30">
        <v>7500</v>
      </c>
      <c r="BT30">
        <v>7500</v>
      </c>
    </row>
    <row r="31" spans="1:72" x14ac:dyDescent="0.25">
      <c r="A31" s="18">
        <v>23</v>
      </c>
      <c r="B31" t="s">
        <v>110</v>
      </c>
      <c r="C31" t="s">
        <v>97</v>
      </c>
      <c r="D31">
        <v>4</v>
      </c>
      <c r="E31">
        <v>3</v>
      </c>
      <c r="F31">
        <v>2</v>
      </c>
      <c r="G31">
        <f t="shared" si="1"/>
        <v>6</v>
      </c>
      <c r="H31" s="91">
        <f t="shared" si="2"/>
        <v>2.980370930927017E-4</v>
      </c>
      <c r="J31">
        <f t="shared" si="3"/>
        <v>2</v>
      </c>
      <c r="K31" s="17"/>
      <c r="L31" s="17">
        <f t="shared" si="4"/>
        <v>0</v>
      </c>
      <c r="N31" t="s">
        <v>280</v>
      </c>
      <c r="O31" t="s">
        <v>343</v>
      </c>
      <c r="P31">
        <v>6</v>
      </c>
      <c r="S31" t="s">
        <v>102</v>
      </c>
      <c r="V31" t="s">
        <v>102</v>
      </c>
      <c r="W31" t="s">
        <v>102</v>
      </c>
      <c r="X31">
        <v>10</v>
      </c>
      <c r="AB31">
        <v>2</v>
      </c>
      <c r="AC31" t="s">
        <v>102</v>
      </c>
      <c r="AD31" t="s">
        <v>262</v>
      </c>
      <c r="AE31" t="s">
        <v>264</v>
      </c>
      <c r="AF31" t="s">
        <v>264</v>
      </c>
      <c r="AG31" t="s">
        <v>102</v>
      </c>
      <c r="AH31" t="s">
        <v>102</v>
      </c>
      <c r="AI31" t="s">
        <v>102</v>
      </c>
      <c r="AJ31" t="s">
        <v>102</v>
      </c>
      <c r="AK31" t="s">
        <v>264</v>
      </c>
      <c r="AL31" t="s">
        <v>102</v>
      </c>
      <c r="AM31" t="s">
        <v>264</v>
      </c>
      <c r="AN31" t="s">
        <v>264</v>
      </c>
      <c r="AO31" t="s">
        <v>262</v>
      </c>
      <c r="AP31" t="s">
        <v>264</v>
      </c>
      <c r="AQ31" t="s">
        <v>264</v>
      </c>
      <c r="AR31" t="s">
        <v>264</v>
      </c>
      <c r="AS31" t="s">
        <v>264</v>
      </c>
      <c r="AT31" t="s">
        <v>264</v>
      </c>
      <c r="AU31" t="s">
        <v>264</v>
      </c>
      <c r="AV31" t="s">
        <v>264</v>
      </c>
      <c r="AW31" t="s">
        <v>264</v>
      </c>
      <c r="AX31" t="s">
        <v>264</v>
      </c>
      <c r="AY31" t="s">
        <v>264</v>
      </c>
      <c r="AZ31" t="s">
        <v>264</v>
      </c>
      <c r="BA31" t="s">
        <v>264</v>
      </c>
      <c r="BB31" t="s">
        <v>264</v>
      </c>
      <c r="BC31" t="s">
        <v>264</v>
      </c>
      <c r="BD31" t="s">
        <v>264</v>
      </c>
      <c r="BE31" t="s">
        <v>264</v>
      </c>
      <c r="BF31" t="s">
        <v>264</v>
      </c>
      <c r="BG31" t="s">
        <v>264</v>
      </c>
      <c r="BH31" t="s">
        <v>264</v>
      </c>
      <c r="BI31" t="s">
        <v>264</v>
      </c>
      <c r="BJ31" t="s">
        <v>264</v>
      </c>
      <c r="BK31" t="s">
        <v>264</v>
      </c>
      <c r="BL31" t="s">
        <v>264</v>
      </c>
      <c r="BM31" t="s">
        <v>264</v>
      </c>
      <c r="BN31" t="s">
        <v>264</v>
      </c>
      <c r="BO31" t="s">
        <v>264</v>
      </c>
      <c r="BP31" t="s">
        <v>264</v>
      </c>
      <c r="BQ31" t="s">
        <v>264</v>
      </c>
      <c r="BR31" t="s">
        <v>264</v>
      </c>
      <c r="BS31" t="s">
        <v>264</v>
      </c>
      <c r="BT31" t="s">
        <v>264</v>
      </c>
    </row>
    <row r="32" spans="1:72" x14ac:dyDescent="0.25">
      <c r="A32" s="18">
        <v>23</v>
      </c>
      <c r="B32" t="s">
        <v>152</v>
      </c>
      <c r="C32" t="s">
        <v>97</v>
      </c>
      <c r="D32">
        <v>4</v>
      </c>
      <c r="E32">
        <v>10</v>
      </c>
      <c r="F32">
        <v>10</v>
      </c>
      <c r="G32">
        <f t="shared" si="1"/>
        <v>1089.4444444444443</v>
      </c>
      <c r="H32" s="91">
        <f t="shared" si="2"/>
        <v>5.4115809218035923E-2</v>
      </c>
      <c r="I32">
        <v>1289</v>
      </c>
      <c r="J32">
        <f t="shared" si="3"/>
        <v>9</v>
      </c>
      <c r="K32" s="17">
        <f t="shared" si="5"/>
        <v>702.66666666666663</v>
      </c>
      <c r="L32" s="17">
        <f t="shared" si="4"/>
        <v>7</v>
      </c>
      <c r="N32" t="s">
        <v>280</v>
      </c>
      <c r="O32" t="s">
        <v>344</v>
      </c>
      <c r="P32">
        <v>1288.7</v>
      </c>
      <c r="R32">
        <v>507</v>
      </c>
      <c r="S32">
        <v>2000</v>
      </c>
      <c r="T32">
        <v>850</v>
      </c>
      <c r="U32">
        <v>1500</v>
      </c>
      <c r="W32">
        <v>2360</v>
      </c>
      <c r="X32">
        <v>3000</v>
      </c>
      <c r="Y32">
        <v>800</v>
      </c>
      <c r="Z32">
        <v>600</v>
      </c>
      <c r="AA32">
        <v>750</v>
      </c>
      <c r="AB32">
        <v>1500</v>
      </c>
      <c r="AC32">
        <v>1200</v>
      </c>
      <c r="AD32">
        <v>327</v>
      </c>
      <c r="AE32">
        <v>650</v>
      </c>
      <c r="AF32">
        <v>1500</v>
      </c>
      <c r="AG32">
        <v>1000</v>
      </c>
      <c r="AH32">
        <v>511</v>
      </c>
      <c r="AI32">
        <v>270</v>
      </c>
      <c r="AJ32" t="s">
        <v>262</v>
      </c>
      <c r="AK32">
        <v>285</v>
      </c>
      <c r="AL32" t="s">
        <v>102</v>
      </c>
      <c r="AM32" t="s">
        <v>102</v>
      </c>
      <c r="AN32" t="s">
        <v>102</v>
      </c>
      <c r="AO32" t="s">
        <v>102</v>
      </c>
      <c r="AP32" t="s">
        <v>102</v>
      </c>
      <c r="AQ32" t="s">
        <v>102</v>
      </c>
      <c r="AR32" t="s">
        <v>102</v>
      </c>
      <c r="AS32" t="s">
        <v>102</v>
      </c>
      <c r="AT32" t="s">
        <v>102</v>
      </c>
      <c r="AU32" t="s">
        <v>102</v>
      </c>
      <c r="AV32" t="s">
        <v>102</v>
      </c>
      <c r="AW32" t="s">
        <v>102</v>
      </c>
      <c r="AX32" t="s">
        <v>102</v>
      </c>
      <c r="AY32" t="s">
        <v>102</v>
      </c>
      <c r="AZ32" t="s">
        <v>102</v>
      </c>
      <c r="BA32" t="s">
        <v>102</v>
      </c>
      <c r="BB32" t="s">
        <v>102</v>
      </c>
      <c r="BC32" t="s">
        <v>102</v>
      </c>
      <c r="BD32" t="s">
        <v>102</v>
      </c>
      <c r="BE32" t="s">
        <v>102</v>
      </c>
      <c r="BF32" t="s">
        <v>102</v>
      </c>
      <c r="BG32" t="s">
        <v>102</v>
      </c>
      <c r="BH32" t="s">
        <v>102</v>
      </c>
      <c r="BI32" t="s">
        <v>102</v>
      </c>
      <c r="BJ32" t="s">
        <v>102</v>
      </c>
      <c r="BK32" t="s">
        <v>102</v>
      </c>
      <c r="BL32" t="s">
        <v>102</v>
      </c>
      <c r="BM32" t="s">
        <v>102</v>
      </c>
      <c r="BN32" t="s">
        <v>102</v>
      </c>
      <c r="BO32" t="s">
        <v>102</v>
      </c>
      <c r="BP32" t="s">
        <v>102</v>
      </c>
      <c r="BQ32" t="s">
        <v>102</v>
      </c>
      <c r="BR32" t="s">
        <v>102</v>
      </c>
      <c r="BS32" t="s">
        <v>102</v>
      </c>
      <c r="BT32" t="s">
        <v>102</v>
      </c>
    </row>
    <row r="33" spans="1:72" x14ac:dyDescent="0.25">
      <c r="A33" s="18">
        <v>23</v>
      </c>
      <c r="B33" t="s">
        <v>143</v>
      </c>
      <c r="C33" t="s">
        <v>97</v>
      </c>
      <c r="D33">
        <v>3</v>
      </c>
      <c r="E33">
        <v>10</v>
      </c>
      <c r="F33">
        <v>10</v>
      </c>
      <c r="G33">
        <f t="shared" si="1"/>
        <v>171.10869565217391</v>
      </c>
      <c r="H33" s="91">
        <f t="shared" si="2"/>
        <v>8.499456375842953E-3</v>
      </c>
      <c r="I33">
        <v>305</v>
      </c>
      <c r="J33">
        <f t="shared" si="3"/>
        <v>9</v>
      </c>
      <c r="K33" s="17">
        <f t="shared" si="5"/>
        <v>50.866666666666667</v>
      </c>
      <c r="L33" s="17">
        <f t="shared" si="4"/>
        <v>16</v>
      </c>
      <c r="M33" t="s">
        <v>270</v>
      </c>
      <c r="N33" t="s">
        <v>281</v>
      </c>
      <c r="O33" t="s">
        <v>1</v>
      </c>
      <c r="P33">
        <v>305.39999999999998</v>
      </c>
      <c r="R33" t="s">
        <v>102</v>
      </c>
      <c r="S33">
        <v>864</v>
      </c>
      <c r="T33" t="s">
        <v>102</v>
      </c>
      <c r="U33">
        <v>704</v>
      </c>
      <c r="V33">
        <v>586</v>
      </c>
      <c r="W33">
        <v>172</v>
      </c>
      <c r="X33">
        <v>168</v>
      </c>
      <c r="Y33">
        <v>100</v>
      </c>
      <c r="Z33">
        <v>266</v>
      </c>
      <c r="AA33">
        <v>308</v>
      </c>
      <c r="AB33">
        <v>382</v>
      </c>
      <c r="AC33">
        <v>268</v>
      </c>
      <c r="AD33">
        <v>100</v>
      </c>
      <c r="AE33">
        <v>95</v>
      </c>
      <c r="AF33">
        <v>15</v>
      </c>
      <c r="AG33">
        <v>3</v>
      </c>
      <c r="AH33">
        <v>4</v>
      </c>
      <c r="AI33">
        <v>3</v>
      </c>
      <c r="AJ33">
        <v>3</v>
      </c>
      <c r="AK33">
        <v>25</v>
      </c>
      <c r="AL33" t="s">
        <v>264</v>
      </c>
      <c r="AM33" t="s">
        <v>102</v>
      </c>
      <c r="AN33">
        <v>300</v>
      </c>
      <c r="AO33" t="s">
        <v>264</v>
      </c>
      <c r="AP33">
        <v>25</v>
      </c>
      <c r="AQ33" t="s">
        <v>264</v>
      </c>
      <c r="AR33">
        <v>10</v>
      </c>
      <c r="AS33" t="s">
        <v>264</v>
      </c>
      <c r="AT33">
        <v>50</v>
      </c>
      <c r="AU33">
        <v>50</v>
      </c>
      <c r="AV33">
        <v>60</v>
      </c>
      <c r="AW33">
        <v>45</v>
      </c>
      <c r="AX33">
        <v>75</v>
      </c>
      <c r="AY33">
        <v>40</v>
      </c>
      <c r="AZ33">
        <v>75</v>
      </c>
      <c r="BA33">
        <v>25</v>
      </c>
      <c r="BB33">
        <v>25</v>
      </c>
      <c r="BC33">
        <v>25</v>
      </c>
      <c r="BD33" t="s">
        <v>264</v>
      </c>
      <c r="BE33" t="s">
        <v>264</v>
      </c>
      <c r="BF33">
        <v>25</v>
      </c>
      <c r="BG33">
        <v>200</v>
      </c>
      <c r="BH33">
        <v>25</v>
      </c>
      <c r="BI33">
        <v>25</v>
      </c>
      <c r="BJ33">
        <v>25</v>
      </c>
      <c r="BK33">
        <v>75</v>
      </c>
      <c r="BL33">
        <v>200</v>
      </c>
      <c r="BM33">
        <v>200</v>
      </c>
      <c r="BN33">
        <v>75</v>
      </c>
      <c r="BO33">
        <v>200</v>
      </c>
      <c r="BP33">
        <v>200</v>
      </c>
      <c r="BQ33">
        <v>200</v>
      </c>
      <c r="BR33">
        <v>400</v>
      </c>
      <c r="BS33">
        <v>750</v>
      </c>
      <c r="BT33">
        <v>400</v>
      </c>
    </row>
    <row r="34" spans="1:72" x14ac:dyDescent="0.25">
      <c r="A34" s="18">
        <v>23</v>
      </c>
      <c r="B34" t="s">
        <v>129</v>
      </c>
      <c r="C34" t="s">
        <v>97</v>
      </c>
      <c r="D34">
        <v>4</v>
      </c>
      <c r="E34">
        <v>11</v>
      </c>
      <c r="F34">
        <v>0</v>
      </c>
      <c r="G34">
        <f t="shared" si="1"/>
        <v>25</v>
      </c>
      <c r="H34" s="91">
        <f t="shared" si="2"/>
        <v>1.2418212212195905E-3</v>
      </c>
      <c r="J34">
        <f t="shared" si="3"/>
        <v>0</v>
      </c>
      <c r="K34" s="17"/>
      <c r="L34" s="17">
        <f t="shared" si="4"/>
        <v>0</v>
      </c>
      <c r="N34" t="s">
        <v>280</v>
      </c>
      <c r="O34" t="s">
        <v>326</v>
      </c>
      <c r="R34" t="s">
        <v>102</v>
      </c>
      <c r="S34" t="s">
        <v>102</v>
      </c>
      <c r="T34" t="s">
        <v>262</v>
      </c>
      <c r="U34" t="s">
        <v>262</v>
      </c>
      <c r="V34" t="s">
        <v>262</v>
      </c>
      <c r="W34" t="s">
        <v>262</v>
      </c>
      <c r="X34" t="s">
        <v>262</v>
      </c>
      <c r="Y34" t="s">
        <v>262</v>
      </c>
      <c r="Z34" t="s">
        <v>262</v>
      </c>
      <c r="AA34" t="s">
        <v>262</v>
      </c>
      <c r="AB34" t="s">
        <v>262</v>
      </c>
      <c r="AC34" t="s">
        <v>262</v>
      </c>
      <c r="AD34" t="s">
        <v>262</v>
      </c>
      <c r="AE34" t="s">
        <v>264</v>
      </c>
      <c r="AF34" t="s">
        <v>264</v>
      </c>
      <c r="AG34" t="s">
        <v>102</v>
      </c>
      <c r="AH34" t="s">
        <v>102</v>
      </c>
      <c r="AI34" t="s">
        <v>264</v>
      </c>
      <c r="AJ34" t="s">
        <v>102</v>
      </c>
      <c r="AK34" t="s">
        <v>264</v>
      </c>
      <c r="AL34" t="s">
        <v>102</v>
      </c>
      <c r="AM34" t="s">
        <v>102</v>
      </c>
      <c r="AN34" t="s">
        <v>264</v>
      </c>
      <c r="AO34" t="s">
        <v>262</v>
      </c>
      <c r="AP34" t="s">
        <v>264</v>
      </c>
      <c r="AQ34" t="s">
        <v>264</v>
      </c>
      <c r="AR34" t="s">
        <v>264</v>
      </c>
      <c r="AS34" t="s">
        <v>264</v>
      </c>
      <c r="AT34" t="s">
        <v>264</v>
      </c>
      <c r="AU34" t="s">
        <v>264</v>
      </c>
      <c r="AV34" t="s">
        <v>264</v>
      </c>
      <c r="AW34" t="s">
        <v>264</v>
      </c>
      <c r="AX34" t="s">
        <v>264</v>
      </c>
      <c r="AY34" t="s">
        <v>264</v>
      </c>
      <c r="AZ34" t="s">
        <v>264</v>
      </c>
      <c r="BA34" t="s">
        <v>264</v>
      </c>
      <c r="BB34" t="s">
        <v>264</v>
      </c>
      <c r="BC34" t="s">
        <v>264</v>
      </c>
      <c r="BD34" t="s">
        <v>264</v>
      </c>
      <c r="BE34" t="s">
        <v>264</v>
      </c>
      <c r="BF34" t="s">
        <v>264</v>
      </c>
      <c r="BG34" t="s">
        <v>264</v>
      </c>
      <c r="BH34" t="s">
        <v>264</v>
      </c>
      <c r="BI34" t="s">
        <v>264</v>
      </c>
      <c r="BJ34" t="s">
        <v>264</v>
      </c>
      <c r="BK34" t="s">
        <v>264</v>
      </c>
      <c r="BL34" t="s">
        <v>264</v>
      </c>
      <c r="BM34" t="s">
        <v>264</v>
      </c>
      <c r="BN34" t="s">
        <v>264</v>
      </c>
      <c r="BO34" t="s">
        <v>264</v>
      </c>
      <c r="BP34">
        <v>25</v>
      </c>
      <c r="BQ34" t="s">
        <v>264</v>
      </c>
      <c r="BR34" t="s">
        <v>264</v>
      </c>
      <c r="BS34" t="s">
        <v>264</v>
      </c>
      <c r="BT34">
        <v>25</v>
      </c>
    </row>
    <row r="35" spans="1:72" x14ac:dyDescent="0.25">
      <c r="A35" s="18">
        <v>23</v>
      </c>
      <c r="B35" t="s">
        <v>135</v>
      </c>
      <c r="C35" t="s">
        <v>97</v>
      </c>
      <c r="D35">
        <v>4</v>
      </c>
      <c r="E35">
        <v>9</v>
      </c>
      <c r="F35">
        <v>0</v>
      </c>
      <c r="G35">
        <f t="shared" si="1"/>
        <v>25</v>
      </c>
      <c r="H35" s="91">
        <f t="shared" si="2"/>
        <v>1.2418212212195905E-3</v>
      </c>
      <c r="J35">
        <f t="shared" si="3"/>
        <v>0</v>
      </c>
      <c r="K35" s="17"/>
      <c r="L35" s="17">
        <f t="shared" si="4"/>
        <v>0</v>
      </c>
      <c r="N35" t="s">
        <v>280</v>
      </c>
      <c r="O35" t="s">
        <v>327</v>
      </c>
      <c r="R35" t="s">
        <v>102</v>
      </c>
      <c r="S35" t="s">
        <v>102</v>
      </c>
      <c r="T35" t="s">
        <v>102</v>
      </c>
      <c r="U35" t="s">
        <v>262</v>
      </c>
      <c r="V35" t="s">
        <v>262</v>
      </c>
      <c r="W35" t="s">
        <v>262</v>
      </c>
      <c r="X35" t="s">
        <v>102</v>
      </c>
      <c r="Y35" t="s">
        <v>262</v>
      </c>
      <c r="Z35" t="s">
        <v>262</v>
      </c>
      <c r="AA35" t="s">
        <v>262</v>
      </c>
      <c r="AB35" t="s">
        <v>262</v>
      </c>
      <c r="AC35" t="s">
        <v>262</v>
      </c>
      <c r="AD35" t="s">
        <v>262</v>
      </c>
      <c r="AE35" t="s">
        <v>264</v>
      </c>
      <c r="AF35" t="s">
        <v>264</v>
      </c>
      <c r="AG35" t="s">
        <v>264</v>
      </c>
      <c r="AH35" t="s">
        <v>264</v>
      </c>
      <c r="AI35" t="s">
        <v>264</v>
      </c>
      <c r="AJ35" t="s">
        <v>102</v>
      </c>
      <c r="AK35" t="s">
        <v>264</v>
      </c>
      <c r="AL35" t="s">
        <v>102</v>
      </c>
      <c r="AM35" t="s">
        <v>102</v>
      </c>
      <c r="AN35" t="s">
        <v>264</v>
      </c>
      <c r="AO35" t="s">
        <v>262</v>
      </c>
      <c r="AP35" t="s">
        <v>264</v>
      </c>
      <c r="AQ35" t="s">
        <v>264</v>
      </c>
      <c r="AR35" t="s">
        <v>264</v>
      </c>
      <c r="AS35" t="s">
        <v>264</v>
      </c>
      <c r="AT35" t="s">
        <v>264</v>
      </c>
      <c r="AU35" t="s">
        <v>264</v>
      </c>
      <c r="AV35" t="s">
        <v>264</v>
      </c>
      <c r="AW35" t="s">
        <v>264</v>
      </c>
      <c r="AX35" t="s">
        <v>264</v>
      </c>
      <c r="AY35" t="s">
        <v>264</v>
      </c>
      <c r="AZ35" t="s">
        <v>264</v>
      </c>
      <c r="BA35" t="s">
        <v>264</v>
      </c>
      <c r="BB35">
        <v>25</v>
      </c>
      <c r="BC35" t="s">
        <v>264</v>
      </c>
      <c r="BD35" t="s">
        <v>264</v>
      </c>
      <c r="BE35" t="s">
        <v>264</v>
      </c>
      <c r="BF35" t="s">
        <v>264</v>
      </c>
      <c r="BG35" t="s">
        <v>264</v>
      </c>
      <c r="BH35" t="s">
        <v>264</v>
      </c>
      <c r="BI35" t="s">
        <v>264</v>
      </c>
      <c r="BJ35">
        <v>25</v>
      </c>
      <c r="BK35" t="s">
        <v>264</v>
      </c>
      <c r="BL35" t="s">
        <v>262</v>
      </c>
      <c r="BM35" t="s">
        <v>264</v>
      </c>
      <c r="BN35" t="s">
        <v>264</v>
      </c>
      <c r="BO35">
        <v>25</v>
      </c>
      <c r="BP35">
        <v>25</v>
      </c>
      <c r="BQ35" t="s">
        <v>264</v>
      </c>
      <c r="BR35" t="s">
        <v>264</v>
      </c>
      <c r="BS35" t="s">
        <v>264</v>
      </c>
      <c r="BT35" t="s">
        <v>264</v>
      </c>
    </row>
    <row r="36" spans="1:72" x14ac:dyDescent="0.25">
      <c r="A36" s="18">
        <v>24</v>
      </c>
      <c r="B36" t="s">
        <v>274</v>
      </c>
      <c r="C36" t="s">
        <v>97</v>
      </c>
      <c r="D36">
        <v>3</v>
      </c>
      <c r="E36">
        <v>11</v>
      </c>
      <c r="F36">
        <v>11</v>
      </c>
      <c r="G36">
        <f t="shared" si="1"/>
        <v>198.61538461538461</v>
      </c>
      <c r="H36" s="91">
        <f t="shared" si="2"/>
        <v>9.8657919790430225E-3</v>
      </c>
      <c r="I36">
        <v>222</v>
      </c>
      <c r="J36">
        <f t="shared" si="3"/>
        <v>10</v>
      </c>
      <c r="K36" s="17"/>
      <c r="L36" s="17">
        <f t="shared" si="4"/>
        <v>1</v>
      </c>
      <c r="M36" t="s">
        <v>270</v>
      </c>
      <c r="N36" t="s">
        <v>281</v>
      </c>
      <c r="O36" t="s">
        <v>5</v>
      </c>
      <c r="P36">
        <v>221.54545454545453</v>
      </c>
      <c r="R36">
        <v>41</v>
      </c>
      <c r="S36">
        <v>104</v>
      </c>
      <c r="T36">
        <v>65</v>
      </c>
      <c r="U36">
        <v>141</v>
      </c>
      <c r="V36">
        <v>137</v>
      </c>
      <c r="W36">
        <v>128</v>
      </c>
      <c r="X36">
        <v>263</v>
      </c>
      <c r="Y36">
        <v>143</v>
      </c>
      <c r="Z36">
        <v>160</v>
      </c>
      <c r="AA36">
        <v>306</v>
      </c>
      <c r="AB36">
        <v>275</v>
      </c>
      <c r="AC36">
        <v>528</v>
      </c>
      <c r="AD36">
        <v>291</v>
      </c>
    </row>
    <row r="37" spans="1:72" x14ac:dyDescent="0.25">
      <c r="A37" s="18">
        <v>24</v>
      </c>
      <c r="B37" t="s">
        <v>176</v>
      </c>
      <c r="C37" t="s">
        <v>97</v>
      </c>
      <c r="D37">
        <v>3</v>
      </c>
      <c r="E37">
        <v>7</v>
      </c>
      <c r="F37">
        <v>6</v>
      </c>
      <c r="G37">
        <f t="shared" si="1"/>
        <v>12.6</v>
      </c>
      <c r="H37" s="91">
        <f t="shared" si="2"/>
        <v>6.2587789549467358E-4</v>
      </c>
      <c r="I37">
        <v>13</v>
      </c>
      <c r="J37">
        <f t="shared" si="3"/>
        <v>4</v>
      </c>
      <c r="K37" s="17"/>
      <c r="L37" s="17">
        <f t="shared" si="4"/>
        <v>1</v>
      </c>
      <c r="N37" t="s">
        <v>285</v>
      </c>
      <c r="O37" t="s">
        <v>377</v>
      </c>
      <c r="P37">
        <v>12.6</v>
      </c>
      <c r="R37" t="s">
        <v>102</v>
      </c>
      <c r="S37" t="s">
        <v>102</v>
      </c>
      <c r="T37" t="s">
        <v>102</v>
      </c>
      <c r="V37" t="s">
        <v>262</v>
      </c>
      <c r="W37">
        <v>1</v>
      </c>
      <c r="X37">
        <v>6</v>
      </c>
      <c r="Y37" t="s">
        <v>263</v>
      </c>
      <c r="Z37">
        <v>22</v>
      </c>
      <c r="AC37">
        <v>12</v>
      </c>
      <c r="AD37">
        <v>22</v>
      </c>
    </row>
    <row r="38" spans="1:72" x14ac:dyDescent="0.25">
      <c r="A38" s="18">
        <v>24</v>
      </c>
      <c r="B38" t="s">
        <v>190</v>
      </c>
      <c r="C38" t="s">
        <v>97</v>
      </c>
      <c r="D38">
        <v>4</v>
      </c>
      <c r="E38">
        <v>10</v>
      </c>
      <c r="F38">
        <v>10</v>
      </c>
      <c r="G38">
        <f t="shared" si="1"/>
        <v>166.80769230769232</v>
      </c>
      <c r="H38" s="91">
        <f t="shared" si="2"/>
        <v>8.2858132868144068E-3</v>
      </c>
      <c r="I38">
        <v>222</v>
      </c>
      <c r="J38">
        <f t="shared" si="3"/>
        <v>9</v>
      </c>
      <c r="K38" s="17">
        <f t="shared" si="5"/>
        <v>18.555555555555557</v>
      </c>
      <c r="L38" s="17">
        <f t="shared" si="4"/>
        <v>19</v>
      </c>
      <c r="N38" t="s">
        <v>363</v>
      </c>
      <c r="O38" t="s">
        <v>388</v>
      </c>
      <c r="P38">
        <v>222.4</v>
      </c>
      <c r="R38">
        <v>869</v>
      </c>
      <c r="S38">
        <v>422</v>
      </c>
      <c r="T38">
        <v>500</v>
      </c>
      <c r="U38">
        <v>490</v>
      </c>
      <c r="V38">
        <v>500</v>
      </c>
      <c r="W38">
        <v>32</v>
      </c>
      <c r="X38">
        <v>641</v>
      </c>
      <c r="Z38">
        <v>10</v>
      </c>
      <c r="AA38">
        <v>20</v>
      </c>
      <c r="AB38">
        <v>15</v>
      </c>
      <c r="AC38">
        <v>10</v>
      </c>
      <c r="AD38">
        <v>6</v>
      </c>
      <c r="AE38">
        <v>1</v>
      </c>
      <c r="AF38">
        <v>16</v>
      </c>
      <c r="AG38">
        <v>20</v>
      </c>
      <c r="AH38">
        <v>25</v>
      </c>
      <c r="AI38" t="s">
        <v>264</v>
      </c>
      <c r="AJ38">
        <v>12</v>
      </c>
      <c r="AK38">
        <v>25</v>
      </c>
      <c r="AL38">
        <v>26</v>
      </c>
      <c r="AM38">
        <v>28</v>
      </c>
      <c r="AN38">
        <v>11</v>
      </c>
      <c r="AO38">
        <v>30</v>
      </c>
      <c r="AP38">
        <v>25</v>
      </c>
      <c r="AQ38">
        <v>15</v>
      </c>
      <c r="AR38">
        <v>10</v>
      </c>
      <c r="AS38" t="s">
        <v>262</v>
      </c>
      <c r="AT38">
        <v>15</v>
      </c>
      <c r="AU38">
        <v>10</v>
      </c>
      <c r="AV38">
        <v>25</v>
      </c>
      <c r="AW38">
        <v>25</v>
      </c>
      <c r="AX38">
        <v>15</v>
      </c>
      <c r="AY38">
        <v>25</v>
      </c>
      <c r="AZ38">
        <v>200</v>
      </c>
      <c r="BA38">
        <v>75</v>
      </c>
      <c r="BB38">
        <v>75</v>
      </c>
      <c r="BC38">
        <v>25</v>
      </c>
      <c r="BD38">
        <v>25</v>
      </c>
      <c r="BE38">
        <v>80</v>
      </c>
      <c r="BF38">
        <v>25</v>
      </c>
      <c r="BG38">
        <v>25</v>
      </c>
      <c r="BH38">
        <v>50</v>
      </c>
      <c r="BI38">
        <v>50</v>
      </c>
      <c r="BJ38">
        <v>70</v>
      </c>
      <c r="BK38">
        <v>400</v>
      </c>
      <c r="BL38">
        <v>400</v>
      </c>
      <c r="BM38">
        <v>400</v>
      </c>
      <c r="BN38">
        <v>750</v>
      </c>
      <c r="BO38">
        <v>750</v>
      </c>
      <c r="BP38">
        <v>400</v>
      </c>
      <c r="BQ38">
        <v>200</v>
      </c>
      <c r="BR38">
        <v>400</v>
      </c>
      <c r="BS38">
        <v>200</v>
      </c>
      <c r="BT38">
        <v>200</v>
      </c>
    </row>
    <row r="39" spans="1:72" x14ac:dyDescent="0.25">
      <c r="A39" s="18">
        <v>24</v>
      </c>
      <c r="B39" t="s">
        <v>202</v>
      </c>
      <c r="C39" t="s">
        <v>97</v>
      </c>
      <c r="D39">
        <v>4</v>
      </c>
      <c r="E39">
        <v>7</v>
      </c>
      <c r="F39">
        <v>4</v>
      </c>
      <c r="G39">
        <f t="shared" si="1"/>
        <v>96.130434782608702</v>
      </c>
      <c r="H39" s="91">
        <f t="shared" si="2"/>
        <v>4.7750725567243732E-3</v>
      </c>
      <c r="I39">
        <v>28</v>
      </c>
      <c r="J39">
        <f t="shared" si="3"/>
        <v>2</v>
      </c>
      <c r="K39" s="17">
        <f t="shared" si="5"/>
        <v>5.5</v>
      </c>
      <c r="L39" s="17">
        <f t="shared" si="4"/>
        <v>3</v>
      </c>
      <c r="N39" t="s">
        <v>280</v>
      </c>
      <c r="O39" t="s">
        <v>395</v>
      </c>
      <c r="P39">
        <v>28.333333333333332</v>
      </c>
      <c r="R39" t="s">
        <v>102</v>
      </c>
      <c r="S39" t="s">
        <v>102</v>
      </c>
      <c r="T39" t="s">
        <v>102</v>
      </c>
      <c r="U39" t="s">
        <v>102</v>
      </c>
      <c r="V39" t="s">
        <v>102</v>
      </c>
      <c r="W39" t="s">
        <v>262</v>
      </c>
      <c r="X39">
        <v>20</v>
      </c>
      <c r="Y39" t="s">
        <v>262</v>
      </c>
      <c r="AA39" t="s">
        <v>263</v>
      </c>
      <c r="AB39" t="s">
        <v>262</v>
      </c>
      <c r="AC39">
        <v>25</v>
      </c>
      <c r="AD39">
        <v>40</v>
      </c>
      <c r="AE39" t="s">
        <v>264</v>
      </c>
      <c r="AF39" t="s">
        <v>264</v>
      </c>
      <c r="AG39" t="s">
        <v>264</v>
      </c>
      <c r="AH39">
        <v>5</v>
      </c>
      <c r="AI39" t="s">
        <v>264</v>
      </c>
      <c r="AJ39" t="s">
        <v>264</v>
      </c>
      <c r="AK39" t="s">
        <v>264</v>
      </c>
      <c r="AL39" t="s">
        <v>264</v>
      </c>
      <c r="AM39" t="s">
        <v>264</v>
      </c>
      <c r="AN39" t="s">
        <v>264</v>
      </c>
      <c r="AO39" t="s">
        <v>262</v>
      </c>
      <c r="AP39" t="s">
        <v>262</v>
      </c>
      <c r="AQ39" t="s">
        <v>262</v>
      </c>
      <c r="AR39" t="s">
        <v>264</v>
      </c>
      <c r="AS39" t="s">
        <v>264</v>
      </c>
      <c r="AT39" t="s">
        <v>262</v>
      </c>
      <c r="AU39">
        <v>6</v>
      </c>
      <c r="AV39" t="s">
        <v>264</v>
      </c>
      <c r="AW39" t="s">
        <v>264</v>
      </c>
      <c r="AX39" t="s">
        <v>262</v>
      </c>
      <c r="AY39" t="s">
        <v>262</v>
      </c>
      <c r="AZ39" t="s">
        <v>262</v>
      </c>
      <c r="BA39">
        <v>25</v>
      </c>
      <c r="BB39">
        <v>25</v>
      </c>
      <c r="BC39">
        <v>25</v>
      </c>
      <c r="BD39">
        <v>25</v>
      </c>
      <c r="BE39" t="s">
        <v>262</v>
      </c>
      <c r="BF39">
        <v>25</v>
      </c>
      <c r="BG39" t="s">
        <v>264</v>
      </c>
      <c r="BH39">
        <v>10</v>
      </c>
      <c r="BI39">
        <v>10</v>
      </c>
      <c r="BJ39">
        <v>20</v>
      </c>
      <c r="BK39">
        <v>75</v>
      </c>
      <c r="BL39">
        <v>75</v>
      </c>
      <c r="BM39">
        <v>200</v>
      </c>
      <c r="BN39">
        <v>400</v>
      </c>
      <c r="BO39">
        <v>200</v>
      </c>
      <c r="BP39">
        <v>200</v>
      </c>
      <c r="BQ39">
        <v>200</v>
      </c>
      <c r="BR39">
        <v>200</v>
      </c>
      <c r="BS39">
        <v>200</v>
      </c>
      <c r="BT39">
        <v>200</v>
      </c>
    </row>
    <row r="40" spans="1:72" x14ac:dyDescent="0.25">
      <c r="A40" s="18">
        <v>24</v>
      </c>
      <c r="B40" t="s">
        <v>359</v>
      </c>
      <c r="C40" t="s">
        <v>97</v>
      </c>
      <c r="D40">
        <v>3</v>
      </c>
      <c r="E40">
        <v>3</v>
      </c>
      <c r="F40">
        <v>3</v>
      </c>
      <c r="G40">
        <f t="shared" si="1"/>
        <v>487.46153846153845</v>
      </c>
      <c r="H40" s="91">
        <f t="shared" si="2"/>
        <v>2.421360331959552E-2</v>
      </c>
      <c r="I40">
        <v>513</v>
      </c>
      <c r="J40">
        <f t="shared" si="3"/>
        <v>2</v>
      </c>
      <c r="K40" s="17">
        <f t="shared" si="5"/>
        <v>222.92857142857142</v>
      </c>
      <c r="L40" s="17">
        <f t="shared" si="4"/>
        <v>15</v>
      </c>
      <c r="N40" t="s">
        <v>280</v>
      </c>
      <c r="O40" t="s">
        <v>357</v>
      </c>
      <c r="P40">
        <v>513.33333333333337</v>
      </c>
      <c r="S40" t="s">
        <v>102</v>
      </c>
      <c r="T40" t="s">
        <v>102</v>
      </c>
      <c r="U40" t="s">
        <v>102</v>
      </c>
      <c r="V40" t="s">
        <v>102</v>
      </c>
      <c r="W40" t="s">
        <v>102</v>
      </c>
      <c r="Y40">
        <v>300</v>
      </c>
      <c r="Z40" t="s">
        <v>102</v>
      </c>
      <c r="AB40">
        <v>1200</v>
      </c>
      <c r="AD40">
        <v>40</v>
      </c>
      <c r="AE40" t="s">
        <v>264</v>
      </c>
      <c r="AF40" t="s">
        <v>102</v>
      </c>
      <c r="AG40" t="s">
        <v>102</v>
      </c>
      <c r="AH40" t="s">
        <v>102</v>
      </c>
      <c r="AI40">
        <v>146</v>
      </c>
      <c r="AJ40">
        <v>300</v>
      </c>
      <c r="AK40">
        <v>300</v>
      </c>
      <c r="AL40">
        <v>200</v>
      </c>
      <c r="AM40">
        <v>150</v>
      </c>
      <c r="AN40">
        <v>100</v>
      </c>
      <c r="AO40">
        <v>300</v>
      </c>
      <c r="AP40" t="s">
        <v>262</v>
      </c>
      <c r="AQ40">
        <v>400</v>
      </c>
      <c r="AR40" t="s">
        <v>264</v>
      </c>
      <c r="AS40">
        <v>100</v>
      </c>
      <c r="AT40">
        <v>250</v>
      </c>
      <c r="AU40">
        <v>75</v>
      </c>
      <c r="AV40">
        <v>100</v>
      </c>
      <c r="AW40">
        <v>200</v>
      </c>
      <c r="AX40">
        <v>500</v>
      </c>
      <c r="AY40">
        <v>75</v>
      </c>
      <c r="AZ40">
        <v>75</v>
      </c>
      <c r="BA40">
        <v>200</v>
      </c>
      <c r="BB40">
        <v>200</v>
      </c>
      <c r="BC40">
        <v>400</v>
      </c>
      <c r="BD40">
        <v>750</v>
      </c>
      <c r="BE40">
        <v>750</v>
      </c>
      <c r="BF40">
        <v>750</v>
      </c>
      <c r="BG40">
        <v>400</v>
      </c>
      <c r="BH40">
        <v>450</v>
      </c>
      <c r="BI40">
        <v>500</v>
      </c>
      <c r="BJ40">
        <v>50</v>
      </c>
      <c r="BK40">
        <v>750</v>
      </c>
      <c r="BL40">
        <v>750</v>
      </c>
      <c r="BM40">
        <v>750</v>
      </c>
      <c r="BN40">
        <v>1500</v>
      </c>
      <c r="BO40">
        <v>750</v>
      </c>
      <c r="BP40">
        <v>1500</v>
      </c>
      <c r="BQ40">
        <v>1500</v>
      </c>
      <c r="BR40">
        <v>750</v>
      </c>
      <c r="BS40">
        <v>750</v>
      </c>
      <c r="BT40">
        <v>750</v>
      </c>
    </row>
    <row r="41" spans="1:72" x14ac:dyDescent="0.25">
      <c r="A41" s="18">
        <v>24</v>
      </c>
      <c r="B41" t="s">
        <v>358</v>
      </c>
      <c r="C41" t="s">
        <v>97</v>
      </c>
      <c r="D41">
        <v>3</v>
      </c>
      <c r="E41">
        <v>8</v>
      </c>
      <c r="F41">
        <v>7</v>
      </c>
      <c r="G41">
        <f t="shared" si="1"/>
        <v>18.666666666666668</v>
      </c>
      <c r="H41" s="91">
        <f t="shared" si="2"/>
        <v>9.2722651184396095E-4</v>
      </c>
      <c r="I41">
        <v>29</v>
      </c>
      <c r="J41">
        <f t="shared" si="3"/>
        <v>7</v>
      </c>
      <c r="K41" s="17">
        <f t="shared" si="5"/>
        <v>11.5</v>
      </c>
      <c r="L41" s="17">
        <f t="shared" si="4"/>
        <v>6</v>
      </c>
      <c r="M41" t="s">
        <v>271</v>
      </c>
      <c r="N41" t="s">
        <v>281</v>
      </c>
      <c r="O41" t="s">
        <v>356</v>
      </c>
      <c r="P41">
        <v>28.857142857142858</v>
      </c>
      <c r="R41">
        <v>8</v>
      </c>
      <c r="S41">
        <v>1</v>
      </c>
      <c r="T41" t="s">
        <v>262</v>
      </c>
      <c r="U41">
        <v>13</v>
      </c>
      <c r="V41">
        <v>25</v>
      </c>
      <c r="W41">
        <v>13</v>
      </c>
      <c r="X41">
        <v>43</v>
      </c>
      <c r="Y41">
        <v>42</v>
      </c>
      <c r="Z41">
        <v>24</v>
      </c>
      <c r="AC41">
        <v>42</v>
      </c>
      <c r="AE41" t="s">
        <v>264</v>
      </c>
      <c r="AF41">
        <v>20</v>
      </c>
      <c r="AG41" t="s">
        <v>264</v>
      </c>
      <c r="AH41">
        <v>6</v>
      </c>
      <c r="AI41">
        <v>6</v>
      </c>
      <c r="AJ41" t="s">
        <v>264</v>
      </c>
      <c r="AK41" t="s">
        <v>264</v>
      </c>
      <c r="AL41" t="s">
        <v>262</v>
      </c>
      <c r="AM41">
        <v>2</v>
      </c>
      <c r="AN41">
        <v>10</v>
      </c>
      <c r="AO41" t="s">
        <v>262</v>
      </c>
      <c r="AP41" t="s">
        <v>264</v>
      </c>
      <c r="AQ41" t="s">
        <v>264</v>
      </c>
      <c r="AR41" t="s">
        <v>264</v>
      </c>
      <c r="AS41" t="s">
        <v>262</v>
      </c>
      <c r="AT41">
        <v>25</v>
      </c>
      <c r="AU41" t="s">
        <v>264</v>
      </c>
      <c r="AV41" t="s">
        <v>264</v>
      </c>
      <c r="AW41" t="s">
        <v>264</v>
      </c>
      <c r="AX41" t="s">
        <v>264</v>
      </c>
      <c r="AY41" t="s">
        <v>264</v>
      </c>
      <c r="AZ41" t="s">
        <v>264</v>
      </c>
      <c r="BA41" t="s">
        <v>264</v>
      </c>
      <c r="BB41" t="s">
        <v>264</v>
      </c>
      <c r="BC41" t="s">
        <v>264</v>
      </c>
      <c r="BD41" t="s">
        <v>264</v>
      </c>
      <c r="BE41" t="s">
        <v>264</v>
      </c>
      <c r="BF41" t="s">
        <v>264</v>
      </c>
      <c r="BG41" t="s">
        <v>264</v>
      </c>
      <c r="BH41" t="s">
        <v>264</v>
      </c>
      <c r="BI41" t="s">
        <v>264</v>
      </c>
      <c r="BJ41" t="s">
        <v>262</v>
      </c>
      <c r="BK41" t="s">
        <v>264</v>
      </c>
      <c r="BL41" t="s">
        <v>264</v>
      </c>
      <c r="BM41" t="s">
        <v>264</v>
      </c>
      <c r="BN41" t="s">
        <v>264</v>
      </c>
      <c r="BO41" t="s">
        <v>264</v>
      </c>
      <c r="BP41" t="s">
        <v>264</v>
      </c>
      <c r="BQ41" t="s">
        <v>264</v>
      </c>
      <c r="BR41" t="s">
        <v>264</v>
      </c>
      <c r="BS41" t="s">
        <v>264</v>
      </c>
      <c r="BT41" t="s">
        <v>264</v>
      </c>
    </row>
    <row r="42" spans="1:72" x14ac:dyDescent="0.25">
      <c r="A42" s="18">
        <v>24</v>
      </c>
      <c r="B42" t="s">
        <v>200</v>
      </c>
      <c r="C42" t="s">
        <v>97</v>
      </c>
      <c r="D42">
        <v>3</v>
      </c>
      <c r="E42">
        <v>10</v>
      </c>
      <c r="F42">
        <v>10</v>
      </c>
      <c r="G42">
        <f t="shared" si="1"/>
        <v>322.60000000000002</v>
      </c>
      <c r="H42" s="91">
        <f t="shared" si="2"/>
        <v>1.6024461038617595E-2</v>
      </c>
      <c r="I42">
        <v>168</v>
      </c>
      <c r="J42">
        <f t="shared" si="3"/>
        <v>9</v>
      </c>
      <c r="K42" s="17">
        <f t="shared" si="5"/>
        <v>133.6875</v>
      </c>
      <c r="L42" s="17">
        <f t="shared" si="4"/>
        <v>17</v>
      </c>
      <c r="M42" t="s">
        <v>270</v>
      </c>
      <c r="N42" t="s">
        <v>281</v>
      </c>
      <c r="O42" t="s">
        <v>1</v>
      </c>
      <c r="P42">
        <v>167.6</v>
      </c>
      <c r="R42">
        <v>13</v>
      </c>
      <c r="S42">
        <v>117</v>
      </c>
      <c r="T42">
        <v>36</v>
      </c>
      <c r="U42">
        <v>72</v>
      </c>
      <c r="V42">
        <v>28</v>
      </c>
      <c r="W42">
        <v>23</v>
      </c>
      <c r="X42" t="s">
        <v>263</v>
      </c>
      <c r="Y42">
        <v>160</v>
      </c>
      <c r="Z42">
        <v>234</v>
      </c>
      <c r="AA42">
        <v>370</v>
      </c>
      <c r="AB42">
        <v>266</v>
      </c>
      <c r="AC42">
        <v>164</v>
      </c>
      <c r="AD42">
        <v>323</v>
      </c>
      <c r="AE42">
        <v>841</v>
      </c>
      <c r="AF42">
        <v>436</v>
      </c>
      <c r="AG42">
        <v>150</v>
      </c>
      <c r="AH42">
        <v>10</v>
      </c>
      <c r="AI42" t="s">
        <v>264</v>
      </c>
      <c r="AJ42">
        <v>26</v>
      </c>
      <c r="AK42">
        <v>30</v>
      </c>
      <c r="AL42">
        <v>25</v>
      </c>
      <c r="AM42">
        <v>30</v>
      </c>
      <c r="AN42" t="s">
        <v>262</v>
      </c>
      <c r="AO42" t="s">
        <v>264</v>
      </c>
      <c r="AP42" t="s">
        <v>264</v>
      </c>
      <c r="AQ42">
        <v>100</v>
      </c>
      <c r="AR42">
        <v>150</v>
      </c>
      <c r="AS42">
        <v>160</v>
      </c>
      <c r="AT42">
        <v>50</v>
      </c>
      <c r="AU42">
        <v>6</v>
      </c>
      <c r="AV42">
        <v>50</v>
      </c>
      <c r="AW42">
        <v>50</v>
      </c>
      <c r="AX42">
        <v>25</v>
      </c>
      <c r="AY42">
        <v>75</v>
      </c>
      <c r="AZ42">
        <v>75</v>
      </c>
      <c r="BA42">
        <v>25</v>
      </c>
      <c r="BB42">
        <v>75</v>
      </c>
      <c r="BC42">
        <v>25</v>
      </c>
      <c r="BD42">
        <v>25</v>
      </c>
      <c r="BE42">
        <v>10</v>
      </c>
      <c r="BF42">
        <v>25</v>
      </c>
      <c r="BG42">
        <v>200</v>
      </c>
      <c r="BH42">
        <v>50</v>
      </c>
      <c r="BI42">
        <v>300</v>
      </c>
      <c r="BJ42">
        <v>50</v>
      </c>
      <c r="BK42">
        <v>750</v>
      </c>
      <c r="BL42">
        <v>750</v>
      </c>
      <c r="BM42">
        <v>750</v>
      </c>
      <c r="BN42">
        <v>1500</v>
      </c>
      <c r="BO42">
        <v>750</v>
      </c>
      <c r="BP42">
        <v>1500</v>
      </c>
      <c r="BQ42">
        <v>1500</v>
      </c>
      <c r="BR42">
        <v>1500</v>
      </c>
      <c r="BS42">
        <v>750</v>
      </c>
      <c r="BT42">
        <v>1500</v>
      </c>
    </row>
    <row r="43" spans="1:72" x14ac:dyDescent="0.25">
      <c r="A43" s="18">
        <v>24</v>
      </c>
      <c r="B43" t="s">
        <v>194</v>
      </c>
      <c r="C43" t="s">
        <v>97</v>
      </c>
      <c r="D43">
        <v>3</v>
      </c>
      <c r="E43">
        <v>11</v>
      </c>
      <c r="F43">
        <v>11</v>
      </c>
      <c r="G43">
        <f t="shared" si="1"/>
        <v>223.51111111111112</v>
      </c>
      <c r="H43" s="91">
        <f t="shared" si="2"/>
        <v>1.1102433638245904E-2</v>
      </c>
      <c r="I43">
        <v>155</v>
      </c>
      <c r="J43">
        <f t="shared" si="3"/>
        <v>10</v>
      </c>
      <c r="K43" s="17">
        <f t="shared" si="5"/>
        <v>91.6</v>
      </c>
      <c r="L43" s="17">
        <f t="shared" si="4"/>
        <v>11</v>
      </c>
      <c r="M43" t="s">
        <v>270</v>
      </c>
      <c r="N43" t="s">
        <v>281</v>
      </c>
      <c r="O43" t="s">
        <v>1</v>
      </c>
      <c r="P43">
        <v>155</v>
      </c>
      <c r="R43">
        <v>112</v>
      </c>
      <c r="S43">
        <v>85</v>
      </c>
      <c r="T43">
        <v>115</v>
      </c>
      <c r="U43">
        <v>362</v>
      </c>
      <c r="V43">
        <v>155</v>
      </c>
      <c r="W43">
        <v>54</v>
      </c>
      <c r="X43">
        <v>115</v>
      </c>
      <c r="Y43">
        <v>94</v>
      </c>
      <c r="Z43">
        <v>239</v>
      </c>
      <c r="AA43">
        <v>155</v>
      </c>
      <c r="AB43">
        <v>84</v>
      </c>
      <c r="AC43">
        <v>243</v>
      </c>
      <c r="AD43">
        <v>89</v>
      </c>
      <c r="AE43">
        <v>420</v>
      </c>
      <c r="AF43">
        <v>250</v>
      </c>
      <c r="AG43" t="s">
        <v>264</v>
      </c>
      <c r="AH43" t="s">
        <v>264</v>
      </c>
      <c r="AI43" t="s">
        <v>264</v>
      </c>
      <c r="AJ43">
        <v>80</v>
      </c>
      <c r="AK43" t="s">
        <v>262</v>
      </c>
      <c r="AL43" t="s">
        <v>262</v>
      </c>
      <c r="AM43" t="s">
        <v>264</v>
      </c>
      <c r="AN43" t="s">
        <v>262</v>
      </c>
      <c r="AO43" t="s">
        <v>262</v>
      </c>
      <c r="AP43" t="s">
        <v>264</v>
      </c>
      <c r="AQ43" t="s">
        <v>262</v>
      </c>
      <c r="AR43">
        <v>25</v>
      </c>
      <c r="AS43">
        <v>25</v>
      </c>
      <c r="AT43">
        <v>6</v>
      </c>
      <c r="AU43">
        <v>10</v>
      </c>
      <c r="AV43">
        <v>50</v>
      </c>
      <c r="AW43">
        <v>25</v>
      </c>
      <c r="AX43">
        <v>25</v>
      </c>
      <c r="AY43">
        <v>50</v>
      </c>
      <c r="AZ43">
        <v>75</v>
      </c>
      <c r="BA43">
        <v>75</v>
      </c>
      <c r="BB43">
        <v>75</v>
      </c>
      <c r="BC43">
        <v>25</v>
      </c>
      <c r="BD43">
        <v>75</v>
      </c>
      <c r="BE43">
        <v>80</v>
      </c>
      <c r="BF43">
        <v>25</v>
      </c>
      <c r="BG43">
        <v>75</v>
      </c>
      <c r="BH43">
        <v>10</v>
      </c>
      <c r="BI43">
        <v>25</v>
      </c>
      <c r="BJ43">
        <v>50</v>
      </c>
      <c r="BK43">
        <v>200</v>
      </c>
      <c r="BL43">
        <v>400</v>
      </c>
      <c r="BM43">
        <v>750</v>
      </c>
      <c r="BN43">
        <v>750</v>
      </c>
      <c r="BO43">
        <v>750</v>
      </c>
      <c r="BP43">
        <v>750</v>
      </c>
      <c r="BQ43">
        <v>750</v>
      </c>
      <c r="BR43">
        <v>750</v>
      </c>
      <c r="BS43">
        <v>750</v>
      </c>
      <c r="BT43">
        <v>750</v>
      </c>
    </row>
    <row r="44" spans="1:72" x14ac:dyDescent="0.25">
      <c r="A44" s="18">
        <v>24</v>
      </c>
      <c r="B44" t="s">
        <v>179</v>
      </c>
      <c r="C44" t="s">
        <v>97</v>
      </c>
      <c r="D44">
        <v>4</v>
      </c>
      <c r="E44">
        <v>5</v>
      </c>
      <c r="F44">
        <v>4</v>
      </c>
      <c r="G44">
        <f t="shared" si="1"/>
        <v>23.5</v>
      </c>
      <c r="H44" s="91">
        <f t="shared" si="2"/>
        <v>1.167311947946415E-3</v>
      </c>
      <c r="I44">
        <v>24</v>
      </c>
      <c r="J44">
        <f t="shared" si="3"/>
        <v>4</v>
      </c>
      <c r="K44" s="17"/>
      <c r="L44" s="17">
        <f t="shared" si="4"/>
        <v>0</v>
      </c>
      <c r="N44" t="s">
        <v>280</v>
      </c>
      <c r="O44" t="s">
        <v>403</v>
      </c>
      <c r="P44">
        <v>23.5</v>
      </c>
      <c r="R44" t="s">
        <v>102</v>
      </c>
      <c r="S44" t="s">
        <v>102</v>
      </c>
      <c r="T44" t="s">
        <v>102</v>
      </c>
      <c r="U44">
        <v>1</v>
      </c>
      <c r="V44" t="s">
        <v>102</v>
      </c>
      <c r="W44">
        <v>12</v>
      </c>
      <c r="X44">
        <v>58</v>
      </c>
      <c r="Z44" t="s">
        <v>262</v>
      </c>
      <c r="AC44">
        <v>23</v>
      </c>
    </row>
    <row r="45" spans="1:72" x14ac:dyDescent="0.25">
      <c r="A45" s="18">
        <v>24</v>
      </c>
      <c r="B45" t="s">
        <v>203</v>
      </c>
      <c r="C45" t="s">
        <v>97</v>
      </c>
      <c r="D45">
        <v>4</v>
      </c>
      <c r="E45">
        <v>7</v>
      </c>
      <c r="F45">
        <v>3</v>
      </c>
      <c r="G45">
        <f t="shared" si="1"/>
        <v>116.375</v>
      </c>
      <c r="H45" s="91">
        <f t="shared" si="2"/>
        <v>5.7806777847771934E-3</v>
      </c>
      <c r="I45">
        <v>43</v>
      </c>
      <c r="J45">
        <f t="shared" si="3"/>
        <v>2</v>
      </c>
      <c r="K45" s="17">
        <f t="shared" si="5"/>
        <v>10.444444444444445</v>
      </c>
      <c r="L45" s="17">
        <f t="shared" si="4"/>
        <v>10</v>
      </c>
      <c r="N45" t="s">
        <v>280</v>
      </c>
      <c r="O45" t="s">
        <v>387</v>
      </c>
      <c r="P45">
        <v>43.333333333333336</v>
      </c>
      <c r="R45" t="s">
        <v>102</v>
      </c>
      <c r="S45" t="s">
        <v>102</v>
      </c>
      <c r="T45" t="s">
        <v>102</v>
      </c>
      <c r="U45" t="s">
        <v>102</v>
      </c>
      <c r="V45" t="s">
        <v>102</v>
      </c>
      <c r="W45" t="s">
        <v>262</v>
      </c>
      <c r="X45">
        <v>80</v>
      </c>
      <c r="Y45" t="s">
        <v>262</v>
      </c>
      <c r="Z45" t="s">
        <v>102</v>
      </c>
      <c r="AA45" t="s">
        <v>262</v>
      </c>
      <c r="AB45" t="s">
        <v>262</v>
      </c>
      <c r="AC45">
        <v>30</v>
      </c>
      <c r="AD45">
        <v>20</v>
      </c>
      <c r="AE45" t="s">
        <v>264</v>
      </c>
      <c r="AF45">
        <v>1</v>
      </c>
      <c r="AG45" t="s">
        <v>264</v>
      </c>
      <c r="AH45">
        <v>10</v>
      </c>
      <c r="AI45" t="s">
        <v>102</v>
      </c>
      <c r="AJ45" t="s">
        <v>264</v>
      </c>
      <c r="AK45" t="s">
        <v>262</v>
      </c>
      <c r="AL45">
        <v>14</v>
      </c>
      <c r="AM45" t="s">
        <v>262</v>
      </c>
      <c r="AN45">
        <v>1</v>
      </c>
      <c r="AO45" t="s">
        <v>262</v>
      </c>
      <c r="AP45" t="s">
        <v>262</v>
      </c>
      <c r="AQ45" t="s">
        <v>264</v>
      </c>
      <c r="AR45">
        <v>6</v>
      </c>
      <c r="AS45" t="s">
        <v>262</v>
      </c>
      <c r="AT45">
        <v>10</v>
      </c>
      <c r="AU45">
        <v>19</v>
      </c>
      <c r="AV45" t="s">
        <v>262</v>
      </c>
      <c r="AW45">
        <v>8</v>
      </c>
      <c r="AX45">
        <v>25</v>
      </c>
      <c r="AY45">
        <v>25</v>
      </c>
      <c r="AZ45">
        <v>75</v>
      </c>
      <c r="BA45">
        <v>25</v>
      </c>
      <c r="BB45">
        <v>75</v>
      </c>
      <c r="BC45" t="s">
        <v>262</v>
      </c>
      <c r="BD45">
        <v>25</v>
      </c>
      <c r="BE45">
        <v>40</v>
      </c>
      <c r="BF45">
        <v>25</v>
      </c>
      <c r="BG45" t="s">
        <v>262</v>
      </c>
      <c r="BH45">
        <v>25</v>
      </c>
      <c r="BI45">
        <v>25</v>
      </c>
      <c r="BJ45">
        <v>10</v>
      </c>
      <c r="BK45">
        <v>200</v>
      </c>
      <c r="BL45">
        <v>200</v>
      </c>
      <c r="BM45">
        <v>200</v>
      </c>
      <c r="BN45">
        <v>750</v>
      </c>
      <c r="BO45">
        <v>400</v>
      </c>
      <c r="BP45">
        <v>200</v>
      </c>
      <c r="BQ45">
        <v>200</v>
      </c>
      <c r="BR45">
        <v>200</v>
      </c>
      <c r="BS45">
        <v>400</v>
      </c>
      <c r="BT45">
        <v>400</v>
      </c>
    </row>
    <row r="46" spans="1:72" x14ac:dyDescent="0.25">
      <c r="A46" s="18">
        <v>24</v>
      </c>
      <c r="B46" t="s">
        <v>182</v>
      </c>
      <c r="C46" t="s">
        <v>97</v>
      </c>
      <c r="D46">
        <v>4</v>
      </c>
      <c r="E46">
        <v>6</v>
      </c>
      <c r="F46">
        <v>2</v>
      </c>
      <c r="G46">
        <f t="shared" si="1"/>
        <v>105.52380952380952</v>
      </c>
      <c r="H46" s="91">
        <f t="shared" si="2"/>
        <v>5.2416682404240232E-3</v>
      </c>
      <c r="I46">
        <v>8</v>
      </c>
      <c r="J46">
        <f t="shared" si="3"/>
        <v>1</v>
      </c>
      <c r="K46" s="17">
        <f t="shared" si="5"/>
        <v>26.25</v>
      </c>
      <c r="L46" s="17">
        <f t="shared" si="4"/>
        <v>4</v>
      </c>
      <c r="N46" t="s">
        <v>280</v>
      </c>
      <c r="O46" t="s">
        <v>409</v>
      </c>
      <c r="P46">
        <v>8</v>
      </c>
      <c r="R46" t="s">
        <v>102</v>
      </c>
      <c r="S46" t="s">
        <v>102</v>
      </c>
      <c r="T46" t="s">
        <v>102</v>
      </c>
      <c r="U46" t="s">
        <v>102</v>
      </c>
      <c r="V46" t="s">
        <v>262</v>
      </c>
      <c r="W46" t="s">
        <v>262</v>
      </c>
      <c r="X46" t="s">
        <v>263</v>
      </c>
      <c r="AA46" t="s">
        <v>262</v>
      </c>
      <c r="AB46" t="s">
        <v>262</v>
      </c>
      <c r="AC46">
        <v>8</v>
      </c>
      <c r="AD46" t="s">
        <v>102</v>
      </c>
      <c r="AE46">
        <v>10</v>
      </c>
      <c r="AF46">
        <v>60</v>
      </c>
      <c r="AG46" t="s">
        <v>264</v>
      </c>
      <c r="AH46" t="s">
        <v>264</v>
      </c>
      <c r="AI46" t="s">
        <v>264</v>
      </c>
      <c r="AJ46" t="s">
        <v>264</v>
      </c>
      <c r="AK46" t="s">
        <v>262</v>
      </c>
      <c r="AL46" t="s">
        <v>262</v>
      </c>
      <c r="AM46" t="s">
        <v>262</v>
      </c>
      <c r="AN46" t="s">
        <v>262</v>
      </c>
      <c r="AO46" t="s">
        <v>262</v>
      </c>
      <c r="AP46" t="s">
        <v>264</v>
      </c>
      <c r="AQ46" t="s">
        <v>264</v>
      </c>
      <c r="AR46" t="s">
        <v>264</v>
      </c>
      <c r="AS46" t="s">
        <v>262</v>
      </c>
      <c r="AT46" t="s">
        <v>264</v>
      </c>
      <c r="AU46" t="s">
        <v>264</v>
      </c>
      <c r="AV46" t="s">
        <v>262</v>
      </c>
      <c r="AW46">
        <v>10</v>
      </c>
      <c r="AX46">
        <v>25</v>
      </c>
      <c r="AY46" t="s">
        <v>262</v>
      </c>
      <c r="AZ46" t="s">
        <v>262</v>
      </c>
      <c r="BA46" t="s">
        <v>264</v>
      </c>
      <c r="BB46" t="s">
        <v>262</v>
      </c>
      <c r="BC46">
        <v>25</v>
      </c>
      <c r="BD46">
        <v>25</v>
      </c>
      <c r="BE46">
        <v>8</v>
      </c>
      <c r="BF46">
        <v>25</v>
      </c>
      <c r="BG46" t="s">
        <v>262</v>
      </c>
      <c r="BH46">
        <v>20</v>
      </c>
      <c r="BI46">
        <v>50</v>
      </c>
      <c r="BJ46" t="s">
        <v>262</v>
      </c>
      <c r="BK46">
        <v>75</v>
      </c>
      <c r="BL46">
        <v>75</v>
      </c>
      <c r="BM46">
        <v>200</v>
      </c>
      <c r="BN46">
        <v>200</v>
      </c>
      <c r="BO46">
        <v>200</v>
      </c>
      <c r="BP46">
        <v>200</v>
      </c>
      <c r="BQ46">
        <v>200</v>
      </c>
      <c r="BR46">
        <v>200</v>
      </c>
      <c r="BS46">
        <v>200</v>
      </c>
      <c r="BT46">
        <v>400</v>
      </c>
    </row>
    <row r="47" spans="1:72" x14ac:dyDescent="0.25">
      <c r="A47" s="18">
        <v>24</v>
      </c>
      <c r="B47" t="s">
        <v>183</v>
      </c>
      <c r="C47" t="s">
        <v>97</v>
      </c>
      <c r="D47">
        <v>1</v>
      </c>
      <c r="E47">
        <v>11</v>
      </c>
      <c r="F47">
        <v>11</v>
      </c>
      <c r="G47">
        <f t="shared" si="1"/>
        <v>411.74</v>
      </c>
      <c r="H47" s="91">
        <f t="shared" si="2"/>
        <v>2.0452298784998168E-2</v>
      </c>
      <c r="I47">
        <v>1006</v>
      </c>
      <c r="J47">
        <f t="shared" si="3"/>
        <v>10</v>
      </c>
      <c r="K47" s="17">
        <f t="shared" si="5"/>
        <v>55.8</v>
      </c>
      <c r="L47" s="17">
        <f t="shared" si="4"/>
        <v>16</v>
      </c>
      <c r="M47" t="s">
        <v>272</v>
      </c>
      <c r="N47" t="s">
        <v>281</v>
      </c>
      <c r="O47" t="s">
        <v>6</v>
      </c>
      <c r="P47">
        <v>1005.7272727272727</v>
      </c>
      <c r="R47">
        <v>253</v>
      </c>
      <c r="S47">
        <v>414</v>
      </c>
      <c r="T47">
        <v>632</v>
      </c>
      <c r="U47">
        <v>1127</v>
      </c>
      <c r="V47">
        <v>1846</v>
      </c>
      <c r="W47">
        <v>147</v>
      </c>
      <c r="X47">
        <v>2080</v>
      </c>
      <c r="Y47">
        <v>1781</v>
      </c>
      <c r="Z47">
        <v>725</v>
      </c>
      <c r="AA47">
        <v>800</v>
      </c>
      <c r="AB47">
        <v>825</v>
      </c>
      <c r="AC47">
        <v>650</v>
      </c>
      <c r="AD47">
        <v>450</v>
      </c>
      <c r="AE47">
        <v>400</v>
      </c>
      <c r="AF47">
        <v>145</v>
      </c>
      <c r="AG47" t="s">
        <v>264</v>
      </c>
      <c r="AH47">
        <v>23</v>
      </c>
      <c r="AI47">
        <v>45</v>
      </c>
      <c r="AJ47">
        <v>28</v>
      </c>
      <c r="AK47" t="s">
        <v>262</v>
      </c>
      <c r="AL47">
        <v>7</v>
      </c>
      <c r="AM47">
        <v>14</v>
      </c>
      <c r="AN47">
        <v>1</v>
      </c>
      <c r="AO47" t="s">
        <v>262</v>
      </c>
      <c r="AP47">
        <v>20</v>
      </c>
      <c r="AQ47" t="s">
        <v>264</v>
      </c>
      <c r="AR47">
        <v>25</v>
      </c>
      <c r="AS47">
        <v>50</v>
      </c>
      <c r="AT47">
        <v>4</v>
      </c>
      <c r="AU47" t="s">
        <v>262</v>
      </c>
      <c r="AV47">
        <v>25</v>
      </c>
      <c r="AW47">
        <v>25</v>
      </c>
      <c r="AX47">
        <v>25</v>
      </c>
      <c r="AY47">
        <v>25</v>
      </c>
      <c r="AZ47">
        <v>200</v>
      </c>
      <c r="BA47">
        <v>25</v>
      </c>
      <c r="BB47">
        <v>75</v>
      </c>
      <c r="BC47">
        <v>25</v>
      </c>
      <c r="BD47">
        <v>25</v>
      </c>
      <c r="BE47">
        <v>45</v>
      </c>
      <c r="BF47">
        <v>200</v>
      </c>
      <c r="BG47">
        <v>200</v>
      </c>
      <c r="BH47">
        <v>100</v>
      </c>
      <c r="BI47">
        <v>250</v>
      </c>
      <c r="BJ47">
        <v>50</v>
      </c>
      <c r="BK47">
        <v>400</v>
      </c>
      <c r="BL47">
        <v>400</v>
      </c>
      <c r="BM47">
        <v>750</v>
      </c>
      <c r="BN47">
        <v>750</v>
      </c>
      <c r="BO47">
        <v>750</v>
      </c>
      <c r="BP47">
        <v>750</v>
      </c>
      <c r="BQ47">
        <v>750</v>
      </c>
      <c r="BR47">
        <v>750</v>
      </c>
      <c r="BS47">
        <v>750</v>
      </c>
      <c r="BT47">
        <v>750</v>
      </c>
    </row>
    <row r="48" spans="1:72" x14ac:dyDescent="0.25">
      <c r="A48" s="18">
        <v>24</v>
      </c>
      <c r="B48" t="s">
        <v>184</v>
      </c>
      <c r="C48" t="s">
        <v>97</v>
      </c>
      <c r="D48">
        <v>4</v>
      </c>
      <c r="E48">
        <v>9</v>
      </c>
      <c r="F48">
        <v>5</v>
      </c>
      <c r="G48">
        <f t="shared" si="1"/>
        <v>7.833333333333333</v>
      </c>
      <c r="H48" s="91">
        <f t="shared" si="2"/>
        <v>3.8910398264880501E-4</v>
      </c>
      <c r="I48">
        <v>10</v>
      </c>
      <c r="J48">
        <f t="shared" si="3"/>
        <v>3</v>
      </c>
      <c r="K48" s="17">
        <f t="shared" si="5"/>
        <v>4</v>
      </c>
      <c r="L48" s="17">
        <f t="shared" si="4"/>
        <v>3</v>
      </c>
      <c r="N48" t="s">
        <v>280</v>
      </c>
      <c r="O48" t="s">
        <v>390</v>
      </c>
      <c r="P48">
        <v>9.75</v>
      </c>
      <c r="R48" t="s">
        <v>262</v>
      </c>
      <c r="S48" t="s">
        <v>262</v>
      </c>
      <c r="T48" t="s">
        <v>102</v>
      </c>
      <c r="U48">
        <v>7</v>
      </c>
      <c r="V48">
        <v>20</v>
      </c>
      <c r="W48" t="s">
        <v>262</v>
      </c>
      <c r="X48" t="s">
        <v>263</v>
      </c>
      <c r="Y48" t="s">
        <v>262</v>
      </c>
      <c r="AA48" t="s">
        <v>262</v>
      </c>
      <c r="AB48" t="s">
        <v>262</v>
      </c>
      <c r="AC48">
        <v>2</v>
      </c>
      <c r="AD48">
        <v>10</v>
      </c>
      <c r="AE48">
        <v>1</v>
      </c>
      <c r="AF48" t="s">
        <v>264</v>
      </c>
      <c r="AG48" t="s">
        <v>264</v>
      </c>
      <c r="AH48" t="s">
        <v>264</v>
      </c>
      <c r="AI48" t="s">
        <v>264</v>
      </c>
      <c r="AJ48" t="s">
        <v>264</v>
      </c>
      <c r="AK48" t="s">
        <v>264</v>
      </c>
      <c r="AL48" t="s">
        <v>264</v>
      </c>
      <c r="AM48" t="s">
        <v>264</v>
      </c>
      <c r="AN48" t="s">
        <v>264</v>
      </c>
      <c r="AO48" t="s">
        <v>262</v>
      </c>
      <c r="AP48">
        <v>7</v>
      </c>
      <c r="AQ48" t="s">
        <v>264</v>
      </c>
      <c r="AR48" t="s">
        <v>264</v>
      </c>
      <c r="AS48" t="s">
        <v>264</v>
      </c>
      <c r="AT48" t="s">
        <v>264</v>
      </c>
      <c r="AU48" t="s">
        <v>264</v>
      </c>
      <c r="AV48" t="s">
        <v>264</v>
      </c>
      <c r="AW48" t="s">
        <v>264</v>
      </c>
      <c r="AX48" t="s">
        <v>264</v>
      </c>
      <c r="AY48" t="s">
        <v>264</v>
      </c>
      <c r="AZ48" t="s">
        <v>264</v>
      </c>
      <c r="BA48" t="s">
        <v>264</v>
      </c>
      <c r="BB48" t="s">
        <v>264</v>
      </c>
      <c r="BC48" t="s">
        <v>264</v>
      </c>
      <c r="BD48" t="s">
        <v>264</v>
      </c>
      <c r="BE48" t="s">
        <v>264</v>
      </c>
      <c r="BF48" t="s">
        <v>264</v>
      </c>
      <c r="BG48" t="s">
        <v>264</v>
      </c>
      <c r="BH48" t="s">
        <v>264</v>
      </c>
      <c r="BI48" t="s">
        <v>264</v>
      </c>
      <c r="BJ48" t="s">
        <v>264</v>
      </c>
      <c r="BK48" t="s">
        <v>264</v>
      </c>
      <c r="BL48" t="s">
        <v>264</v>
      </c>
      <c r="BM48" t="s">
        <v>264</v>
      </c>
      <c r="BN48" t="s">
        <v>264</v>
      </c>
      <c r="BO48" t="s">
        <v>264</v>
      </c>
      <c r="BP48" t="s">
        <v>264</v>
      </c>
      <c r="BQ48" t="s">
        <v>264</v>
      </c>
      <c r="BR48" t="s">
        <v>264</v>
      </c>
      <c r="BS48" t="s">
        <v>264</v>
      </c>
      <c r="BT48" t="s">
        <v>264</v>
      </c>
    </row>
    <row r="49" spans="1:72" x14ac:dyDescent="0.25">
      <c r="A49" s="18">
        <v>24</v>
      </c>
      <c r="B49" t="s">
        <v>199</v>
      </c>
      <c r="C49" t="s">
        <v>97</v>
      </c>
      <c r="D49">
        <v>4</v>
      </c>
      <c r="E49">
        <v>7</v>
      </c>
      <c r="F49">
        <v>2</v>
      </c>
      <c r="G49">
        <f t="shared" si="1"/>
        <v>44.285714285714285</v>
      </c>
      <c r="H49" s="91">
        <f t="shared" si="2"/>
        <v>2.1997975918747032E-3</v>
      </c>
      <c r="I49">
        <v>17</v>
      </c>
      <c r="J49">
        <f t="shared" si="3"/>
        <v>1</v>
      </c>
      <c r="K49" s="17">
        <f t="shared" si="5"/>
        <v>22.7</v>
      </c>
      <c r="L49" s="17">
        <f t="shared" si="4"/>
        <v>11</v>
      </c>
      <c r="N49" t="s">
        <v>280</v>
      </c>
      <c r="O49" t="s">
        <v>389</v>
      </c>
      <c r="P49">
        <v>16.5</v>
      </c>
      <c r="R49" t="s">
        <v>102</v>
      </c>
      <c r="S49" t="s">
        <v>102</v>
      </c>
      <c r="T49" t="s">
        <v>102</v>
      </c>
      <c r="U49" t="s">
        <v>102</v>
      </c>
      <c r="V49" t="s">
        <v>102</v>
      </c>
      <c r="W49" t="s">
        <v>262</v>
      </c>
      <c r="X49" t="s">
        <v>262</v>
      </c>
      <c r="Y49" t="s">
        <v>262</v>
      </c>
      <c r="AA49" t="s">
        <v>262</v>
      </c>
      <c r="AB49" t="s">
        <v>262</v>
      </c>
      <c r="AC49">
        <v>13</v>
      </c>
      <c r="AD49">
        <v>20</v>
      </c>
      <c r="AE49" t="s">
        <v>264</v>
      </c>
      <c r="AF49" t="s">
        <v>264</v>
      </c>
      <c r="AG49" t="s">
        <v>264</v>
      </c>
      <c r="AH49">
        <v>4</v>
      </c>
      <c r="AI49" t="s">
        <v>264</v>
      </c>
      <c r="AJ49" t="s">
        <v>262</v>
      </c>
      <c r="AK49">
        <v>10</v>
      </c>
      <c r="AL49" t="s">
        <v>262</v>
      </c>
      <c r="AM49">
        <v>40</v>
      </c>
      <c r="AN49">
        <v>3</v>
      </c>
      <c r="AO49" t="s">
        <v>264</v>
      </c>
      <c r="AP49" t="s">
        <v>264</v>
      </c>
      <c r="AQ49" t="s">
        <v>262</v>
      </c>
      <c r="AR49">
        <v>10</v>
      </c>
      <c r="AS49" t="s">
        <v>262</v>
      </c>
      <c r="AT49">
        <v>55</v>
      </c>
      <c r="AU49">
        <v>15</v>
      </c>
      <c r="AV49">
        <v>25</v>
      </c>
      <c r="AW49">
        <v>40</v>
      </c>
      <c r="AX49">
        <v>25</v>
      </c>
      <c r="AY49">
        <v>25</v>
      </c>
      <c r="AZ49">
        <v>25</v>
      </c>
      <c r="BA49">
        <v>75</v>
      </c>
      <c r="BB49">
        <v>75</v>
      </c>
      <c r="BC49">
        <v>75</v>
      </c>
      <c r="BD49">
        <v>25</v>
      </c>
      <c r="BE49">
        <v>40</v>
      </c>
      <c r="BF49">
        <v>25</v>
      </c>
      <c r="BG49" t="s">
        <v>264</v>
      </c>
      <c r="BH49">
        <v>10</v>
      </c>
      <c r="BI49">
        <v>80</v>
      </c>
      <c r="BJ49">
        <v>25</v>
      </c>
      <c r="BK49">
        <v>75</v>
      </c>
      <c r="BL49">
        <v>75</v>
      </c>
      <c r="BM49">
        <v>75</v>
      </c>
      <c r="BN49">
        <v>200</v>
      </c>
      <c r="BO49">
        <v>75</v>
      </c>
      <c r="BP49" t="s">
        <v>264</v>
      </c>
      <c r="BQ49" t="s">
        <v>264</v>
      </c>
      <c r="BR49" t="s">
        <v>264</v>
      </c>
      <c r="BS49" t="s">
        <v>264</v>
      </c>
      <c r="BT49" t="s">
        <v>264</v>
      </c>
    </row>
    <row r="50" spans="1:72" x14ac:dyDescent="0.25">
      <c r="A50" s="18">
        <v>24</v>
      </c>
      <c r="B50" t="s">
        <v>193</v>
      </c>
      <c r="C50" t="s">
        <v>97</v>
      </c>
      <c r="D50">
        <v>4</v>
      </c>
      <c r="E50">
        <v>6</v>
      </c>
      <c r="F50">
        <v>0</v>
      </c>
      <c r="H50" s="91">
        <f t="shared" si="2"/>
        <v>0</v>
      </c>
      <c r="J50">
        <f t="shared" si="3"/>
        <v>0</v>
      </c>
      <c r="K50" s="17"/>
      <c r="L50" s="17">
        <f t="shared" si="4"/>
        <v>0</v>
      </c>
      <c r="N50" t="s">
        <v>280</v>
      </c>
      <c r="O50" t="s">
        <v>375</v>
      </c>
      <c r="R50" t="s">
        <v>102</v>
      </c>
      <c r="S50" t="s">
        <v>102</v>
      </c>
      <c r="T50" t="s">
        <v>102</v>
      </c>
      <c r="U50" t="s">
        <v>102</v>
      </c>
      <c r="V50" t="s">
        <v>102</v>
      </c>
      <c r="W50" t="s">
        <v>262</v>
      </c>
      <c r="X50" t="s">
        <v>262</v>
      </c>
      <c r="Y50" t="s">
        <v>102</v>
      </c>
      <c r="AA50" t="s">
        <v>262</v>
      </c>
      <c r="AB50" t="s">
        <v>262</v>
      </c>
      <c r="AC50" t="s">
        <v>262</v>
      </c>
      <c r="AD50" t="s">
        <v>262</v>
      </c>
      <c r="AE50" t="s">
        <v>264</v>
      </c>
      <c r="AF50" t="s">
        <v>264</v>
      </c>
      <c r="AG50" t="s">
        <v>264</v>
      </c>
      <c r="AH50" t="s">
        <v>264</v>
      </c>
      <c r="AI50" t="s">
        <v>264</v>
      </c>
      <c r="AJ50" t="s">
        <v>264</v>
      </c>
      <c r="AK50" t="s">
        <v>264</v>
      </c>
      <c r="AL50" t="s">
        <v>264</v>
      </c>
      <c r="AM50" t="s">
        <v>264</v>
      </c>
      <c r="AN50" t="s">
        <v>264</v>
      </c>
      <c r="AO50" t="s">
        <v>262</v>
      </c>
      <c r="AP50" t="s">
        <v>264</v>
      </c>
      <c r="AQ50" t="s">
        <v>264</v>
      </c>
      <c r="AR50" t="s">
        <v>264</v>
      </c>
      <c r="AS50" t="s">
        <v>264</v>
      </c>
      <c r="AT50" t="s">
        <v>264</v>
      </c>
      <c r="AU50" t="s">
        <v>264</v>
      </c>
      <c r="AV50" t="s">
        <v>264</v>
      </c>
      <c r="AW50" t="s">
        <v>264</v>
      </c>
      <c r="AX50" t="s">
        <v>264</v>
      </c>
      <c r="AY50" t="s">
        <v>264</v>
      </c>
      <c r="AZ50" t="s">
        <v>264</v>
      </c>
      <c r="BA50" t="s">
        <v>264</v>
      </c>
      <c r="BB50" t="s">
        <v>264</v>
      </c>
      <c r="BC50" t="s">
        <v>264</v>
      </c>
      <c r="BD50" t="s">
        <v>264</v>
      </c>
      <c r="BE50" t="s">
        <v>264</v>
      </c>
      <c r="BF50" t="s">
        <v>264</v>
      </c>
      <c r="BG50" t="s">
        <v>264</v>
      </c>
      <c r="BH50" t="s">
        <v>264</v>
      </c>
      <c r="BI50" t="s">
        <v>264</v>
      </c>
      <c r="BJ50" t="s">
        <v>264</v>
      </c>
      <c r="BK50" t="s">
        <v>264</v>
      </c>
      <c r="BL50" t="s">
        <v>264</v>
      </c>
      <c r="BM50" t="s">
        <v>264</v>
      </c>
      <c r="BN50" t="s">
        <v>264</v>
      </c>
      <c r="BO50" t="s">
        <v>264</v>
      </c>
      <c r="BP50" t="s">
        <v>264</v>
      </c>
      <c r="BQ50" t="s">
        <v>264</v>
      </c>
      <c r="BR50" t="s">
        <v>264</v>
      </c>
      <c r="BS50" t="s">
        <v>264</v>
      </c>
      <c r="BT50" t="s">
        <v>264</v>
      </c>
    </row>
    <row r="51" spans="1:72" x14ac:dyDescent="0.25">
      <c r="A51" s="18">
        <v>25</v>
      </c>
      <c r="B51" t="s">
        <v>216</v>
      </c>
      <c r="C51" t="s">
        <v>97</v>
      </c>
      <c r="D51">
        <v>2</v>
      </c>
      <c r="E51">
        <v>11</v>
      </c>
      <c r="F51">
        <v>11</v>
      </c>
      <c r="G51">
        <f t="shared" si="1"/>
        <v>1186.7037037037037</v>
      </c>
      <c r="H51" s="91">
        <f t="shared" si="2"/>
        <v>5.8946953702365773E-2</v>
      </c>
      <c r="I51">
        <v>1283</v>
      </c>
      <c r="J51">
        <f t="shared" si="3"/>
        <v>10</v>
      </c>
      <c r="K51" s="17">
        <f t="shared" si="5"/>
        <v>853.68421052631584</v>
      </c>
      <c r="L51" s="17">
        <f t="shared" si="4"/>
        <v>20</v>
      </c>
      <c r="M51" t="s">
        <v>269</v>
      </c>
      <c r="N51" t="s">
        <v>281</v>
      </c>
      <c r="O51" t="s">
        <v>1</v>
      </c>
      <c r="P51">
        <v>1283</v>
      </c>
      <c r="R51">
        <v>158</v>
      </c>
      <c r="S51">
        <v>516</v>
      </c>
      <c r="T51">
        <v>642</v>
      </c>
      <c r="U51">
        <v>2636</v>
      </c>
      <c r="V51">
        <v>768</v>
      </c>
      <c r="W51">
        <v>472</v>
      </c>
      <c r="X51">
        <v>107</v>
      </c>
      <c r="Y51">
        <v>212</v>
      </c>
      <c r="Z51">
        <v>2399</v>
      </c>
      <c r="AA51">
        <v>3205</v>
      </c>
      <c r="AB51">
        <v>2354</v>
      </c>
      <c r="AC51">
        <v>724</v>
      </c>
      <c r="AD51">
        <v>594</v>
      </c>
      <c r="AE51">
        <v>2200</v>
      </c>
      <c r="AF51">
        <v>1750</v>
      </c>
      <c r="AG51">
        <v>2000</v>
      </c>
      <c r="AH51">
        <v>2500</v>
      </c>
      <c r="AI51">
        <v>1100</v>
      </c>
      <c r="AJ51">
        <v>700</v>
      </c>
      <c r="AK51">
        <v>400</v>
      </c>
      <c r="AL51">
        <v>100</v>
      </c>
      <c r="AM51">
        <v>400</v>
      </c>
      <c r="AN51">
        <v>500</v>
      </c>
      <c r="AO51">
        <v>700</v>
      </c>
      <c r="AP51">
        <v>475</v>
      </c>
      <c r="AQ51" t="s">
        <v>264</v>
      </c>
      <c r="AR51">
        <v>300</v>
      </c>
      <c r="AS51">
        <v>345</v>
      </c>
      <c r="AT51">
        <v>650</v>
      </c>
      <c r="AU51">
        <v>1000</v>
      </c>
      <c r="AV51">
        <v>500</v>
      </c>
      <c r="AW51">
        <v>400</v>
      </c>
      <c r="AX51">
        <v>200</v>
      </c>
      <c r="AY51">
        <v>750</v>
      </c>
      <c r="AZ51">
        <v>750</v>
      </c>
      <c r="BA51">
        <v>1500</v>
      </c>
      <c r="BB51">
        <v>1000</v>
      </c>
      <c r="BC51">
        <v>900</v>
      </c>
      <c r="BD51">
        <v>1500</v>
      </c>
      <c r="BE51">
        <v>500</v>
      </c>
      <c r="BF51">
        <v>2800</v>
      </c>
      <c r="BG51">
        <v>3000</v>
      </c>
      <c r="BH51">
        <v>3500</v>
      </c>
      <c r="BI51">
        <v>3000</v>
      </c>
      <c r="BJ51">
        <v>3000</v>
      </c>
      <c r="BK51">
        <v>3500</v>
      </c>
      <c r="BL51">
        <v>750</v>
      </c>
      <c r="BM51">
        <v>1500</v>
      </c>
      <c r="BN51">
        <v>200</v>
      </c>
      <c r="BO51">
        <v>200</v>
      </c>
      <c r="BP51">
        <v>200</v>
      </c>
      <c r="BQ51">
        <v>200</v>
      </c>
      <c r="BR51">
        <v>750</v>
      </c>
      <c r="BS51">
        <v>75</v>
      </c>
      <c r="BT51">
        <v>3500</v>
      </c>
    </row>
    <row r="52" spans="1:72" x14ac:dyDescent="0.25">
      <c r="A52" s="18">
        <v>25</v>
      </c>
      <c r="B52" t="s">
        <v>225</v>
      </c>
      <c r="C52" t="s">
        <v>97</v>
      </c>
      <c r="D52">
        <v>1</v>
      </c>
      <c r="E52">
        <v>7</v>
      </c>
      <c r="F52">
        <v>7</v>
      </c>
      <c r="G52">
        <f t="shared" si="1"/>
        <v>445.44736842105266</v>
      </c>
      <c r="H52" s="91">
        <f t="shared" si="2"/>
        <v>2.2126639801667378E-2</v>
      </c>
      <c r="I52">
        <v>620</v>
      </c>
      <c r="J52">
        <f t="shared" si="3"/>
        <v>6</v>
      </c>
      <c r="K52" s="17">
        <f t="shared" si="5"/>
        <v>776.11111111111109</v>
      </c>
      <c r="L52" s="17">
        <f t="shared" si="4"/>
        <v>10</v>
      </c>
      <c r="M52" t="s">
        <v>272</v>
      </c>
      <c r="N52" t="s">
        <v>281</v>
      </c>
      <c r="O52" t="s">
        <v>9</v>
      </c>
      <c r="P52">
        <v>620.28571428571433</v>
      </c>
      <c r="R52" t="s">
        <v>102</v>
      </c>
      <c r="S52" t="s">
        <v>102</v>
      </c>
      <c r="T52" t="s">
        <v>102</v>
      </c>
      <c r="U52" t="s">
        <v>102</v>
      </c>
      <c r="V52" t="s">
        <v>102</v>
      </c>
      <c r="W52" t="s">
        <v>102</v>
      </c>
      <c r="X52">
        <v>456</v>
      </c>
      <c r="Y52">
        <v>973</v>
      </c>
      <c r="Z52">
        <v>140</v>
      </c>
      <c r="AA52">
        <v>620</v>
      </c>
      <c r="AB52">
        <v>140</v>
      </c>
      <c r="AC52">
        <v>398</v>
      </c>
      <c r="AD52">
        <v>1615</v>
      </c>
      <c r="AE52">
        <v>5000</v>
      </c>
      <c r="AF52">
        <v>800</v>
      </c>
      <c r="AG52">
        <v>900</v>
      </c>
      <c r="AH52">
        <v>100</v>
      </c>
      <c r="AI52" t="s">
        <v>264</v>
      </c>
      <c r="AJ52" t="s">
        <v>264</v>
      </c>
      <c r="AK52" t="s">
        <v>264</v>
      </c>
      <c r="AL52" t="s">
        <v>264</v>
      </c>
      <c r="AM52" t="s">
        <v>262</v>
      </c>
      <c r="AN52">
        <v>30</v>
      </c>
      <c r="AO52">
        <v>35</v>
      </c>
      <c r="AP52" t="s">
        <v>264</v>
      </c>
      <c r="AQ52" t="s">
        <v>264</v>
      </c>
      <c r="AR52">
        <v>20</v>
      </c>
      <c r="AS52" t="s">
        <v>264</v>
      </c>
      <c r="AT52" t="s">
        <v>264</v>
      </c>
      <c r="AU52" t="s">
        <v>262</v>
      </c>
      <c r="AV52" t="s">
        <v>264</v>
      </c>
      <c r="AW52">
        <v>25</v>
      </c>
      <c r="AX52">
        <v>75</v>
      </c>
      <c r="AY52">
        <v>25</v>
      </c>
      <c r="AZ52">
        <v>25</v>
      </c>
      <c r="BA52">
        <v>400</v>
      </c>
      <c r="BB52">
        <v>400</v>
      </c>
      <c r="BC52">
        <v>500</v>
      </c>
      <c r="BD52">
        <v>400</v>
      </c>
      <c r="BE52">
        <v>400</v>
      </c>
      <c r="BF52">
        <v>500</v>
      </c>
      <c r="BG52">
        <v>250</v>
      </c>
      <c r="BH52">
        <v>400</v>
      </c>
      <c r="BI52">
        <v>400</v>
      </c>
      <c r="BJ52">
        <v>600</v>
      </c>
      <c r="BK52">
        <v>200</v>
      </c>
      <c r="BL52">
        <v>25</v>
      </c>
      <c r="BM52">
        <v>75</v>
      </c>
      <c r="BN52">
        <v>200</v>
      </c>
      <c r="BO52">
        <v>25</v>
      </c>
      <c r="BP52">
        <v>25</v>
      </c>
      <c r="BQ52">
        <v>25</v>
      </c>
      <c r="BR52">
        <v>25</v>
      </c>
      <c r="BS52">
        <v>300</v>
      </c>
      <c r="BT52">
        <v>400</v>
      </c>
    </row>
    <row r="53" spans="1:72" x14ac:dyDescent="0.25">
      <c r="A53" s="18">
        <v>25</v>
      </c>
      <c r="B53" t="s">
        <v>244</v>
      </c>
      <c r="C53" t="s">
        <v>97</v>
      </c>
      <c r="D53">
        <v>4</v>
      </c>
      <c r="E53">
        <v>8</v>
      </c>
      <c r="F53">
        <v>2</v>
      </c>
      <c r="G53">
        <f t="shared" si="1"/>
        <v>23.5</v>
      </c>
      <c r="H53" s="91">
        <f t="shared" si="2"/>
        <v>1.167311947946415E-3</v>
      </c>
      <c r="I53">
        <v>21</v>
      </c>
      <c r="J53">
        <f t="shared" si="3"/>
        <v>2</v>
      </c>
      <c r="K53" s="17">
        <f t="shared" si="5"/>
        <v>25</v>
      </c>
      <c r="L53" s="17">
        <f t="shared" si="4"/>
        <v>1</v>
      </c>
      <c r="N53" t="s">
        <v>280</v>
      </c>
      <c r="O53" t="s">
        <v>445</v>
      </c>
      <c r="P53">
        <v>20.5</v>
      </c>
      <c r="R53" t="s">
        <v>262</v>
      </c>
      <c r="S53" t="s">
        <v>262</v>
      </c>
      <c r="T53" t="s">
        <v>262</v>
      </c>
      <c r="U53" t="s">
        <v>262</v>
      </c>
      <c r="V53" t="s">
        <v>262</v>
      </c>
      <c r="W53">
        <v>9</v>
      </c>
      <c r="X53" t="s">
        <v>102</v>
      </c>
      <c r="Y53" t="s">
        <v>102</v>
      </c>
      <c r="Z53" t="s">
        <v>262</v>
      </c>
      <c r="AA53">
        <v>32</v>
      </c>
      <c r="AB53" t="s">
        <v>262</v>
      </c>
      <c r="AC53" t="s">
        <v>102</v>
      </c>
      <c r="AD53" t="s">
        <v>262</v>
      </c>
      <c r="AE53" t="s">
        <v>264</v>
      </c>
      <c r="AF53" t="s">
        <v>264</v>
      </c>
      <c r="AG53" t="s">
        <v>102</v>
      </c>
      <c r="AH53" t="s">
        <v>264</v>
      </c>
      <c r="AI53" t="s">
        <v>264</v>
      </c>
      <c r="AJ53" t="s">
        <v>264</v>
      </c>
      <c r="AK53" t="s">
        <v>102</v>
      </c>
      <c r="AL53" t="s">
        <v>264</v>
      </c>
      <c r="AM53" t="s">
        <v>264</v>
      </c>
      <c r="AN53" t="s">
        <v>102</v>
      </c>
      <c r="AO53" t="s">
        <v>262</v>
      </c>
      <c r="AP53" t="s">
        <v>264</v>
      </c>
      <c r="AQ53" t="s">
        <v>102</v>
      </c>
      <c r="AR53" t="s">
        <v>264</v>
      </c>
      <c r="AS53" t="s">
        <v>264</v>
      </c>
      <c r="AT53" t="s">
        <v>264</v>
      </c>
      <c r="AU53" t="s">
        <v>264</v>
      </c>
      <c r="AV53" t="s">
        <v>264</v>
      </c>
      <c r="AW53" t="s">
        <v>264</v>
      </c>
      <c r="AX53">
        <v>25</v>
      </c>
      <c r="AY53" t="s">
        <v>264</v>
      </c>
      <c r="AZ53" t="s">
        <v>264</v>
      </c>
      <c r="BA53" t="s">
        <v>262</v>
      </c>
      <c r="BB53" t="s">
        <v>262</v>
      </c>
      <c r="BC53">
        <v>25</v>
      </c>
      <c r="BD53" t="s">
        <v>264</v>
      </c>
      <c r="BE53">
        <v>25</v>
      </c>
      <c r="BF53" t="s">
        <v>262</v>
      </c>
      <c r="BG53">
        <v>25</v>
      </c>
      <c r="BH53" t="s">
        <v>264</v>
      </c>
      <c r="BI53" t="s">
        <v>264</v>
      </c>
      <c r="BJ53" t="s">
        <v>264</v>
      </c>
      <c r="BK53" t="s">
        <v>264</v>
      </c>
      <c r="BL53" t="s">
        <v>264</v>
      </c>
      <c r="BM53" t="s">
        <v>264</v>
      </c>
      <c r="BN53" t="s">
        <v>262</v>
      </c>
      <c r="BO53" t="s">
        <v>264</v>
      </c>
      <c r="BP53" t="s">
        <v>264</v>
      </c>
      <c r="BQ53" t="s">
        <v>264</v>
      </c>
      <c r="BR53" t="s">
        <v>264</v>
      </c>
      <c r="BS53" t="s">
        <v>264</v>
      </c>
      <c r="BT53" t="s">
        <v>264</v>
      </c>
    </row>
    <row r="54" spans="1:72" x14ac:dyDescent="0.25">
      <c r="A54" s="18">
        <v>25</v>
      </c>
      <c r="B54" t="s">
        <v>224</v>
      </c>
      <c r="C54" t="s">
        <v>97</v>
      </c>
      <c r="D54">
        <v>1</v>
      </c>
      <c r="E54">
        <v>11</v>
      </c>
      <c r="F54">
        <v>11</v>
      </c>
      <c r="G54">
        <f t="shared" si="1"/>
        <v>6970.0181818181818</v>
      </c>
      <c r="H54" s="91"/>
      <c r="I54">
        <v>21987</v>
      </c>
      <c r="K54" s="17">
        <f t="shared" si="5"/>
        <v>4697.1499999999996</v>
      </c>
      <c r="L54" s="17"/>
      <c r="M54" t="s">
        <v>272</v>
      </c>
      <c r="N54" t="s">
        <v>281</v>
      </c>
      <c r="O54" t="s">
        <v>10</v>
      </c>
      <c r="P54">
        <v>21987</v>
      </c>
      <c r="R54">
        <v>7736</v>
      </c>
      <c r="S54">
        <v>23115</v>
      </c>
      <c r="T54">
        <v>6985</v>
      </c>
      <c r="U54">
        <v>41053</v>
      </c>
      <c r="V54">
        <v>34653</v>
      </c>
      <c r="W54">
        <v>27376</v>
      </c>
      <c r="X54">
        <v>16468</v>
      </c>
      <c r="Y54">
        <v>9970</v>
      </c>
      <c r="Z54">
        <v>15735</v>
      </c>
      <c r="AA54">
        <v>26311</v>
      </c>
      <c r="AB54">
        <v>20813</v>
      </c>
      <c r="AC54">
        <v>19422</v>
      </c>
      <c r="AD54">
        <v>23071</v>
      </c>
      <c r="AE54">
        <v>20000</v>
      </c>
      <c r="AF54">
        <v>11500</v>
      </c>
      <c r="AG54">
        <v>22000</v>
      </c>
      <c r="AH54">
        <v>15000</v>
      </c>
      <c r="AI54">
        <v>10700</v>
      </c>
      <c r="AJ54">
        <v>7000</v>
      </c>
      <c r="AK54">
        <v>3000</v>
      </c>
      <c r="AL54">
        <v>200</v>
      </c>
      <c r="AM54">
        <v>210</v>
      </c>
      <c r="AN54">
        <v>800</v>
      </c>
      <c r="AO54">
        <v>718</v>
      </c>
      <c r="AP54">
        <v>300</v>
      </c>
      <c r="AQ54">
        <v>500</v>
      </c>
      <c r="AR54">
        <v>300</v>
      </c>
      <c r="AS54">
        <v>500</v>
      </c>
      <c r="AT54">
        <v>120</v>
      </c>
      <c r="AU54">
        <v>500</v>
      </c>
      <c r="AV54">
        <v>120</v>
      </c>
      <c r="AW54">
        <v>400</v>
      </c>
      <c r="AX54">
        <v>75</v>
      </c>
      <c r="AY54">
        <v>200</v>
      </c>
      <c r="AZ54">
        <v>400</v>
      </c>
      <c r="BA54">
        <v>1500</v>
      </c>
      <c r="BB54">
        <v>900</v>
      </c>
      <c r="BC54">
        <v>700</v>
      </c>
      <c r="BD54">
        <v>400</v>
      </c>
      <c r="BE54">
        <v>750</v>
      </c>
      <c r="BF54">
        <v>1000</v>
      </c>
      <c r="BG54">
        <v>1800</v>
      </c>
      <c r="BH54">
        <v>3500</v>
      </c>
      <c r="BI54">
        <v>300</v>
      </c>
      <c r="BJ54">
        <v>1000</v>
      </c>
      <c r="BK54">
        <v>400</v>
      </c>
      <c r="BL54">
        <v>200</v>
      </c>
      <c r="BM54">
        <v>750</v>
      </c>
      <c r="BN54">
        <v>400</v>
      </c>
      <c r="BO54">
        <v>200</v>
      </c>
      <c r="BP54">
        <v>400</v>
      </c>
      <c r="BQ54">
        <v>25</v>
      </c>
      <c r="BR54">
        <v>75</v>
      </c>
      <c r="BS54">
        <v>300</v>
      </c>
      <c r="BT54">
        <v>1500</v>
      </c>
    </row>
    <row r="55" spans="1:72" x14ac:dyDescent="0.25">
      <c r="A55" s="18">
        <v>25</v>
      </c>
      <c r="B55" t="s">
        <v>227</v>
      </c>
      <c r="C55" t="s">
        <v>97</v>
      </c>
      <c r="D55">
        <v>4</v>
      </c>
      <c r="E55">
        <v>8</v>
      </c>
      <c r="F55">
        <v>3</v>
      </c>
      <c r="G55">
        <f t="shared" si="1"/>
        <v>179.07407407407408</v>
      </c>
      <c r="H55" s="91">
        <f t="shared" si="2"/>
        <v>8.8951194142173635E-3</v>
      </c>
      <c r="I55">
        <v>2</v>
      </c>
      <c r="J55">
        <f t="shared" si="3"/>
        <v>2</v>
      </c>
      <c r="K55" s="17">
        <f t="shared" si="5"/>
        <v>114.85714285714286</v>
      </c>
      <c r="L55" s="17">
        <f t="shared" si="4"/>
        <v>7</v>
      </c>
      <c r="N55" t="s">
        <v>280</v>
      </c>
      <c r="O55" t="s">
        <v>448</v>
      </c>
      <c r="P55">
        <v>2</v>
      </c>
      <c r="R55" t="s">
        <v>262</v>
      </c>
      <c r="S55">
        <v>2</v>
      </c>
      <c r="T55" t="s">
        <v>102</v>
      </c>
      <c r="U55" t="s">
        <v>262</v>
      </c>
      <c r="V55" t="s">
        <v>102</v>
      </c>
      <c r="W55" t="s">
        <v>102</v>
      </c>
      <c r="X55">
        <v>3</v>
      </c>
      <c r="Y55" t="s">
        <v>262</v>
      </c>
      <c r="Z55" t="s">
        <v>262</v>
      </c>
      <c r="AA55">
        <v>1</v>
      </c>
      <c r="AB55" t="s">
        <v>262</v>
      </c>
      <c r="AC55" t="s">
        <v>262</v>
      </c>
      <c r="AD55" t="s">
        <v>262</v>
      </c>
      <c r="AE55" t="s">
        <v>264</v>
      </c>
      <c r="AF55" t="s">
        <v>262</v>
      </c>
      <c r="AG55" t="s">
        <v>102</v>
      </c>
      <c r="AH55" t="s">
        <v>262</v>
      </c>
      <c r="AI55">
        <v>4</v>
      </c>
      <c r="AJ55" t="s">
        <v>264</v>
      </c>
      <c r="AK55" t="s">
        <v>264</v>
      </c>
      <c r="AL55" t="s">
        <v>262</v>
      </c>
      <c r="AM55" t="s">
        <v>262</v>
      </c>
      <c r="AN55" t="s">
        <v>262</v>
      </c>
      <c r="AO55" t="s">
        <v>262</v>
      </c>
      <c r="AP55" t="s">
        <v>264</v>
      </c>
      <c r="AQ55">
        <v>50</v>
      </c>
      <c r="AR55" t="s">
        <v>264</v>
      </c>
      <c r="AS55">
        <v>25</v>
      </c>
      <c r="AT55">
        <v>25</v>
      </c>
      <c r="AU55">
        <v>200</v>
      </c>
      <c r="AV55">
        <v>300</v>
      </c>
      <c r="AW55" t="s">
        <v>102</v>
      </c>
      <c r="AX55">
        <v>200</v>
      </c>
      <c r="AY55">
        <v>75</v>
      </c>
      <c r="AZ55">
        <v>75</v>
      </c>
      <c r="BA55">
        <v>75</v>
      </c>
      <c r="BB55">
        <v>175</v>
      </c>
      <c r="BC55">
        <v>75</v>
      </c>
      <c r="BD55">
        <v>400</v>
      </c>
      <c r="BE55">
        <v>400</v>
      </c>
      <c r="BF55">
        <v>300</v>
      </c>
      <c r="BG55">
        <v>350</v>
      </c>
      <c r="BH55">
        <v>200</v>
      </c>
      <c r="BI55">
        <v>750</v>
      </c>
      <c r="BJ55">
        <v>300</v>
      </c>
      <c r="BK55">
        <v>750</v>
      </c>
      <c r="BL55">
        <v>25</v>
      </c>
      <c r="BM55">
        <v>25</v>
      </c>
      <c r="BN55">
        <v>25</v>
      </c>
      <c r="BO55">
        <v>25</v>
      </c>
      <c r="BP55" t="s">
        <v>264</v>
      </c>
      <c r="BQ55" t="s">
        <v>264</v>
      </c>
      <c r="BR55" t="s">
        <v>264</v>
      </c>
      <c r="BS55" t="s">
        <v>264</v>
      </c>
      <c r="BT55" t="s">
        <v>264</v>
      </c>
    </row>
    <row r="56" spans="1:72" x14ac:dyDescent="0.25">
      <c r="A56" s="18">
        <v>25</v>
      </c>
      <c r="B56" t="s">
        <v>243</v>
      </c>
      <c r="C56" t="s">
        <v>97</v>
      </c>
      <c r="D56">
        <v>4</v>
      </c>
      <c r="E56">
        <v>9</v>
      </c>
      <c r="F56">
        <v>6</v>
      </c>
      <c r="G56">
        <f t="shared" si="1"/>
        <v>47.708333333333336</v>
      </c>
      <c r="H56" s="91">
        <f t="shared" si="2"/>
        <v>2.3698088304940517E-3</v>
      </c>
      <c r="I56">
        <v>33</v>
      </c>
      <c r="J56">
        <f t="shared" si="3"/>
        <v>4</v>
      </c>
      <c r="K56" s="17">
        <f t="shared" si="5"/>
        <v>29</v>
      </c>
      <c r="L56" s="17">
        <f t="shared" si="4"/>
        <v>6</v>
      </c>
      <c r="N56" t="s">
        <v>280</v>
      </c>
      <c r="O56" t="s">
        <v>450</v>
      </c>
      <c r="P56">
        <v>32.6</v>
      </c>
      <c r="R56">
        <v>5</v>
      </c>
      <c r="S56">
        <v>7</v>
      </c>
      <c r="T56" t="s">
        <v>102</v>
      </c>
      <c r="U56">
        <v>12</v>
      </c>
      <c r="V56" t="s">
        <v>262</v>
      </c>
      <c r="W56">
        <v>19</v>
      </c>
      <c r="X56" t="s">
        <v>263</v>
      </c>
      <c r="Y56" t="s">
        <v>262</v>
      </c>
      <c r="Z56">
        <v>60</v>
      </c>
      <c r="AA56">
        <v>64</v>
      </c>
      <c r="AB56" t="s">
        <v>262</v>
      </c>
      <c r="AC56" t="s">
        <v>102</v>
      </c>
      <c r="AD56">
        <v>8</v>
      </c>
      <c r="AE56" t="s">
        <v>264</v>
      </c>
      <c r="AF56" t="s">
        <v>264</v>
      </c>
      <c r="AG56" t="s">
        <v>102</v>
      </c>
      <c r="AH56" t="s">
        <v>264</v>
      </c>
      <c r="AI56" t="s">
        <v>262</v>
      </c>
      <c r="AJ56">
        <v>5</v>
      </c>
      <c r="AK56" t="s">
        <v>102</v>
      </c>
      <c r="AL56" t="s">
        <v>264</v>
      </c>
      <c r="AM56">
        <v>10</v>
      </c>
      <c r="AN56" t="s">
        <v>262</v>
      </c>
      <c r="AO56" t="s">
        <v>262</v>
      </c>
      <c r="AP56" t="s">
        <v>264</v>
      </c>
      <c r="AQ56" t="s">
        <v>264</v>
      </c>
      <c r="AR56">
        <v>20</v>
      </c>
      <c r="AS56" t="s">
        <v>264</v>
      </c>
      <c r="AT56" t="s">
        <v>264</v>
      </c>
      <c r="AU56">
        <v>85</v>
      </c>
      <c r="AV56" t="s">
        <v>264</v>
      </c>
      <c r="AW56" t="s">
        <v>264</v>
      </c>
      <c r="AX56">
        <v>25</v>
      </c>
      <c r="AY56">
        <v>25</v>
      </c>
      <c r="AZ56">
        <v>25</v>
      </c>
      <c r="BA56">
        <v>25</v>
      </c>
      <c r="BB56">
        <v>25</v>
      </c>
      <c r="BC56">
        <v>25</v>
      </c>
      <c r="BD56">
        <v>25</v>
      </c>
      <c r="BE56" t="s">
        <v>262</v>
      </c>
      <c r="BF56">
        <v>25</v>
      </c>
      <c r="BG56">
        <v>25</v>
      </c>
      <c r="BH56">
        <v>75</v>
      </c>
      <c r="BI56">
        <v>400</v>
      </c>
      <c r="BJ56">
        <v>75</v>
      </c>
      <c r="BK56">
        <v>75</v>
      </c>
      <c r="BL56" t="s">
        <v>264</v>
      </c>
      <c r="BM56" t="s">
        <v>264</v>
      </c>
      <c r="BN56" t="s">
        <v>264</v>
      </c>
      <c r="BO56" t="s">
        <v>264</v>
      </c>
      <c r="BP56" t="s">
        <v>264</v>
      </c>
      <c r="BQ56" t="s">
        <v>264</v>
      </c>
      <c r="BR56" t="s">
        <v>264</v>
      </c>
      <c r="BS56" t="s">
        <v>264</v>
      </c>
      <c r="BT56" t="s">
        <v>264</v>
      </c>
    </row>
    <row r="57" spans="1:72" x14ac:dyDescent="0.25">
      <c r="A57" s="18">
        <v>25</v>
      </c>
      <c r="B57" t="s">
        <v>217</v>
      </c>
      <c r="C57" t="s">
        <v>97</v>
      </c>
      <c r="D57">
        <v>2</v>
      </c>
      <c r="E57">
        <v>10</v>
      </c>
      <c r="F57">
        <v>10</v>
      </c>
      <c r="G57">
        <f t="shared" si="1"/>
        <v>2132.2692307692309</v>
      </c>
      <c r="H57" s="91">
        <f t="shared" si="2"/>
        <v>0.10591588720491213</v>
      </c>
      <c r="I57">
        <v>4959</v>
      </c>
      <c r="J57">
        <f t="shared" si="3"/>
        <v>9</v>
      </c>
      <c r="K57" s="17">
        <f t="shared" si="5"/>
        <v>1434.5</v>
      </c>
      <c r="L57" s="17">
        <f t="shared" si="4"/>
        <v>21</v>
      </c>
      <c r="M57" t="s">
        <v>269</v>
      </c>
      <c r="N57" t="s">
        <v>281</v>
      </c>
      <c r="O57" t="s">
        <v>1</v>
      </c>
      <c r="P57">
        <v>4958.8</v>
      </c>
      <c r="R57" t="s">
        <v>102</v>
      </c>
      <c r="S57" t="s">
        <v>102</v>
      </c>
      <c r="U57">
        <v>3233</v>
      </c>
      <c r="V57">
        <v>14673</v>
      </c>
      <c r="W57">
        <v>12766</v>
      </c>
      <c r="X57">
        <v>248</v>
      </c>
      <c r="Y57">
        <v>500</v>
      </c>
      <c r="Z57">
        <v>5108</v>
      </c>
      <c r="AA57">
        <v>9479</v>
      </c>
      <c r="AB57">
        <v>1874</v>
      </c>
      <c r="AC57">
        <v>902</v>
      </c>
      <c r="AD57">
        <v>805</v>
      </c>
      <c r="AE57">
        <v>3500</v>
      </c>
      <c r="AF57">
        <v>1700</v>
      </c>
      <c r="AG57">
        <v>2500</v>
      </c>
      <c r="AH57">
        <v>1000</v>
      </c>
      <c r="AI57">
        <v>1952</v>
      </c>
      <c r="AJ57">
        <v>1000</v>
      </c>
      <c r="AK57">
        <v>1000</v>
      </c>
      <c r="AL57">
        <v>600</v>
      </c>
      <c r="AM57">
        <v>1900</v>
      </c>
      <c r="AN57">
        <v>1500</v>
      </c>
      <c r="AO57">
        <v>1500</v>
      </c>
      <c r="AP57">
        <v>1500</v>
      </c>
      <c r="AQ57">
        <v>1000</v>
      </c>
      <c r="AR57">
        <v>560</v>
      </c>
      <c r="AS57">
        <v>750</v>
      </c>
      <c r="AT57">
        <v>803</v>
      </c>
      <c r="AU57">
        <v>3500</v>
      </c>
      <c r="AV57">
        <v>2000</v>
      </c>
      <c r="AW57">
        <v>25</v>
      </c>
      <c r="AX57">
        <v>400</v>
      </c>
      <c r="AY57">
        <v>750</v>
      </c>
      <c r="AZ57">
        <v>3500</v>
      </c>
      <c r="BA57">
        <v>1100</v>
      </c>
      <c r="BB57">
        <v>1300</v>
      </c>
      <c r="BC57">
        <v>750</v>
      </c>
      <c r="BD57">
        <v>1000</v>
      </c>
      <c r="BE57">
        <v>750</v>
      </c>
      <c r="BF57">
        <v>2000</v>
      </c>
      <c r="BG57">
        <v>1500</v>
      </c>
      <c r="BH57">
        <v>1500</v>
      </c>
      <c r="BI57">
        <v>3500</v>
      </c>
      <c r="BJ57">
        <v>1000</v>
      </c>
      <c r="BK57">
        <v>750</v>
      </c>
      <c r="BL57">
        <v>1500</v>
      </c>
      <c r="BM57">
        <v>750</v>
      </c>
      <c r="BN57">
        <v>750</v>
      </c>
      <c r="BO57">
        <v>200</v>
      </c>
      <c r="BP57">
        <v>200</v>
      </c>
      <c r="BQ57">
        <v>400</v>
      </c>
      <c r="BR57">
        <v>1500</v>
      </c>
      <c r="BS57">
        <v>400</v>
      </c>
      <c r="BT57">
        <v>7500</v>
      </c>
    </row>
    <row r="58" spans="1:72" x14ac:dyDescent="0.25">
      <c r="A58" s="18">
        <v>25</v>
      </c>
      <c r="B58" t="s">
        <v>214</v>
      </c>
      <c r="C58" t="s">
        <v>97</v>
      </c>
      <c r="D58">
        <v>4</v>
      </c>
      <c r="E58">
        <v>9</v>
      </c>
      <c r="F58">
        <v>2</v>
      </c>
      <c r="G58">
        <f t="shared" si="1"/>
        <v>14.833333333333334</v>
      </c>
      <c r="H58" s="91">
        <f t="shared" si="2"/>
        <v>7.3681392459029041E-4</v>
      </c>
      <c r="I58">
        <v>10</v>
      </c>
      <c r="J58">
        <f t="shared" si="3"/>
        <v>2</v>
      </c>
      <c r="K58" s="17">
        <f t="shared" si="5"/>
        <v>25</v>
      </c>
      <c r="L58" s="17">
        <f t="shared" si="4"/>
        <v>1</v>
      </c>
      <c r="N58" t="s">
        <v>280</v>
      </c>
      <c r="P58">
        <v>9.5</v>
      </c>
      <c r="R58" t="s">
        <v>262</v>
      </c>
      <c r="S58" t="s">
        <v>262</v>
      </c>
      <c r="T58" t="s">
        <v>102</v>
      </c>
      <c r="U58" t="s">
        <v>262</v>
      </c>
      <c r="V58" t="s">
        <v>262</v>
      </c>
      <c r="W58" t="s">
        <v>262</v>
      </c>
      <c r="X58" t="s">
        <v>262</v>
      </c>
      <c r="Y58" t="s">
        <v>262</v>
      </c>
      <c r="Z58" t="s">
        <v>262</v>
      </c>
      <c r="AA58">
        <v>7</v>
      </c>
      <c r="AB58" t="s">
        <v>262</v>
      </c>
      <c r="AC58">
        <v>12</v>
      </c>
      <c r="AD58" t="s">
        <v>102</v>
      </c>
      <c r="AE58" t="s">
        <v>264</v>
      </c>
      <c r="AF58" t="s">
        <v>262</v>
      </c>
      <c r="AG58" t="s">
        <v>102</v>
      </c>
      <c r="AH58" t="s">
        <v>264</v>
      </c>
      <c r="AI58" t="s">
        <v>264</v>
      </c>
      <c r="AJ58" t="s">
        <v>264</v>
      </c>
      <c r="AK58" t="s">
        <v>264</v>
      </c>
      <c r="AL58" t="s">
        <v>264</v>
      </c>
      <c r="AM58" t="s">
        <v>264</v>
      </c>
      <c r="AN58" t="s">
        <v>264</v>
      </c>
      <c r="AO58" t="s">
        <v>262</v>
      </c>
      <c r="AP58" t="s">
        <v>264</v>
      </c>
      <c r="AQ58" t="s">
        <v>102</v>
      </c>
      <c r="AR58" t="s">
        <v>264</v>
      </c>
      <c r="AS58" t="s">
        <v>264</v>
      </c>
      <c r="AT58" t="s">
        <v>264</v>
      </c>
      <c r="AU58" t="s">
        <v>264</v>
      </c>
      <c r="AV58" t="s">
        <v>264</v>
      </c>
      <c r="AW58" t="s">
        <v>264</v>
      </c>
      <c r="AX58">
        <v>25</v>
      </c>
      <c r="AY58" t="s">
        <v>264</v>
      </c>
      <c r="AZ58">
        <v>25</v>
      </c>
      <c r="BA58" t="s">
        <v>262</v>
      </c>
      <c r="BB58" t="s">
        <v>262</v>
      </c>
      <c r="BC58">
        <v>10</v>
      </c>
      <c r="BD58">
        <v>10</v>
      </c>
      <c r="BE58" t="s">
        <v>264</v>
      </c>
      <c r="BF58" t="s">
        <v>264</v>
      </c>
      <c r="BG58" t="s">
        <v>264</v>
      </c>
      <c r="BH58" t="s">
        <v>264</v>
      </c>
      <c r="BI58" t="s">
        <v>264</v>
      </c>
      <c r="BJ58" t="s">
        <v>264</v>
      </c>
      <c r="BK58" t="s">
        <v>264</v>
      </c>
      <c r="BL58" t="s">
        <v>264</v>
      </c>
      <c r="BM58" t="s">
        <v>264</v>
      </c>
      <c r="BN58" t="s">
        <v>264</v>
      </c>
      <c r="BO58" t="s">
        <v>264</v>
      </c>
      <c r="BP58" t="s">
        <v>264</v>
      </c>
      <c r="BQ58" t="s">
        <v>264</v>
      </c>
      <c r="BR58" t="s">
        <v>264</v>
      </c>
      <c r="BS58" t="s">
        <v>264</v>
      </c>
      <c r="BT58" t="s">
        <v>264</v>
      </c>
    </row>
    <row r="59" spans="1:72" x14ac:dyDescent="0.25">
      <c r="A59" s="18">
        <v>25</v>
      </c>
      <c r="B59" t="s">
        <v>228</v>
      </c>
      <c r="C59" t="s">
        <v>97</v>
      </c>
      <c r="D59">
        <v>4</v>
      </c>
      <c r="E59">
        <v>11</v>
      </c>
      <c r="F59">
        <v>6</v>
      </c>
      <c r="G59">
        <f t="shared" si="1"/>
        <v>19.90909090909091</v>
      </c>
      <c r="H59" s="91">
        <f t="shared" si="2"/>
        <v>9.889412634439649E-4</v>
      </c>
      <c r="I59">
        <v>9</v>
      </c>
      <c r="J59">
        <f t="shared" si="3"/>
        <v>5</v>
      </c>
      <c r="K59" s="17">
        <f t="shared" si="5"/>
        <v>25</v>
      </c>
      <c r="L59" s="17">
        <f t="shared" si="4"/>
        <v>1</v>
      </c>
      <c r="N59" t="s">
        <v>280</v>
      </c>
      <c r="P59">
        <v>8.8000000000000007</v>
      </c>
      <c r="R59" t="s">
        <v>262</v>
      </c>
      <c r="S59" t="s">
        <v>262</v>
      </c>
      <c r="T59" t="s">
        <v>262</v>
      </c>
      <c r="U59">
        <v>5</v>
      </c>
      <c r="V59">
        <v>2</v>
      </c>
      <c r="W59">
        <v>32</v>
      </c>
      <c r="X59">
        <v>4</v>
      </c>
      <c r="Y59" t="s">
        <v>263</v>
      </c>
      <c r="Z59" t="s">
        <v>262</v>
      </c>
      <c r="AA59">
        <v>1</v>
      </c>
      <c r="AB59" t="s">
        <v>262</v>
      </c>
      <c r="AC59" t="s">
        <v>262</v>
      </c>
      <c r="AD59" t="s">
        <v>262</v>
      </c>
      <c r="AE59" t="s">
        <v>264</v>
      </c>
      <c r="AF59" t="s">
        <v>264</v>
      </c>
      <c r="AG59" t="s">
        <v>102</v>
      </c>
      <c r="AH59" t="s">
        <v>102</v>
      </c>
      <c r="AI59" t="s">
        <v>264</v>
      </c>
      <c r="AJ59" t="s">
        <v>264</v>
      </c>
      <c r="AK59" t="s">
        <v>264</v>
      </c>
      <c r="AL59" t="s">
        <v>264</v>
      </c>
      <c r="AM59" t="s">
        <v>264</v>
      </c>
      <c r="AN59" t="s">
        <v>262</v>
      </c>
      <c r="AO59" t="s">
        <v>262</v>
      </c>
      <c r="AP59" t="s">
        <v>264</v>
      </c>
      <c r="AQ59" t="s">
        <v>262</v>
      </c>
      <c r="AR59" t="s">
        <v>264</v>
      </c>
      <c r="AS59" t="s">
        <v>264</v>
      </c>
      <c r="AT59" t="s">
        <v>264</v>
      </c>
      <c r="AU59" t="s">
        <v>264</v>
      </c>
      <c r="AV59" t="s">
        <v>264</v>
      </c>
      <c r="AW59" t="s">
        <v>102</v>
      </c>
      <c r="AX59">
        <v>25</v>
      </c>
      <c r="AY59" t="s">
        <v>264</v>
      </c>
      <c r="AZ59" t="s">
        <v>264</v>
      </c>
      <c r="BA59">
        <v>25</v>
      </c>
      <c r="BB59" t="s">
        <v>262</v>
      </c>
      <c r="BC59">
        <v>25</v>
      </c>
      <c r="BD59" t="s">
        <v>262</v>
      </c>
      <c r="BE59" t="s">
        <v>262</v>
      </c>
      <c r="BF59" t="s">
        <v>262</v>
      </c>
      <c r="BG59">
        <v>25</v>
      </c>
      <c r="BH59">
        <v>25</v>
      </c>
      <c r="BI59" t="s">
        <v>264</v>
      </c>
      <c r="BJ59">
        <v>50</v>
      </c>
      <c r="BK59" t="s">
        <v>264</v>
      </c>
      <c r="BL59" t="s">
        <v>264</v>
      </c>
      <c r="BM59" t="s">
        <v>264</v>
      </c>
      <c r="BN59" t="s">
        <v>264</v>
      </c>
      <c r="BO59" t="s">
        <v>264</v>
      </c>
      <c r="BP59" t="s">
        <v>264</v>
      </c>
      <c r="BQ59" t="s">
        <v>264</v>
      </c>
      <c r="BR59" t="s">
        <v>264</v>
      </c>
      <c r="BS59" t="s">
        <v>264</v>
      </c>
      <c r="BT59" t="s">
        <v>264</v>
      </c>
    </row>
    <row r="60" spans="1:72" x14ac:dyDescent="0.25">
      <c r="A60" s="18">
        <v>25</v>
      </c>
      <c r="B60" t="s">
        <v>235</v>
      </c>
      <c r="C60" t="s">
        <v>97</v>
      </c>
      <c r="D60">
        <v>5</v>
      </c>
      <c r="E60">
        <v>10</v>
      </c>
      <c r="F60">
        <v>0</v>
      </c>
      <c r="G60">
        <f t="shared" si="1"/>
        <v>25</v>
      </c>
      <c r="H60" s="91">
        <f t="shared" si="2"/>
        <v>1.2418212212195905E-3</v>
      </c>
      <c r="J60">
        <f t="shared" si="3"/>
        <v>0</v>
      </c>
      <c r="K60" s="17">
        <f t="shared" si="5"/>
        <v>25</v>
      </c>
      <c r="L60" s="17">
        <f t="shared" si="4"/>
        <v>1</v>
      </c>
      <c r="N60" t="s">
        <v>280</v>
      </c>
      <c r="R60" t="s">
        <v>262</v>
      </c>
      <c r="S60" t="s">
        <v>262</v>
      </c>
      <c r="T60" t="s">
        <v>262</v>
      </c>
      <c r="U60" t="s">
        <v>262</v>
      </c>
      <c r="V60" t="s">
        <v>262</v>
      </c>
      <c r="W60" t="s">
        <v>262</v>
      </c>
      <c r="X60" t="s">
        <v>262</v>
      </c>
      <c r="Y60" t="s">
        <v>262</v>
      </c>
      <c r="Z60" t="s">
        <v>262</v>
      </c>
      <c r="AA60" t="s">
        <v>262</v>
      </c>
      <c r="AB60" t="s">
        <v>262</v>
      </c>
      <c r="AC60" t="s">
        <v>262</v>
      </c>
      <c r="AE60" t="s">
        <v>264</v>
      </c>
      <c r="AF60" t="s">
        <v>264</v>
      </c>
      <c r="AG60" t="s">
        <v>102</v>
      </c>
      <c r="AH60" t="s">
        <v>264</v>
      </c>
      <c r="AI60" t="s">
        <v>264</v>
      </c>
      <c r="AJ60" t="s">
        <v>264</v>
      </c>
      <c r="AK60" t="s">
        <v>264</v>
      </c>
      <c r="AL60" t="s">
        <v>264</v>
      </c>
      <c r="AM60" t="s">
        <v>264</v>
      </c>
      <c r="AN60" t="s">
        <v>264</v>
      </c>
      <c r="AO60" t="s">
        <v>262</v>
      </c>
      <c r="AP60" t="s">
        <v>264</v>
      </c>
      <c r="AQ60" t="s">
        <v>264</v>
      </c>
      <c r="AR60" t="s">
        <v>102</v>
      </c>
      <c r="AS60" t="s">
        <v>264</v>
      </c>
      <c r="AT60" t="s">
        <v>264</v>
      </c>
      <c r="AU60" t="s">
        <v>264</v>
      </c>
      <c r="AV60" t="s">
        <v>264</v>
      </c>
      <c r="AW60" t="s">
        <v>264</v>
      </c>
      <c r="AX60">
        <v>25</v>
      </c>
      <c r="AY60" t="s">
        <v>264</v>
      </c>
      <c r="AZ60" t="s">
        <v>264</v>
      </c>
      <c r="BA60" t="s">
        <v>262</v>
      </c>
      <c r="BB60" t="s">
        <v>262</v>
      </c>
      <c r="BC60" t="s">
        <v>264</v>
      </c>
      <c r="BD60" t="s">
        <v>264</v>
      </c>
      <c r="BE60" t="s">
        <v>264</v>
      </c>
      <c r="BF60" t="s">
        <v>264</v>
      </c>
      <c r="BG60" t="s">
        <v>264</v>
      </c>
      <c r="BH60" t="s">
        <v>264</v>
      </c>
      <c r="BI60" t="s">
        <v>264</v>
      </c>
      <c r="BJ60" t="s">
        <v>264</v>
      </c>
      <c r="BK60" t="s">
        <v>264</v>
      </c>
      <c r="BL60" t="s">
        <v>264</v>
      </c>
      <c r="BM60" t="s">
        <v>264</v>
      </c>
      <c r="BN60" t="s">
        <v>264</v>
      </c>
      <c r="BO60" t="s">
        <v>264</v>
      </c>
      <c r="BP60" t="s">
        <v>264</v>
      </c>
      <c r="BQ60" t="s">
        <v>264</v>
      </c>
      <c r="BR60" t="s">
        <v>264</v>
      </c>
      <c r="BS60" t="s">
        <v>264</v>
      </c>
      <c r="BT60" t="s">
        <v>264</v>
      </c>
    </row>
    <row r="61" spans="1:72" x14ac:dyDescent="0.25">
      <c r="A61" s="18">
        <v>25</v>
      </c>
      <c r="B61" t="s">
        <v>221</v>
      </c>
      <c r="C61" t="s">
        <v>97</v>
      </c>
      <c r="D61">
        <v>4</v>
      </c>
      <c r="E61">
        <v>9</v>
      </c>
      <c r="F61">
        <v>5</v>
      </c>
      <c r="G61">
        <f t="shared" si="1"/>
        <v>62.692307692307693</v>
      </c>
      <c r="H61" s="91">
        <f t="shared" si="2"/>
        <v>3.1141055239814345E-3</v>
      </c>
      <c r="I61">
        <v>102</v>
      </c>
      <c r="J61">
        <f t="shared" si="3"/>
        <v>3</v>
      </c>
      <c r="K61" s="17">
        <f t="shared" si="5"/>
        <v>59.166666666666664</v>
      </c>
      <c r="L61" s="17">
        <f t="shared" si="4"/>
        <v>7</v>
      </c>
      <c r="N61" t="s">
        <v>280</v>
      </c>
      <c r="O61" t="s">
        <v>445</v>
      </c>
      <c r="P61">
        <v>101.75</v>
      </c>
      <c r="R61">
        <v>11</v>
      </c>
      <c r="S61">
        <v>32</v>
      </c>
      <c r="T61" t="s">
        <v>262</v>
      </c>
      <c r="U61">
        <v>39</v>
      </c>
      <c r="V61">
        <v>75</v>
      </c>
      <c r="W61">
        <v>247</v>
      </c>
      <c r="X61" t="s">
        <v>262</v>
      </c>
      <c r="Y61" t="s">
        <v>263</v>
      </c>
      <c r="Z61" t="s">
        <v>262</v>
      </c>
      <c r="AA61" t="s">
        <v>102</v>
      </c>
      <c r="AB61" t="s">
        <v>102</v>
      </c>
      <c r="AC61" t="s">
        <v>262</v>
      </c>
      <c r="AD61">
        <v>46</v>
      </c>
      <c r="AE61" t="s">
        <v>264</v>
      </c>
      <c r="AF61" t="s">
        <v>264</v>
      </c>
      <c r="AG61">
        <v>300</v>
      </c>
      <c r="AH61" t="s">
        <v>262</v>
      </c>
      <c r="AI61">
        <v>20</v>
      </c>
      <c r="AJ61">
        <v>4</v>
      </c>
      <c r="AK61" t="s">
        <v>264</v>
      </c>
      <c r="AL61" t="s">
        <v>264</v>
      </c>
      <c r="AM61" t="s">
        <v>264</v>
      </c>
      <c r="AN61" t="s">
        <v>264</v>
      </c>
      <c r="AO61">
        <v>1</v>
      </c>
      <c r="AP61" t="s">
        <v>264</v>
      </c>
      <c r="AQ61" t="s">
        <v>264</v>
      </c>
      <c r="AR61" t="s">
        <v>264</v>
      </c>
      <c r="AS61" t="s">
        <v>264</v>
      </c>
      <c r="AT61" t="s">
        <v>264</v>
      </c>
      <c r="AU61">
        <v>5</v>
      </c>
      <c r="AV61" t="s">
        <v>264</v>
      </c>
      <c r="AW61" t="s">
        <v>102</v>
      </c>
      <c r="AX61">
        <v>25</v>
      </c>
      <c r="AY61">
        <v>25</v>
      </c>
      <c r="AZ61">
        <v>75</v>
      </c>
      <c r="BA61">
        <v>25</v>
      </c>
      <c r="BB61">
        <v>50</v>
      </c>
      <c r="BC61">
        <v>25</v>
      </c>
      <c r="BD61">
        <v>25</v>
      </c>
      <c r="BE61">
        <v>75</v>
      </c>
      <c r="BF61">
        <v>200</v>
      </c>
      <c r="BG61">
        <v>75</v>
      </c>
      <c r="BH61">
        <v>75</v>
      </c>
      <c r="BI61">
        <v>25</v>
      </c>
      <c r="BJ61">
        <v>50</v>
      </c>
      <c r="BK61">
        <v>25</v>
      </c>
      <c r="BL61">
        <v>75</v>
      </c>
      <c r="BM61" t="s">
        <v>264</v>
      </c>
      <c r="BN61" t="s">
        <v>264</v>
      </c>
      <c r="BO61" t="s">
        <v>264</v>
      </c>
      <c r="BP61" t="s">
        <v>264</v>
      </c>
      <c r="BQ61" t="s">
        <v>264</v>
      </c>
      <c r="BR61" t="s">
        <v>264</v>
      </c>
      <c r="BS61" t="s">
        <v>264</v>
      </c>
      <c r="BT61" t="s">
        <v>264</v>
      </c>
    </row>
    <row r="62" spans="1:72" x14ac:dyDescent="0.25">
      <c r="A62" s="18">
        <v>25</v>
      </c>
      <c r="B62" t="s">
        <v>230</v>
      </c>
      <c r="C62" t="s">
        <v>97</v>
      </c>
      <c r="D62">
        <v>3</v>
      </c>
      <c r="E62">
        <v>11</v>
      </c>
      <c r="F62">
        <v>11</v>
      </c>
      <c r="G62">
        <f t="shared" si="1"/>
        <v>307.24074074074076</v>
      </c>
      <c r="H62" s="91">
        <f t="shared" si="2"/>
        <v>1.526152287500313E-2</v>
      </c>
      <c r="I62">
        <v>520</v>
      </c>
      <c r="J62">
        <f t="shared" si="3"/>
        <v>10</v>
      </c>
      <c r="K62" s="17">
        <f t="shared" si="5"/>
        <v>227.89473684210526</v>
      </c>
      <c r="L62" s="17">
        <f t="shared" si="4"/>
        <v>20</v>
      </c>
      <c r="M62" t="s">
        <v>268</v>
      </c>
      <c r="N62" t="s">
        <v>281</v>
      </c>
      <c r="O62" t="s">
        <v>1</v>
      </c>
      <c r="P62">
        <v>520.18181818181813</v>
      </c>
      <c r="R62">
        <v>142</v>
      </c>
      <c r="S62">
        <v>177</v>
      </c>
      <c r="T62">
        <v>324</v>
      </c>
      <c r="U62">
        <v>632</v>
      </c>
      <c r="V62">
        <v>401</v>
      </c>
      <c r="W62">
        <v>944</v>
      </c>
      <c r="X62">
        <v>394</v>
      </c>
      <c r="Y62">
        <v>182</v>
      </c>
      <c r="Z62">
        <v>822</v>
      </c>
      <c r="AA62">
        <v>380</v>
      </c>
      <c r="AB62">
        <v>516</v>
      </c>
      <c r="AC62">
        <v>715</v>
      </c>
      <c r="AD62">
        <v>412</v>
      </c>
      <c r="AE62">
        <v>300</v>
      </c>
      <c r="AF62">
        <v>500</v>
      </c>
      <c r="AG62">
        <v>350</v>
      </c>
      <c r="AH62">
        <v>300</v>
      </c>
      <c r="AI62">
        <v>450</v>
      </c>
      <c r="AJ62">
        <v>500</v>
      </c>
      <c r="AK62">
        <v>300</v>
      </c>
      <c r="AL62">
        <v>125</v>
      </c>
      <c r="AM62">
        <v>190</v>
      </c>
      <c r="AN62">
        <v>100</v>
      </c>
      <c r="AO62">
        <v>195</v>
      </c>
      <c r="AP62">
        <v>50</v>
      </c>
      <c r="AQ62">
        <v>15</v>
      </c>
      <c r="AR62" t="s">
        <v>264</v>
      </c>
      <c r="AS62">
        <v>400</v>
      </c>
      <c r="AT62">
        <v>200</v>
      </c>
      <c r="AU62">
        <v>60</v>
      </c>
      <c r="AV62">
        <v>70</v>
      </c>
      <c r="AW62">
        <v>25</v>
      </c>
      <c r="AX62">
        <v>200</v>
      </c>
      <c r="AY62">
        <v>1500</v>
      </c>
      <c r="AZ62">
        <v>750</v>
      </c>
      <c r="BA62">
        <v>120</v>
      </c>
      <c r="BB62">
        <v>200</v>
      </c>
      <c r="BC62">
        <v>75</v>
      </c>
      <c r="BD62">
        <v>200</v>
      </c>
      <c r="BE62">
        <v>75</v>
      </c>
      <c r="BF62">
        <v>75</v>
      </c>
      <c r="BG62">
        <v>400</v>
      </c>
      <c r="BH62">
        <v>750</v>
      </c>
      <c r="BI62">
        <v>750</v>
      </c>
      <c r="BJ62">
        <v>400</v>
      </c>
      <c r="BK62">
        <v>75</v>
      </c>
      <c r="BL62">
        <v>75</v>
      </c>
      <c r="BM62">
        <v>25</v>
      </c>
      <c r="BN62">
        <v>25</v>
      </c>
      <c r="BO62">
        <v>25</v>
      </c>
      <c r="BP62">
        <v>25</v>
      </c>
      <c r="BQ62">
        <v>25</v>
      </c>
      <c r="BR62">
        <v>200</v>
      </c>
      <c r="BS62">
        <v>250</v>
      </c>
      <c r="BT62">
        <v>200</v>
      </c>
    </row>
    <row r="63" spans="1:72" x14ac:dyDescent="0.25">
      <c r="A63" s="18">
        <v>25</v>
      </c>
      <c r="B63" t="s">
        <v>240</v>
      </c>
      <c r="C63" t="s">
        <v>97</v>
      </c>
      <c r="D63">
        <v>4</v>
      </c>
      <c r="E63">
        <v>10</v>
      </c>
      <c r="F63">
        <v>8</v>
      </c>
      <c r="G63">
        <f t="shared" si="1"/>
        <v>71.242424242424249</v>
      </c>
      <c r="H63" s="91">
        <f t="shared" si="2"/>
        <v>3.5388141710148576E-3</v>
      </c>
      <c r="I63">
        <v>29</v>
      </c>
      <c r="J63">
        <f t="shared" si="3"/>
        <v>8</v>
      </c>
      <c r="K63" s="17">
        <f t="shared" si="5"/>
        <v>17</v>
      </c>
      <c r="L63" s="17">
        <f t="shared" si="4"/>
        <v>5</v>
      </c>
      <c r="N63" t="s">
        <v>280</v>
      </c>
      <c r="P63">
        <v>28.625</v>
      </c>
      <c r="R63">
        <v>7</v>
      </c>
      <c r="S63" t="s">
        <v>262</v>
      </c>
      <c r="T63">
        <v>26</v>
      </c>
      <c r="U63">
        <v>17</v>
      </c>
      <c r="V63">
        <v>8</v>
      </c>
      <c r="W63">
        <v>25</v>
      </c>
      <c r="X63">
        <v>15</v>
      </c>
      <c r="Y63">
        <v>12</v>
      </c>
      <c r="Z63">
        <v>30</v>
      </c>
      <c r="AA63">
        <v>96</v>
      </c>
      <c r="AB63" t="s">
        <v>262</v>
      </c>
      <c r="AC63" t="s">
        <v>262</v>
      </c>
      <c r="AD63" t="s">
        <v>102</v>
      </c>
      <c r="AE63" t="s">
        <v>264</v>
      </c>
      <c r="AF63" t="s">
        <v>262</v>
      </c>
      <c r="AG63" t="s">
        <v>102</v>
      </c>
      <c r="AH63" t="s">
        <v>262</v>
      </c>
      <c r="AI63" t="s">
        <v>264</v>
      </c>
      <c r="AJ63" t="s">
        <v>264</v>
      </c>
      <c r="AK63" t="s">
        <v>102</v>
      </c>
      <c r="AL63" t="s">
        <v>264</v>
      </c>
      <c r="AM63" t="s">
        <v>264</v>
      </c>
      <c r="AN63" t="s">
        <v>262</v>
      </c>
      <c r="AO63" t="s">
        <v>262</v>
      </c>
      <c r="AP63" t="s">
        <v>264</v>
      </c>
      <c r="AQ63" t="s">
        <v>264</v>
      </c>
      <c r="AR63" t="s">
        <v>264</v>
      </c>
      <c r="AS63" t="s">
        <v>264</v>
      </c>
      <c r="AT63">
        <v>15</v>
      </c>
      <c r="AU63">
        <v>10</v>
      </c>
      <c r="AV63">
        <v>10</v>
      </c>
      <c r="AW63">
        <v>25</v>
      </c>
      <c r="AX63">
        <v>25</v>
      </c>
      <c r="AY63">
        <v>25</v>
      </c>
      <c r="AZ63">
        <v>25</v>
      </c>
      <c r="BA63">
        <v>25</v>
      </c>
      <c r="BB63">
        <v>25</v>
      </c>
      <c r="BC63">
        <v>25</v>
      </c>
      <c r="BD63">
        <v>25</v>
      </c>
      <c r="BE63">
        <v>75</v>
      </c>
      <c r="BF63">
        <v>75</v>
      </c>
      <c r="BG63">
        <v>900</v>
      </c>
      <c r="BH63">
        <v>200</v>
      </c>
      <c r="BI63">
        <v>200</v>
      </c>
      <c r="BJ63">
        <v>100</v>
      </c>
      <c r="BK63">
        <v>75</v>
      </c>
      <c r="BL63">
        <v>75</v>
      </c>
      <c r="BM63">
        <v>25</v>
      </c>
      <c r="BN63">
        <v>25</v>
      </c>
      <c r="BO63" t="s">
        <v>262</v>
      </c>
      <c r="BP63" t="s">
        <v>262</v>
      </c>
      <c r="BQ63" t="s">
        <v>262</v>
      </c>
      <c r="BR63">
        <v>25</v>
      </c>
      <c r="BS63">
        <v>30</v>
      </c>
      <c r="BT63">
        <v>75</v>
      </c>
    </row>
    <row r="64" spans="1:72" x14ac:dyDescent="0.25">
      <c r="A64" s="18">
        <v>25</v>
      </c>
      <c r="B64" t="s">
        <v>242</v>
      </c>
      <c r="C64" t="s">
        <v>97</v>
      </c>
      <c r="D64">
        <v>4</v>
      </c>
      <c r="E64">
        <v>9</v>
      </c>
      <c r="F64">
        <v>0</v>
      </c>
      <c r="G64">
        <f t="shared" si="1"/>
        <v>35.714285714285715</v>
      </c>
      <c r="H64" s="91">
        <f t="shared" si="2"/>
        <v>1.7740303160279863E-3</v>
      </c>
      <c r="J64">
        <f t="shared" si="3"/>
        <v>0</v>
      </c>
      <c r="K64" s="17">
        <f t="shared" si="5"/>
        <v>25</v>
      </c>
      <c r="L64" s="17">
        <f t="shared" si="4"/>
        <v>1</v>
      </c>
      <c r="N64" t="s">
        <v>280</v>
      </c>
      <c r="O64" t="s">
        <v>457</v>
      </c>
      <c r="R64" t="s">
        <v>102</v>
      </c>
      <c r="S64" t="s">
        <v>102</v>
      </c>
      <c r="T64" t="s">
        <v>102</v>
      </c>
      <c r="U64" t="s">
        <v>262</v>
      </c>
      <c r="V64" t="s">
        <v>262</v>
      </c>
      <c r="W64" t="s">
        <v>102</v>
      </c>
      <c r="X64" t="s">
        <v>262</v>
      </c>
      <c r="Y64" t="s">
        <v>262</v>
      </c>
      <c r="Z64" t="s">
        <v>262</v>
      </c>
      <c r="AA64" t="s">
        <v>262</v>
      </c>
      <c r="AB64" t="s">
        <v>262</v>
      </c>
      <c r="AC64" t="s">
        <v>262</v>
      </c>
      <c r="AD64" t="s">
        <v>262</v>
      </c>
      <c r="AE64" t="s">
        <v>264</v>
      </c>
      <c r="AF64" t="s">
        <v>264</v>
      </c>
      <c r="AG64" t="s">
        <v>102</v>
      </c>
      <c r="AH64" t="s">
        <v>264</v>
      </c>
      <c r="AI64" t="s">
        <v>264</v>
      </c>
      <c r="AJ64" t="s">
        <v>264</v>
      </c>
      <c r="AK64" t="s">
        <v>102</v>
      </c>
      <c r="AL64" t="s">
        <v>264</v>
      </c>
      <c r="AM64" t="s">
        <v>264</v>
      </c>
      <c r="AN64" t="s">
        <v>264</v>
      </c>
      <c r="AO64" t="s">
        <v>262</v>
      </c>
      <c r="AP64" t="s">
        <v>264</v>
      </c>
      <c r="AQ64" t="s">
        <v>264</v>
      </c>
      <c r="AR64" t="s">
        <v>264</v>
      </c>
      <c r="AS64" t="s">
        <v>264</v>
      </c>
      <c r="AT64" t="s">
        <v>264</v>
      </c>
      <c r="AU64" t="s">
        <v>264</v>
      </c>
      <c r="AV64" t="s">
        <v>264</v>
      </c>
      <c r="AW64" t="s">
        <v>102</v>
      </c>
      <c r="AX64">
        <v>25</v>
      </c>
      <c r="AY64" t="s">
        <v>264</v>
      </c>
      <c r="AZ64" t="s">
        <v>264</v>
      </c>
      <c r="BA64" t="s">
        <v>262</v>
      </c>
      <c r="BB64" t="s">
        <v>262</v>
      </c>
      <c r="BC64" t="s">
        <v>262</v>
      </c>
      <c r="BD64" t="s">
        <v>262</v>
      </c>
      <c r="BE64" t="s">
        <v>262</v>
      </c>
      <c r="BF64">
        <v>25</v>
      </c>
      <c r="BG64">
        <v>25</v>
      </c>
      <c r="BH64">
        <v>75</v>
      </c>
      <c r="BI64">
        <v>25</v>
      </c>
      <c r="BJ64">
        <v>50</v>
      </c>
      <c r="BK64">
        <v>25</v>
      </c>
      <c r="BL64" t="s">
        <v>264</v>
      </c>
      <c r="BM64" t="s">
        <v>264</v>
      </c>
      <c r="BN64" t="s">
        <v>264</v>
      </c>
      <c r="BO64" t="s">
        <v>264</v>
      </c>
      <c r="BP64" t="s">
        <v>264</v>
      </c>
      <c r="BQ64" t="s">
        <v>264</v>
      </c>
      <c r="BR64" t="s">
        <v>264</v>
      </c>
      <c r="BS64" t="s">
        <v>264</v>
      </c>
      <c r="BT64" t="s">
        <v>264</v>
      </c>
    </row>
    <row r="65" spans="1:72" x14ac:dyDescent="0.25">
      <c r="A65" s="18">
        <v>25</v>
      </c>
      <c r="B65" t="s">
        <v>233</v>
      </c>
      <c r="C65" t="s">
        <v>97</v>
      </c>
      <c r="D65">
        <v>4</v>
      </c>
      <c r="E65">
        <v>11</v>
      </c>
      <c r="F65">
        <v>4</v>
      </c>
      <c r="G65">
        <f t="shared" si="1"/>
        <v>12.25</v>
      </c>
      <c r="H65" s="91">
        <f t="shared" si="2"/>
        <v>6.0849239839759928E-4</v>
      </c>
      <c r="I65">
        <v>12</v>
      </c>
      <c r="J65">
        <f t="shared" si="3"/>
        <v>4</v>
      </c>
      <c r="K65" s="17"/>
      <c r="L65" s="17">
        <f t="shared" si="4"/>
        <v>0</v>
      </c>
      <c r="N65" t="s">
        <v>280</v>
      </c>
      <c r="P65">
        <v>12.25</v>
      </c>
      <c r="R65" t="s">
        <v>262</v>
      </c>
      <c r="S65" t="s">
        <v>262</v>
      </c>
      <c r="T65">
        <v>3</v>
      </c>
      <c r="U65" t="s">
        <v>262</v>
      </c>
      <c r="V65" t="s">
        <v>262</v>
      </c>
      <c r="W65">
        <v>22</v>
      </c>
      <c r="X65">
        <v>9</v>
      </c>
      <c r="Y65" t="s">
        <v>262</v>
      </c>
      <c r="Z65">
        <v>15</v>
      </c>
      <c r="AA65" t="s">
        <v>262</v>
      </c>
      <c r="AB65" t="s">
        <v>262</v>
      </c>
      <c r="AC65" t="s">
        <v>262</v>
      </c>
      <c r="AD65" t="s">
        <v>262</v>
      </c>
      <c r="AE65" t="s">
        <v>264</v>
      </c>
      <c r="AF65" t="s">
        <v>102</v>
      </c>
      <c r="AG65" t="s">
        <v>102</v>
      </c>
      <c r="AH65" t="s">
        <v>102</v>
      </c>
      <c r="AI65" t="s">
        <v>102</v>
      </c>
      <c r="AJ65" t="s">
        <v>102</v>
      </c>
      <c r="AK65" t="s">
        <v>102</v>
      </c>
      <c r="AL65" t="s">
        <v>102</v>
      </c>
      <c r="AM65" t="s">
        <v>264</v>
      </c>
      <c r="AN65" t="s">
        <v>262</v>
      </c>
      <c r="AO65" t="s">
        <v>262</v>
      </c>
      <c r="AP65" t="s">
        <v>264</v>
      </c>
      <c r="AQ65" t="s">
        <v>264</v>
      </c>
      <c r="AR65" t="s">
        <v>102</v>
      </c>
      <c r="AS65" t="s">
        <v>102</v>
      </c>
      <c r="AT65" t="s">
        <v>102</v>
      </c>
      <c r="AU65" t="s">
        <v>264</v>
      </c>
      <c r="AV65" t="s">
        <v>264</v>
      </c>
      <c r="AW65" t="s">
        <v>264</v>
      </c>
      <c r="AX65" t="s">
        <v>264</v>
      </c>
      <c r="AY65" t="s">
        <v>264</v>
      </c>
      <c r="AZ65" t="s">
        <v>102</v>
      </c>
      <c r="BA65" t="s">
        <v>262</v>
      </c>
      <c r="BB65" t="s">
        <v>264</v>
      </c>
      <c r="BC65" t="s">
        <v>264</v>
      </c>
      <c r="BD65" t="s">
        <v>264</v>
      </c>
      <c r="BE65" t="s">
        <v>264</v>
      </c>
      <c r="BF65" t="s">
        <v>264</v>
      </c>
      <c r="BG65" t="s">
        <v>264</v>
      </c>
      <c r="BH65" t="s">
        <v>264</v>
      </c>
      <c r="BI65" t="s">
        <v>264</v>
      </c>
      <c r="BJ65" t="s">
        <v>264</v>
      </c>
      <c r="BK65" t="s">
        <v>264</v>
      </c>
      <c r="BL65" t="s">
        <v>264</v>
      </c>
      <c r="BM65" t="s">
        <v>264</v>
      </c>
      <c r="BN65" t="s">
        <v>264</v>
      </c>
      <c r="BO65" t="s">
        <v>264</v>
      </c>
      <c r="BP65" t="s">
        <v>264</v>
      </c>
      <c r="BQ65" t="s">
        <v>264</v>
      </c>
      <c r="BR65" t="s">
        <v>264</v>
      </c>
      <c r="BS65" t="s">
        <v>264</v>
      </c>
      <c r="BT65" t="s">
        <v>264</v>
      </c>
    </row>
    <row r="66" spans="1:72" x14ac:dyDescent="0.25">
      <c r="A66" s="18">
        <v>25</v>
      </c>
      <c r="B66" t="s">
        <v>215</v>
      </c>
      <c r="C66" t="s">
        <v>97</v>
      </c>
      <c r="D66">
        <v>4</v>
      </c>
      <c r="E66">
        <v>9</v>
      </c>
      <c r="F66">
        <v>7</v>
      </c>
      <c r="G66">
        <f t="shared" si="1"/>
        <v>124.8125</v>
      </c>
      <c r="H66" s="91">
        <f t="shared" si="2"/>
        <v>6.1997924469388054E-3</v>
      </c>
      <c r="I66">
        <v>57</v>
      </c>
      <c r="J66">
        <f t="shared" si="3"/>
        <v>6</v>
      </c>
      <c r="K66" s="17">
        <f t="shared" si="5"/>
        <v>8.6</v>
      </c>
      <c r="L66" s="17">
        <f t="shared" si="4"/>
        <v>6</v>
      </c>
      <c r="N66" t="s">
        <v>280</v>
      </c>
      <c r="P66">
        <v>56.571428571428569</v>
      </c>
      <c r="R66" t="s">
        <v>262</v>
      </c>
      <c r="S66">
        <v>5</v>
      </c>
      <c r="T66" t="s">
        <v>262</v>
      </c>
      <c r="U66">
        <v>24</v>
      </c>
      <c r="V66">
        <v>11</v>
      </c>
      <c r="W66">
        <v>214</v>
      </c>
      <c r="X66">
        <v>80</v>
      </c>
      <c r="Y66">
        <v>15</v>
      </c>
      <c r="Z66">
        <v>10</v>
      </c>
      <c r="AA66" t="s">
        <v>102</v>
      </c>
      <c r="AB66" t="s">
        <v>262</v>
      </c>
      <c r="AC66" t="s">
        <v>102</v>
      </c>
      <c r="AD66">
        <v>42</v>
      </c>
      <c r="AE66" t="s">
        <v>264</v>
      </c>
      <c r="AF66" t="s">
        <v>262</v>
      </c>
      <c r="AG66" t="s">
        <v>102</v>
      </c>
      <c r="AH66" t="s">
        <v>264</v>
      </c>
      <c r="AI66" t="s">
        <v>264</v>
      </c>
      <c r="AJ66" t="s">
        <v>264</v>
      </c>
      <c r="AK66" t="s">
        <v>264</v>
      </c>
      <c r="AL66">
        <v>3</v>
      </c>
      <c r="AM66" t="s">
        <v>262</v>
      </c>
      <c r="AN66" t="s">
        <v>262</v>
      </c>
      <c r="AO66" t="s">
        <v>262</v>
      </c>
      <c r="AP66" t="s">
        <v>264</v>
      </c>
      <c r="AQ66" t="s">
        <v>102</v>
      </c>
      <c r="AR66" t="s">
        <v>264</v>
      </c>
      <c r="AS66" t="s">
        <v>264</v>
      </c>
      <c r="AT66">
        <v>12</v>
      </c>
      <c r="AU66">
        <v>2</v>
      </c>
      <c r="AV66">
        <v>1</v>
      </c>
      <c r="AW66" t="s">
        <v>102</v>
      </c>
      <c r="AX66">
        <v>25</v>
      </c>
      <c r="AY66">
        <v>25</v>
      </c>
      <c r="AZ66">
        <v>75</v>
      </c>
      <c r="BA66">
        <v>150</v>
      </c>
      <c r="BB66">
        <v>75</v>
      </c>
      <c r="BC66">
        <v>200</v>
      </c>
      <c r="BD66">
        <v>200</v>
      </c>
      <c r="BE66">
        <v>400</v>
      </c>
      <c r="BF66">
        <v>200</v>
      </c>
      <c r="BG66">
        <v>700</v>
      </c>
      <c r="BH66">
        <v>75</v>
      </c>
      <c r="BI66">
        <v>400</v>
      </c>
      <c r="BJ66">
        <v>200</v>
      </c>
      <c r="BK66">
        <v>75</v>
      </c>
      <c r="BL66" t="s">
        <v>262</v>
      </c>
      <c r="BM66">
        <v>200</v>
      </c>
      <c r="BN66">
        <v>25</v>
      </c>
      <c r="BO66" t="s">
        <v>262</v>
      </c>
      <c r="BP66">
        <v>75</v>
      </c>
      <c r="BQ66">
        <v>25</v>
      </c>
      <c r="BR66" t="s">
        <v>262</v>
      </c>
      <c r="BS66">
        <v>250</v>
      </c>
      <c r="BT66">
        <v>200</v>
      </c>
    </row>
    <row r="67" spans="1:72" x14ac:dyDescent="0.25">
      <c r="A67" s="18">
        <v>25</v>
      </c>
      <c r="B67" t="s">
        <v>218</v>
      </c>
      <c r="C67" t="s">
        <v>97</v>
      </c>
      <c r="D67">
        <v>5</v>
      </c>
      <c r="E67">
        <v>1</v>
      </c>
      <c r="F67">
        <v>1</v>
      </c>
      <c r="G67">
        <f t="shared" si="1"/>
        <v>39</v>
      </c>
      <c r="H67" s="91">
        <f t="shared" si="2"/>
        <v>1.9372411051025611E-3</v>
      </c>
      <c r="I67">
        <v>10</v>
      </c>
      <c r="J67">
        <f t="shared" si="3"/>
        <v>1</v>
      </c>
      <c r="K67" s="17">
        <f t="shared" si="5"/>
        <v>42.5</v>
      </c>
      <c r="L67" s="17">
        <f t="shared" si="4"/>
        <v>2</v>
      </c>
      <c r="N67" t="s">
        <v>280</v>
      </c>
      <c r="O67" t="s">
        <v>460</v>
      </c>
      <c r="P67">
        <v>10</v>
      </c>
      <c r="R67" t="s">
        <v>102</v>
      </c>
      <c r="S67" t="s">
        <v>102</v>
      </c>
      <c r="T67" t="s">
        <v>102</v>
      </c>
      <c r="W67" t="s">
        <v>102</v>
      </c>
      <c r="X67">
        <v>10</v>
      </c>
      <c r="AE67" t="s">
        <v>264</v>
      </c>
      <c r="AF67" t="s">
        <v>264</v>
      </c>
      <c r="AG67" t="s">
        <v>102</v>
      </c>
      <c r="AH67" t="s">
        <v>102</v>
      </c>
      <c r="AI67" t="s">
        <v>262</v>
      </c>
      <c r="AJ67" t="s">
        <v>262</v>
      </c>
      <c r="AK67" t="s">
        <v>102</v>
      </c>
      <c r="AL67" t="s">
        <v>102</v>
      </c>
      <c r="AM67" t="s">
        <v>262</v>
      </c>
      <c r="AN67" t="s">
        <v>102</v>
      </c>
      <c r="AO67" t="s">
        <v>262</v>
      </c>
      <c r="AP67" t="s">
        <v>102</v>
      </c>
      <c r="AQ67" t="s">
        <v>102</v>
      </c>
      <c r="AR67">
        <v>60</v>
      </c>
      <c r="AS67" t="s">
        <v>102</v>
      </c>
      <c r="AT67" t="s">
        <v>102</v>
      </c>
      <c r="AU67" t="s">
        <v>102</v>
      </c>
      <c r="AV67" t="s">
        <v>102</v>
      </c>
      <c r="AW67" t="s">
        <v>264</v>
      </c>
      <c r="AX67">
        <v>25</v>
      </c>
      <c r="AY67">
        <v>25</v>
      </c>
      <c r="AZ67" t="s">
        <v>102</v>
      </c>
      <c r="BA67" t="s">
        <v>102</v>
      </c>
      <c r="BB67" t="s">
        <v>102</v>
      </c>
      <c r="BC67" t="s">
        <v>102</v>
      </c>
      <c r="BD67" t="s">
        <v>102</v>
      </c>
      <c r="BE67" t="s">
        <v>102</v>
      </c>
      <c r="BF67" t="s">
        <v>102</v>
      </c>
      <c r="BG67" t="s">
        <v>102</v>
      </c>
      <c r="BH67" t="s">
        <v>102</v>
      </c>
      <c r="BI67" t="s">
        <v>102</v>
      </c>
      <c r="BJ67" t="s">
        <v>102</v>
      </c>
      <c r="BK67" t="s">
        <v>102</v>
      </c>
      <c r="BL67" t="s">
        <v>102</v>
      </c>
      <c r="BM67" t="s">
        <v>102</v>
      </c>
      <c r="BN67" t="s">
        <v>102</v>
      </c>
      <c r="BO67" t="s">
        <v>102</v>
      </c>
      <c r="BP67" t="s">
        <v>102</v>
      </c>
      <c r="BQ67">
        <v>75</v>
      </c>
      <c r="BR67" t="s">
        <v>264</v>
      </c>
      <c r="BS67" t="s">
        <v>262</v>
      </c>
      <c r="BT67" t="s">
        <v>264</v>
      </c>
    </row>
    <row r="68" spans="1:72" x14ac:dyDescent="0.25">
      <c r="A68" s="18">
        <v>25</v>
      </c>
      <c r="B68" t="s">
        <v>219</v>
      </c>
      <c r="C68" t="s">
        <v>97</v>
      </c>
      <c r="D68">
        <v>3</v>
      </c>
      <c r="E68">
        <v>2</v>
      </c>
      <c r="F68">
        <v>2</v>
      </c>
      <c r="G68">
        <f t="shared" si="1"/>
        <v>19</v>
      </c>
      <c r="H68" s="91">
        <f t="shared" si="2"/>
        <v>9.4378412812688879E-4</v>
      </c>
      <c r="I68">
        <v>13</v>
      </c>
      <c r="J68">
        <f t="shared" si="3"/>
        <v>2</v>
      </c>
      <c r="K68" s="17">
        <f t="shared" si="5"/>
        <v>25</v>
      </c>
      <c r="L68" s="17">
        <f t="shared" si="4"/>
        <v>1</v>
      </c>
      <c r="N68" t="s">
        <v>285</v>
      </c>
      <c r="P68">
        <v>13</v>
      </c>
      <c r="R68" t="s">
        <v>102</v>
      </c>
      <c r="S68" t="s">
        <v>102</v>
      </c>
      <c r="T68" t="s">
        <v>102</v>
      </c>
      <c r="W68" t="s">
        <v>102</v>
      </c>
      <c r="X68">
        <v>12</v>
      </c>
      <c r="AC68">
        <v>14</v>
      </c>
      <c r="AE68" t="s">
        <v>102</v>
      </c>
      <c r="AF68" t="s">
        <v>102</v>
      </c>
      <c r="AG68" t="s">
        <v>264</v>
      </c>
      <c r="AH68" t="s">
        <v>102</v>
      </c>
      <c r="AI68" t="s">
        <v>262</v>
      </c>
      <c r="AJ68" t="s">
        <v>262</v>
      </c>
      <c r="AK68" t="s">
        <v>262</v>
      </c>
      <c r="AL68" t="s">
        <v>102</v>
      </c>
      <c r="AM68" t="s">
        <v>264</v>
      </c>
      <c r="AN68" t="s">
        <v>102</v>
      </c>
      <c r="AO68" t="s">
        <v>262</v>
      </c>
      <c r="AP68" t="s">
        <v>264</v>
      </c>
      <c r="AQ68" t="s">
        <v>102</v>
      </c>
      <c r="AR68" t="s">
        <v>102</v>
      </c>
      <c r="AS68" t="s">
        <v>102</v>
      </c>
      <c r="AT68" t="s">
        <v>102</v>
      </c>
      <c r="AU68" t="s">
        <v>102</v>
      </c>
      <c r="AV68" t="s">
        <v>264</v>
      </c>
      <c r="AW68" t="s">
        <v>264</v>
      </c>
      <c r="AX68">
        <v>25</v>
      </c>
      <c r="AY68" t="s">
        <v>264</v>
      </c>
      <c r="AZ68" t="s">
        <v>264</v>
      </c>
      <c r="BA68" t="s">
        <v>262</v>
      </c>
      <c r="BB68" t="s">
        <v>262</v>
      </c>
      <c r="BC68">
        <v>25</v>
      </c>
      <c r="BD68" t="s">
        <v>264</v>
      </c>
      <c r="BE68" t="s">
        <v>102</v>
      </c>
      <c r="BF68" t="s">
        <v>102</v>
      </c>
      <c r="BG68" t="s">
        <v>102</v>
      </c>
      <c r="BH68" t="s">
        <v>102</v>
      </c>
      <c r="BI68" t="s">
        <v>102</v>
      </c>
      <c r="BJ68" t="s">
        <v>102</v>
      </c>
      <c r="BK68" t="s">
        <v>102</v>
      </c>
      <c r="BL68" t="s">
        <v>102</v>
      </c>
      <c r="BM68" t="s">
        <v>102</v>
      </c>
      <c r="BN68" t="s">
        <v>102</v>
      </c>
      <c r="BO68" t="s">
        <v>102</v>
      </c>
      <c r="BP68" t="s">
        <v>102</v>
      </c>
      <c r="BQ68" t="s">
        <v>102</v>
      </c>
      <c r="BR68" t="s">
        <v>264</v>
      </c>
      <c r="BS68" t="s">
        <v>264</v>
      </c>
      <c r="BT68" t="s">
        <v>264</v>
      </c>
    </row>
    <row r="69" spans="1:72" x14ac:dyDescent="0.25">
      <c r="A69" s="18">
        <v>25</v>
      </c>
      <c r="B69" t="s">
        <v>237</v>
      </c>
      <c r="C69" t="s">
        <v>97</v>
      </c>
      <c r="D69">
        <v>5</v>
      </c>
      <c r="E69">
        <v>7</v>
      </c>
      <c r="F69">
        <v>0</v>
      </c>
      <c r="G69">
        <f t="shared" si="1"/>
        <v>100</v>
      </c>
      <c r="H69" s="91">
        <f t="shared" si="2"/>
        <v>4.9672848848783622E-3</v>
      </c>
      <c r="J69">
        <f t="shared" si="3"/>
        <v>0</v>
      </c>
      <c r="K69" s="17">
        <f t="shared" si="5"/>
        <v>25</v>
      </c>
      <c r="L69" s="17">
        <f t="shared" si="4"/>
        <v>1</v>
      </c>
      <c r="N69" t="s">
        <v>280</v>
      </c>
      <c r="O69" t="s">
        <v>462</v>
      </c>
      <c r="R69" t="s">
        <v>262</v>
      </c>
      <c r="S69" t="s">
        <v>262</v>
      </c>
      <c r="T69" t="s">
        <v>102</v>
      </c>
      <c r="U69" t="s">
        <v>262</v>
      </c>
      <c r="V69" t="s">
        <v>102</v>
      </c>
      <c r="W69" t="s">
        <v>262</v>
      </c>
      <c r="X69" t="s">
        <v>102</v>
      </c>
      <c r="Y69" t="s">
        <v>262</v>
      </c>
      <c r="Z69" t="s">
        <v>262</v>
      </c>
      <c r="AA69" t="s">
        <v>262</v>
      </c>
      <c r="AB69" t="s">
        <v>262</v>
      </c>
      <c r="AC69" t="s">
        <v>262</v>
      </c>
      <c r="AE69" t="s">
        <v>264</v>
      </c>
      <c r="AF69" t="s">
        <v>264</v>
      </c>
      <c r="AG69" t="s">
        <v>102</v>
      </c>
      <c r="AH69" t="s">
        <v>264</v>
      </c>
      <c r="AI69" t="s">
        <v>264</v>
      </c>
      <c r="AJ69" t="s">
        <v>264</v>
      </c>
      <c r="AK69" t="s">
        <v>264</v>
      </c>
      <c r="AL69" t="s">
        <v>264</v>
      </c>
      <c r="AM69" t="s">
        <v>102</v>
      </c>
      <c r="AN69" t="s">
        <v>262</v>
      </c>
      <c r="AO69" t="s">
        <v>262</v>
      </c>
      <c r="AP69" t="s">
        <v>264</v>
      </c>
      <c r="AQ69" t="s">
        <v>102</v>
      </c>
      <c r="AR69" t="s">
        <v>264</v>
      </c>
      <c r="AS69">
        <v>25</v>
      </c>
      <c r="AT69" t="s">
        <v>264</v>
      </c>
      <c r="AU69" t="s">
        <v>264</v>
      </c>
      <c r="AV69" t="s">
        <v>264</v>
      </c>
      <c r="AW69" t="s">
        <v>264</v>
      </c>
      <c r="AX69" t="s">
        <v>264</v>
      </c>
      <c r="AY69" t="s">
        <v>264</v>
      </c>
      <c r="AZ69" t="s">
        <v>264</v>
      </c>
      <c r="BA69" t="s">
        <v>262</v>
      </c>
      <c r="BB69" t="s">
        <v>262</v>
      </c>
      <c r="BC69" t="s">
        <v>262</v>
      </c>
      <c r="BD69" t="s">
        <v>262</v>
      </c>
      <c r="BE69" t="s">
        <v>264</v>
      </c>
      <c r="BF69" t="s">
        <v>264</v>
      </c>
      <c r="BG69" t="s">
        <v>264</v>
      </c>
      <c r="BH69" t="s">
        <v>264</v>
      </c>
      <c r="BI69" t="s">
        <v>264</v>
      </c>
      <c r="BJ69">
        <v>100</v>
      </c>
      <c r="BK69">
        <v>75</v>
      </c>
      <c r="BL69" t="s">
        <v>264</v>
      </c>
      <c r="BM69" t="s">
        <v>264</v>
      </c>
      <c r="BN69" t="s">
        <v>264</v>
      </c>
      <c r="BO69" t="s">
        <v>264</v>
      </c>
      <c r="BP69" t="s">
        <v>264</v>
      </c>
      <c r="BQ69" t="s">
        <v>264</v>
      </c>
      <c r="BR69">
        <v>200</v>
      </c>
      <c r="BS69" t="s">
        <v>264</v>
      </c>
      <c r="BT69" t="s">
        <v>264</v>
      </c>
    </row>
    <row r="70" spans="1:72" x14ac:dyDescent="0.25">
      <c r="A70" s="18">
        <v>25</v>
      </c>
      <c r="B70" t="s">
        <v>245</v>
      </c>
      <c r="C70" t="s">
        <v>97</v>
      </c>
      <c r="D70">
        <v>4</v>
      </c>
      <c r="E70">
        <v>11</v>
      </c>
      <c r="F70">
        <v>0</v>
      </c>
      <c r="G70">
        <f t="shared" ref="G70:G88" si="6">AVERAGE(Q70:BT70)</f>
        <v>48.888888888888886</v>
      </c>
      <c r="H70" s="91">
        <f t="shared" ref="H70:H88" si="7">G70/G$98</f>
        <v>2.4284503881627545E-3</v>
      </c>
      <c r="J70">
        <f t="shared" ref="J70:J88" si="8">COUNT(T70:AC70)</f>
        <v>0</v>
      </c>
      <c r="K70" s="17">
        <f t="shared" si="5"/>
        <v>38.333333333333336</v>
      </c>
      <c r="L70" s="17">
        <f t="shared" ref="L70:L88" si="9">COUNT(AD70:AX70)</f>
        <v>3</v>
      </c>
      <c r="N70" t="s">
        <v>280</v>
      </c>
      <c r="R70" t="s">
        <v>262</v>
      </c>
      <c r="S70" t="s">
        <v>262</v>
      </c>
      <c r="T70" t="s">
        <v>262</v>
      </c>
      <c r="U70" t="s">
        <v>262</v>
      </c>
      <c r="V70" t="s">
        <v>262</v>
      </c>
      <c r="W70" t="s">
        <v>262</v>
      </c>
      <c r="X70" t="s">
        <v>262</v>
      </c>
      <c r="Y70" t="s">
        <v>262</v>
      </c>
      <c r="Z70" t="s">
        <v>262</v>
      </c>
      <c r="AA70" t="s">
        <v>262</v>
      </c>
      <c r="AB70" t="s">
        <v>262</v>
      </c>
      <c r="AC70" t="s">
        <v>262</v>
      </c>
      <c r="AD70" t="s">
        <v>262</v>
      </c>
      <c r="AE70" t="s">
        <v>264</v>
      </c>
      <c r="AF70" t="s">
        <v>264</v>
      </c>
      <c r="AG70" t="s">
        <v>102</v>
      </c>
      <c r="AH70" t="s">
        <v>264</v>
      </c>
      <c r="AI70" t="s">
        <v>264</v>
      </c>
      <c r="AJ70" t="s">
        <v>264</v>
      </c>
      <c r="AK70" t="s">
        <v>264</v>
      </c>
      <c r="AL70" t="s">
        <v>264</v>
      </c>
      <c r="AM70" t="s">
        <v>264</v>
      </c>
      <c r="AN70" t="s">
        <v>262</v>
      </c>
      <c r="AO70" t="s">
        <v>262</v>
      </c>
      <c r="AP70" t="s">
        <v>264</v>
      </c>
      <c r="AQ70" t="s">
        <v>264</v>
      </c>
      <c r="AR70" t="s">
        <v>264</v>
      </c>
      <c r="AS70">
        <v>50</v>
      </c>
      <c r="AT70" t="s">
        <v>264</v>
      </c>
      <c r="AU70">
        <v>40</v>
      </c>
      <c r="AV70" t="s">
        <v>264</v>
      </c>
      <c r="AW70">
        <v>25</v>
      </c>
      <c r="AX70" t="s">
        <v>264</v>
      </c>
      <c r="AY70" t="s">
        <v>264</v>
      </c>
      <c r="AZ70">
        <v>25</v>
      </c>
      <c r="BA70" t="s">
        <v>264</v>
      </c>
      <c r="BB70">
        <v>25</v>
      </c>
      <c r="BC70">
        <v>15</v>
      </c>
      <c r="BD70">
        <v>25</v>
      </c>
      <c r="BE70">
        <v>25</v>
      </c>
      <c r="BF70">
        <v>25</v>
      </c>
      <c r="BG70">
        <v>75</v>
      </c>
      <c r="BH70">
        <v>200</v>
      </c>
      <c r="BI70">
        <v>75</v>
      </c>
      <c r="BJ70">
        <v>25</v>
      </c>
      <c r="BK70">
        <v>75</v>
      </c>
      <c r="BL70" t="s">
        <v>264</v>
      </c>
      <c r="BM70" t="s">
        <v>262</v>
      </c>
      <c r="BN70" t="s">
        <v>264</v>
      </c>
      <c r="BO70" t="s">
        <v>264</v>
      </c>
      <c r="BP70" t="s">
        <v>262</v>
      </c>
      <c r="BQ70">
        <v>25</v>
      </c>
      <c r="BR70">
        <v>25</v>
      </c>
      <c r="BS70">
        <v>50</v>
      </c>
      <c r="BT70">
        <v>75</v>
      </c>
    </row>
    <row r="71" spans="1:72" x14ac:dyDescent="0.25">
      <c r="A71" s="18">
        <v>25</v>
      </c>
      <c r="B71" t="s">
        <v>226</v>
      </c>
      <c r="C71" t="s">
        <v>97</v>
      </c>
      <c r="D71">
        <v>1</v>
      </c>
      <c r="E71">
        <v>10</v>
      </c>
      <c r="F71">
        <v>10</v>
      </c>
      <c r="G71">
        <f t="shared" si="6"/>
        <v>251.95744680851064</v>
      </c>
      <c r="H71" s="91">
        <f t="shared" si="7"/>
        <v>1.2515444171644588E-2</v>
      </c>
      <c r="I71">
        <v>151</v>
      </c>
      <c r="J71">
        <f t="shared" si="8"/>
        <v>10</v>
      </c>
      <c r="K71" s="17">
        <f t="shared" si="5"/>
        <v>126.94444444444444</v>
      </c>
      <c r="L71" s="17">
        <f t="shared" si="9"/>
        <v>19</v>
      </c>
      <c r="M71" t="s">
        <v>272</v>
      </c>
      <c r="N71" t="s">
        <v>281</v>
      </c>
      <c r="O71" t="s">
        <v>13</v>
      </c>
      <c r="P71">
        <v>150.90909090909091</v>
      </c>
      <c r="R71">
        <v>122</v>
      </c>
      <c r="S71" t="s">
        <v>102</v>
      </c>
      <c r="T71">
        <v>43</v>
      </c>
      <c r="U71">
        <v>325</v>
      </c>
      <c r="V71">
        <v>15</v>
      </c>
      <c r="W71">
        <v>37</v>
      </c>
      <c r="X71">
        <v>110</v>
      </c>
      <c r="Y71">
        <v>215</v>
      </c>
      <c r="Z71">
        <v>67</v>
      </c>
      <c r="AA71">
        <v>16</v>
      </c>
      <c r="AB71">
        <v>52</v>
      </c>
      <c r="AC71">
        <v>338</v>
      </c>
      <c r="AD71">
        <v>442</v>
      </c>
      <c r="AE71">
        <v>1100</v>
      </c>
      <c r="AF71">
        <v>100</v>
      </c>
      <c r="AG71" t="s">
        <v>264</v>
      </c>
      <c r="AH71" t="s">
        <v>262</v>
      </c>
      <c r="AI71">
        <v>30</v>
      </c>
      <c r="AJ71">
        <v>30</v>
      </c>
      <c r="AK71">
        <v>30</v>
      </c>
      <c r="AL71">
        <v>10</v>
      </c>
      <c r="AM71">
        <v>50</v>
      </c>
      <c r="AN71">
        <v>50</v>
      </c>
      <c r="AO71">
        <v>50</v>
      </c>
      <c r="AP71">
        <v>40</v>
      </c>
      <c r="AQ71">
        <v>40</v>
      </c>
      <c r="AR71">
        <v>30</v>
      </c>
      <c r="AS71">
        <v>300</v>
      </c>
      <c r="AT71">
        <v>80</v>
      </c>
      <c r="AU71">
        <v>50</v>
      </c>
      <c r="AV71">
        <v>20</v>
      </c>
      <c r="AW71">
        <v>200</v>
      </c>
      <c r="AX71">
        <v>75</v>
      </c>
      <c r="AY71">
        <v>25</v>
      </c>
      <c r="AZ71">
        <v>200</v>
      </c>
      <c r="BA71">
        <v>200</v>
      </c>
      <c r="BB71">
        <v>200</v>
      </c>
      <c r="BC71">
        <v>200</v>
      </c>
      <c r="BD71">
        <v>400</v>
      </c>
      <c r="BE71">
        <v>400</v>
      </c>
      <c r="BF71">
        <v>750</v>
      </c>
      <c r="BG71">
        <v>900</v>
      </c>
      <c r="BH71">
        <v>1500</v>
      </c>
      <c r="BI71">
        <v>1500</v>
      </c>
      <c r="BJ71">
        <v>500</v>
      </c>
      <c r="BK71">
        <v>750</v>
      </c>
      <c r="BL71">
        <v>75</v>
      </c>
      <c r="BM71">
        <v>75</v>
      </c>
      <c r="BN71">
        <v>25</v>
      </c>
      <c r="BO71">
        <v>75</v>
      </c>
      <c r="BP71" t="s">
        <v>264</v>
      </c>
      <c r="BQ71" t="s">
        <v>264</v>
      </c>
      <c r="BR71" t="s">
        <v>264</v>
      </c>
      <c r="BS71" t="s">
        <v>264</v>
      </c>
      <c r="BT71" t="s">
        <v>264</v>
      </c>
    </row>
    <row r="72" spans="1:72" x14ac:dyDescent="0.25">
      <c r="A72" s="18">
        <v>25</v>
      </c>
      <c r="B72" t="s">
        <v>231</v>
      </c>
      <c r="C72" t="s">
        <v>97</v>
      </c>
      <c r="D72">
        <v>2</v>
      </c>
      <c r="E72">
        <v>11</v>
      </c>
      <c r="F72">
        <v>11</v>
      </c>
      <c r="G72">
        <f t="shared" si="6"/>
        <v>449.03703703703701</v>
      </c>
      <c r="H72" s="91">
        <f t="shared" si="7"/>
        <v>2.230494886824639E-2</v>
      </c>
      <c r="I72">
        <v>787</v>
      </c>
      <c r="J72">
        <f t="shared" si="8"/>
        <v>10</v>
      </c>
      <c r="K72" s="17">
        <f t="shared" si="5"/>
        <v>305.10526315789474</v>
      </c>
      <c r="L72" s="17">
        <f t="shared" si="9"/>
        <v>20</v>
      </c>
      <c r="M72" t="s">
        <v>269</v>
      </c>
      <c r="N72" t="s">
        <v>281</v>
      </c>
      <c r="O72" t="s">
        <v>1</v>
      </c>
      <c r="P72">
        <v>786.5454545454545</v>
      </c>
      <c r="R72">
        <v>133</v>
      </c>
      <c r="S72">
        <v>141</v>
      </c>
      <c r="T72">
        <v>182</v>
      </c>
      <c r="U72">
        <v>905</v>
      </c>
      <c r="V72">
        <v>762</v>
      </c>
      <c r="W72">
        <v>758</v>
      </c>
      <c r="X72">
        <v>389</v>
      </c>
      <c r="Y72">
        <v>1320</v>
      </c>
      <c r="Z72">
        <v>1731</v>
      </c>
      <c r="AA72">
        <v>587</v>
      </c>
      <c r="AB72">
        <v>722</v>
      </c>
      <c r="AC72">
        <v>771</v>
      </c>
      <c r="AD72">
        <v>525</v>
      </c>
      <c r="AE72">
        <v>300</v>
      </c>
      <c r="AF72">
        <v>500</v>
      </c>
      <c r="AG72">
        <v>1400</v>
      </c>
      <c r="AH72">
        <v>1400</v>
      </c>
      <c r="AI72">
        <v>232</v>
      </c>
      <c r="AJ72">
        <v>500</v>
      </c>
      <c r="AK72">
        <v>125</v>
      </c>
      <c r="AL72">
        <v>20</v>
      </c>
      <c r="AM72">
        <v>60</v>
      </c>
      <c r="AN72">
        <v>50</v>
      </c>
      <c r="AO72">
        <v>12</v>
      </c>
      <c r="AP72">
        <v>50</v>
      </c>
      <c r="AQ72">
        <v>125</v>
      </c>
      <c r="AR72">
        <v>150</v>
      </c>
      <c r="AS72" t="s">
        <v>102</v>
      </c>
      <c r="AT72">
        <v>348</v>
      </c>
      <c r="AU72">
        <v>100</v>
      </c>
      <c r="AV72">
        <v>150</v>
      </c>
      <c r="AW72">
        <v>200</v>
      </c>
      <c r="AX72">
        <v>75</v>
      </c>
      <c r="AY72">
        <v>750</v>
      </c>
      <c r="AZ72">
        <v>750</v>
      </c>
      <c r="BA72">
        <v>75</v>
      </c>
      <c r="BB72">
        <v>200</v>
      </c>
      <c r="BC72">
        <v>125</v>
      </c>
      <c r="BD72">
        <v>25</v>
      </c>
      <c r="BE72">
        <v>75</v>
      </c>
      <c r="BF72">
        <v>200</v>
      </c>
      <c r="BG72">
        <v>800</v>
      </c>
      <c r="BH72">
        <v>750</v>
      </c>
      <c r="BI72">
        <v>1500</v>
      </c>
      <c r="BJ72">
        <v>600</v>
      </c>
      <c r="BK72">
        <v>750</v>
      </c>
      <c r="BL72">
        <v>400</v>
      </c>
      <c r="BM72">
        <v>400</v>
      </c>
      <c r="BN72">
        <v>25</v>
      </c>
      <c r="BO72">
        <v>200</v>
      </c>
      <c r="BP72">
        <v>200</v>
      </c>
      <c r="BQ72">
        <v>25</v>
      </c>
      <c r="BR72">
        <v>75</v>
      </c>
      <c r="BS72">
        <v>100</v>
      </c>
      <c r="BT72">
        <v>1500</v>
      </c>
    </row>
    <row r="73" spans="1:72" x14ac:dyDescent="0.25">
      <c r="A73" s="18">
        <v>25</v>
      </c>
      <c r="B73" t="s">
        <v>223</v>
      </c>
      <c r="C73" t="s">
        <v>97</v>
      </c>
      <c r="D73">
        <v>1</v>
      </c>
      <c r="E73">
        <v>10</v>
      </c>
      <c r="F73">
        <v>10</v>
      </c>
      <c r="G73">
        <f t="shared" si="6"/>
        <v>159.48888888888888</v>
      </c>
      <c r="H73" s="91">
        <f t="shared" si="7"/>
        <v>7.9222674708382228E-3</v>
      </c>
      <c r="I73">
        <v>279</v>
      </c>
      <c r="J73">
        <f t="shared" si="8"/>
        <v>10</v>
      </c>
      <c r="K73" s="17">
        <f t="shared" si="5"/>
        <v>97.764705882352942</v>
      </c>
      <c r="L73" s="17">
        <f t="shared" si="9"/>
        <v>18</v>
      </c>
      <c r="M73" t="s">
        <v>272</v>
      </c>
      <c r="N73" t="s">
        <v>281</v>
      </c>
      <c r="O73" t="s">
        <v>13</v>
      </c>
      <c r="P73">
        <v>344.54545454545456</v>
      </c>
      <c r="S73">
        <v>1000</v>
      </c>
      <c r="T73">
        <v>1000</v>
      </c>
      <c r="U73">
        <v>474</v>
      </c>
      <c r="V73">
        <v>334</v>
      </c>
      <c r="W73">
        <v>1160</v>
      </c>
      <c r="X73">
        <v>359</v>
      </c>
      <c r="Y73">
        <v>94</v>
      </c>
      <c r="Z73">
        <v>50</v>
      </c>
      <c r="AA73">
        <v>73</v>
      </c>
      <c r="AB73">
        <v>69</v>
      </c>
      <c r="AC73">
        <v>36</v>
      </c>
      <c r="AD73">
        <v>141</v>
      </c>
      <c r="AE73">
        <v>400</v>
      </c>
      <c r="AF73">
        <v>100</v>
      </c>
      <c r="AG73">
        <v>150</v>
      </c>
      <c r="AH73">
        <v>300</v>
      </c>
      <c r="AI73">
        <v>300</v>
      </c>
      <c r="AJ73">
        <v>70</v>
      </c>
      <c r="AK73">
        <v>15</v>
      </c>
      <c r="AL73">
        <v>10</v>
      </c>
      <c r="AM73">
        <v>7</v>
      </c>
      <c r="AN73">
        <v>30</v>
      </c>
      <c r="AO73">
        <v>50</v>
      </c>
      <c r="AP73">
        <v>40</v>
      </c>
      <c r="AQ73" t="s">
        <v>264</v>
      </c>
      <c r="AR73" t="s">
        <v>264</v>
      </c>
      <c r="AS73">
        <v>100</v>
      </c>
      <c r="AT73">
        <v>20</v>
      </c>
      <c r="AU73" t="s">
        <v>264</v>
      </c>
      <c r="AV73">
        <v>20</v>
      </c>
      <c r="AW73">
        <v>25</v>
      </c>
      <c r="AX73">
        <v>25</v>
      </c>
      <c r="AY73">
        <v>25</v>
      </c>
      <c r="AZ73">
        <v>25</v>
      </c>
      <c r="BA73">
        <v>25</v>
      </c>
      <c r="BB73">
        <v>25</v>
      </c>
      <c r="BC73">
        <v>25</v>
      </c>
      <c r="BD73">
        <v>75</v>
      </c>
      <c r="BE73">
        <v>25</v>
      </c>
      <c r="BF73">
        <v>25</v>
      </c>
      <c r="BG73">
        <v>25</v>
      </c>
      <c r="BH73" t="s">
        <v>264</v>
      </c>
      <c r="BI73">
        <v>200</v>
      </c>
      <c r="BJ73" t="s">
        <v>264</v>
      </c>
      <c r="BK73" t="s">
        <v>262</v>
      </c>
      <c r="BL73">
        <v>25</v>
      </c>
      <c r="BM73">
        <v>75</v>
      </c>
      <c r="BN73">
        <v>25</v>
      </c>
      <c r="BO73" t="s">
        <v>264</v>
      </c>
      <c r="BP73">
        <v>25</v>
      </c>
      <c r="BQ73" t="s">
        <v>264</v>
      </c>
      <c r="BR73" t="s">
        <v>262</v>
      </c>
      <c r="BS73">
        <v>25</v>
      </c>
      <c r="BT73">
        <v>75</v>
      </c>
    </row>
    <row r="74" spans="1:72" x14ac:dyDescent="0.25">
      <c r="A74" s="18">
        <v>25</v>
      </c>
      <c r="B74" t="s">
        <v>229</v>
      </c>
      <c r="C74" t="s">
        <v>97</v>
      </c>
      <c r="D74">
        <v>3</v>
      </c>
      <c r="E74">
        <v>9</v>
      </c>
      <c r="F74">
        <v>8</v>
      </c>
      <c r="G74">
        <f t="shared" si="6"/>
        <v>110.5945945945946</v>
      </c>
      <c r="H74" s="91">
        <f t="shared" si="7"/>
        <v>5.4935485807897991E-3</v>
      </c>
      <c r="I74">
        <v>7</v>
      </c>
      <c r="J74">
        <f t="shared" si="8"/>
        <v>7</v>
      </c>
      <c r="K74" s="17">
        <f t="shared" si="5"/>
        <v>19.888888888888889</v>
      </c>
      <c r="L74" s="17">
        <f t="shared" si="9"/>
        <v>10</v>
      </c>
      <c r="M74" t="s">
        <v>271</v>
      </c>
      <c r="N74" t="s">
        <v>281</v>
      </c>
      <c r="P74">
        <v>7.25</v>
      </c>
      <c r="R74">
        <v>5</v>
      </c>
      <c r="S74" t="s">
        <v>262</v>
      </c>
      <c r="T74" t="s">
        <v>102</v>
      </c>
      <c r="U74" t="s">
        <v>262</v>
      </c>
      <c r="V74" t="s">
        <v>102</v>
      </c>
      <c r="W74">
        <v>23</v>
      </c>
      <c r="X74">
        <v>4</v>
      </c>
      <c r="Y74">
        <v>3</v>
      </c>
      <c r="Z74">
        <v>2</v>
      </c>
      <c r="AA74">
        <v>2</v>
      </c>
      <c r="AB74">
        <v>16</v>
      </c>
      <c r="AC74">
        <v>4</v>
      </c>
      <c r="AD74">
        <v>4</v>
      </c>
      <c r="AE74" t="s">
        <v>264</v>
      </c>
      <c r="AF74">
        <v>10</v>
      </c>
      <c r="AG74" t="s">
        <v>102</v>
      </c>
      <c r="AH74">
        <v>10</v>
      </c>
      <c r="AI74" t="s">
        <v>264</v>
      </c>
      <c r="AJ74" t="s">
        <v>264</v>
      </c>
      <c r="AK74" t="s">
        <v>262</v>
      </c>
      <c r="AL74" t="s">
        <v>264</v>
      </c>
      <c r="AM74">
        <v>7</v>
      </c>
      <c r="AN74" t="s">
        <v>262</v>
      </c>
      <c r="AO74">
        <v>27</v>
      </c>
      <c r="AP74" t="s">
        <v>264</v>
      </c>
      <c r="AQ74" t="s">
        <v>264</v>
      </c>
      <c r="AR74">
        <v>10</v>
      </c>
      <c r="AS74" t="s">
        <v>264</v>
      </c>
      <c r="AT74">
        <v>40</v>
      </c>
      <c r="AU74">
        <v>40</v>
      </c>
      <c r="AV74">
        <v>10</v>
      </c>
      <c r="AW74" t="s">
        <v>264</v>
      </c>
      <c r="AX74">
        <v>25</v>
      </c>
      <c r="AY74">
        <v>25</v>
      </c>
      <c r="AZ74">
        <v>75</v>
      </c>
      <c r="BA74">
        <v>25</v>
      </c>
      <c r="BB74">
        <v>25</v>
      </c>
      <c r="BC74">
        <v>25</v>
      </c>
      <c r="BD74">
        <v>75</v>
      </c>
      <c r="BE74">
        <v>75</v>
      </c>
      <c r="BF74">
        <v>25</v>
      </c>
      <c r="BG74">
        <v>750</v>
      </c>
      <c r="BH74">
        <v>750</v>
      </c>
      <c r="BI74">
        <v>750</v>
      </c>
      <c r="BJ74">
        <v>200</v>
      </c>
      <c r="BK74">
        <v>200</v>
      </c>
      <c r="BL74">
        <v>200</v>
      </c>
      <c r="BM74">
        <v>75</v>
      </c>
      <c r="BN74">
        <v>75</v>
      </c>
      <c r="BO74">
        <v>25</v>
      </c>
      <c r="BP74" t="s">
        <v>262</v>
      </c>
      <c r="BQ74" t="s">
        <v>262</v>
      </c>
      <c r="BR74" t="s">
        <v>262</v>
      </c>
      <c r="BS74">
        <v>75</v>
      </c>
      <c r="BT74">
        <v>400</v>
      </c>
    </row>
    <row r="75" spans="1:72" x14ac:dyDescent="0.25">
      <c r="A75" s="18">
        <v>25</v>
      </c>
      <c r="B75" t="s">
        <v>241</v>
      </c>
      <c r="C75" t="s">
        <v>97</v>
      </c>
      <c r="D75">
        <v>3</v>
      </c>
      <c r="E75">
        <v>11</v>
      </c>
      <c r="F75">
        <v>11</v>
      </c>
      <c r="G75">
        <f t="shared" si="6"/>
        <v>193.32075471698113</v>
      </c>
      <c r="H75" s="91">
        <f t="shared" si="7"/>
        <v>9.6027926283893759E-3</v>
      </c>
      <c r="I75">
        <v>338</v>
      </c>
      <c r="J75">
        <f t="shared" si="8"/>
        <v>10</v>
      </c>
      <c r="K75" s="17">
        <f t="shared" si="5"/>
        <v>145.72222222222223</v>
      </c>
      <c r="L75" s="17">
        <f t="shared" si="9"/>
        <v>19</v>
      </c>
      <c r="M75" t="s">
        <v>268</v>
      </c>
      <c r="N75" t="s">
        <v>281</v>
      </c>
      <c r="O75" t="s">
        <v>1</v>
      </c>
      <c r="P75">
        <v>338.45454545454544</v>
      </c>
      <c r="R75">
        <v>421</v>
      </c>
      <c r="S75">
        <v>454</v>
      </c>
      <c r="T75">
        <v>88</v>
      </c>
      <c r="U75">
        <v>393</v>
      </c>
      <c r="V75">
        <v>69</v>
      </c>
      <c r="W75">
        <v>148</v>
      </c>
      <c r="X75">
        <v>100</v>
      </c>
      <c r="Y75">
        <v>200</v>
      </c>
      <c r="Z75">
        <v>686</v>
      </c>
      <c r="AA75">
        <v>674</v>
      </c>
      <c r="AB75">
        <v>862</v>
      </c>
      <c r="AC75">
        <v>346</v>
      </c>
      <c r="AD75">
        <v>157</v>
      </c>
      <c r="AE75">
        <v>150</v>
      </c>
      <c r="AF75">
        <v>350</v>
      </c>
      <c r="AG75">
        <v>550</v>
      </c>
      <c r="AH75">
        <v>200</v>
      </c>
      <c r="AI75">
        <v>150</v>
      </c>
      <c r="AJ75">
        <v>225</v>
      </c>
      <c r="AK75">
        <v>1</v>
      </c>
      <c r="AL75">
        <v>75</v>
      </c>
      <c r="AM75" t="s">
        <v>262</v>
      </c>
      <c r="AN75" t="s">
        <v>262</v>
      </c>
      <c r="AO75">
        <v>20</v>
      </c>
      <c r="AP75">
        <v>27</v>
      </c>
      <c r="AQ75">
        <v>100</v>
      </c>
      <c r="AR75">
        <v>100</v>
      </c>
      <c r="AS75">
        <v>50</v>
      </c>
      <c r="AT75">
        <v>100</v>
      </c>
      <c r="AU75">
        <v>200</v>
      </c>
      <c r="AV75">
        <v>100</v>
      </c>
      <c r="AW75">
        <v>25</v>
      </c>
      <c r="AX75">
        <v>200</v>
      </c>
      <c r="AY75">
        <v>25</v>
      </c>
      <c r="AZ75">
        <v>75</v>
      </c>
      <c r="BA75">
        <v>25</v>
      </c>
      <c r="BB75">
        <v>25</v>
      </c>
      <c r="BC75">
        <v>50</v>
      </c>
      <c r="BD75">
        <v>25</v>
      </c>
      <c r="BE75">
        <v>25</v>
      </c>
      <c r="BF75">
        <v>75</v>
      </c>
      <c r="BG75">
        <v>750</v>
      </c>
      <c r="BH75">
        <v>400</v>
      </c>
      <c r="BI75">
        <v>400</v>
      </c>
      <c r="BJ75">
        <v>25</v>
      </c>
      <c r="BK75">
        <v>75</v>
      </c>
      <c r="BL75">
        <v>25</v>
      </c>
      <c r="BM75">
        <v>75</v>
      </c>
      <c r="BN75">
        <v>200</v>
      </c>
      <c r="BO75">
        <v>75</v>
      </c>
      <c r="BP75">
        <v>75</v>
      </c>
      <c r="BQ75">
        <v>75</v>
      </c>
      <c r="BR75">
        <v>25</v>
      </c>
      <c r="BS75">
        <v>100</v>
      </c>
      <c r="BT75">
        <v>400</v>
      </c>
    </row>
    <row r="76" spans="1:72" x14ac:dyDescent="0.25">
      <c r="A76" s="18">
        <v>26</v>
      </c>
      <c r="B76" t="s">
        <v>250</v>
      </c>
      <c r="C76" t="s">
        <v>97</v>
      </c>
      <c r="D76">
        <v>3</v>
      </c>
      <c r="E76">
        <v>8</v>
      </c>
      <c r="F76">
        <v>3</v>
      </c>
      <c r="G76">
        <f t="shared" si="6"/>
        <v>21.53846153846154</v>
      </c>
      <c r="H76" s="91">
        <f t="shared" si="7"/>
        <v>1.0698767444353395E-3</v>
      </c>
      <c r="J76">
        <f t="shared" si="8"/>
        <v>1</v>
      </c>
      <c r="K76" s="17">
        <f t="shared" si="5"/>
        <v>25</v>
      </c>
      <c r="L76" s="17">
        <f t="shared" si="9"/>
        <v>1</v>
      </c>
      <c r="N76" t="s">
        <v>285</v>
      </c>
      <c r="O76" t="s">
        <v>431</v>
      </c>
      <c r="P76">
        <v>4</v>
      </c>
      <c r="R76" t="s">
        <v>102</v>
      </c>
      <c r="S76" t="s">
        <v>102</v>
      </c>
      <c r="T76" t="s">
        <v>102</v>
      </c>
      <c r="U76" t="s">
        <v>102</v>
      </c>
      <c r="V76" t="s">
        <v>102</v>
      </c>
      <c r="W76" t="s">
        <v>263</v>
      </c>
      <c r="X76" t="s">
        <v>262</v>
      </c>
      <c r="Y76" t="s">
        <v>263</v>
      </c>
      <c r="Z76" t="s">
        <v>262</v>
      </c>
      <c r="AA76">
        <v>4</v>
      </c>
      <c r="AB76" t="s">
        <v>262</v>
      </c>
      <c r="AC76" t="s">
        <v>262</v>
      </c>
      <c r="AD76" t="s">
        <v>262</v>
      </c>
      <c r="AE76" t="s">
        <v>262</v>
      </c>
      <c r="AF76" t="s">
        <v>262</v>
      </c>
      <c r="AG76" t="s">
        <v>102</v>
      </c>
      <c r="AH76" t="s">
        <v>262</v>
      </c>
      <c r="AI76" t="s">
        <v>262</v>
      </c>
      <c r="AJ76" t="s">
        <v>264</v>
      </c>
      <c r="AK76" t="s">
        <v>102</v>
      </c>
      <c r="AL76" t="s">
        <v>264</v>
      </c>
      <c r="AM76" t="s">
        <v>264</v>
      </c>
      <c r="AN76" t="s">
        <v>264</v>
      </c>
      <c r="AO76" t="s">
        <v>262</v>
      </c>
      <c r="AP76" t="s">
        <v>264</v>
      </c>
      <c r="AQ76" t="s">
        <v>264</v>
      </c>
      <c r="AR76" t="s">
        <v>264</v>
      </c>
      <c r="AS76" t="s">
        <v>264</v>
      </c>
      <c r="AT76">
        <v>25</v>
      </c>
      <c r="AU76" t="s">
        <v>264</v>
      </c>
      <c r="AV76" t="s">
        <v>264</v>
      </c>
      <c r="AW76" t="s">
        <v>264</v>
      </c>
      <c r="AX76" t="s">
        <v>102</v>
      </c>
      <c r="AY76">
        <v>25</v>
      </c>
      <c r="AZ76">
        <v>25</v>
      </c>
      <c r="BA76">
        <v>25</v>
      </c>
      <c r="BB76">
        <v>25</v>
      </c>
      <c r="BC76" t="s">
        <v>264</v>
      </c>
      <c r="BD76" t="s">
        <v>264</v>
      </c>
      <c r="BE76" t="s">
        <v>264</v>
      </c>
      <c r="BF76" t="s">
        <v>264</v>
      </c>
      <c r="BG76" t="s">
        <v>264</v>
      </c>
      <c r="BH76" t="s">
        <v>262</v>
      </c>
      <c r="BI76" t="s">
        <v>264</v>
      </c>
      <c r="BJ76">
        <v>25</v>
      </c>
      <c r="BK76" t="s">
        <v>262</v>
      </c>
      <c r="BL76">
        <v>25</v>
      </c>
      <c r="BM76">
        <v>25</v>
      </c>
      <c r="BN76">
        <v>25</v>
      </c>
      <c r="BO76" t="s">
        <v>262</v>
      </c>
      <c r="BP76">
        <v>25</v>
      </c>
      <c r="BQ76" t="s">
        <v>262</v>
      </c>
      <c r="BR76">
        <v>25</v>
      </c>
      <c r="BS76">
        <v>1</v>
      </c>
      <c r="BT76" t="s">
        <v>264</v>
      </c>
    </row>
    <row r="77" spans="1:72" x14ac:dyDescent="0.25">
      <c r="A77" s="18">
        <v>26</v>
      </c>
      <c r="B77" t="s">
        <v>252</v>
      </c>
      <c r="C77" t="s">
        <v>97</v>
      </c>
      <c r="D77">
        <v>2</v>
      </c>
      <c r="E77">
        <v>11</v>
      </c>
      <c r="F77">
        <v>11</v>
      </c>
      <c r="G77">
        <f t="shared" si="6"/>
        <v>402.40384615384613</v>
      </c>
      <c r="H77" s="91">
        <f t="shared" si="7"/>
        <v>1.9988545426169176E-2</v>
      </c>
      <c r="I77">
        <v>244</v>
      </c>
      <c r="J77">
        <f t="shared" si="8"/>
        <v>10</v>
      </c>
      <c r="K77" s="17">
        <f t="shared" ref="K77:K85" si="10">AVERAGE(AE77:AX77)</f>
        <v>137.05882352941177</v>
      </c>
      <c r="L77" s="17">
        <f t="shared" si="9"/>
        <v>18</v>
      </c>
      <c r="M77" t="s">
        <v>269</v>
      </c>
      <c r="N77" t="s">
        <v>281</v>
      </c>
      <c r="O77" t="s">
        <v>1</v>
      </c>
      <c r="P77">
        <v>243.63636363636363</v>
      </c>
      <c r="R77">
        <v>162</v>
      </c>
      <c r="S77">
        <v>228</v>
      </c>
      <c r="T77">
        <v>199</v>
      </c>
      <c r="U77">
        <v>454</v>
      </c>
      <c r="V77">
        <v>379</v>
      </c>
      <c r="W77">
        <v>41</v>
      </c>
      <c r="X77">
        <v>139</v>
      </c>
      <c r="Y77">
        <v>75</v>
      </c>
      <c r="Z77">
        <v>539</v>
      </c>
      <c r="AA77">
        <v>300</v>
      </c>
      <c r="AB77">
        <v>402</v>
      </c>
      <c r="AC77">
        <v>53</v>
      </c>
      <c r="AD77">
        <v>99</v>
      </c>
      <c r="AE77">
        <v>100</v>
      </c>
      <c r="AF77">
        <v>10</v>
      </c>
      <c r="AG77">
        <v>10</v>
      </c>
      <c r="AH77">
        <v>20</v>
      </c>
      <c r="AI77">
        <v>50</v>
      </c>
      <c r="AJ77">
        <v>40</v>
      </c>
      <c r="AK77" t="s">
        <v>264</v>
      </c>
      <c r="AL77">
        <v>100</v>
      </c>
      <c r="AM77">
        <v>100</v>
      </c>
      <c r="AN77">
        <v>400</v>
      </c>
      <c r="AO77">
        <v>650</v>
      </c>
      <c r="AP77" t="s">
        <v>102</v>
      </c>
      <c r="AQ77">
        <v>100</v>
      </c>
      <c r="AR77">
        <v>500</v>
      </c>
      <c r="AS77">
        <v>100</v>
      </c>
      <c r="AT77">
        <v>40</v>
      </c>
      <c r="AU77" t="s">
        <v>262</v>
      </c>
      <c r="AV77">
        <v>60</v>
      </c>
      <c r="AW77">
        <v>25</v>
      </c>
      <c r="AX77">
        <v>25</v>
      </c>
      <c r="AY77">
        <v>200</v>
      </c>
      <c r="AZ77">
        <v>750</v>
      </c>
      <c r="BA77">
        <v>400</v>
      </c>
      <c r="BB77">
        <v>200</v>
      </c>
      <c r="BC77">
        <v>200</v>
      </c>
      <c r="BD77">
        <v>200</v>
      </c>
      <c r="BE77">
        <v>25</v>
      </c>
      <c r="BF77">
        <v>25</v>
      </c>
      <c r="BG77">
        <v>3500</v>
      </c>
      <c r="BH77">
        <v>400</v>
      </c>
      <c r="BI77">
        <v>25</v>
      </c>
      <c r="BJ77">
        <v>750</v>
      </c>
      <c r="BK77">
        <v>200</v>
      </c>
      <c r="BL77">
        <v>400</v>
      </c>
      <c r="BM77">
        <v>750</v>
      </c>
      <c r="BN77">
        <v>200</v>
      </c>
      <c r="BO77">
        <v>3500</v>
      </c>
      <c r="BP77">
        <v>400</v>
      </c>
      <c r="BQ77">
        <v>400</v>
      </c>
      <c r="BR77">
        <v>750</v>
      </c>
      <c r="BS77">
        <v>750</v>
      </c>
      <c r="BT77">
        <v>1500</v>
      </c>
    </row>
    <row r="78" spans="1:72" x14ac:dyDescent="0.25">
      <c r="A78" s="18">
        <v>26</v>
      </c>
      <c r="B78" t="s">
        <v>257</v>
      </c>
      <c r="C78" t="s">
        <v>97</v>
      </c>
      <c r="D78">
        <v>3</v>
      </c>
      <c r="E78">
        <v>10</v>
      </c>
      <c r="F78">
        <v>4</v>
      </c>
      <c r="G78">
        <f t="shared" si="6"/>
        <v>64.07692307692308</v>
      </c>
      <c r="H78" s="91">
        <f t="shared" si="7"/>
        <v>3.182883314695135E-3</v>
      </c>
      <c r="I78">
        <v>10</v>
      </c>
      <c r="J78">
        <f t="shared" si="8"/>
        <v>3</v>
      </c>
      <c r="K78" s="17">
        <f t="shared" si="10"/>
        <v>103.85714285714286</v>
      </c>
      <c r="L78" s="17">
        <f t="shared" si="9"/>
        <v>7</v>
      </c>
      <c r="N78" t="s">
        <v>285</v>
      </c>
      <c r="O78" t="s">
        <v>434</v>
      </c>
      <c r="P78">
        <v>10.333333333333334</v>
      </c>
      <c r="R78" t="s">
        <v>102</v>
      </c>
      <c r="S78" t="s">
        <v>102</v>
      </c>
      <c r="T78" t="s">
        <v>102</v>
      </c>
      <c r="U78" t="s">
        <v>262</v>
      </c>
      <c r="V78">
        <v>26</v>
      </c>
      <c r="W78" t="s">
        <v>262</v>
      </c>
      <c r="X78" t="s">
        <v>262</v>
      </c>
      <c r="Y78" t="s">
        <v>263</v>
      </c>
      <c r="Z78" t="s">
        <v>262</v>
      </c>
      <c r="AA78">
        <v>4</v>
      </c>
      <c r="AB78">
        <v>1</v>
      </c>
      <c r="AC78" t="s">
        <v>262</v>
      </c>
      <c r="AD78" t="s">
        <v>262</v>
      </c>
      <c r="AE78" t="s">
        <v>102</v>
      </c>
      <c r="AF78" t="s">
        <v>262</v>
      </c>
      <c r="AG78" t="s">
        <v>262</v>
      </c>
      <c r="AH78">
        <v>20</v>
      </c>
      <c r="AI78">
        <v>10</v>
      </c>
      <c r="AJ78">
        <v>12</v>
      </c>
      <c r="AK78" t="s">
        <v>102</v>
      </c>
      <c r="AL78" t="s">
        <v>264</v>
      </c>
      <c r="AM78" t="s">
        <v>264</v>
      </c>
      <c r="AN78">
        <v>250</v>
      </c>
      <c r="AO78">
        <v>400</v>
      </c>
      <c r="AP78" t="s">
        <v>264</v>
      </c>
      <c r="AQ78">
        <v>10</v>
      </c>
      <c r="AR78" t="s">
        <v>264</v>
      </c>
      <c r="AS78" t="s">
        <v>264</v>
      </c>
      <c r="AT78" t="s">
        <v>264</v>
      </c>
      <c r="AU78" t="s">
        <v>262</v>
      </c>
      <c r="AV78" t="s">
        <v>264</v>
      </c>
      <c r="AW78" t="s">
        <v>264</v>
      </c>
      <c r="AX78">
        <v>25</v>
      </c>
      <c r="AY78" t="s">
        <v>264</v>
      </c>
      <c r="AZ78" t="s">
        <v>264</v>
      </c>
      <c r="BA78">
        <v>25</v>
      </c>
      <c r="BB78" t="s">
        <v>264</v>
      </c>
      <c r="BC78">
        <v>25</v>
      </c>
      <c r="BD78" t="s">
        <v>264</v>
      </c>
      <c r="BE78" t="s">
        <v>264</v>
      </c>
      <c r="BF78" t="s">
        <v>264</v>
      </c>
      <c r="BG78">
        <v>25</v>
      </c>
      <c r="BH78" t="s">
        <v>264</v>
      </c>
      <c r="BI78" t="s">
        <v>264</v>
      </c>
      <c r="BJ78" t="s">
        <v>264</v>
      </c>
      <c r="BK78" t="s">
        <v>264</v>
      </c>
      <c r="BL78" t="s">
        <v>264</v>
      </c>
      <c r="BM78" t="s">
        <v>264</v>
      </c>
      <c r="BN78" t="s">
        <v>264</v>
      </c>
      <c r="BO78" t="s">
        <v>264</v>
      </c>
      <c r="BP78" t="s">
        <v>264</v>
      </c>
      <c r="BQ78" t="s">
        <v>264</v>
      </c>
      <c r="BR78" t="s">
        <v>264</v>
      </c>
      <c r="BS78" t="s">
        <v>264</v>
      </c>
      <c r="BT78" t="s">
        <v>264</v>
      </c>
    </row>
    <row r="79" spans="1:72" x14ac:dyDescent="0.25">
      <c r="A79" s="18">
        <v>26</v>
      </c>
      <c r="B79" t="s">
        <v>251</v>
      </c>
      <c r="C79" t="s">
        <v>97</v>
      </c>
      <c r="D79">
        <v>2</v>
      </c>
      <c r="E79">
        <v>11</v>
      </c>
      <c r="F79">
        <v>11</v>
      </c>
      <c r="G79">
        <f t="shared" si="6"/>
        <v>438.70588235294116</v>
      </c>
      <c r="H79" s="91">
        <f t="shared" si="7"/>
        <v>2.1791770983189896E-2</v>
      </c>
      <c r="I79">
        <v>389</v>
      </c>
      <c r="J79">
        <f t="shared" si="8"/>
        <v>10</v>
      </c>
      <c r="K79" s="17">
        <f t="shared" si="10"/>
        <v>113.4375</v>
      </c>
      <c r="L79" s="17">
        <f t="shared" si="9"/>
        <v>17</v>
      </c>
      <c r="M79" t="s">
        <v>269</v>
      </c>
      <c r="N79" t="s">
        <v>281</v>
      </c>
      <c r="O79" t="s">
        <v>1</v>
      </c>
      <c r="P79">
        <v>389.09090909090907</v>
      </c>
      <c r="R79">
        <v>193</v>
      </c>
      <c r="S79">
        <v>536</v>
      </c>
      <c r="T79">
        <v>488</v>
      </c>
      <c r="U79">
        <v>343</v>
      </c>
      <c r="V79">
        <v>358</v>
      </c>
      <c r="W79">
        <v>251</v>
      </c>
      <c r="X79">
        <v>415</v>
      </c>
      <c r="Y79">
        <v>105</v>
      </c>
      <c r="Z79">
        <v>453</v>
      </c>
      <c r="AA79">
        <v>824</v>
      </c>
      <c r="AB79">
        <v>558</v>
      </c>
      <c r="AC79">
        <v>219</v>
      </c>
      <c r="AD79">
        <v>266</v>
      </c>
      <c r="AE79">
        <v>150</v>
      </c>
      <c r="AF79">
        <v>20</v>
      </c>
      <c r="AG79" t="s">
        <v>262</v>
      </c>
      <c r="AH79">
        <v>20</v>
      </c>
      <c r="AI79">
        <v>10</v>
      </c>
      <c r="AJ79">
        <v>30</v>
      </c>
      <c r="AK79" t="s">
        <v>262</v>
      </c>
      <c r="AL79">
        <v>100</v>
      </c>
      <c r="AM79">
        <v>100</v>
      </c>
      <c r="AN79">
        <v>300</v>
      </c>
      <c r="AO79">
        <v>400</v>
      </c>
      <c r="AP79">
        <v>300</v>
      </c>
      <c r="AQ79" t="s">
        <v>264</v>
      </c>
      <c r="AR79">
        <v>100</v>
      </c>
      <c r="AS79" t="s">
        <v>264</v>
      </c>
      <c r="AT79">
        <v>60</v>
      </c>
      <c r="AU79">
        <v>50</v>
      </c>
      <c r="AV79">
        <v>75</v>
      </c>
      <c r="AW79">
        <v>25</v>
      </c>
      <c r="AX79">
        <v>75</v>
      </c>
      <c r="AY79">
        <v>200</v>
      </c>
      <c r="AZ79">
        <v>1500</v>
      </c>
      <c r="BA79">
        <v>300</v>
      </c>
      <c r="BB79">
        <v>750</v>
      </c>
      <c r="BC79">
        <v>750</v>
      </c>
      <c r="BD79">
        <v>750</v>
      </c>
      <c r="BE79">
        <v>750</v>
      </c>
      <c r="BF79">
        <v>400</v>
      </c>
      <c r="BG79">
        <v>3500</v>
      </c>
      <c r="BH79">
        <v>400</v>
      </c>
      <c r="BI79">
        <v>1500</v>
      </c>
      <c r="BJ79">
        <v>400</v>
      </c>
      <c r="BK79">
        <v>400</v>
      </c>
      <c r="BL79">
        <v>200</v>
      </c>
      <c r="BM79">
        <v>75</v>
      </c>
      <c r="BN79">
        <v>75</v>
      </c>
      <c r="BO79">
        <v>200</v>
      </c>
      <c r="BP79">
        <v>750</v>
      </c>
      <c r="BQ79">
        <v>400</v>
      </c>
      <c r="BR79">
        <v>750</v>
      </c>
      <c r="BS79">
        <v>750</v>
      </c>
      <c r="BT79">
        <v>750</v>
      </c>
    </row>
    <row r="80" spans="1:72" x14ac:dyDescent="0.25">
      <c r="A80" s="18">
        <v>26</v>
      </c>
      <c r="B80" t="s">
        <v>256</v>
      </c>
      <c r="C80" t="s">
        <v>97</v>
      </c>
      <c r="D80">
        <v>3</v>
      </c>
      <c r="E80">
        <v>10</v>
      </c>
      <c r="F80">
        <v>6</v>
      </c>
      <c r="G80">
        <f t="shared" si="6"/>
        <v>32.176470588235297</v>
      </c>
      <c r="H80" s="91">
        <f t="shared" si="7"/>
        <v>1.5982969600167435E-3</v>
      </c>
      <c r="I80">
        <v>50</v>
      </c>
      <c r="J80">
        <f t="shared" si="8"/>
        <v>2</v>
      </c>
      <c r="K80" s="17">
        <f t="shared" si="10"/>
        <v>29.4</v>
      </c>
      <c r="L80" s="17">
        <f t="shared" si="9"/>
        <v>5</v>
      </c>
      <c r="M80" t="s">
        <v>271</v>
      </c>
      <c r="N80" t="s">
        <v>281</v>
      </c>
      <c r="O80" t="s">
        <v>438</v>
      </c>
      <c r="P80">
        <v>50</v>
      </c>
      <c r="R80" t="s">
        <v>102</v>
      </c>
      <c r="S80" t="s">
        <v>102</v>
      </c>
      <c r="T80" t="s">
        <v>102</v>
      </c>
      <c r="U80" t="s">
        <v>262</v>
      </c>
      <c r="V80" t="s">
        <v>262</v>
      </c>
      <c r="W80" t="s">
        <v>262</v>
      </c>
      <c r="X80" t="s">
        <v>262</v>
      </c>
      <c r="Y80" t="s">
        <v>263</v>
      </c>
      <c r="Z80" t="s">
        <v>263</v>
      </c>
      <c r="AA80">
        <v>60</v>
      </c>
      <c r="AB80">
        <v>40</v>
      </c>
      <c r="AC80" t="s">
        <v>262</v>
      </c>
      <c r="AD80" t="s">
        <v>263</v>
      </c>
      <c r="AE80" t="s">
        <v>262</v>
      </c>
      <c r="AF80" t="s">
        <v>262</v>
      </c>
      <c r="AG80">
        <v>20</v>
      </c>
      <c r="AH80">
        <v>65</v>
      </c>
      <c r="AI80" t="s">
        <v>262</v>
      </c>
      <c r="AJ80">
        <v>25</v>
      </c>
      <c r="AK80" t="s">
        <v>264</v>
      </c>
      <c r="AL80" t="s">
        <v>264</v>
      </c>
      <c r="AM80" t="s">
        <v>264</v>
      </c>
      <c r="AN80" t="s">
        <v>264</v>
      </c>
      <c r="AO80" t="s">
        <v>262</v>
      </c>
      <c r="AP80" t="s">
        <v>264</v>
      </c>
      <c r="AQ80" t="s">
        <v>264</v>
      </c>
      <c r="AR80" t="s">
        <v>264</v>
      </c>
      <c r="AS80" t="s">
        <v>262</v>
      </c>
      <c r="AT80">
        <v>12</v>
      </c>
      <c r="AU80" t="s">
        <v>262</v>
      </c>
      <c r="AV80" t="s">
        <v>264</v>
      </c>
      <c r="AW80" t="s">
        <v>264</v>
      </c>
      <c r="AX80">
        <v>25</v>
      </c>
      <c r="AY80">
        <v>25</v>
      </c>
      <c r="AZ80" t="s">
        <v>264</v>
      </c>
      <c r="BA80" t="s">
        <v>264</v>
      </c>
      <c r="BB80" t="s">
        <v>264</v>
      </c>
      <c r="BC80" t="s">
        <v>264</v>
      </c>
      <c r="BD80">
        <v>25</v>
      </c>
      <c r="BE80">
        <v>25</v>
      </c>
      <c r="BF80" t="s">
        <v>264</v>
      </c>
      <c r="BG80">
        <v>25</v>
      </c>
      <c r="BH80" t="s">
        <v>262</v>
      </c>
      <c r="BI80" t="s">
        <v>262</v>
      </c>
      <c r="BJ80" t="s">
        <v>262</v>
      </c>
      <c r="BK80" t="s">
        <v>262</v>
      </c>
      <c r="BL80">
        <v>25</v>
      </c>
      <c r="BM80">
        <v>25</v>
      </c>
      <c r="BN80" t="s">
        <v>262</v>
      </c>
      <c r="BO80" t="s">
        <v>264</v>
      </c>
      <c r="BP80">
        <v>25</v>
      </c>
      <c r="BQ80">
        <v>25</v>
      </c>
      <c r="BR80">
        <v>25</v>
      </c>
      <c r="BS80" t="s">
        <v>264</v>
      </c>
      <c r="BT80">
        <v>75</v>
      </c>
    </row>
    <row r="81" spans="1:74" x14ac:dyDescent="0.25">
      <c r="A81" s="18">
        <v>26</v>
      </c>
      <c r="B81" t="s">
        <v>255</v>
      </c>
      <c r="C81" t="s">
        <v>97</v>
      </c>
      <c r="D81">
        <v>3</v>
      </c>
      <c r="E81">
        <v>10</v>
      </c>
      <c r="F81">
        <v>7</v>
      </c>
      <c r="G81">
        <f t="shared" si="6"/>
        <v>134.33333333333334</v>
      </c>
      <c r="H81" s="91">
        <f t="shared" si="7"/>
        <v>6.6727193620199337E-3</v>
      </c>
      <c r="I81">
        <v>29</v>
      </c>
      <c r="J81">
        <f t="shared" si="8"/>
        <v>5</v>
      </c>
      <c r="K81" s="17">
        <f t="shared" si="10"/>
        <v>40.18181818181818</v>
      </c>
      <c r="L81" s="17">
        <f t="shared" si="9"/>
        <v>11</v>
      </c>
      <c r="N81" t="s">
        <v>285</v>
      </c>
      <c r="O81" t="s">
        <v>425</v>
      </c>
      <c r="P81">
        <v>28.8</v>
      </c>
      <c r="R81" t="s">
        <v>102</v>
      </c>
      <c r="S81" t="s">
        <v>102</v>
      </c>
      <c r="T81" t="s">
        <v>102</v>
      </c>
      <c r="U81" t="s">
        <v>262</v>
      </c>
      <c r="V81">
        <v>17</v>
      </c>
      <c r="W81">
        <v>2</v>
      </c>
      <c r="X81">
        <v>5</v>
      </c>
      <c r="Y81" t="s">
        <v>263</v>
      </c>
      <c r="Z81" t="s">
        <v>263</v>
      </c>
      <c r="AA81">
        <v>20</v>
      </c>
      <c r="AB81" t="s">
        <v>262</v>
      </c>
      <c r="AC81">
        <v>100</v>
      </c>
      <c r="AD81" t="s">
        <v>262</v>
      </c>
      <c r="AE81">
        <v>30</v>
      </c>
      <c r="AF81" t="s">
        <v>262</v>
      </c>
      <c r="AG81" t="s">
        <v>262</v>
      </c>
      <c r="AH81">
        <v>25</v>
      </c>
      <c r="AI81">
        <v>3</v>
      </c>
      <c r="AJ81">
        <v>100</v>
      </c>
      <c r="AK81" t="s">
        <v>262</v>
      </c>
      <c r="AL81">
        <v>25</v>
      </c>
      <c r="AM81" t="s">
        <v>264</v>
      </c>
      <c r="AN81">
        <v>50</v>
      </c>
      <c r="AO81">
        <v>50</v>
      </c>
      <c r="AP81" t="s">
        <v>264</v>
      </c>
      <c r="AQ81" t="s">
        <v>264</v>
      </c>
      <c r="AR81" t="s">
        <v>264</v>
      </c>
      <c r="AS81">
        <v>100</v>
      </c>
      <c r="AT81">
        <v>30</v>
      </c>
      <c r="AU81" t="s">
        <v>262</v>
      </c>
      <c r="AV81">
        <v>4</v>
      </c>
      <c r="AW81" t="s">
        <v>264</v>
      </c>
      <c r="AX81">
        <v>25</v>
      </c>
      <c r="AY81">
        <v>75</v>
      </c>
      <c r="AZ81">
        <v>200</v>
      </c>
      <c r="BA81">
        <v>200</v>
      </c>
      <c r="BB81">
        <v>75</v>
      </c>
      <c r="BC81">
        <v>75</v>
      </c>
      <c r="BD81">
        <v>25</v>
      </c>
      <c r="BE81" t="s">
        <v>262</v>
      </c>
      <c r="BF81">
        <v>25</v>
      </c>
      <c r="BG81">
        <v>25</v>
      </c>
      <c r="BH81">
        <v>25</v>
      </c>
      <c r="BI81">
        <v>25</v>
      </c>
      <c r="BJ81">
        <v>25</v>
      </c>
      <c r="BK81" t="s">
        <v>262</v>
      </c>
      <c r="BL81">
        <v>750</v>
      </c>
      <c r="BM81">
        <v>75</v>
      </c>
      <c r="BN81">
        <v>75</v>
      </c>
      <c r="BO81">
        <v>75</v>
      </c>
      <c r="BP81">
        <v>750</v>
      </c>
      <c r="BQ81">
        <v>400</v>
      </c>
      <c r="BR81">
        <v>200</v>
      </c>
      <c r="BS81">
        <v>400</v>
      </c>
      <c r="BT81">
        <v>750</v>
      </c>
    </row>
    <row r="82" spans="1:74" x14ac:dyDescent="0.25">
      <c r="A82" s="18">
        <v>26</v>
      </c>
      <c r="B82" t="s">
        <v>265</v>
      </c>
      <c r="C82" t="s">
        <v>97</v>
      </c>
      <c r="D82">
        <v>3</v>
      </c>
      <c r="E82">
        <v>7</v>
      </c>
      <c r="F82">
        <v>7</v>
      </c>
      <c r="G82">
        <f t="shared" si="6"/>
        <v>100.80769230769231</v>
      </c>
      <c r="H82" s="91">
        <f t="shared" si="7"/>
        <v>5.0074052627946874E-3</v>
      </c>
      <c r="I82">
        <v>17</v>
      </c>
      <c r="J82">
        <f t="shared" si="8"/>
        <v>4</v>
      </c>
      <c r="K82" s="17">
        <f t="shared" si="10"/>
        <v>60.333333333333336</v>
      </c>
      <c r="L82" s="17">
        <f t="shared" si="9"/>
        <v>7</v>
      </c>
      <c r="M82" t="s">
        <v>271</v>
      </c>
      <c r="N82" t="s">
        <v>281</v>
      </c>
      <c r="O82" t="s">
        <v>437</v>
      </c>
      <c r="P82">
        <v>16.8</v>
      </c>
      <c r="R82" t="s">
        <v>102</v>
      </c>
      <c r="S82" t="s">
        <v>102</v>
      </c>
      <c r="T82" t="s">
        <v>102</v>
      </c>
      <c r="U82" t="s">
        <v>102</v>
      </c>
      <c r="V82">
        <v>15</v>
      </c>
      <c r="W82">
        <v>6</v>
      </c>
      <c r="X82">
        <v>1</v>
      </c>
      <c r="Y82" t="s">
        <v>263</v>
      </c>
      <c r="Z82" t="s">
        <v>263</v>
      </c>
      <c r="AA82" t="s">
        <v>102</v>
      </c>
      <c r="AB82" t="s">
        <v>102</v>
      </c>
      <c r="AC82">
        <v>59</v>
      </c>
      <c r="AD82">
        <v>3</v>
      </c>
      <c r="AE82" t="s">
        <v>264</v>
      </c>
      <c r="AF82" t="s">
        <v>262</v>
      </c>
      <c r="AG82">
        <v>12</v>
      </c>
      <c r="AH82">
        <v>40</v>
      </c>
      <c r="AI82" t="s">
        <v>262</v>
      </c>
      <c r="AJ82" t="s">
        <v>262</v>
      </c>
      <c r="AK82" t="s">
        <v>102</v>
      </c>
      <c r="AL82" t="s">
        <v>264</v>
      </c>
      <c r="AM82" t="s">
        <v>264</v>
      </c>
      <c r="AN82">
        <v>50</v>
      </c>
      <c r="AO82" t="s">
        <v>262</v>
      </c>
      <c r="AP82" t="s">
        <v>264</v>
      </c>
      <c r="AQ82" t="s">
        <v>264</v>
      </c>
      <c r="AR82">
        <v>50</v>
      </c>
      <c r="AS82" t="s">
        <v>264</v>
      </c>
      <c r="AT82">
        <v>10</v>
      </c>
      <c r="AU82" t="s">
        <v>262</v>
      </c>
      <c r="AV82" t="s">
        <v>264</v>
      </c>
      <c r="AW82" t="s">
        <v>264</v>
      </c>
      <c r="AX82">
        <v>200</v>
      </c>
      <c r="AY82">
        <v>25</v>
      </c>
      <c r="AZ82" t="s">
        <v>264</v>
      </c>
      <c r="BA82">
        <v>75</v>
      </c>
      <c r="BB82">
        <v>25</v>
      </c>
      <c r="BC82">
        <v>400</v>
      </c>
      <c r="BD82">
        <v>200</v>
      </c>
      <c r="BE82">
        <v>400</v>
      </c>
      <c r="BF82">
        <v>25</v>
      </c>
      <c r="BG82">
        <v>75</v>
      </c>
      <c r="BH82" t="s">
        <v>264</v>
      </c>
      <c r="BI82" t="s">
        <v>262</v>
      </c>
      <c r="BJ82" t="s">
        <v>262</v>
      </c>
      <c r="BK82">
        <v>200</v>
      </c>
      <c r="BL82">
        <v>25</v>
      </c>
      <c r="BM82" t="s">
        <v>262</v>
      </c>
      <c r="BN82" t="s">
        <v>262</v>
      </c>
      <c r="BO82">
        <v>200</v>
      </c>
      <c r="BP82">
        <v>25</v>
      </c>
      <c r="BQ82">
        <v>400</v>
      </c>
      <c r="BR82">
        <v>75</v>
      </c>
      <c r="BS82">
        <v>25</v>
      </c>
      <c r="BT82" t="s">
        <v>264</v>
      </c>
    </row>
    <row r="83" spans="1:74" x14ac:dyDescent="0.25">
      <c r="A83" s="18">
        <v>26</v>
      </c>
      <c r="B83" t="s">
        <v>249</v>
      </c>
      <c r="C83" t="s">
        <v>97</v>
      </c>
      <c r="D83">
        <v>3</v>
      </c>
      <c r="E83">
        <v>7</v>
      </c>
      <c r="F83">
        <v>2</v>
      </c>
      <c r="G83">
        <f t="shared" si="6"/>
        <v>37</v>
      </c>
      <c r="H83" s="91">
        <f t="shared" si="7"/>
        <v>1.8378954074049938E-3</v>
      </c>
      <c r="I83">
        <v>5</v>
      </c>
      <c r="J83">
        <f t="shared" si="8"/>
        <v>2</v>
      </c>
      <c r="K83" s="17">
        <f t="shared" si="10"/>
        <v>20</v>
      </c>
      <c r="L83" s="17">
        <f t="shared" si="9"/>
        <v>1</v>
      </c>
      <c r="N83" t="s">
        <v>285</v>
      </c>
      <c r="O83" t="s">
        <v>415</v>
      </c>
      <c r="P83">
        <v>5</v>
      </c>
      <c r="R83" t="s">
        <v>102</v>
      </c>
      <c r="S83" t="s">
        <v>102</v>
      </c>
      <c r="T83" t="s">
        <v>102</v>
      </c>
      <c r="U83" t="s">
        <v>262</v>
      </c>
      <c r="V83" t="s">
        <v>102</v>
      </c>
      <c r="W83" t="s">
        <v>102</v>
      </c>
      <c r="X83" t="s">
        <v>102</v>
      </c>
      <c r="Y83" t="s">
        <v>262</v>
      </c>
      <c r="Z83" t="s">
        <v>102</v>
      </c>
      <c r="AA83">
        <v>4</v>
      </c>
      <c r="AB83">
        <v>6</v>
      </c>
      <c r="AC83" t="s">
        <v>262</v>
      </c>
      <c r="AD83" t="s">
        <v>262</v>
      </c>
      <c r="AE83" t="s">
        <v>262</v>
      </c>
      <c r="AF83" t="s">
        <v>262</v>
      </c>
      <c r="AG83">
        <v>20</v>
      </c>
      <c r="AH83" t="s">
        <v>262</v>
      </c>
      <c r="AI83" t="s">
        <v>262</v>
      </c>
      <c r="AJ83" t="s">
        <v>264</v>
      </c>
      <c r="AK83" t="s">
        <v>264</v>
      </c>
      <c r="AL83" t="s">
        <v>264</v>
      </c>
      <c r="AM83" t="s">
        <v>264</v>
      </c>
      <c r="AN83" t="s">
        <v>264</v>
      </c>
      <c r="AO83" t="s">
        <v>262</v>
      </c>
      <c r="AP83" t="s">
        <v>264</v>
      </c>
      <c r="AQ83" t="s">
        <v>264</v>
      </c>
      <c r="AR83" t="s">
        <v>264</v>
      </c>
      <c r="AS83" t="s">
        <v>264</v>
      </c>
      <c r="AT83" t="s">
        <v>264</v>
      </c>
      <c r="AU83" t="s">
        <v>262</v>
      </c>
      <c r="AV83" t="s">
        <v>264</v>
      </c>
      <c r="AW83" t="s">
        <v>264</v>
      </c>
      <c r="AX83" t="s">
        <v>264</v>
      </c>
      <c r="AY83" t="s">
        <v>264</v>
      </c>
      <c r="AZ83" t="s">
        <v>264</v>
      </c>
      <c r="BA83" t="s">
        <v>264</v>
      </c>
      <c r="BB83">
        <v>25</v>
      </c>
      <c r="BC83">
        <v>75</v>
      </c>
      <c r="BD83">
        <v>25</v>
      </c>
      <c r="BE83">
        <v>25</v>
      </c>
      <c r="BF83" t="s">
        <v>262</v>
      </c>
      <c r="BG83">
        <v>25</v>
      </c>
      <c r="BH83">
        <v>25</v>
      </c>
      <c r="BI83" t="s">
        <v>262</v>
      </c>
      <c r="BJ83">
        <v>25</v>
      </c>
      <c r="BK83">
        <v>25</v>
      </c>
      <c r="BL83">
        <v>25</v>
      </c>
      <c r="BM83">
        <v>200</v>
      </c>
      <c r="BN83">
        <v>25</v>
      </c>
      <c r="BO83">
        <v>25</v>
      </c>
      <c r="BP83" t="s">
        <v>264</v>
      </c>
      <c r="BQ83" t="s">
        <v>264</v>
      </c>
      <c r="BR83" t="s">
        <v>264</v>
      </c>
      <c r="BS83" t="s">
        <v>264</v>
      </c>
      <c r="BT83" t="s">
        <v>264</v>
      </c>
    </row>
    <row r="84" spans="1:74" x14ac:dyDescent="0.25">
      <c r="A84" s="18">
        <v>26</v>
      </c>
      <c r="B84" t="s">
        <v>266</v>
      </c>
      <c r="C84" t="s">
        <v>97</v>
      </c>
      <c r="D84">
        <v>5</v>
      </c>
      <c r="E84">
        <v>4</v>
      </c>
      <c r="F84">
        <v>4</v>
      </c>
      <c r="G84">
        <f t="shared" si="6"/>
        <v>114.08333333333333</v>
      </c>
      <c r="H84" s="91">
        <f t="shared" si="7"/>
        <v>5.6668441728320645E-3</v>
      </c>
      <c r="I84">
        <v>53</v>
      </c>
      <c r="J84">
        <f t="shared" si="8"/>
        <v>2</v>
      </c>
      <c r="K84" s="17">
        <f t="shared" si="10"/>
        <v>130</v>
      </c>
      <c r="L84" s="17">
        <f t="shared" si="9"/>
        <v>7</v>
      </c>
      <c r="N84" t="s">
        <v>280</v>
      </c>
      <c r="O84" t="s">
        <v>436</v>
      </c>
      <c r="P84">
        <v>52.666666666666664</v>
      </c>
      <c r="R84" t="s">
        <v>102</v>
      </c>
      <c r="S84" t="s">
        <v>102</v>
      </c>
      <c r="T84" t="s">
        <v>102</v>
      </c>
      <c r="U84" t="s">
        <v>102</v>
      </c>
      <c r="V84" t="s">
        <v>102</v>
      </c>
      <c r="W84">
        <v>3</v>
      </c>
      <c r="X84" t="s">
        <v>102</v>
      </c>
      <c r="Y84" t="s">
        <v>263</v>
      </c>
      <c r="Z84" t="s">
        <v>102</v>
      </c>
      <c r="AA84" t="s">
        <v>102</v>
      </c>
      <c r="AB84" t="s">
        <v>102</v>
      </c>
      <c r="AC84">
        <v>135</v>
      </c>
      <c r="AD84">
        <v>20</v>
      </c>
      <c r="AE84">
        <v>100</v>
      </c>
      <c r="AF84" t="s">
        <v>262</v>
      </c>
      <c r="AG84" t="s">
        <v>262</v>
      </c>
      <c r="AH84">
        <v>5</v>
      </c>
      <c r="AI84" t="s">
        <v>262</v>
      </c>
      <c r="AJ84" t="s">
        <v>262</v>
      </c>
      <c r="AK84" t="s">
        <v>102</v>
      </c>
      <c r="AL84" t="s">
        <v>264</v>
      </c>
      <c r="AM84">
        <v>100</v>
      </c>
      <c r="AN84">
        <v>150</v>
      </c>
      <c r="AO84" t="s">
        <v>262</v>
      </c>
      <c r="AP84" t="s">
        <v>264</v>
      </c>
      <c r="AQ84" t="s">
        <v>264</v>
      </c>
      <c r="AR84" t="s">
        <v>264</v>
      </c>
      <c r="AS84" t="s">
        <v>264</v>
      </c>
      <c r="AT84" t="s">
        <v>264</v>
      </c>
      <c r="AU84" t="s">
        <v>262</v>
      </c>
      <c r="AV84" t="s">
        <v>264</v>
      </c>
      <c r="AW84">
        <v>400</v>
      </c>
      <c r="AX84">
        <v>25</v>
      </c>
      <c r="AY84" t="s">
        <v>264</v>
      </c>
      <c r="AZ84">
        <v>75</v>
      </c>
      <c r="BA84" t="s">
        <v>264</v>
      </c>
      <c r="BB84">
        <v>25</v>
      </c>
      <c r="BC84">
        <v>25</v>
      </c>
      <c r="BD84">
        <v>25</v>
      </c>
      <c r="BE84" t="s">
        <v>262</v>
      </c>
      <c r="BF84" t="s">
        <v>264</v>
      </c>
      <c r="BG84">
        <v>25</v>
      </c>
      <c r="BH84" t="s">
        <v>264</v>
      </c>
      <c r="BI84">
        <v>25</v>
      </c>
      <c r="BJ84" t="s">
        <v>262</v>
      </c>
      <c r="BK84">
        <v>25</v>
      </c>
      <c r="BL84">
        <v>25</v>
      </c>
      <c r="BM84">
        <v>400</v>
      </c>
      <c r="BN84" t="s">
        <v>262</v>
      </c>
      <c r="BO84">
        <v>200</v>
      </c>
      <c r="BP84">
        <v>75</v>
      </c>
      <c r="BQ84">
        <v>200</v>
      </c>
      <c r="BR84">
        <v>75</v>
      </c>
      <c r="BS84">
        <v>200</v>
      </c>
      <c r="BT84">
        <v>400</v>
      </c>
    </row>
    <row r="85" spans="1:74" x14ac:dyDescent="0.25">
      <c r="A85" s="18">
        <v>26</v>
      </c>
      <c r="B85" t="s">
        <v>253</v>
      </c>
      <c r="C85" t="s">
        <v>97</v>
      </c>
      <c r="D85">
        <v>2</v>
      </c>
      <c r="E85">
        <v>11</v>
      </c>
      <c r="F85">
        <v>11</v>
      </c>
      <c r="G85">
        <f t="shared" si="6"/>
        <v>949.4</v>
      </c>
      <c r="H85" s="91">
        <f t="shared" si="7"/>
        <v>4.7159402697035169E-2</v>
      </c>
      <c r="I85">
        <v>519</v>
      </c>
      <c r="J85">
        <f t="shared" si="8"/>
        <v>10</v>
      </c>
      <c r="K85" s="17">
        <f t="shared" si="10"/>
        <v>478.5</v>
      </c>
      <c r="L85" s="17">
        <f t="shared" si="9"/>
        <v>21</v>
      </c>
      <c r="M85" t="s">
        <v>269</v>
      </c>
      <c r="N85" t="s">
        <v>281</v>
      </c>
      <c r="O85" t="s">
        <v>1</v>
      </c>
      <c r="P85">
        <v>519.27272727272725</v>
      </c>
      <c r="R85">
        <v>234</v>
      </c>
      <c r="S85">
        <v>76</v>
      </c>
      <c r="T85">
        <v>121</v>
      </c>
      <c r="U85">
        <v>495</v>
      </c>
      <c r="V85">
        <v>440</v>
      </c>
      <c r="W85">
        <v>308</v>
      </c>
      <c r="X85">
        <v>237</v>
      </c>
      <c r="Y85">
        <v>391</v>
      </c>
      <c r="Z85">
        <v>879</v>
      </c>
      <c r="AA85">
        <v>1430</v>
      </c>
      <c r="AB85">
        <v>523</v>
      </c>
      <c r="AC85">
        <v>288</v>
      </c>
      <c r="AD85">
        <v>600</v>
      </c>
      <c r="AE85">
        <v>250</v>
      </c>
      <c r="AF85">
        <v>250</v>
      </c>
      <c r="AG85">
        <v>600</v>
      </c>
      <c r="AH85">
        <v>120</v>
      </c>
      <c r="AI85">
        <v>200</v>
      </c>
      <c r="AJ85">
        <v>450</v>
      </c>
      <c r="AK85">
        <v>400</v>
      </c>
      <c r="AL85">
        <v>500</v>
      </c>
      <c r="AM85">
        <v>1000</v>
      </c>
      <c r="AN85">
        <v>1200</v>
      </c>
      <c r="AO85">
        <v>1500</v>
      </c>
      <c r="AP85">
        <v>500</v>
      </c>
      <c r="AQ85">
        <v>1000</v>
      </c>
      <c r="AR85">
        <v>1000</v>
      </c>
      <c r="AS85">
        <v>200</v>
      </c>
      <c r="AT85">
        <v>200</v>
      </c>
      <c r="AU85">
        <v>50</v>
      </c>
      <c r="AV85">
        <v>100</v>
      </c>
      <c r="AW85">
        <v>25</v>
      </c>
      <c r="AX85">
        <v>25</v>
      </c>
      <c r="AY85">
        <v>1500</v>
      </c>
      <c r="AZ85">
        <v>1500</v>
      </c>
      <c r="BA85">
        <v>750</v>
      </c>
      <c r="BB85">
        <v>750</v>
      </c>
      <c r="BC85">
        <v>1500</v>
      </c>
      <c r="BD85">
        <v>750</v>
      </c>
      <c r="BE85">
        <v>1500</v>
      </c>
      <c r="BF85">
        <v>750</v>
      </c>
      <c r="BG85">
        <v>1500</v>
      </c>
      <c r="BH85">
        <v>25</v>
      </c>
      <c r="BI85">
        <v>1500</v>
      </c>
      <c r="BJ85">
        <v>3500</v>
      </c>
      <c r="BK85">
        <v>750</v>
      </c>
      <c r="BL85">
        <v>400</v>
      </c>
      <c r="BM85">
        <v>750</v>
      </c>
      <c r="BN85">
        <v>200</v>
      </c>
      <c r="BO85">
        <v>1500</v>
      </c>
      <c r="BP85">
        <v>3500</v>
      </c>
      <c r="BQ85">
        <v>3500</v>
      </c>
      <c r="BR85">
        <v>3500</v>
      </c>
      <c r="BS85">
        <v>3500</v>
      </c>
      <c r="BT85">
        <v>3500</v>
      </c>
    </row>
    <row r="86" spans="1:74" x14ac:dyDescent="0.25">
      <c r="A86" s="18">
        <v>27</v>
      </c>
      <c r="B86" t="s">
        <v>16</v>
      </c>
      <c r="C86" t="s">
        <v>97</v>
      </c>
      <c r="D86">
        <v>3</v>
      </c>
      <c r="E86">
        <v>7</v>
      </c>
      <c r="F86">
        <v>3</v>
      </c>
      <c r="G86">
        <f t="shared" si="6"/>
        <v>6</v>
      </c>
      <c r="H86" s="91">
        <f t="shared" si="7"/>
        <v>2.980370930927017E-4</v>
      </c>
      <c r="I86">
        <v>6</v>
      </c>
      <c r="J86">
        <f t="shared" si="8"/>
        <v>2</v>
      </c>
      <c r="K86" s="17"/>
      <c r="L86" s="17">
        <f t="shared" si="9"/>
        <v>0</v>
      </c>
      <c r="N86" t="s">
        <v>285</v>
      </c>
      <c r="O86" t="s">
        <v>365</v>
      </c>
      <c r="P86">
        <v>6</v>
      </c>
      <c r="R86" t="s">
        <v>102</v>
      </c>
      <c r="S86" t="s">
        <v>102</v>
      </c>
      <c r="T86" t="s">
        <v>102</v>
      </c>
      <c r="U86" t="s">
        <v>102</v>
      </c>
      <c r="V86">
        <v>4</v>
      </c>
      <c r="W86" t="s">
        <v>262</v>
      </c>
      <c r="X86" t="s">
        <v>262</v>
      </c>
      <c r="Z86" t="s">
        <v>262</v>
      </c>
      <c r="AA86">
        <v>8</v>
      </c>
      <c r="AB86" t="s">
        <v>262</v>
      </c>
      <c r="AC86" t="s">
        <v>263</v>
      </c>
    </row>
    <row r="87" spans="1:74" x14ac:dyDescent="0.25">
      <c r="A87" s="18">
        <v>27</v>
      </c>
      <c r="B87" t="s">
        <v>275</v>
      </c>
      <c r="C87" t="s">
        <v>97</v>
      </c>
      <c r="D87">
        <v>3</v>
      </c>
      <c r="E87">
        <v>8</v>
      </c>
      <c r="F87">
        <v>8</v>
      </c>
      <c r="G87">
        <f t="shared" si="6"/>
        <v>520.29999999999995</v>
      </c>
      <c r="H87" s="91">
        <f t="shared" si="7"/>
        <v>2.5844783256022113E-2</v>
      </c>
      <c r="I87">
        <v>591</v>
      </c>
      <c r="J87">
        <f t="shared" si="8"/>
        <v>8</v>
      </c>
      <c r="K87" s="17"/>
      <c r="L87" s="17">
        <f t="shared" si="9"/>
        <v>0</v>
      </c>
      <c r="M87" t="s">
        <v>270</v>
      </c>
      <c r="N87" t="s">
        <v>281</v>
      </c>
      <c r="O87" t="s">
        <v>366</v>
      </c>
      <c r="P87">
        <v>590.875</v>
      </c>
      <c r="R87">
        <v>168</v>
      </c>
      <c r="S87">
        <v>308</v>
      </c>
      <c r="U87">
        <v>1389</v>
      </c>
      <c r="V87">
        <v>618</v>
      </c>
      <c r="W87">
        <v>395</v>
      </c>
      <c r="X87">
        <v>571</v>
      </c>
      <c r="Y87">
        <v>600</v>
      </c>
      <c r="Z87">
        <v>933</v>
      </c>
      <c r="AA87">
        <v>178</v>
      </c>
      <c r="AB87">
        <v>43</v>
      </c>
    </row>
    <row r="88" spans="1:74" x14ac:dyDescent="0.25">
      <c r="A88" s="18">
        <v>27</v>
      </c>
      <c r="B88" t="s">
        <v>17</v>
      </c>
      <c r="C88" t="s">
        <v>97</v>
      </c>
      <c r="D88">
        <v>2</v>
      </c>
      <c r="E88">
        <v>11</v>
      </c>
      <c r="F88">
        <v>11</v>
      </c>
      <c r="G88">
        <f t="shared" si="6"/>
        <v>1861.1666666666667</v>
      </c>
      <c r="H88" s="91">
        <f t="shared" si="7"/>
        <v>9.2449450515727782E-2</v>
      </c>
      <c r="I88">
        <v>2881</v>
      </c>
      <c r="J88">
        <f t="shared" si="8"/>
        <v>10</v>
      </c>
      <c r="K88" s="17">
        <f>AVERAGE(AE88:AX88)</f>
        <v>1814.45</v>
      </c>
      <c r="L88" s="17">
        <f t="shared" si="9"/>
        <v>21</v>
      </c>
      <c r="M88" t="s">
        <v>269</v>
      </c>
      <c r="N88" t="s">
        <v>281</v>
      </c>
      <c r="O88" t="s">
        <v>8</v>
      </c>
      <c r="P88">
        <v>2880.818181818182</v>
      </c>
      <c r="R88">
        <v>2764</v>
      </c>
      <c r="S88">
        <v>3071</v>
      </c>
      <c r="T88">
        <v>2337</v>
      </c>
      <c r="U88">
        <v>3658</v>
      </c>
      <c r="V88">
        <v>1749</v>
      </c>
      <c r="W88">
        <v>2206</v>
      </c>
      <c r="X88">
        <v>1450</v>
      </c>
      <c r="Y88">
        <v>2572</v>
      </c>
      <c r="Z88">
        <v>4185</v>
      </c>
      <c r="AA88">
        <v>5297</v>
      </c>
      <c r="AB88">
        <v>2638</v>
      </c>
      <c r="AC88">
        <v>3971</v>
      </c>
      <c r="AD88">
        <v>1626</v>
      </c>
      <c r="AE88">
        <v>650</v>
      </c>
      <c r="AF88">
        <v>2000</v>
      </c>
      <c r="AG88">
        <v>800</v>
      </c>
      <c r="AH88">
        <v>710</v>
      </c>
      <c r="AI88">
        <v>1973</v>
      </c>
      <c r="AJ88">
        <v>4181</v>
      </c>
      <c r="AK88">
        <v>3275</v>
      </c>
      <c r="AL88">
        <v>1750</v>
      </c>
      <c r="AM88">
        <v>1100</v>
      </c>
      <c r="AN88">
        <v>1250</v>
      </c>
      <c r="AO88">
        <v>600</v>
      </c>
      <c r="AP88">
        <v>1000</v>
      </c>
      <c r="AQ88">
        <v>5000</v>
      </c>
      <c r="AR88">
        <v>3000</v>
      </c>
      <c r="AS88">
        <v>5000</v>
      </c>
      <c r="AT88">
        <v>750</v>
      </c>
      <c r="AU88">
        <v>1500</v>
      </c>
      <c r="AV88">
        <v>950</v>
      </c>
      <c r="AW88">
        <v>400</v>
      </c>
      <c r="AX88">
        <v>400</v>
      </c>
      <c r="AY88">
        <v>400</v>
      </c>
      <c r="AZ88">
        <v>200</v>
      </c>
      <c r="BA88">
        <v>600</v>
      </c>
      <c r="BB88">
        <v>600</v>
      </c>
      <c r="BC88">
        <v>400</v>
      </c>
      <c r="BD88">
        <v>200</v>
      </c>
      <c r="BE88">
        <v>200</v>
      </c>
      <c r="BF88">
        <v>200</v>
      </c>
      <c r="BG88">
        <v>200</v>
      </c>
      <c r="BH88">
        <v>200</v>
      </c>
      <c r="BI88">
        <v>3000</v>
      </c>
      <c r="BJ88">
        <v>400</v>
      </c>
      <c r="BK88">
        <v>1500</v>
      </c>
      <c r="BL88">
        <v>200</v>
      </c>
      <c r="BM88">
        <v>40</v>
      </c>
      <c r="BN88">
        <v>250</v>
      </c>
      <c r="BO88">
        <v>100</v>
      </c>
      <c r="BP88">
        <v>3500</v>
      </c>
      <c r="BQ88">
        <v>5000</v>
      </c>
      <c r="BR88">
        <v>2000</v>
      </c>
      <c r="BS88">
        <v>7500</v>
      </c>
      <c r="BT88" t="s">
        <v>102</v>
      </c>
    </row>
    <row r="89" spans="1:74" x14ac:dyDescent="0.25">
      <c r="K89">
        <f>COUNT(V89:AE89)</f>
        <v>0</v>
      </c>
    </row>
    <row r="90" spans="1:74" x14ac:dyDescent="0.25">
      <c r="F90" t="s">
        <v>468</v>
      </c>
      <c r="G90">
        <f>SUM(G5:G88)</f>
        <v>47136.304140858461</v>
      </c>
      <c r="I90">
        <f>SUM(I5:I88)</f>
        <v>108396</v>
      </c>
      <c r="L90">
        <f>SUM(K5:K88)</f>
        <v>39421.549998994808</v>
      </c>
    </row>
    <row r="91" spans="1:74" x14ac:dyDescent="0.25">
      <c r="F91" t="s">
        <v>470</v>
      </c>
      <c r="G91">
        <f>SUM(T91:AD91)/11</f>
        <v>37.363636363636367</v>
      </c>
      <c r="I91">
        <f>SUM(V91:AF91)/11</f>
        <v>40.18181818181818</v>
      </c>
      <c r="L91">
        <f>SUM(AG91:AZ91)/20</f>
        <v>31.2</v>
      </c>
      <c r="T91">
        <f>COUNT(R5:R88)</f>
        <v>28</v>
      </c>
      <c r="U91">
        <f t="shared" ref="U91:BV91" si="11">COUNT(S5:S88)</f>
        <v>31</v>
      </c>
      <c r="V91">
        <f t="shared" si="11"/>
        <v>29</v>
      </c>
      <c r="W91">
        <f t="shared" si="11"/>
        <v>35</v>
      </c>
      <c r="X91">
        <f t="shared" si="11"/>
        <v>37</v>
      </c>
      <c r="Y91">
        <f t="shared" si="11"/>
        <v>43</v>
      </c>
      <c r="Z91">
        <f t="shared" si="11"/>
        <v>47</v>
      </c>
      <c r="AA91">
        <f t="shared" si="11"/>
        <v>35</v>
      </c>
      <c r="AB91">
        <f t="shared" si="11"/>
        <v>40</v>
      </c>
      <c r="AC91">
        <f t="shared" si="11"/>
        <v>47</v>
      </c>
      <c r="AD91">
        <f t="shared" si="11"/>
        <v>39</v>
      </c>
      <c r="AE91">
        <f t="shared" si="11"/>
        <v>45</v>
      </c>
      <c r="AF91">
        <f t="shared" si="11"/>
        <v>45</v>
      </c>
      <c r="AG91">
        <f t="shared" si="11"/>
        <v>33</v>
      </c>
      <c r="AH91">
        <f t="shared" si="11"/>
        <v>29</v>
      </c>
      <c r="AI91">
        <f t="shared" si="11"/>
        <v>31</v>
      </c>
      <c r="AJ91">
        <f t="shared" si="11"/>
        <v>36</v>
      </c>
      <c r="AK91">
        <f t="shared" si="11"/>
        <v>33</v>
      </c>
      <c r="AL91">
        <f t="shared" si="11"/>
        <v>32</v>
      </c>
      <c r="AM91">
        <f t="shared" si="11"/>
        <v>23</v>
      </c>
      <c r="AN91">
        <f t="shared" si="11"/>
        <v>23</v>
      </c>
      <c r="AO91">
        <f t="shared" si="11"/>
        <v>27</v>
      </c>
      <c r="AP91">
        <f t="shared" si="11"/>
        <v>35</v>
      </c>
      <c r="AQ91">
        <f t="shared" si="11"/>
        <v>27</v>
      </c>
      <c r="AR91">
        <f t="shared" si="11"/>
        <v>22</v>
      </c>
      <c r="AS91">
        <f t="shared" si="11"/>
        <v>22</v>
      </c>
      <c r="AT91">
        <f t="shared" si="11"/>
        <v>31</v>
      </c>
      <c r="AU91">
        <f t="shared" si="11"/>
        <v>26</v>
      </c>
      <c r="AV91">
        <f t="shared" si="11"/>
        <v>38</v>
      </c>
      <c r="AW91">
        <f t="shared" si="11"/>
        <v>35</v>
      </c>
      <c r="AX91">
        <f t="shared" si="11"/>
        <v>35</v>
      </c>
      <c r="AY91">
        <f t="shared" si="11"/>
        <v>34</v>
      </c>
      <c r="AZ91">
        <f t="shared" si="11"/>
        <v>52</v>
      </c>
      <c r="BA91">
        <f t="shared" si="11"/>
        <v>45</v>
      </c>
      <c r="BB91">
        <f t="shared" si="11"/>
        <v>44</v>
      </c>
      <c r="BC91">
        <f t="shared" si="11"/>
        <v>45</v>
      </c>
      <c r="BD91">
        <f t="shared" si="11"/>
        <v>47</v>
      </c>
      <c r="BE91">
        <f t="shared" si="11"/>
        <v>48</v>
      </c>
      <c r="BF91">
        <f t="shared" si="11"/>
        <v>44</v>
      </c>
      <c r="BG91">
        <f t="shared" si="11"/>
        <v>41</v>
      </c>
      <c r="BH91">
        <f t="shared" si="11"/>
        <v>43</v>
      </c>
      <c r="BI91">
        <f t="shared" si="11"/>
        <v>45</v>
      </c>
      <c r="BJ91">
        <f t="shared" si="11"/>
        <v>44</v>
      </c>
      <c r="BK91">
        <f t="shared" si="11"/>
        <v>44</v>
      </c>
      <c r="BL91">
        <f t="shared" si="11"/>
        <v>45</v>
      </c>
      <c r="BM91">
        <f t="shared" si="11"/>
        <v>44</v>
      </c>
      <c r="BN91">
        <f t="shared" si="11"/>
        <v>43</v>
      </c>
      <c r="BO91">
        <f t="shared" si="11"/>
        <v>42</v>
      </c>
      <c r="BP91">
        <f t="shared" si="11"/>
        <v>39</v>
      </c>
      <c r="BQ91">
        <f t="shared" si="11"/>
        <v>40</v>
      </c>
      <c r="BR91">
        <f t="shared" si="11"/>
        <v>39</v>
      </c>
      <c r="BS91">
        <f t="shared" si="11"/>
        <v>36</v>
      </c>
      <c r="BT91">
        <f t="shared" si="11"/>
        <v>37</v>
      </c>
      <c r="BU91">
        <f t="shared" si="11"/>
        <v>37</v>
      </c>
      <c r="BV91">
        <f t="shared" si="11"/>
        <v>36</v>
      </c>
    </row>
    <row r="93" spans="1:74" x14ac:dyDescent="0.25">
      <c r="F93" t="s">
        <v>471</v>
      </c>
      <c r="G93">
        <f>G30</f>
        <v>11332.545454545454</v>
      </c>
      <c r="I93">
        <f>I30</f>
        <v>40648</v>
      </c>
      <c r="L93">
        <f>K30</f>
        <v>13770.363636363636</v>
      </c>
      <c r="O93">
        <f>I93/L93</f>
        <v>2.9518465215152436</v>
      </c>
    </row>
    <row r="94" spans="1:74" x14ac:dyDescent="0.25">
      <c r="F94" t="s">
        <v>472</v>
      </c>
      <c r="G94">
        <f>G54</f>
        <v>6970.0181818181818</v>
      </c>
      <c r="I94">
        <f>I54</f>
        <v>21987</v>
      </c>
      <c r="L94">
        <f>K54</f>
        <v>4697.1499999999996</v>
      </c>
      <c r="O94">
        <f>I94/L94</f>
        <v>4.6809235387415775</v>
      </c>
    </row>
    <row r="95" spans="1:74" x14ac:dyDescent="0.25">
      <c r="F95" t="s">
        <v>473</v>
      </c>
      <c r="G95">
        <f>G17</f>
        <v>8702.0181818181827</v>
      </c>
      <c r="I95">
        <f>I17</f>
        <v>22430</v>
      </c>
      <c r="L95">
        <f>K17</f>
        <v>8709.85</v>
      </c>
      <c r="O95">
        <f>I95/L95</f>
        <v>2.5752452682882025</v>
      </c>
    </row>
    <row r="96" spans="1:74" x14ac:dyDescent="0.25">
      <c r="F96" t="s">
        <v>474</v>
      </c>
      <c r="G96">
        <f>SUM(G93:G95)</f>
        <v>27004.581818181818</v>
      </c>
      <c r="I96">
        <f>SUM(I93:I95)</f>
        <v>85065</v>
      </c>
      <c r="L96">
        <f>SUM(L93:L95)</f>
        <v>27177.363636363632</v>
      </c>
      <c r="O96">
        <f>I96/L96</f>
        <v>3.1299945476014468</v>
      </c>
    </row>
    <row r="98" spans="6:12" x14ac:dyDescent="0.25">
      <c r="F98" t="s">
        <v>475</v>
      </c>
      <c r="G98">
        <f>G90-G96</f>
        <v>20131.722322676644</v>
      </c>
      <c r="I98">
        <f>I90-I96</f>
        <v>23331</v>
      </c>
      <c r="L98">
        <f>L90-L96</f>
        <v>12244.186362631175</v>
      </c>
    </row>
    <row r="99" spans="6:12" x14ac:dyDescent="0.25">
      <c r="G99">
        <f>G98/G90</f>
        <v>0.42709590176006529</v>
      </c>
      <c r="I99">
        <f>I98/I90</f>
        <v>0.21523856968891841</v>
      </c>
      <c r="L99">
        <f>L98/L90</f>
        <v>0.31059626937407037</v>
      </c>
    </row>
  </sheetData>
  <autoFilter ref="A4:BT91" xr:uid="{00000000-0009-0000-0000-00000F000000}"/>
  <phoneticPr fontId="11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E24" sqref="E24"/>
    </sheetView>
  </sheetViews>
  <sheetFormatPr defaultColWidth="9.109375" defaultRowHeight="13.2" x14ac:dyDescent="0.25"/>
  <cols>
    <col min="1" max="1" width="6.5546875" style="12" bestFit="1" customWidth="1"/>
    <col min="2" max="2" width="14.6640625" style="12" bestFit="1" customWidth="1"/>
    <col min="3" max="3" width="43.109375" style="12" bestFit="1" customWidth="1"/>
    <col min="4" max="4" width="8.33203125" style="13" bestFit="1" customWidth="1"/>
    <col min="5" max="5" width="47.109375" style="12" customWidth="1"/>
    <col min="6" max="16384" width="9.109375" style="12"/>
  </cols>
  <sheetData>
    <row r="1" spans="1:4" x14ac:dyDescent="0.25">
      <c r="A1" s="11" t="s">
        <v>156</v>
      </c>
    </row>
    <row r="3" spans="1:4" ht="26.4" x14ac:dyDescent="0.25">
      <c r="A3" s="14" t="s">
        <v>157</v>
      </c>
      <c r="B3" s="14" t="s">
        <v>158</v>
      </c>
      <c r="C3" s="14" t="s">
        <v>159</v>
      </c>
      <c r="D3" s="14" t="s">
        <v>160</v>
      </c>
    </row>
    <row r="4" spans="1:4" x14ac:dyDescent="0.25">
      <c r="A4" s="15" t="s">
        <v>99</v>
      </c>
      <c r="B4" s="16" t="s">
        <v>161</v>
      </c>
      <c r="C4" s="16" t="s">
        <v>162</v>
      </c>
      <c r="D4" s="15">
        <v>-6</v>
      </c>
    </row>
    <row r="5" spans="1:4" x14ac:dyDescent="0.25">
      <c r="A5" s="15" t="s">
        <v>267</v>
      </c>
      <c r="B5" s="16" t="s">
        <v>163</v>
      </c>
      <c r="C5" s="16" t="s">
        <v>164</v>
      </c>
      <c r="D5" s="15">
        <v>-5</v>
      </c>
    </row>
    <row r="6" spans="1:4" x14ac:dyDescent="0.25">
      <c r="A6" s="149" t="s">
        <v>14</v>
      </c>
      <c r="B6" s="150" t="s">
        <v>165</v>
      </c>
      <c r="C6" s="150" t="s">
        <v>166</v>
      </c>
      <c r="D6" s="149">
        <v>-4</v>
      </c>
    </row>
    <row r="7" spans="1:4" x14ac:dyDescent="0.25">
      <c r="A7" s="15" t="s">
        <v>92</v>
      </c>
      <c r="B7" s="16" t="s">
        <v>167</v>
      </c>
      <c r="C7" s="16" t="s">
        <v>168</v>
      </c>
      <c r="D7" s="15">
        <v>-3</v>
      </c>
    </row>
    <row r="8" spans="1:4" x14ac:dyDescent="0.25">
      <c r="A8" s="149" t="s">
        <v>169</v>
      </c>
      <c r="B8" s="150" t="s">
        <v>170</v>
      </c>
      <c r="C8" s="150" t="s">
        <v>171</v>
      </c>
      <c r="D8" s="149">
        <v>-2</v>
      </c>
    </row>
    <row r="9" spans="1:4" x14ac:dyDescent="0.25">
      <c r="A9" s="15" t="s">
        <v>94</v>
      </c>
      <c r="B9" s="16" t="s">
        <v>172</v>
      </c>
      <c r="C9" s="16" t="s">
        <v>173</v>
      </c>
      <c r="D9" s="15">
        <v>-1</v>
      </c>
    </row>
    <row r="13" spans="1:4" ht="42.75" customHeight="1" x14ac:dyDescent="0.25"/>
    <row r="15" spans="1:4" ht="42" customHeight="1" x14ac:dyDescent="0.25"/>
    <row r="16" spans="1:4" ht="30.75" customHeight="1" x14ac:dyDescent="0.25"/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01FD-63D5-4762-B065-8E0A6F5957F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D2B6-499E-4562-97C9-1E8DE487278B}">
  <sheetPr>
    <pageSetUpPr fitToPage="1"/>
  </sheetPr>
  <dimension ref="A1:BG90"/>
  <sheetViews>
    <sheetView zoomScale="85" zoomScaleNormal="85" workbookViewId="0">
      <selection activeCell="G9" sqref="G9"/>
    </sheetView>
  </sheetViews>
  <sheetFormatPr defaultRowHeight="12" customHeight="1" outlineLevelCol="1" x14ac:dyDescent="0.25"/>
  <cols>
    <col min="1" max="1" width="20.5546875" customWidth="1" outlineLevel="1"/>
    <col min="2" max="2" width="25.6640625" customWidth="1" outlineLevel="1"/>
    <col min="3" max="3" width="29.109375" customWidth="1" outlineLevel="1"/>
    <col min="4" max="4" width="13.44140625" customWidth="1" outlineLevel="1"/>
    <col min="5" max="5" width="11.6640625" customWidth="1" outlineLevel="1"/>
    <col min="6" max="6" width="7.6640625" style="3" customWidth="1"/>
    <col min="7" max="7" width="30" style="3" bestFit="1" customWidth="1"/>
    <col min="8" max="8" width="10.6640625" customWidth="1"/>
    <col min="9" max="10" width="0.109375" style="120" customWidth="1"/>
    <col min="11" max="11" width="14.6640625" style="29" customWidth="1"/>
    <col min="12" max="12" width="16.33203125" style="248" customWidth="1"/>
    <col min="13" max="14" width="15.33203125" style="248" customWidth="1"/>
    <col min="15" max="15" width="19.33203125" style="248" customWidth="1"/>
    <col min="16" max="16" width="15.33203125" style="248" customWidth="1"/>
    <col min="17" max="17" width="0.109375" customWidth="1" outlineLevel="1"/>
    <col min="18" max="18" width="11.6640625" style="27" customWidth="1" outlineLevel="1"/>
    <col min="19" max="19" width="13.5546875" customWidth="1" outlineLevel="1"/>
    <col min="20" max="24" width="9.109375" customWidth="1"/>
    <col min="25" max="25" width="11.44140625" customWidth="1"/>
    <col min="26" max="45" width="9.109375" customWidth="1"/>
    <col min="46" max="46" width="29.88671875" customWidth="1"/>
    <col min="47" max="90" width="9.109375" customWidth="1"/>
    <col min="92" max="92" width="55.6640625" bestFit="1" customWidth="1"/>
    <col min="93" max="93" width="5.109375" bestFit="1" customWidth="1"/>
    <col min="94" max="94" width="5.6640625" bestFit="1" customWidth="1"/>
    <col min="95" max="95" width="23.6640625" bestFit="1" customWidth="1"/>
    <col min="96" max="96" width="3.109375" bestFit="1" customWidth="1"/>
    <col min="97" max="97" width="12.88671875" bestFit="1" customWidth="1"/>
    <col min="98" max="98" width="13.44140625" bestFit="1" customWidth="1"/>
    <col min="99" max="99" width="17.5546875" bestFit="1" customWidth="1"/>
  </cols>
  <sheetData>
    <row r="1" spans="1:58" s="1" customFormat="1" ht="23.25" customHeight="1" x14ac:dyDescent="0.3">
      <c r="A1" s="40" t="s">
        <v>683</v>
      </c>
      <c r="B1" s="40"/>
      <c r="D1" t="s">
        <v>616</v>
      </c>
    </row>
    <row r="2" spans="1:58" s="1" customFormat="1" ht="15.6" x14ac:dyDescent="0.3">
      <c r="A2" s="40" t="s">
        <v>20</v>
      </c>
      <c r="B2" s="40"/>
      <c r="D2"/>
      <c r="G2"/>
      <c r="H2"/>
      <c r="I2"/>
      <c r="J2"/>
      <c r="K2"/>
      <c r="L2"/>
      <c r="M2"/>
      <c r="N2"/>
      <c r="O2"/>
      <c r="P2"/>
      <c r="Q2"/>
      <c r="R2"/>
      <c r="S2"/>
    </row>
    <row r="3" spans="1:58" ht="19.5" customHeight="1" x14ac:dyDescent="0.25">
      <c r="G3" s="23"/>
      <c r="H3" s="22"/>
      <c r="I3" s="116"/>
      <c r="J3" s="116"/>
      <c r="L3" s="24"/>
      <c r="M3" s="24"/>
      <c r="N3" s="24"/>
      <c r="O3" s="24"/>
      <c r="P3" s="24"/>
      <c r="R3" s="25"/>
      <c r="S3" s="22"/>
      <c r="T3" s="251" t="s">
        <v>609</v>
      </c>
      <c r="U3" s="251"/>
      <c r="V3" s="251"/>
      <c r="W3" s="251"/>
      <c r="AA3" s="251" t="s">
        <v>609</v>
      </c>
      <c r="AB3" s="251"/>
      <c r="AC3" s="251"/>
      <c r="AD3" s="251"/>
      <c r="AE3" s="251"/>
      <c r="AF3" s="251"/>
      <c r="AG3" s="251"/>
      <c r="AH3" s="251"/>
      <c r="AI3" s="251"/>
      <c r="AK3" s="173" t="s">
        <v>629</v>
      </c>
      <c r="AU3" s="173" t="s">
        <v>632</v>
      </c>
      <c r="BF3" s="227" t="s">
        <v>679</v>
      </c>
    </row>
    <row r="4" spans="1:58" s="6" customFormat="1" ht="25.5" customHeight="1" x14ac:dyDescent="0.2">
      <c r="A4" s="94" t="s">
        <v>485</v>
      </c>
      <c r="B4" s="94" t="s">
        <v>592</v>
      </c>
      <c r="C4" s="94" t="s">
        <v>484</v>
      </c>
      <c r="D4" s="86" t="s">
        <v>596</v>
      </c>
      <c r="E4" s="86" t="s">
        <v>597</v>
      </c>
      <c r="F4" s="20" t="s">
        <v>37</v>
      </c>
      <c r="G4" s="21" t="s">
        <v>41</v>
      </c>
      <c r="H4" s="21" t="s">
        <v>42</v>
      </c>
      <c r="I4" s="117" t="s">
        <v>503</v>
      </c>
      <c r="J4" s="118" t="s">
        <v>593</v>
      </c>
      <c r="K4" s="86" t="s">
        <v>292</v>
      </c>
      <c r="L4" s="87" t="s">
        <v>412</v>
      </c>
      <c r="M4" s="87" t="s">
        <v>316</v>
      </c>
      <c r="N4" s="30" t="s">
        <v>488</v>
      </c>
      <c r="O4" s="30" t="s">
        <v>486</v>
      </c>
      <c r="P4" s="30" t="s">
        <v>487</v>
      </c>
      <c r="Q4" s="21" t="s">
        <v>273</v>
      </c>
      <c r="R4" s="26" t="s">
        <v>279</v>
      </c>
      <c r="S4" s="88" t="s">
        <v>276</v>
      </c>
      <c r="T4" s="6" t="s">
        <v>610</v>
      </c>
      <c r="U4" s="6" t="s">
        <v>611</v>
      </c>
      <c r="V4" s="6" t="s">
        <v>612</v>
      </c>
      <c r="W4" s="6" t="s">
        <v>613</v>
      </c>
      <c r="X4" s="6" t="s">
        <v>614</v>
      </c>
      <c r="Y4" s="6" t="s">
        <v>615</v>
      </c>
      <c r="AA4" s="6" t="s">
        <v>620</v>
      </c>
      <c r="AB4" s="6" t="s">
        <v>621</v>
      </c>
      <c r="AC4" s="6" t="s">
        <v>622</v>
      </c>
      <c r="AD4" s="6" t="s">
        <v>623</v>
      </c>
      <c r="AE4" s="6" t="s">
        <v>628</v>
      </c>
      <c r="AF4" s="6" t="s">
        <v>624</v>
      </c>
      <c r="AG4" s="6" t="s">
        <v>625</v>
      </c>
      <c r="AH4" s="6" t="s">
        <v>626</v>
      </c>
      <c r="AI4" s="6" t="s">
        <v>627</v>
      </c>
      <c r="AK4" s="6" t="s">
        <v>620</v>
      </c>
      <c r="AL4" s="6" t="s">
        <v>621</v>
      </c>
      <c r="AM4" s="6" t="s">
        <v>622</v>
      </c>
      <c r="AN4" s="6" t="s">
        <v>623</v>
      </c>
      <c r="AO4" s="6" t="s">
        <v>628</v>
      </c>
      <c r="AP4" s="6" t="s">
        <v>624</v>
      </c>
      <c r="AQ4" s="6" t="s">
        <v>625</v>
      </c>
      <c r="AR4" s="6" t="s">
        <v>626</v>
      </c>
      <c r="AS4" s="6" t="s">
        <v>627</v>
      </c>
      <c r="AU4" s="6" t="s">
        <v>620</v>
      </c>
      <c r="AV4" s="6" t="s">
        <v>621</v>
      </c>
      <c r="AW4" s="6" t="s">
        <v>622</v>
      </c>
      <c r="AX4" s="6" t="s">
        <v>623</v>
      </c>
      <c r="AY4" s="6" t="s">
        <v>628</v>
      </c>
      <c r="AZ4" s="6" t="s">
        <v>624</v>
      </c>
      <c r="BA4" s="6" t="s">
        <v>625</v>
      </c>
      <c r="BB4" s="6" t="s">
        <v>626</v>
      </c>
      <c r="BC4" s="6" t="s">
        <v>627</v>
      </c>
      <c r="BE4" s="6" t="s">
        <v>623</v>
      </c>
      <c r="BF4" s="6" t="s">
        <v>626</v>
      </c>
    </row>
    <row r="5" spans="1:58" s="7" customFormat="1" ht="25.5" customHeight="1" x14ac:dyDescent="0.25">
      <c r="A5" s="92" t="str">
        <f t="shared" ref="A5:A37" si="0">VLOOKUP(C5,CU,6,FALSE)</f>
        <v>CK-SWVI [31]</v>
      </c>
      <c r="B5" s="92" t="str">
        <f t="shared" ref="B5:B36" si="1">VLOOKUP(C5,CU,7,FALSE)</f>
        <v>Southwest Vancouver Island</v>
      </c>
      <c r="C5" s="93" t="str">
        <f t="shared" ref="C5:C36" si="2">CONCATENATE(G5,"_",H5)</f>
        <v>CARMANAH CREEK_Chinook</v>
      </c>
      <c r="D5" s="128" t="s">
        <v>598</v>
      </c>
      <c r="E5" s="128" t="s">
        <v>598</v>
      </c>
      <c r="F5" s="64">
        <v>21</v>
      </c>
      <c r="G5" s="72" t="s">
        <v>90</v>
      </c>
      <c r="H5" s="65" t="s">
        <v>97</v>
      </c>
      <c r="I5" s="119"/>
      <c r="J5" s="119"/>
      <c r="K5" s="64">
        <v>5</v>
      </c>
      <c r="L5" s="52">
        <v>0</v>
      </c>
      <c r="M5" s="52">
        <v>0</v>
      </c>
      <c r="N5" s="52" t="e">
        <f>GEOMEAN(#REF!)</f>
        <v>#REF!</v>
      </c>
      <c r="O5" s="52" t="e">
        <f>MAX(#REF!)</f>
        <v>#REF!</v>
      </c>
      <c r="P5" s="52" t="e">
        <f>GEOMEAN(#REF!)</f>
        <v>#REF!</v>
      </c>
      <c r="Q5" s="66"/>
      <c r="R5" s="37"/>
      <c r="S5" s="74" t="s">
        <v>293</v>
      </c>
      <c r="T5" s="8">
        <v>0</v>
      </c>
      <c r="U5" s="8">
        <v>0</v>
      </c>
      <c r="V5" s="8"/>
      <c r="W5"/>
      <c r="X5" s="143" t="e">
        <v>#DIV/0!</v>
      </c>
      <c r="Y5" s="143" t="e">
        <v>#DIV/0!</v>
      </c>
      <c r="AA5" s="7" t="e">
        <v>#NUM!</v>
      </c>
      <c r="AB5" s="7" t="e">
        <v>#NUM!</v>
      </c>
      <c r="AC5" s="7" t="e">
        <v>#NUM!</v>
      </c>
      <c r="AD5" s="7" t="e">
        <v>#NUM!</v>
      </c>
      <c r="AE5" s="7" t="e">
        <v>#NUM!</v>
      </c>
      <c r="AF5" s="7" t="e">
        <v>#NUM!</v>
      </c>
      <c r="AG5" s="7" t="e">
        <v>#NUM!</v>
      </c>
      <c r="AH5" s="7" t="e">
        <v>#NUM!</v>
      </c>
      <c r="AI5" s="7" t="e">
        <v>#NUM!</v>
      </c>
      <c r="AK5" s="7">
        <v>2.2999999999999998</v>
      </c>
      <c r="AL5" s="7">
        <v>2.9</v>
      </c>
      <c r="AM5" s="7">
        <v>3</v>
      </c>
      <c r="AN5" s="7">
        <v>3</v>
      </c>
      <c r="AO5" s="7">
        <v>7</v>
      </c>
      <c r="AP5" s="7">
        <v>8.7999999999999989</v>
      </c>
      <c r="AQ5" s="7">
        <v>9.7000000000000011</v>
      </c>
      <c r="AR5" s="7">
        <v>42.5</v>
      </c>
      <c r="AS5" s="7">
        <v>88.499999999999957</v>
      </c>
    </row>
    <row r="6" spans="1:58" s="7" customFormat="1" ht="25.5" customHeight="1" x14ac:dyDescent="0.25">
      <c r="A6" s="92" t="str">
        <f t="shared" si="0"/>
        <v>CK-SWVI [31]</v>
      </c>
      <c r="B6" s="92" t="str">
        <f t="shared" si="1"/>
        <v>Southwest Vancouver Island</v>
      </c>
      <c r="C6" s="93" t="str">
        <f t="shared" si="2"/>
        <v>BEDWELL/URSUS_Chinook</v>
      </c>
      <c r="D6" s="128" t="s">
        <v>598</v>
      </c>
      <c r="E6" s="128" t="s">
        <v>599</v>
      </c>
      <c r="F6" s="64">
        <v>24</v>
      </c>
      <c r="G6" s="72" t="s">
        <v>274</v>
      </c>
      <c r="H6" s="65" t="s">
        <v>97</v>
      </c>
      <c r="I6" s="119"/>
      <c r="J6" s="119"/>
      <c r="K6" s="64">
        <v>3</v>
      </c>
      <c r="L6" s="52">
        <v>11</v>
      </c>
      <c r="M6" s="52">
        <v>11</v>
      </c>
      <c r="N6" s="52" t="e">
        <f>GEOMEAN(#REF!)</f>
        <v>#REF!</v>
      </c>
      <c r="O6" s="52" t="e">
        <f>MAX(#REF!)</f>
        <v>#REF!</v>
      </c>
      <c r="P6" s="52" t="e">
        <f>GEOMEAN(#REF!)</f>
        <v>#REF!</v>
      </c>
      <c r="Q6" s="66" t="s">
        <v>270</v>
      </c>
      <c r="R6" s="37"/>
      <c r="S6" s="74" t="s">
        <v>5</v>
      </c>
      <c r="T6" s="8">
        <v>0</v>
      </c>
      <c r="U6" s="8">
        <v>773</v>
      </c>
      <c r="V6" s="8">
        <v>234.87272727272727</v>
      </c>
      <c r="W6"/>
      <c r="X6" s="143">
        <v>395.2</v>
      </c>
      <c r="Y6" s="143">
        <v>441</v>
      </c>
      <c r="Z6"/>
      <c r="AA6" s="7">
        <v>10</v>
      </c>
      <c r="AB6" s="7">
        <v>25</v>
      </c>
      <c r="AC6" s="7">
        <v>25</v>
      </c>
      <c r="AD6" s="7">
        <v>32.5</v>
      </c>
      <c r="AE6" s="7">
        <v>137</v>
      </c>
      <c r="AF6" s="7">
        <v>225.1999999999999</v>
      </c>
      <c r="AG6" s="7">
        <v>289.2</v>
      </c>
      <c r="AH6" s="7">
        <v>392.5</v>
      </c>
      <c r="AI6" s="7">
        <v>516.5999999999998</v>
      </c>
      <c r="AK6" s="7">
        <v>3.75</v>
      </c>
      <c r="AL6" s="7">
        <v>8.6</v>
      </c>
      <c r="AM6" s="7">
        <v>10</v>
      </c>
      <c r="AN6" s="7">
        <v>10</v>
      </c>
      <c r="AO6" s="7">
        <v>19.5</v>
      </c>
      <c r="AP6" s="7">
        <v>26.799999999999997</v>
      </c>
      <c r="AQ6" s="7">
        <v>31.300000000000008</v>
      </c>
      <c r="AR6" s="7">
        <v>51</v>
      </c>
      <c r="AS6" s="7">
        <v>61.349999999999994</v>
      </c>
    </row>
    <row r="7" spans="1:58" s="7" customFormat="1" ht="25.5" customHeight="1" x14ac:dyDescent="0.25">
      <c r="A7" s="92" t="str">
        <f t="shared" si="0"/>
        <v>CK-SWVI [31]</v>
      </c>
      <c r="B7" s="92" t="str">
        <f t="shared" si="1"/>
        <v>Southwest Vancouver Island</v>
      </c>
      <c r="C7" s="93" t="str">
        <f t="shared" si="2"/>
        <v>WHITE PINE COVE CREEK_Chinook</v>
      </c>
      <c r="D7" s="128" t="s">
        <v>598</v>
      </c>
      <c r="E7" s="128" t="s">
        <v>598</v>
      </c>
      <c r="F7" s="64">
        <v>24</v>
      </c>
      <c r="G7" s="72" t="s">
        <v>193</v>
      </c>
      <c r="H7" s="65" t="s">
        <v>97</v>
      </c>
      <c r="I7" s="119"/>
      <c r="J7" s="119"/>
      <c r="K7" s="64">
        <v>4</v>
      </c>
      <c r="L7" s="52">
        <v>6</v>
      </c>
      <c r="M7" s="52">
        <v>0</v>
      </c>
      <c r="N7" s="52" t="e">
        <f>GEOMEAN(#REF!)</f>
        <v>#REF!</v>
      </c>
      <c r="O7" s="52" t="e">
        <f>MAX(#REF!)</f>
        <v>#REF!</v>
      </c>
      <c r="P7" s="52" t="e">
        <f>GEOMEAN(#REF!)</f>
        <v>#REF!</v>
      </c>
      <c r="Q7" s="66"/>
      <c r="R7" s="37"/>
      <c r="S7" s="74" t="s">
        <v>375</v>
      </c>
      <c r="T7" s="8">
        <v>0</v>
      </c>
      <c r="U7" s="8">
        <v>0</v>
      </c>
      <c r="V7" s="8"/>
      <c r="W7"/>
      <c r="X7" s="143" t="e">
        <v>#DIV/0!</v>
      </c>
      <c r="Y7" s="143" t="e">
        <v>#DIV/0!</v>
      </c>
      <c r="Z7"/>
      <c r="AA7" s="7" t="e">
        <v>#NUM!</v>
      </c>
      <c r="AB7" s="7" t="e">
        <v>#NUM!</v>
      </c>
      <c r="AC7" s="7" t="e">
        <v>#NUM!</v>
      </c>
      <c r="AD7" s="7" t="e">
        <v>#NUM!</v>
      </c>
      <c r="AE7" s="7" t="e">
        <v>#NUM!</v>
      </c>
      <c r="AF7" s="7" t="e">
        <v>#NUM!</v>
      </c>
      <c r="AG7" s="7" t="e">
        <v>#NUM!</v>
      </c>
      <c r="AH7" s="7" t="e">
        <v>#NUM!</v>
      </c>
      <c r="AI7" s="7" t="e">
        <v>#NUM!</v>
      </c>
      <c r="AK7" s="7">
        <v>48.20000000000001</v>
      </c>
      <c r="AL7" s="7">
        <v>84.1</v>
      </c>
      <c r="AM7" s="7">
        <v>91.8</v>
      </c>
      <c r="AN7" s="7">
        <v>106</v>
      </c>
      <c r="AO7" s="7">
        <v>327</v>
      </c>
      <c r="AP7" s="7">
        <v>366.40000000000003</v>
      </c>
      <c r="AQ7" s="7">
        <v>401.6</v>
      </c>
      <c r="AR7" s="7">
        <v>592</v>
      </c>
      <c r="AS7" s="7">
        <v>828.30000000000007</v>
      </c>
    </row>
    <row r="8" spans="1:58" s="7" customFormat="1" ht="25.5" customHeight="1" x14ac:dyDescent="0.25">
      <c r="A8" s="92" t="str">
        <f t="shared" si="0"/>
        <v>CK-NoKy [32]</v>
      </c>
      <c r="B8" s="92" t="str">
        <f t="shared" si="1"/>
        <v>Nootka and Kyuquot</v>
      </c>
      <c r="C8" s="93" t="str">
        <f t="shared" si="2"/>
        <v>EASY CREEK_Chinook</v>
      </c>
      <c r="D8" s="128" t="s">
        <v>598</v>
      </c>
      <c r="E8" s="128" t="s">
        <v>598</v>
      </c>
      <c r="F8" s="64">
        <v>26</v>
      </c>
      <c r="G8" s="72" t="s">
        <v>257</v>
      </c>
      <c r="H8" s="65" t="s">
        <v>97</v>
      </c>
      <c r="I8" s="119"/>
      <c r="J8" s="119"/>
      <c r="K8" s="64">
        <v>3</v>
      </c>
      <c r="L8" s="52">
        <v>10</v>
      </c>
      <c r="M8" s="52">
        <v>4</v>
      </c>
      <c r="N8" s="52" t="e">
        <f>GEOMEAN(#REF!)</f>
        <v>#REF!</v>
      </c>
      <c r="O8" s="52" t="e">
        <f>MAX(#REF!)</f>
        <v>#REF!</v>
      </c>
      <c r="P8" s="52" t="e">
        <f>GEOMEAN(#REF!)</f>
        <v>#REF!</v>
      </c>
      <c r="Q8" s="66"/>
      <c r="R8" s="37"/>
      <c r="S8" s="74" t="s">
        <v>434</v>
      </c>
      <c r="T8" s="8">
        <v>0</v>
      </c>
      <c r="U8" s="8">
        <v>400</v>
      </c>
      <c r="V8" s="8">
        <v>47.526315789473685</v>
      </c>
      <c r="W8"/>
      <c r="X8" s="143">
        <v>10.25</v>
      </c>
      <c r="Y8" s="143">
        <v>11.666666666666666</v>
      </c>
      <c r="Z8"/>
      <c r="AA8" s="7">
        <v>0.89999999999999991</v>
      </c>
      <c r="AB8" s="7">
        <v>3.6999999999999997</v>
      </c>
      <c r="AC8" s="7">
        <v>7.5999999999999979</v>
      </c>
      <c r="AD8" s="7">
        <v>10</v>
      </c>
      <c r="AE8" s="7">
        <v>18</v>
      </c>
      <c r="AF8" s="7">
        <v>20</v>
      </c>
      <c r="AG8" s="7">
        <v>23.500000000000007</v>
      </c>
      <c r="AH8" s="7">
        <v>25</v>
      </c>
      <c r="AI8" s="7">
        <v>25.299999999999997</v>
      </c>
      <c r="AJ8"/>
      <c r="AK8" s="7" t="e">
        <v>#NUM!</v>
      </c>
      <c r="AL8" s="7" t="e">
        <v>#NUM!</v>
      </c>
      <c r="AM8" s="7" t="e">
        <v>#NUM!</v>
      </c>
      <c r="AN8" s="7" t="e">
        <v>#NUM!</v>
      </c>
      <c r="AO8" s="7" t="e">
        <v>#NUM!</v>
      </c>
      <c r="AP8" s="7" t="e">
        <v>#NUM!</v>
      </c>
      <c r="AQ8" s="7" t="e">
        <v>#NUM!</v>
      </c>
      <c r="AR8" s="7" t="e">
        <v>#NUM!</v>
      </c>
      <c r="AS8" s="7" t="e">
        <v>#NUM!</v>
      </c>
    </row>
    <row r="9" spans="1:58" s="7" customFormat="1" ht="25.5" customHeight="1" x14ac:dyDescent="0.25">
      <c r="A9" s="92" t="str">
        <f t="shared" si="0"/>
        <v>CK-NoKy [32]</v>
      </c>
      <c r="B9" s="92" t="str">
        <f t="shared" si="1"/>
        <v>Nootka and Kyuquot</v>
      </c>
      <c r="C9" s="93" t="str">
        <f t="shared" si="2"/>
        <v>KASHUTL RIVER_Chinook</v>
      </c>
      <c r="D9" s="128" t="s">
        <v>598</v>
      </c>
      <c r="E9" s="128" t="s">
        <v>598</v>
      </c>
      <c r="F9" s="64">
        <v>26</v>
      </c>
      <c r="G9" s="72" t="s">
        <v>256</v>
      </c>
      <c r="H9" s="65" t="s">
        <v>97</v>
      </c>
      <c r="I9" s="119"/>
      <c r="J9" s="119"/>
      <c r="K9" s="64">
        <v>3</v>
      </c>
      <c r="L9" s="52">
        <v>10</v>
      </c>
      <c r="M9" s="52">
        <v>6</v>
      </c>
      <c r="N9" s="52" t="e">
        <f>GEOMEAN(#REF!)</f>
        <v>#REF!</v>
      </c>
      <c r="O9" s="52" t="e">
        <f>MAX(#REF!)</f>
        <v>#REF!</v>
      </c>
      <c r="P9" s="52" t="e">
        <f>GEOMEAN(#REF!)</f>
        <v>#REF!</v>
      </c>
      <c r="Q9" s="66" t="s">
        <v>271</v>
      </c>
      <c r="R9" s="37"/>
      <c r="S9" s="74" t="s">
        <v>438</v>
      </c>
      <c r="T9" s="8">
        <v>0</v>
      </c>
      <c r="U9" s="8">
        <v>75</v>
      </c>
      <c r="V9" s="8">
        <v>25.5</v>
      </c>
      <c r="W9"/>
      <c r="X9" s="143">
        <v>2.5</v>
      </c>
      <c r="Y9" s="143">
        <v>2.8</v>
      </c>
      <c r="Z9"/>
      <c r="AA9" s="7">
        <v>1</v>
      </c>
      <c r="AB9" s="7">
        <v>4.6000000000000014</v>
      </c>
      <c r="AC9" s="7">
        <v>8.8000000000000007</v>
      </c>
      <c r="AD9" s="7">
        <v>14</v>
      </c>
      <c r="AE9" s="7">
        <v>25</v>
      </c>
      <c r="AF9" s="7">
        <v>25</v>
      </c>
      <c r="AG9" s="7">
        <v>25</v>
      </c>
      <c r="AH9" s="7">
        <v>25</v>
      </c>
      <c r="AI9" s="7">
        <v>37.749999999999972</v>
      </c>
      <c r="AJ9"/>
      <c r="AK9" s="7">
        <v>157.5</v>
      </c>
      <c r="AL9" s="7">
        <v>172.5</v>
      </c>
      <c r="AM9" s="7">
        <v>180</v>
      </c>
      <c r="AN9" s="7">
        <v>187.5</v>
      </c>
      <c r="AO9" s="7">
        <v>280</v>
      </c>
      <c r="AP9" s="7">
        <v>328</v>
      </c>
      <c r="AQ9" s="7">
        <v>352</v>
      </c>
      <c r="AR9" s="7">
        <v>473.75</v>
      </c>
      <c r="AS9" s="7">
        <v>610.24999999999989</v>
      </c>
      <c r="AU9" s="7" t="e">
        <f>_xlfn.PERCENTILE.INC(#REF!,0.05)</f>
        <v>#REF!</v>
      </c>
      <c r="AV9" s="7" t="e">
        <f>_xlfn.PERCENTILE.INC(#REF!,0.15)</f>
        <v>#REF!</v>
      </c>
      <c r="AW9" s="7" t="e">
        <f>_xlfn.PERCENTILE.INC(#REF!,0.2)</f>
        <v>#REF!</v>
      </c>
      <c r="AX9" s="7" t="e">
        <f>_xlfn.PERCENTILE.INC(#REF!,0.25)</f>
        <v>#REF!</v>
      </c>
      <c r="AY9" s="7" t="e">
        <f>_xlfn.PERCENTILE.INC(#REF!,0.5)</f>
        <v>#REF!</v>
      </c>
      <c r="AZ9" s="7" t="e">
        <f>_xlfn.PERCENTILE.INC(#REF!,0.6)</f>
        <v>#REF!</v>
      </c>
      <c r="BA9" s="7" t="e">
        <f>_xlfn.PERCENTILE.INC(#REF!,0.65)</f>
        <v>#REF!</v>
      </c>
      <c r="BB9" s="7" t="e">
        <f>_xlfn.PERCENTILE.INC(#REF!,0.75)</f>
        <v>#REF!</v>
      </c>
      <c r="BC9" s="7" t="e">
        <f>_xlfn.PERCENTILE.INC(#REF!,0.85)</f>
        <v>#REF!</v>
      </c>
    </row>
    <row r="10" spans="1:58" s="7" customFormat="1" ht="25.5" customHeight="1" x14ac:dyDescent="0.25">
      <c r="A10" s="92" t="str">
        <f t="shared" si="0"/>
        <v>CK-SWVI [31]</v>
      </c>
      <c r="B10" s="92" t="str">
        <f t="shared" si="1"/>
        <v>Southwest Vancouver Island</v>
      </c>
      <c r="C10" s="93" t="str">
        <f t="shared" si="2"/>
        <v>SOMASS SYSTEM_Chinook</v>
      </c>
      <c r="D10" s="128" t="s">
        <v>598</v>
      </c>
      <c r="E10" s="128" t="s">
        <v>598</v>
      </c>
      <c r="F10" s="64">
        <v>23</v>
      </c>
      <c r="G10" s="72" t="s">
        <v>40</v>
      </c>
      <c r="H10" s="65" t="s">
        <v>97</v>
      </c>
      <c r="I10" s="119"/>
      <c r="J10" s="119"/>
      <c r="K10" s="64">
        <v>1</v>
      </c>
      <c r="L10" s="52">
        <v>11</v>
      </c>
      <c r="M10" s="52">
        <v>11</v>
      </c>
      <c r="N10" s="52" t="e">
        <f>GEOMEAN(#REF!)</f>
        <v>#REF!</v>
      </c>
      <c r="O10" s="52" t="e">
        <f>MAX(#REF!)</f>
        <v>#REF!</v>
      </c>
      <c r="P10" s="52" t="e">
        <f>GEOMEAN(#REF!)</f>
        <v>#REF!</v>
      </c>
      <c r="Q10" s="66" t="s">
        <v>272</v>
      </c>
      <c r="R10" s="37"/>
      <c r="S10" s="74" t="s">
        <v>306</v>
      </c>
      <c r="T10" s="8">
        <v>3543</v>
      </c>
      <c r="U10" s="8">
        <v>117249</v>
      </c>
      <c r="V10" s="8">
        <v>21211.242857142857</v>
      </c>
      <c r="W10">
        <v>15428.636976549622</v>
      </c>
      <c r="X10" s="143">
        <v>15466</v>
      </c>
      <c r="Y10" s="143">
        <v>15395.666666666666</v>
      </c>
      <c r="Z10"/>
      <c r="AA10" s="7">
        <v>7500</v>
      </c>
      <c r="AB10" s="7">
        <v>7500</v>
      </c>
      <c r="AC10" s="7">
        <v>7500</v>
      </c>
      <c r="AD10" s="7">
        <v>9000</v>
      </c>
      <c r="AE10" s="7">
        <v>13500</v>
      </c>
      <c r="AF10" s="7">
        <v>15000</v>
      </c>
      <c r="AG10" s="7">
        <v>16201.350000000002</v>
      </c>
      <c r="AH10" s="7">
        <v>21358.25</v>
      </c>
      <c r="AI10" s="7">
        <v>37042.9</v>
      </c>
      <c r="AK10" s="7">
        <v>25.7</v>
      </c>
      <c r="AL10" s="7">
        <v>28.749999999999993</v>
      </c>
      <c r="AM10" s="7">
        <v>41.000000000000014</v>
      </c>
      <c r="AN10" s="7">
        <v>53.25</v>
      </c>
      <c r="AO10" s="7">
        <v>390.5</v>
      </c>
      <c r="AP10" s="7">
        <v>434.6</v>
      </c>
      <c r="AQ10" s="7">
        <v>482.9</v>
      </c>
      <c r="AR10" s="7">
        <v>613</v>
      </c>
      <c r="AS10" s="7">
        <v>803.40000000000009</v>
      </c>
    </row>
    <row r="11" spans="1:58" s="7" customFormat="1" ht="25.5" customHeight="1" x14ac:dyDescent="0.25">
      <c r="A11" s="92" t="str">
        <f t="shared" si="0"/>
        <v>CK-SWVI [31]</v>
      </c>
      <c r="B11" s="92" t="str">
        <f t="shared" si="1"/>
        <v>Southwest Vancouver Island</v>
      </c>
      <c r="C11" s="93" t="str">
        <f t="shared" si="2"/>
        <v>NITINAT RIVER_Chinook</v>
      </c>
      <c r="D11" s="128" t="s">
        <v>598</v>
      </c>
      <c r="E11" s="128" t="s">
        <v>598</v>
      </c>
      <c r="F11" s="64">
        <v>22</v>
      </c>
      <c r="G11" s="72" t="s">
        <v>101</v>
      </c>
      <c r="H11" s="67" t="s">
        <v>97</v>
      </c>
      <c r="I11" s="119"/>
      <c r="J11" s="119"/>
      <c r="K11" s="64">
        <v>1</v>
      </c>
      <c r="L11" s="52">
        <v>11</v>
      </c>
      <c r="M11" s="52">
        <v>11</v>
      </c>
      <c r="N11" s="52" t="e">
        <f>GEOMEAN(#REF!)</f>
        <v>#REF!</v>
      </c>
      <c r="O11" s="52" t="e">
        <f>MAX(#REF!)</f>
        <v>#REF!</v>
      </c>
      <c r="P11" s="52" t="e">
        <f>GEOMEAN(#REF!)</f>
        <v>#REF!</v>
      </c>
      <c r="Q11" s="66" t="s">
        <v>272</v>
      </c>
      <c r="R11" s="37"/>
      <c r="S11" s="74" t="s">
        <v>4</v>
      </c>
      <c r="T11" s="8">
        <v>400</v>
      </c>
      <c r="U11" s="8">
        <v>31654</v>
      </c>
      <c r="V11" s="8">
        <v>8688.2571428571428</v>
      </c>
      <c r="W11">
        <v>4570.5020092291315</v>
      </c>
      <c r="X11" s="143">
        <v>15720</v>
      </c>
      <c r="Y11" s="143">
        <v>13202.75</v>
      </c>
      <c r="AA11" s="7">
        <v>750</v>
      </c>
      <c r="AB11" s="7">
        <v>902.5</v>
      </c>
      <c r="AC11" s="7">
        <v>1200</v>
      </c>
      <c r="AD11" s="7">
        <v>1500</v>
      </c>
      <c r="AE11" s="7">
        <v>5173</v>
      </c>
      <c r="AF11" s="7">
        <v>9399.9999999999982</v>
      </c>
      <c r="AG11" s="7">
        <v>11408.85</v>
      </c>
      <c r="AH11" s="7">
        <v>13077.25</v>
      </c>
      <c r="AI11" s="7">
        <v>18584.899999999998</v>
      </c>
      <c r="AK11" s="7">
        <v>37.500000000000007</v>
      </c>
      <c r="AL11" s="7">
        <v>60.300000000000004</v>
      </c>
      <c r="AM11" s="7">
        <v>69.400000000000006</v>
      </c>
      <c r="AN11" s="7">
        <v>96.5</v>
      </c>
      <c r="AO11" s="7">
        <v>199</v>
      </c>
      <c r="AP11" s="7">
        <v>248.00000000000003</v>
      </c>
      <c r="AQ11" s="7">
        <v>309.89999999999998</v>
      </c>
      <c r="AR11" s="7">
        <v>366.5</v>
      </c>
      <c r="AS11" s="7">
        <v>560.80000000000007</v>
      </c>
    </row>
    <row r="12" spans="1:58" s="7" customFormat="1" ht="25.5" customHeight="1" x14ac:dyDescent="0.25">
      <c r="A12" s="92" t="str">
        <f t="shared" si="0"/>
        <v>CK-NoKy [32]</v>
      </c>
      <c r="B12" s="92" t="str">
        <f t="shared" si="1"/>
        <v>Nootka and Kyuquot</v>
      </c>
      <c r="C12" s="93" t="str">
        <f t="shared" si="2"/>
        <v>CONUMA RIVER_Chinook</v>
      </c>
      <c r="D12" s="128" t="s">
        <v>598</v>
      </c>
      <c r="E12" s="128" t="s">
        <v>598</v>
      </c>
      <c r="F12" s="64">
        <v>25</v>
      </c>
      <c r="G12" s="72" t="s">
        <v>224</v>
      </c>
      <c r="H12" s="65" t="s">
        <v>97</v>
      </c>
      <c r="I12" s="119"/>
      <c r="J12" s="119"/>
      <c r="K12" s="64">
        <v>1</v>
      </c>
      <c r="L12" s="52">
        <v>11</v>
      </c>
      <c r="M12" s="52">
        <v>11</v>
      </c>
      <c r="N12" s="52" t="e">
        <f>GEOMEAN(#REF!)</f>
        <v>#REF!</v>
      </c>
      <c r="O12" s="52" t="e">
        <f>MAX(#REF!)</f>
        <v>#REF!</v>
      </c>
      <c r="P12" s="52" t="e">
        <f>GEOMEAN(#REF!)</f>
        <v>#REF!</v>
      </c>
      <c r="Q12" s="66" t="s">
        <v>272</v>
      </c>
      <c r="R12" s="37"/>
      <c r="S12" s="74" t="s">
        <v>10</v>
      </c>
      <c r="T12" s="8">
        <v>25</v>
      </c>
      <c r="U12" s="8">
        <v>60760</v>
      </c>
      <c r="V12" s="8">
        <v>8991.2142857142862</v>
      </c>
      <c r="W12">
        <v>2351.9687991713236</v>
      </c>
      <c r="X12" s="143">
        <v>7958.6</v>
      </c>
      <c r="Y12" s="143">
        <v>18535.833333333332</v>
      </c>
      <c r="Z12"/>
      <c r="AA12" s="7">
        <v>120</v>
      </c>
      <c r="AB12" s="7">
        <v>300</v>
      </c>
      <c r="AC12" s="7">
        <v>380.00000000000006</v>
      </c>
      <c r="AD12" s="7">
        <v>400</v>
      </c>
      <c r="AE12" s="7">
        <v>3250</v>
      </c>
      <c r="AF12" s="7">
        <v>7988.3999999999987</v>
      </c>
      <c r="AG12" s="7">
        <v>10586.45</v>
      </c>
      <c r="AH12" s="7">
        <v>14923.25</v>
      </c>
      <c r="AI12" s="7">
        <v>20829.399999999998</v>
      </c>
      <c r="AK12" s="7">
        <v>14.799999999999999</v>
      </c>
      <c r="AL12" s="7">
        <v>24.400000000000002</v>
      </c>
      <c r="AM12" s="7">
        <v>29.200000000000003</v>
      </c>
      <c r="AN12" s="7">
        <v>34</v>
      </c>
      <c r="AO12" s="7">
        <v>40</v>
      </c>
      <c r="AP12" s="7">
        <v>52.4</v>
      </c>
      <c r="AQ12" s="7">
        <v>58.6</v>
      </c>
      <c r="AR12" s="7">
        <v>71</v>
      </c>
      <c r="AS12" s="7">
        <v>79.800000000000011</v>
      </c>
    </row>
    <row r="13" spans="1:58" s="7" customFormat="1" ht="25.5" customHeight="1" x14ac:dyDescent="0.25">
      <c r="A13" s="92" t="str">
        <f t="shared" si="0"/>
        <v>CK-NoKy [32]</v>
      </c>
      <c r="B13" s="92" t="str">
        <f t="shared" si="1"/>
        <v>Nootka and Kyuquot</v>
      </c>
      <c r="C13" s="93" t="str">
        <f t="shared" si="2"/>
        <v>GOLD RIVER_Chinook</v>
      </c>
      <c r="D13" s="128" t="s">
        <v>598</v>
      </c>
      <c r="E13" s="128" t="s">
        <v>598</v>
      </c>
      <c r="F13" s="64">
        <v>25</v>
      </c>
      <c r="G13" s="72" t="s">
        <v>217</v>
      </c>
      <c r="H13" s="65" t="s">
        <v>97</v>
      </c>
      <c r="I13" s="119"/>
      <c r="J13" s="119"/>
      <c r="K13" s="64">
        <v>2</v>
      </c>
      <c r="L13" s="52">
        <v>10</v>
      </c>
      <c r="M13" s="52">
        <v>10</v>
      </c>
      <c r="N13" s="52" t="e">
        <f>GEOMEAN(#REF!)</f>
        <v>#REF!</v>
      </c>
      <c r="O13" s="52" t="e">
        <f>MAX(#REF!)</f>
        <v>#REF!</v>
      </c>
      <c r="P13" s="52" t="e">
        <f>GEOMEAN(#REF!)</f>
        <v>#REF!</v>
      </c>
      <c r="Q13" s="66" t="s">
        <v>269</v>
      </c>
      <c r="R13" s="37"/>
      <c r="S13" s="74" t="s">
        <v>1</v>
      </c>
      <c r="T13" s="8">
        <v>25</v>
      </c>
      <c r="U13" s="8">
        <v>14654</v>
      </c>
      <c r="V13" s="8">
        <v>2219.7230769230769</v>
      </c>
      <c r="W13">
        <v>1323.3328992590532</v>
      </c>
      <c r="X13" s="143">
        <v>4516.3999999999996</v>
      </c>
      <c r="Y13" s="143">
        <v>2740</v>
      </c>
      <c r="Z13"/>
      <c r="AA13" s="7">
        <v>280</v>
      </c>
      <c r="AB13" s="7">
        <v>690</v>
      </c>
      <c r="AC13" s="7">
        <v>750</v>
      </c>
      <c r="AD13" s="7">
        <v>750</v>
      </c>
      <c r="AE13" s="7">
        <v>1410</v>
      </c>
      <c r="AF13" s="7">
        <v>1500</v>
      </c>
      <c r="AG13" s="7">
        <v>1570.4</v>
      </c>
      <c r="AH13" s="7">
        <v>2000</v>
      </c>
      <c r="AI13" s="7">
        <v>3500</v>
      </c>
      <c r="AK13" s="7">
        <v>26</v>
      </c>
      <c r="AL13" s="7">
        <v>26</v>
      </c>
      <c r="AM13" s="7">
        <v>27.6</v>
      </c>
      <c r="AN13" s="7">
        <v>30</v>
      </c>
      <c r="AO13" s="7">
        <v>51</v>
      </c>
      <c r="AP13" s="7">
        <v>75.599999999999994</v>
      </c>
      <c r="AQ13" s="7">
        <v>87.9</v>
      </c>
      <c r="AR13" s="7">
        <v>99</v>
      </c>
      <c r="AS13" s="7">
        <v>128.29999999999993</v>
      </c>
    </row>
    <row r="14" spans="1:58" s="7" customFormat="1" ht="25.5" customHeight="1" x14ac:dyDescent="0.25">
      <c r="A14" s="92" t="str">
        <f t="shared" si="0"/>
        <v>CK-NWVI [33]</v>
      </c>
      <c r="B14" s="92" t="str">
        <f t="shared" si="1"/>
        <v>Northwest Vancouver Island</v>
      </c>
      <c r="C14" s="93" t="str">
        <f t="shared" si="2"/>
        <v>MARBLE RIVER_Chinook</v>
      </c>
      <c r="D14" s="128" t="s">
        <v>599</v>
      </c>
      <c r="E14" s="128" t="s">
        <v>599</v>
      </c>
      <c r="F14" s="64">
        <v>27</v>
      </c>
      <c r="G14" s="72" t="s">
        <v>17</v>
      </c>
      <c r="H14" s="65" t="s">
        <v>97</v>
      </c>
      <c r="I14" s="119"/>
      <c r="J14" s="119"/>
      <c r="K14" s="64">
        <v>2</v>
      </c>
      <c r="L14" s="52">
        <v>11</v>
      </c>
      <c r="M14" s="52">
        <v>11</v>
      </c>
      <c r="N14" s="52" t="e">
        <f>GEOMEAN(#REF!)</f>
        <v>#REF!</v>
      </c>
      <c r="O14" s="52" t="e">
        <f>MAX(#REF!)</f>
        <v>#REF!</v>
      </c>
      <c r="P14" s="52" t="e">
        <f>GEOMEAN(#REF!)</f>
        <v>#REF!</v>
      </c>
      <c r="Q14" s="66" t="s">
        <v>269</v>
      </c>
      <c r="R14" s="37"/>
      <c r="S14" s="74" t="s">
        <v>8</v>
      </c>
      <c r="T14" s="8">
        <v>40</v>
      </c>
      <c r="U14" s="8">
        <v>7500</v>
      </c>
      <c r="V14" s="8">
        <v>2054.449275362319</v>
      </c>
      <c r="W14">
        <v>1276.447438620688</v>
      </c>
      <c r="X14" s="143">
        <v>2280</v>
      </c>
      <c r="Y14" s="143">
        <v>2844.5833333333335</v>
      </c>
      <c r="Z14"/>
      <c r="AA14" s="7">
        <v>200</v>
      </c>
      <c r="AB14" s="7">
        <v>400</v>
      </c>
      <c r="AC14" s="7">
        <v>400</v>
      </c>
      <c r="AD14" s="7">
        <v>600</v>
      </c>
      <c r="AE14" s="7">
        <v>1750</v>
      </c>
      <c r="AF14" s="7">
        <v>2071.1999999999998</v>
      </c>
      <c r="AG14" s="7">
        <v>2305.8000000000002</v>
      </c>
      <c r="AH14" s="7">
        <v>3071</v>
      </c>
      <c r="AI14" s="7">
        <v>3855.5999999999995</v>
      </c>
      <c r="AJ14"/>
      <c r="AK14" s="7" t="e">
        <v>#NUM!</v>
      </c>
      <c r="AL14" s="7" t="e">
        <v>#NUM!</v>
      </c>
      <c r="AM14" s="7" t="e">
        <v>#NUM!</v>
      </c>
      <c r="AN14" s="7" t="e">
        <v>#NUM!</v>
      </c>
      <c r="AO14" s="7" t="e">
        <v>#NUM!</v>
      </c>
      <c r="AP14" s="7" t="e">
        <v>#NUM!</v>
      </c>
      <c r="AQ14" s="7" t="e">
        <v>#NUM!</v>
      </c>
      <c r="AR14" s="7" t="e">
        <v>#NUM!</v>
      </c>
      <c r="AS14" s="7" t="e">
        <v>#NUM!</v>
      </c>
    </row>
    <row r="15" spans="1:58" s="7" customFormat="1" ht="25.5" customHeight="1" x14ac:dyDescent="0.25">
      <c r="A15" s="92" t="str">
        <f t="shared" si="0"/>
        <v>CK-NoKy [32]</v>
      </c>
      <c r="B15" s="92" t="str">
        <f t="shared" si="1"/>
        <v>Nootka and Kyuquot</v>
      </c>
      <c r="C15" s="93" t="str">
        <f t="shared" si="2"/>
        <v>BURMAN RIVER_Chinook</v>
      </c>
      <c r="D15" s="128" t="s">
        <v>599</v>
      </c>
      <c r="E15" s="128" t="s">
        <v>599</v>
      </c>
      <c r="F15" s="64">
        <v>25</v>
      </c>
      <c r="G15" s="72" t="s">
        <v>216</v>
      </c>
      <c r="H15" s="65" t="s">
        <v>97</v>
      </c>
      <c r="I15" s="119"/>
      <c r="J15" s="119"/>
      <c r="K15" s="64">
        <v>2</v>
      </c>
      <c r="L15" s="52">
        <v>11</v>
      </c>
      <c r="M15" s="52">
        <v>11</v>
      </c>
      <c r="N15" s="52" t="e">
        <f>GEOMEAN(#REF!)</f>
        <v>#REF!</v>
      </c>
      <c r="O15" s="52" t="e">
        <f>MAX(#REF!)</f>
        <v>#REF!</v>
      </c>
      <c r="P15" s="52" t="e">
        <f>GEOMEAN(#REF!)</f>
        <v>#REF!</v>
      </c>
      <c r="Q15" s="66" t="s">
        <v>269</v>
      </c>
      <c r="R15" s="37"/>
      <c r="S15" s="74" t="s">
        <v>1</v>
      </c>
      <c r="T15" s="8">
        <v>75</v>
      </c>
      <c r="U15" s="8">
        <v>10534</v>
      </c>
      <c r="V15" s="8">
        <v>1623.3623188405797</v>
      </c>
      <c r="W15">
        <v>929.98746380669286</v>
      </c>
      <c r="X15" s="143">
        <v>2582.6</v>
      </c>
      <c r="Y15" s="143">
        <v>3729.25</v>
      </c>
      <c r="Z15"/>
      <c r="AA15" s="7">
        <v>152.6</v>
      </c>
      <c r="AB15" s="7">
        <v>305.59999999999997</v>
      </c>
      <c r="AC15" s="7">
        <v>378.00000000000006</v>
      </c>
      <c r="AD15" s="7">
        <v>404</v>
      </c>
      <c r="AE15" s="7">
        <v>1000</v>
      </c>
      <c r="AF15" s="7">
        <v>1500</v>
      </c>
      <c r="AG15" s="7">
        <v>1766.2000000000003</v>
      </c>
      <c r="AH15" s="7">
        <v>2268</v>
      </c>
      <c r="AI15" s="7">
        <v>3000</v>
      </c>
      <c r="AK15" s="7">
        <v>2</v>
      </c>
      <c r="AL15" s="7">
        <v>2</v>
      </c>
      <c r="AM15" s="7">
        <v>2</v>
      </c>
      <c r="AN15" s="7">
        <v>2</v>
      </c>
      <c r="AO15" s="7">
        <v>3</v>
      </c>
      <c r="AP15" s="7">
        <v>8.1999999999999993</v>
      </c>
      <c r="AQ15" s="7">
        <v>10.8</v>
      </c>
      <c r="AR15" s="7">
        <v>16</v>
      </c>
      <c r="AS15" s="7">
        <v>45.600000000000023</v>
      </c>
    </row>
    <row r="16" spans="1:58" s="7" customFormat="1" ht="25.5" customHeight="1" x14ac:dyDescent="0.25">
      <c r="A16" s="92" t="str">
        <f t="shared" si="0"/>
        <v>CK-SWVI [31]</v>
      </c>
      <c r="B16" s="92" t="str">
        <f t="shared" si="1"/>
        <v>Southwest Vancouver Island</v>
      </c>
      <c r="C16" s="93" t="str">
        <f t="shared" si="2"/>
        <v>THORNTON CREEK_Chinook</v>
      </c>
      <c r="D16" s="128" t="s">
        <v>598</v>
      </c>
      <c r="E16" s="128" t="s">
        <v>598</v>
      </c>
      <c r="F16" s="64">
        <v>23</v>
      </c>
      <c r="G16" s="72" t="s">
        <v>152</v>
      </c>
      <c r="H16" s="65" t="s">
        <v>97</v>
      </c>
      <c r="I16" s="119"/>
      <c r="J16" s="119"/>
      <c r="K16" s="64">
        <v>4</v>
      </c>
      <c r="L16" s="52">
        <v>10</v>
      </c>
      <c r="M16" s="52">
        <v>10</v>
      </c>
      <c r="N16" s="52" t="e">
        <f>GEOMEAN(#REF!)</f>
        <v>#REF!</v>
      </c>
      <c r="O16" s="52" t="e">
        <f>MAX(#REF!)</f>
        <v>#REF!</v>
      </c>
      <c r="P16" s="52" t="e">
        <f>GEOMEAN(#REF!)</f>
        <v>#REF!</v>
      </c>
      <c r="Q16" s="66"/>
      <c r="R16" s="37"/>
      <c r="S16" s="74" t="s">
        <v>344</v>
      </c>
      <c r="T16" s="8">
        <v>43</v>
      </c>
      <c r="U16" s="8">
        <v>3000</v>
      </c>
      <c r="V16" s="8">
        <v>1071.5</v>
      </c>
      <c r="W16">
        <v>772.19095273518485</v>
      </c>
      <c r="X16" s="143">
        <v>43</v>
      </c>
      <c r="Y16" s="143">
        <v>910</v>
      </c>
      <c r="Z16"/>
      <c r="AA16" s="7">
        <v>258.65000000000003</v>
      </c>
      <c r="AB16" s="7">
        <v>320.7</v>
      </c>
      <c r="AC16" s="7">
        <v>471.00000000000011</v>
      </c>
      <c r="AD16" s="7">
        <v>510</v>
      </c>
      <c r="AE16" s="7">
        <v>825</v>
      </c>
      <c r="AF16" s="7">
        <v>1080</v>
      </c>
      <c r="AG16" s="7">
        <v>1305</v>
      </c>
      <c r="AH16" s="7">
        <v>1500</v>
      </c>
      <c r="AI16" s="7">
        <v>1810.4499999999996</v>
      </c>
      <c r="AK16" s="7">
        <v>33.550000000000011</v>
      </c>
      <c r="AL16" s="7">
        <v>111.24999999999994</v>
      </c>
      <c r="AM16" s="7">
        <v>232.00000000000011</v>
      </c>
      <c r="AN16" s="7">
        <v>352.75</v>
      </c>
      <c r="AO16" s="7">
        <v>648</v>
      </c>
      <c r="AP16" s="7">
        <v>789</v>
      </c>
      <c r="AQ16" s="7">
        <v>813.5</v>
      </c>
      <c r="AR16" s="7">
        <v>848.25</v>
      </c>
      <c r="AS16" s="7">
        <v>857.35</v>
      </c>
    </row>
    <row r="17" spans="1:45" s="7" customFormat="1" ht="25.5" customHeight="1" x14ac:dyDescent="0.25">
      <c r="A17" s="92" t="str">
        <f t="shared" si="0"/>
        <v>CK-PSJ [30]</v>
      </c>
      <c r="B17" s="92" t="str">
        <f t="shared" si="1"/>
        <v>Port San Juan</v>
      </c>
      <c r="C17" s="93" t="str">
        <f t="shared" si="2"/>
        <v>SAN JUAN RIVER_Chinook</v>
      </c>
      <c r="D17" s="128" t="s">
        <v>598</v>
      </c>
      <c r="E17" s="128" t="s">
        <v>599</v>
      </c>
      <c r="F17" s="64">
        <v>20</v>
      </c>
      <c r="G17" s="72" t="s">
        <v>27</v>
      </c>
      <c r="H17" s="65" t="s">
        <v>97</v>
      </c>
      <c r="I17" s="119"/>
      <c r="J17" s="119"/>
      <c r="K17" s="64">
        <v>3</v>
      </c>
      <c r="L17" s="52">
        <v>11</v>
      </c>
      <c r="M17" s="52">
        <v>11</v>
      </c>
      <c r="N17" s="52" t="e">
        <f>GEOMEAN(#REF!)</f>
        <v>#REF!</v>
      </c>
      <c r="O17" s="52" t="e">
        <f>MAX(#REF!)</f>
        <v>#REF!</v>
      </c>
      <c r="P17" s="52" t="e">
        <f>GEOMEAN(#REF!)</f>
        <v>#REF!</v>
      </c>
      <c r="Q17" s="66" t="s">
        <v>268</v>
      </c>
      <c r="R17" s="37"/>
      <c r="S17" s="74" t="s">
        <v>0</v>
      </c>
      <c r="T17" s="8">
        <v>25</v>
      </c>
      <c r="U17" s="8">
        <v>7500</v>
      </c>
      <c r="V17" s="8">
        <v>1054.1285714285714</v>
      </c>
      <c r="W17">
        <v>640.80118099508093</v>
      </c>
      <c r="X17" s="143">
        <v>782</v>
      </c>
      <c r="Y17" s="143">
        <v>1172.25</v>
      </c>
      <c r="AA17" s="7">
        <v>108.75000000000001</v>
      </c>
      <c r="AB17" s="7">
        <v>267.5</v>
      </c>
      <c r="AC17" s="7">
        <v>372.2</v>
      </c>
      <c r="AD17" s="7">
        <v>400</v>
      </c>
      <c r="AE17" s="7">
        <v>750</v>
      </c>
      <c r="AF17" s="7">
        <v>796</v>
      </c>
      <c r="AG17" s="7">
        <v>855.80000000000007</v>
      </c>
      <c r="AH17" s="7">
        <v>1130.5</v>
      </c>
      <c r="AI17" s="7">
        <v>1500</v>
      </c>
      <c r="AK17" s="7">
        <v>9.6</v>
      </c>
      <c r="AL17" s="7">
        <v>10.8</v>
      </c>
      <c r="AM17" s="7">
        <v>11.4</v>
      </c>
      <c r="AN17" s="7">
        <v>12</v>
      </c>
      <c r="AO17" s="7">
        <v>15</v>
      </c>
      <c r="AP17" s="7">
        <v>17</v>
      </c>
      <c r="AQ17" s="7">
        <v>18</v>
      </c>
      <c r="AR17" s="7">
        <v>20</v>
      </c>
      <c r="AS17" s="7">
        <v>32.000000000000014</v>
      </c>
    </row>
    <row r="18" spans="1:45" s="7" customFormat="1" ht="25.5" customHeight="1" x14ac:dyDescent="0.25">
      <c r="A18" s="92" t="str">
        <f t="shared" si="0"/>
        <v>CK-SWVI [31]</v>
      </c>
      <c r="B18" s="92" t="str">
        <f t="shared" si="1"/>
        <v>Southwest Vancouver Island</v>
      </c>
      <c r="C18" s="93" t="str">
        <f t="shared" si="2"/>
        <v>SARITA RIVER_Chinook</v>
      </c>
      <c r="D18" s="128" t="s">
        <v>598</v>
      </c>
      <c r="E18" s="128" t="s">
        <v>599</v>
      </c>
      <c r="F18" s="64">
        <v>23</v>
      </c>
      <c r="G18" s="72" t="s">
        <v>112</v>
      </c>
      <c r="H18" s="65" t="s">
        <v>97</v>
      </c>
      <c r="I18" s="119"/>
      <c r="J18" s="119"/>
      <c r="K18" s="64">
        <v>3</v>
      </c>
      <c r="L18" s="52">
        <v>11</v>
      </c>
      <c r="M18" s="52">
        <v>11</v>
      </c>
      <c r="N18" s="52" t="e">
        <f>GEOMEAN(#REF!)</f>
        <v>#REF!</v>
      </c>
      <c r="O18" s="52" t="e">
        <f>MAX(#REF!)</f>
        <v>#REF!</v>
      </c>
      <c r="P18" s="52" t="e">
        <f>GEOMEAN(#REF!)</f>
        <v>#REF!</v>
      </c>
      <c r="Q18" s="66" t="s">
        <v>268</v>
      </c>
      <c r="R18" s="37"/>
      <c r="S18" s="74" t="s">
        <v>1</v>
      </c>
      <c r="T18" s="8">
        <v>25</v>
      </c>
      <c r="U18" s="8">
        <v>3495</v>
      </c>
      <c r="V18" s="8">
        <v>925.17391304347825</v>
      </c>
      <c r="W18">
        <v>582.70103816974745</v>
      </c>
      <c r="X18" s="143">
        <v>2181.6</v>
      </c>
      <c r="Y18" s="143">
        <v>1848.8333333333333</v>
      </c>
      <c r="Z18"/>
      <c r="AA18" s="7">
        <v>130.6</v>
      </c>
      <c r="AB18" s="7">
        <v>200</v>
      </c>
      <c r="AC18" s="7">
        <v>200</v>
      </c>
      <c r="AD18" s="7">
        <v>300</v>
      </c>
      <c r="AE18" s="7">
        <v>600</v>
      </c>
      <c r="AF18" s="7">
        <v>750</v>
      </c>
      <c r="AG18" s="7">
        <v>750</v>
      </c>
      <c r="AH18" s="7">
        <v>1300</v>
      </c>
      <c r="AI18" s="7">
        <v>1604.3999999999999</v>
      </c>
      <c r="AK18" s="7">
        <v>63.249999999999993</v>
      </c>
      <c r="AL18" s="7">
        <v>223.15</v>
      </c>
      <c r="AM18" s="7">
        <v>275.40000000000003</v>
      </c>
      <c r="AN18" s="7">
        <v>420.75</v>
      </c>
      <c r="AO18" s="7">
        <v>633.5</v>
      </c>
      <c r="AP18" s="7">
        <v>815.8</v>
      </c>
      <c r="AQ18" s="7">
        <v>1071</v>
      </c>
      <c r="AR18" s="7">
        <v>1290</v>
      </c>
      <c r="AS18" s="7">
        <v>1495.6499999999999</v>
      </c>
    </row>
    <row r="19" spans="1:45" s="7" customFormat="1" ht="25.5" customHeight="1" x14ac:dyDescent="0.25">
      <c r="A19" s="92" t="str">
        <f t="shared" si="0"/>
        <v>CK-NoKy [32]</v>
      </c>
      <c r="B19" s="92" t="str">
        <f t="shared" si="1"/>
        <v>Nootka and Kyuquot</v>
      </c>
      <c r="C19" s="93" t="str">
        <f t="shared" si="2"/>
        <v>TAHSISH RIVER_Chinook</v>
      </c>
      <c r="D19" s="128" t="s">
        <v>599</v>
      </c>
      <c r="E19" s="128" t="s">
        <v>599</v>
      </c>
      <c r="F19" s="64">
        <v>26</v>
      </c>
      <c r="G19" s="72" t="s">
        <v>253</v>
      </c>
      <c r="H19" s="65" t="s">
        <v>97</v>
      </c>
      <c r="I19" s="119"/>
      <c r="J19" s="119"/>
      <c r="K19" s="64">
        <v>2</v>
      </c>
      <c r="L19" s="52">
        <v>11</v>
      </c>
      <c r="M19" s="52">
        <v>11</v>
      </c>
      <c r="N19" s="52" t="e">
        <f>GEOMEAN(#REF!)</f>
        <v>#REF!</v>
      </c>
      <c r="O19" s="52" t="e">
        <f>MAX(#REF!)</f>
        <v>#REF!</v>
      </c>
      <c r="P19" s="52" t="e">
        <f>GEOMEAN(#REF!)</f>
        <v>#REF!</v>
      </c>
      <c r="Q19" s="66" t="s">
        <v>269</v>
      </c>
      <c r="R19" s="37"/>
      <c r="S19" s="74" t="s">
        <v>1</v>
      </c>
      <c r="T19" s="8">
        <v>25</v>
      </c>
      <c r="U19" s="8">
        <v>3500</v>
      </c>
      <c r="V19" s="8">
        <v>897</v>
      </c>
      <c r="W19">
        <v>520.00828688031436</v>
      </c>
      <c r="X19" s="143">
        <v>1082</v>
      </c>
      <c r="Y19" s="143">
        <v>813.16666666666663</v>
      </c>
      <c r="Z19"/>
      <c r="AA19" s="7">
        <v>61.7</v>
      </c>
      <c r="AB19" s="7">
        <v>200</v>
      </c>
      <c r="AC19" s="7">
        <v>227.20000000000002</v>
      </c>
      <c r="AD19" s="7">
        <v>253.25</v>
      </c>
      <c r="AE19" s="7">
        <v>607.5</v>
      </c>
      <c r="AF19" s="7">
        <v>750</v>
      </c>
      <c r="AG19" s="7">
        <v>862.35000000000014</v>
      </c>
      <c r="AH19" s="7">
        <v>1263.75</v>
      </c>
      <c r="AI19" s="7">
        <v>1500</v>
      </c>
      <c r="AJ19"/>
      <c r="AK19" s="7">
        <v>1.9500000000000002</v>
      </c>
      <c r="AL19" s="7">
        <v>7.25</v>
      </c>
      <c r="AM19" s="7">
        <v>13.600000000000005</v>
      </c>
      <c r="AN19" s="7">
        <v>18.75</v>
      </c>
      <c r="AO19" s="7">
        <v>36</v>
      </c>
      <c r="AP19" s="7">
        <v>41.400000000000006</v>
      </c>
      <c r="AQ19" s="7">
        <v>52.899999999999991</v>
      </c>
      <c r="AR19" s="7">
        <v>75.75</v>
      </c>
      <c r="AS19" s="7">
        <v>87.29999999999994</v>
      </c>
    </row>
    <row r="20" spans="1:45" s="7" customFormat="1" ht="25.5" customHeight="1" x14ac:dyDescent="0.25">
      <c r="A20" s="92" t="str">
        <f t="shared" si="0"/>
        <v>CK-SWVI [31]</v>
      </c>
      <c r="B20" s="92" t="str">
        <f t="shared" si="1"/>
        <v>Southwest Vancouver Island</v>
      </c>
      <c r="C20" s="93" t="str">
        <f t="shared" si="2"/>
        <v>NAHMINT RIVER_Chinook</v>
      </c>
      <c r="D20" s="128" t="s">
        <v>598</v>
      </c>
      <c r="E20" s="128" t="s">
        <v>599</v>
      </c>
      <c r="F20" s="64">
        <v>23</v>
      </c>
      <c r="G20" s="72" t="s">
        <v>125</v>
      </c>
      <c r="H20" s="65" t="s">
        <v>97</v>
      </c>
      <c r="I20" s="119"/>
      <c r="J20" s="119"/>
      <c r="K20" s="64">
        <v>3</v>
      </c>
      <c r="L20" s="52">
        <v>11</v>
      </c>
      <c r="M20" s="52">
        <v>11</v>
      </c>
      <c r="N20" s="52" t="e">
        <f>GEOMEAN(#REF!)</f>
        <v>#REF!</v>
      </c>
      <c r="O20" s="52" t="e">
        <f>MAX(#REF!)</f>
        <v>#REF!</v>
      </c>
      <c r="P20" s="52" t="e">
        <f>GEOMEAN(#REF!)</f>
        <v>#REF!</v>
      </c>
      <c r="Q20" s="66" t="s">
        <v>268</v>
      </c>
      <c r="R20" s="37"/>
      <c r="S20" s="74" t="s">
        <v>1</v>
      </c>
      <c r="T20" s="8">
        <v>35</v>
      </c>
      <c r="U20" s="8">
        <v>3500</v>
      </c>
      <c r="V20" s="8">
        <v>598.20289855072463</v>
      </c>
      <c r="W20">
        <v>377.71388965982555</v>
      </c>
      <c r="X20" s="143">
        <v>544.4</v>
      </c>
      <c r="Y20" s="143">
        <v>430</v>
      </c>
      <c r="AA20" s="7">
        <v>77</v>
      </c>
      <c r="AB20" s="7">
        <v>160.4</v>
      </c>
      <c r="AC20" s="7">
        <v>173.4</v>
      </c>
      <c r="AD20" s="7">
        <v>200</v>
      </c>
      <c r="AE20" s="7">
        <v>400</v>
      </c>
      <c r="AF20" s="7">
        <v>444.99999999999994</v>
      </c>
      <c r="AG20" s="7">
        <v>560.00000000000011</v>
      </c>
      <c r="AH20" s="7">
        <v>750</v>
      </c>
      <c r="AI20" s="7">
        <v>861.4</v>
      </c>
      <c r="AK20" s="7">
        <v>2.8000000000000003</v>
      </c>
      <c r="AL20" s="7">
        <v>4.8</v>
      </c>
      <c r="AM20" s="7">
        <v>5.4</v>
      </c>
      <c r="AN20" s="7">
        <v>6</v>
      </c>
      <c r="AO20" s="7">
        <v>12</v>
      </c>
      <c r="AP20" s="7">
        <v>18.599999999999998</v>
      </c>
      <c r="AQ20" s="7">
        <v>20.400000000000002</v>
      </c>
      <c r="AR20" s="7">
        <v>23</v>
      </c>
      <c r="AS20" s="7">
        <v>29.399999999999995</v>
      </c>
    </row>
    <row r="21" spans="1:45" s="7" customFormat="1" ht="25.5" customHeight="1" x14ac:dyDescent="0.25">
      <c r="A21" s="92" t="str">
        <f t="shared" si="0"/>
        <v>CK-SWVI [31]</v>
      </c>
      <c r="B21" s="92" t="str">
        <f t="shared" si="1"/>
        <v>Southwest Vancouver Island</v>
      </c>
      <c r="C21" s="93" t="str">
        <f t="shared" si="2"/>
        <v>KENNEDY RIVER (LOWER)_Chinook</v>
      </c>
      <c r="D21" s="128" t="s">
        <v>598</v>
      </c>
      <c r="E21" s="128" t="s">
        <v>598</v>
      </c>
      <c r="F21" s="64">
        <v>24</v>
      </c>
      <c r="G21" s="72" t="s">
        <v>359</v>
      </c>
      <c r="H21" s="65" t="s">
        <v>97</v>
      </c>
      <c r="I21" s="119"/>
      <c r="J21" s="119"/>
      <c r="K21" s="64">
        <v>3</v>
      </c>
      <c r="L21" s="52">
        <v>3</v>
      </c>
      <c r="M21" s="52">
        <v>3</v>
      </c>
      <c r="N21" s="52" t="e">
        <f>GEOMEAN(#REF!)</f>
        <v>#REF!</v>
      </c>
      <c r="O21" s="52" t="e">
        <f>MAX(#REF!)</f>
        <v>#REF!</v>
      </c>
      <c r="P21" s="52" t="e">
        <f>GEOMEAN(#REF!)</f>
        <v>#REF!</v>
      </c>
      <c r="Q21" s="66"/>
      <c r="R21" s="37"/>
      <c r="S21" s="74" t="s">
        <v>357</v>
      </c>
      <c r="T21" s="8">
        <v>40</v>
      </c>
      <c r="U21" s="8">
        <v>1500</v>
      </c>
      <c r="V21" s="8">
        <v>487.46153846153845</v>
      </c>
      <c r="W21">
        <v>325.55985606901703</v>
      </c>
      <c r="X21" s="143" t="e">
        <v>#DIV/0!</v>
      </c>
      <c r="Y21" s="143" t="e">
        <v>#DIV/0!</v>
      </c>
      <c r="Z21"/>
      <c r="AA21" s="7">
        <v>72.5</v>
      </c>
      <c r="AB21" s="7">
        <v>100</v>
      </c>
      <c r="AC21" s="7">
        <v>127.60000000000007</v>
      </c>
      <c r="AD21" s="7">
        <v>175</v>
      </c>
      <c r="AE21" s="7">
        <v>400</v>
      </c>
      <c r="AF21" s="7">
        <v>490.00000000000006</v>
      </c>
      <c r="AG21" s="7">
        <v>674.99999999999977</v>
      </c>
      <c r="AH21" s="7">
        <v>750</v>
      </c>
      <c r="AI21" s="7">
        <v>750</v>
      </c>
      <c r="AK21" s="7">
        <v>1</v>
      </c>
      <c r="AL21" s="7">
        <v>2</v>
      </c>
      <c r="AM21" s="7">
        <v>2</v>
      </c>
      <c r="AN21" s="7">
        <v>3.5</v>
      </c>
      <c r="AO21" s="7">
        <v>11.5</v>
      </c>
      <c r="AP21" s="7">
        <v>13</v>
      </c>
      <c r="AQ21" s="7">
        <v>14.5</v>
      </c>
      <c r="AR21" s="7">
        <v>24.25</v>
      </c>
      <c r="AS21" s="7">
        <v>83.5</v>
      </c>
    </row>
    <row r="22" spans="1:45" s="7" customFormat="1" ht="25.5" customHeight="1" x14ac:dyDescent="0.25">
      <c r="A22" s="92" t="str">
        <f t="shared" si="0"/>
        <v>CK-NWVI [33]</v>
      </c>
      <c r="B22" s="92" t="str">
        <f t="shared" si="1"/>
        <v>Northwest Vancouver Island</v>
      </c>
      <c r="C22" s="93" t="str">
        <f t="shared" si="2"/>
        <v>COLONIAL/CAYEGHLE CREEKS_Chinook</v>
      </c>
      <c r="D22" s="128" t="s">
        <v>598</v>
      </c>
      <c r="E22" s="128" t="s">
        <v>599</v>
      </c>
      <c r="F22" s="64">
        <v>27</v>
      </c>
      <c r="G22" s="72" t="s">
        <v>275</v>
      </c>
      <c r="H22" s="65" t="s">
        <v>97</v>
      </c>
      <c r="I22" s="119"/>
      <c r="J22" s="119"/>
      <c r="K22" s="64">
        <v>3</v>
      </c>
      <c r="L22" s="52">
        <v>8</v>
      </c>
      <c r="M22" s="52">
        <v>8</v>
      </c>
      <c r="N22" s="52" t="e">
        <f>GEOMEAN(#REF!)</f>
        <v>#REF!</v>
      </c>
      <c r="O22" s="52" t="e">
        <f>MAX(#REF!)</f>
        <v>#REF!</v>
      </c>
      <c r="P22" s="52" t="e">
        <f>GEOMEAN(#REF!)</f>
        <v>#REF!</v>
      </c>
      <c r="Q22" s="66" t="s">
        <v>270</v>
      </c>
      <c r="R22" s="37"/>
      <c r="S22" s="74" t="s">
        <v>366</v>
      </c>
      <c r="T22" s="8">
        <v>36</v>
      </c>
      <c r="U22" s="8">
        <v>1369</v>
      </c>
      <c r="V22" s="8">
        <v>400.48148148148147</v>
      </c>
      <c r="W22">
        <v>287.75874549736329</v>
      </c>
      <c r="X22" s="143">
        <v>321.2</v>
      </c>
      <c r="Y22" s="143">
        <v>360.91666666666669</v>
      </c>
      <c r="Z22"/>
      <c r="AA22" s="7">
        <v>71.5</v>
      </c>
      <c r="AB22" s="7">
        <v>97.5</v>
      </c>
      <c r="AC22" s="7">
        <v>127.80000000000001</v>
      </c>
      <c r="AD22" s="7">
        <v>161.5</v>
      </c>
      <c r="AE22" s="7">
        <v>348</v>
      </c>
      <c r="AF22" s="7">
        <v>404.6</v>
      </c>
      <c r="AG22" s="7">
        <v>508.9000000000002</v>
      </c>
      <c r="AH22" s="7">
        <v>578.5</v>
      </c>
      <c r="AI22" s="7">
        <v>637.79999999999984</v>
      </c>
      <c r="AJ22"/>
      <c r="AK22" s="7">
        <v>324.2</v>
      </c>
      <c r="AL22" s="7">
        <v>851.5</v>
      </c>
      <c r="AM22" s="7">
        <v>986.19999999999993</v>
      </c>
      <c r="AN22" s="7">
        <v>1031.5</v>
      </c>
      <c r="AO22" s="7">
        <v>1560</v>
      </c>
      <c r="AP22" s="7">
        <v>1769.9999999999998</v>
      </c>
      <c r="AQ22" s="7">
        <v>1844.5</v>
      </c>
      <c r="AR22" s="7">
        <v>2082.5</v>
      </c>
      <c r="AS22" s="7">
        <v>2317.6999999999998</v>
      </c>
    </row>
    <row r="23" spans="1:45" s="7" customFormat="1" ht="25.5" customHeight="1" x14ac:dyDescent="0.25">
      <c r="A23" s="92" t="str">
        <f t="shared" si="0"/>
        <v>CK-SWVI [31]</v>
      </c>
      <c r="B23" s="92" t="str">
        <f t="shared" si="1"/>
        <v>Southwest Vancouver Island</v>
      </c>
      <c r="C23" s="93" t="str">
        <f t="shared" si="2"/>
        <v>HENDERSON LAKE_Chinook</v>
      </c>
      <c r="D23" s="128" t="s">
        <v>598</v>
      </c>
      <c r="E23" s="128" t="s">
        <v>598</v>
      </c>
      <c r="F23" s="64">
        <v>23</v>
      </c>
      <c r="G23" s="72" t="s">
        <v>107</v>
      </c>
      <c r="H23" s="65" t="s">
        <v>97</v>
      </c>
      <c r="I23" s="119"/>
      <c r="J23" s="119"/>
      <c r="K23" s="64">
        <v>3</v>
      </c>
      <c r="L23" s="52">
        <v>3</v>
      </c>
      <c r="M23" s="52">
        <v>1</v>
      </c>
      <c r="N23" s="52" t="e">
        <f>GEOMEAN(#REF!)</f>
        <v>#REF!</v>
      </c>
      <c r="O23" s="52" t="e">
        <f>MAX(#REF!)</f>
        <v>#REF!</v>
      </c>
      <c r="P23" s="52" t="e">
        <f>GEOMEAN(#REF!)</f>
        <v>#REF!</v>
      </c>
      <c r="Q23" s="66"/>
      <c r="R23" s="37"/>
      <c r="S23" s="74" t="s">
        <v>331</v>
      </c>
      <c r="T23" s="8">
        <v>2</v>
      </c>
      <c r="U23" s="8">
        <v>1500</v>
      </c>
      <c r="V23" s="8">
        <v>500.06451612903226</v>
      </c>
      <c r="W23">
        <v>281.26811568542405</v>
      </c>
      <c r="X23" s="143" t="e">
        <v>#DIV/0!</v>
      </c>
      <c r="Y23" s="143" t="e">
        <v>#DIV/0!</v>
      </c>
      <c r="Z23"/>
      <c r="AA23" s="7">
        <v>10</v>
      </c>
      <c r="AB23" s="7">
        <v>150</v>
      </c>
      <c r="AC23" s="7">
        <v>200</v>
      </c>
      <c r="AD23" s="7">
        <v>205</v>
      </c>
      <c r="AE23" s="7">
        <v>400</v>
      </c>
      <c r="AF23" s="7">
        <v>400</v>
      </c>
      <c r="AG23" s="7">
        <v>575</v>
      </c>
      <c r="AH23" s="7">
        <v>750</v>
      </c>
      <c r="AI23" s="7">
        <v>750</v>
      </c>
      <c r="AK23" s="7" t="e">
        <v>#NUM!</v>
      </c>
      <c r="AL23" s="7" t="e">
        <v>#NUM!</v>
      </c>
      <c r="AM23" s="7" t="e">
        <v>#NUM!</v>
      </c>
      <c r="AN23" s="7" t="e">
        <v>#NUM!</v>
      </c>
      <c r="AO23" s="7" t="e">
        <v>#NUM!</v>
      </c>
      <c r="AP23" s="7" t="e">
        <v>#NUM!</v>
      </c>
      <c r="AQ23" s="7" t="e">
        <v>#NUM!</v>
      </c>
      <c r="AR23" s="7" t="e">
        <v>#NUM!</v>
      </c>
      <c r="AS23" s="7" t="e">
        <v>#NUM!</v>
      </c>
    </row>
    <row r="24" spans="1:45" s="7" customFormat="1" ht="25.5" customHeight="1" x14ac:dyDescent="0.25">
      <c r="A24" s="92" t="str">
        <f t="shared" si="0"/>
        <v>CK-NoKy [32]</v>
      </c>
      <c r="B24" s="92" t="str">
        <f t="shared" si="1"/>
        <v>Nootka and Kyuquot</v>
      </c>
      <c r="C24" s="93" t="str">
        <f t="shared" si="2"/>
        <v>TAHSIS RIVER_Chinook</v>
      </c>
      <c r="D24" s="128" t="s">
        <v>599</v>
      </c>
      <c r="E24" s="128" t="s">
        <v>599</v>
      </c>
      <c r="F24" s="64">
        <v>25</v>
      </c>
      <c r="G24" s="72" t="s">
        <v>231</v>
      </c>
      <c r="H24" s="65" t="s">
        <v>97</v>
      </c>
      <c r="I24" s="119"/>
      <c r="J24" s="119"/>
      <c r="K24" s="64">
        <v>2</v>
      </c>
      <c r="L24" s="52">
        <v>11</v>
      </c>
      <c r="M24" s="52">
        <v>11</v>
      </c>
      <c r="N24" s="52" t="e">
        <f>GEOMEAN(#REF!)</f>
        <v>#REF!</v>
      </c>
      <c r="O24" s="52" t="e">
        <f>MAX(#REF!)</f>
        <v>#REF!</v>
      </c>
      <c r="P24" s="52" t="e">
        <f>GEOMEAN(#REF!)</f>
        <v>#REF!</v>
      </c>
      <c r="Q24" s="66" t="s">
        <v>269</v>
      </c>
      <c r="R24" s="37"/>
      <c r="S24" s="74" t="s">
        <v>1</v>
      </c>
      <c r="T24" s="8">
        <v>12</v>
      </c>
      <c r="U24" s="8">
        <v>1651</v>
      </c>
      <c r="V24" s="8">
        <v>466.68115942028987</v>
      </c>
      <c r="W24">
        <v>267.83525782790673</v>
      </c>
      <c r="X24" s="143">
        <v>1059.8</v>
      </c>
      <c r="Y24" s="143">
        <v>621.16666666666663</v>
      </c>
      <c r="Z24"/>
      <c r="AA24" s="7">
        <v>25</v>
      </c>
      <c r="AB24" s="7">
        <v>75</v>
      </c>
      <c r="AC24" s="7">
        <v>100</v>
      </c>
      <c r="AD24" s="7">
        <v>125</v>
      </c>
      <c r="AE24" s="7">
        <v>300</v>
      </c>
      <c r="AF24" s="7">
        <v>411.99999999999994</v>
      </c>
      <c r="AG24" s="7">
        <v>524.20000000000005</v>
      </c>
      <c r="AH24" s="7">
        <v>687</v>
      </c>
      <c r="AI24" s="7">
        <v>796</v>
      </c>
      <c r="AK24" s="7">
        <v>95.3</v>
      </c>
      <c r="AL24" s="7">
        <v>99.9</v>
      </c>
      <c r="AM24" s="7">
        <v>102.2</v>
      </c>
      <c r="AN24" s="7">
        <v>104.5</v>
      </c>
      <c r="AO24" s="7">
        <v>116</v>
      </c>
      <c r="AP24" s="7">
        <v>118</v>
      </c>
      <c r="AQ24" s="7">
        <v>119</v>
      </c>
      <c r="AR24" s="7">
        <v>121</v>
      </c>
      <c r="AS24" s="7">
        <v>123</v>
      </c>
    </row>
    <row r="25" spans="1:45" s="7" customFormat="1" ht="25.5" customHeight="1" x14ac:dyDescent="0.25">
      <c r="A25" s="92" t="str">
        <f t="shared" si="0"/>
        <v>CK-NoKy [32]</v>
      </c>
      <c r="B25" s="92" t="str">
        <f t="shared" si="1"/>
        <v>Nootka and Kyuquot</v>
      </c>
      <c r="C25" s="93" t="str">
        <f t="shared" si="2"/>
        <v>CANTON CREEK_Chinook</v>
      </c>
      <c r="D25" s="128" t="s">
        <v>598</v>
      </c>
      <c r="E25" s="128" t="s">
        <v>598</v>
      </c>
      <c r="F25" s="64">
        <v>25</v>
      </c>
      <c r="G25" s="72" t="s">
        <v>225</v>
      </c>
      <c r="H25" s="65" t="s">
        <v>97</v>
      </c>
      <c r="I25" s="119"/>
      <c r="J25" s="119"/>
      <c r="K25" s="64">
        <v>1</v>
      </c>
      <c r="L25" s="52">
        <v>7</v>
      </c>
      <c r="M25" s="52">
        <v>7</v>
      </c>
      <c r="N25" s="52" t="e">
        <f>GEOMEAN(#REF!)</f>
        <v>#REF!</v>
      </c>
      <c r="O25" s="52" t="e">
        <f>MAX(#REF!)</f>
        <v>#REF!</v>
      </c>
      <c r="P25" s="52" t="e">
        <f>GEOMEAN(#REF!)</f>
        <v>#REF!</v>
      </c>
      <c r="Q25" s="66" t="s">
        <v>272</v>
      </c>
      <c r="R25" s="37"/>
      <c r="S25" s="74" t="s">
        <v>9</v>
      </c>
      <c r="T25" s="8">
        <v>20</v>
      </c>
      <c r="U25" s="8">
        <v>9824</v>
      </c>
      <c r="V25" s="8">
        <v>798.37254901960785</v>
      </c>
      <c r="W25">
        <v>258.19959385111304</v>
      </c>
      <c r="X25" s="143">
        <v>916.75</v>
      </c>
      <c r="Y25" s="143">
        <v>2317.1</v>
      </c>
      <c r="Z25"/>
      <c r="AA25" s="7">
        <v>25</v>
      </c>
      <c r="AB25" s="7">
        <v>25</v>
      </c>
      <c r="AC25" s="7">
        <v>35</v>
      </c>
      <c r="AD25" s="7">
        <v>87.5</v>
      </c>
      <c r="AE25" s="7">
        <v>398</v>
      </c>
      <c r="AF25" s="7">
        <v>400</v>
      </c>
      <c r="AG25" s="7">
        <v>428</v>
      </c>
      <c r="AH25" s="7">
        <v>710</v>
      </c>
      <c r="AI25" s="7">
        <v>975</v>
      </c>
      <c r="AK25" s="7">
        <v>2.9000000000000008</v>
      </c>
      <c r="AL25" s="7">
        <v>4.7</v>
      </c>
      <c r="AM25" s="7">
        <v>5.6</v>
      </c>
      <c r="AN25" s="7">
        <v>6.5</v>
      </c>
      <c r="AO25" s="7">
        <v>11</v>
      </c>
      <c r="AP25" s="7">
        <v>49.600000000000037</v>
      </c>
      <c r="AQ25" s="7">
        <v>68.899999999999963</v>
      </c>
      <c r="AR25" s="7">
        <v>107.5</v>
      </c>
      <c r="AS25" s="7">
        <v>146.10000000000002</v>
      </c>
    </row>
    <row r="26" spans="1:45" s="7" customFormat="1" ht="25.5" customHeight="1" x14ac:dyDescent="0.25">
      <c r="A26" s="92" t="str">
        <f t="shared" si="0"/>
        <v>CK-NoKy [32]</v>
      </c>
      <c r="B26" s="92" t="str">
        <f t="shared" si="1"/>
        <v>Nootka and Kyuquot</v>
      </c>
      <c r="C26" s="93" t="str">
        <f t="shared" si="2"/>
        <v>KAOUK RIVER_Chinook</v>
      </c>
      <c r="D26" s="128" t="s">
        <v>599</v>
      </c>
      <c r="E26" s="128" t="s">
        <v>599</v>
      </c>
      <c r="F26" s="64">
        <v>26</v>
      </c>
      <c r="G26" s="72" t="s">
        <v>251</v>
      </c>
      <c r="H26" s="65" t="s">
        <v>97</v>
      </c>
      <c r="I26" s="119"/>
      <c r="J26" s="119"/>
      <c r="K26" s="64">
        <v>2</v>
      </c>
      <c r="L26" s="52">
        <v>11</v>
      </c>
      <c r="M26" s="52">
        <v>11</v>
      </c>
      <c r="N26" s="52" t="e">
        <f>GEOMEAN(#REF!)</f>
        <v>#REF!</v>
      </c>
      <c r="O26" s="52" t="e">
        <f>MAX(#REF!)</f>
        <v>#REF!</v>
      </c>
      <c r="P26" s="52" t="e">
        <f>GEOMEAN(#REF!)</f>
        <v>#REF!</v>
      </c>
      <c r="Q26" s="66" t="s">
        <v>269</v>
      </c>
      <c r="R26" s="39"/>
      <c r="S26" s="74" t="s">
        <v>1</v>
      </c>
      <c r="T26" s="8">
        <v>10</v>
      </c>
      <c r="U26" s="8">
        <v>3500</v>
      </c>
      <c r="V26" s="8">
        <v>419.5151515151515</v>
      </c>
      <c r="W26">
        <v>257.30668693911849</v>
      </c>
      <c r="X26" s="143">
        <v>420</v>
      </c>
      <c r="Y26" s="143">
        <v>363.58333333333331</v>
      </c>
      <c r="Z26"/>
      <c r="AA26" s="7">
        <v>26.25</v>
      </c>
      <c r="AB26" s="7">
        <v>75</v>
      </c>
      <c r="AC26" s="7">
        <v>100</v>
      </c>
      <c r="AD26" s="7">
        <v>186.75</v>
      </c>
      <c r="AE26" s="7">
        <v>301.5</v>
      </c>
      <c r="AF26" s="7">
        <v>400</v>
      </c>
      <c r="AG26" s="7">
        <v>400</v>
      </c>
      <c r="AH26" s="7">
        <v>524</v>
      </c>
      <c r="AI26" s="7">
        <v>750</v>
      </c>
      <c r="AJ26"/>
      <c r="AK26" s="7" t="e">
        <v>#NUM!</v>
      </c>
      <c r="AL26" s="7" t="e">
        <v>#NUM!</v>
      </c>
      <c r="AM26" s="7" t="e">
        <v>#NUM!</v>
      </c>
      <c r="AN26" s="7" t="e">
        <v>#NUM!</v>
      </c>
      <c r="AO26" s="7" t="e">
        <v>#NUM!</v>
      </c>
      <c r="AP26" s="7" t="e">
        <v>#NUM!</v>
      </c>
      <c r="AQ26" s="7" t="e">
        <v>#NUM!</v>
      </c>
      <c r="AR26" s="7" t="e">
        <v>#NUM!</v>
      </c>
      <c r="AS26" s="7" t="e">
        <v>#NUM!</v>
      </c>
    </row>
    <row r="27" spans="1:45" s="7" customFormat="1" ht="25.5" customHeight="1" x14ac:dyDescent="0.25">
      <c r="A27" s="92" t="str">
        <f t="shared" si="0"/>
        <v>CK-NoKy [32]</v>
      </c>
      <c r="B27" s="92" t="str">
        <f t="shared" si="1"/>
        <v>Nootka and Kyuquot</v>
      </c>
      <c r="C27" s="93" t="str">
        <f t="shared" si="2"/>
        <v>LEINER RIVER_Chinook</v>
      </c>
      <c r="D27" s="128" t="s">
        <v>598</v>
      </c>
      <c r="E27" s="128" t="s">
        <v>599</v>
      </c>
      <c r="F27" s="64">
        <v>25</v>
      </c>
      <c r="G27" s="72" t="s">
        <v>230</v>
      </c>
      <c r="H27" s="65" t="s">
        <v>97</v>
      </c>
      <c r="I27" s="119"/>
      <c r="J27" s="119"/>
      <c r="K27" s="64">
        <v>3</v>
      </c>
      <c r="L27" s="52">
        <v>11</v>
      </c>
      <c r="M27" s="52">
        <v>11</v>
      </c>
      <c r="N27" s="52" t="e">
        <f>GEOMEAN(#REF!)</f>
        <v>#REF!</v>
      </c>
      <c r="O27" s="52" t="e">
        <f>MAX(#REF!)</f>
        <v>#REF!</v>
      </c>
      <c r="P27" s="52" t="e">
        <f>GEOMEAN(#REF!)</f>
        <v>#REF!</v>
      </c>
      <c r="Q27" s="66" t="s">
        <v>268</v>
      </c>
      <c r="R27" s="39"/>
      <c r="S27" s="74" t="s">
        <v>1</v>
      </c>
      <c r="T27" s="8">
        <v>15</v>
      </c>
      <c r="U27" s="8">
        <v>1759</v>
      </c>
      <c r="V27" s="8">
        <v>389.75362318840581</v>
      </c>
      <c r="W27">
        <v>238.1053892712298</v>
      </c>
      <c r="X27" s="143">
        <v>702.6</v>
      </c>
      <c r="Y27" s="143">
        <v>762.83333333333337</v>
      </c>
      <c r="Z27"/>
      <c r="AA27" s="7">
        <v>25</v>
      </c>
      <c r="AB27" s="7">
        <v>75</v>
      </c>
      <c r="AC27" s="7">
        <v>75</v>
      </c>
      <c r="AD27" s="7">
        <v>125</v>
      </c>
      <c r="AE27" s="7">
        <v>303</v>
      </c>
      <c r="AF27" s="7">
        <v>398.79999999999995</v>
      </c>
      <c r="AG27" s="7">
        <v>401.2</v>
      </c>
      <c r="AH27" s="7">
        <v>503</v>
      </c>
      <c r="AI27" s="7">
        <v>740.39999999999986</v>
      </c>
      <c r="AK27" s="7">
        <v>481.25000000000006</v>
      </c>
      <c r="AL27" s="7">
        <v>851.85</v>
      </c>
      <c r="AM27" s="7">
        <v>1004.0000000000001</v>
      </c>
      <c r="AN27" s="7">
        <v>1570</v>
      </c>
      <c r="AO27" s="7">
        <v>3805.5</v>
      </c>
      <c r="AP27" s="7">
        <v>4509.4000000000005</v>
      </c>
      <c r="AQ27" s="7">
        <v>5189.45</v>
      </c>
      <c r="AR27" s="7">
        <v>6300</v>
      </c>
      <c r="AS27" s="7">
        <v>7514.8499999999995</v>
      </c>
    </row>
    <row r="28" spans="1:45" s="7" customFormat="1" ht="25.5" customHeight="1" x14ac:dyDescent="0.25">
      <c r="A28" s="92" t="str">
        <f t="shared" si="0"/>
        <v>CK-NoKy [32]</v>
      </c>
      <c r="B28" s="92" t="str">
        <f t="shared" si="1"/>
        <v>Nootka and Kyuquot</v>
      </c>
      <c r="C28" s="93" t="str">
        <f t="shared" si="2"/>
        <v>ARTLISH RIVER_Chinook</v>
      </c>
      <c r="D28" s="128" t="s">
        <v>599</v>
      </c>
      <c r="E28" s="128" t="s">
        <v>599</v>
      </c>
      <c r="F28" s="64">
        <v>26</v>
      </c>
      <c r="G28" s="72" t="s">
        <v>252</v>
      </c>
      <c r="H28" s="65" t="s">
        <v>97</v>
      </c>
      <c r="I28" s="119"/>
      <c r="J28" s="119"/>
      <c r="K28" s="64">
        <v>2</v>
      </c>
      <c r="L28" s="52">
        <v>11</v>
      </c>
      <c r="M28" s="52">
        <v>11</v>
      </c>
      <c r="N28" s="52" t="e">
        <f>GEOMEAN(#REF!)</f>
        <v>#REF!</v>
      </c>
      <c r="O28" s="52" t="e">
        <f>MAX(#REF!)</f>
        <v>#REF!</v>
      </c>
      <c r="P28" s="52" t="e">
        <f>GEOMEAN(#REF!)</f>
        <v>#REF!</v>
      </c>
      <c r="Q28" s="66" t="s">
        <v>269</v>
      </c>
      <c r="R28" s="39"/>
      <c r="S28" s="74" t="s">
        <v>1</v>
      </c>
      <c r="T28" s="8">
        <v>10</v>
      </c>
      <c r="U28" s="8">
        <v>3500</v>
      </c>
      <c r="V28" s="8">
        <v>377.59701492537312</v>
      </c>
      <c r="W28">
        <v>179.47795507335516</v>
      </c>
      <c r="X28" s="143">
        <v>317.2</v>
      </c>
      <c r="Y28" s="143">
        <v>321.58333333333331</v>
      </c>
      <c r="Z28"/>
      <c r="AA28" s="7">
        <v>25</v>
      </c>
      <c r="AB28" s="7">
        <v>40.9</v>
      </c>
      <c r="AC28" s="7">
        <v>63.000000000000014</v>
      </c>
      <c r="AD28" s="7">
        <v>93</v>
      </c>
      <c r="AE28" s="7">
        <v>200</v>
      </c>
      <c r="AF28" s="7">
        <v>237.60000000000002</v>
      </c>
      <c r="AG28" s="7">
        <v>371.09999999999991</v>
      </c>
      <c r="AH28" s="7">
        <v>400</v>
      </c>
      <c r="AI28" s="7">
        <v>564.50000000000011</v>
      </c>
      <c r="AK28" s="7">
        <v>37.200000000000003</v>
      </c>
      <c r="AL28" s="7">
        <v>53.6</v>
      </c>
      <c r="AM28" s="7">
        <v>56.8</v>
      </c>
      <c r="AN28" s="7">
        <v>67</v>
      </c>
      <c r="AO28" s="7">
        <v>143</v>
      </c>
      <c r="AP28" s="7">
        <v>158.4</v>
      </c>
      <c r="AQ28" s="7">
        <v>162.70000000000002</v>
      </c>
      <c r="AR28" s="7">
        <v>192</v>
      </c>
      <c r="AS28" s="7">
        <v>245.7999999999999</v>
      </c>
    </row>
    <row r="29" spans="1:45" s="7" customFormat="1" ht="25.5" customHeight="1" x14ac:dyDescent="0.25">
      <c r="A29" s="92" t="str">
        <f t="shared" si="0"/>
        <v>CK-SWVI [31]</v>
      </c>
      <c r="B29" s="92" t="str">
        <f t="shared" si="1"/>
        <v>Southwest Vancouver Island</v>
      </c>
      <c r="C29" s="93" t="str">
        <f t="shared" si="2"/>
        <v>TRANQUIL CREEK_Chinook</v>
      </c>
      <c r="D29" s="128" t="s">
        <v>598</v>
      </c>
      <c r="E29" s="128" t="s">
        <v>598</v>
      </c>
      <c r="F29" s="64">
        <v>24</v>
      </c>
      <c r="G29" s="197" t="s">
        <v>183</v>
      </c>
      <c r="H29" s="65" t="s">
        <v>97</v>
      </c>
      <c r="I29" s="119"/>
      <c r="J29" s="119"/>
      <c r="K29" s="64">
        <v>1</v>
      </c>
      <c r="L29" s="52">
        <v>11</v>
      </c>
      <c r="M29" s="52">
        <v>11</v>
      </c>
      <c r="N29" s="52" t="e">
        <f>GEOMEAN(#REF!)</f>
        <v>#REF!</v>
      </c>
      <c r="O29" s="52" t="e">
        <f>MAX(#REF!)</f>
        <v>#REF!</v>
      </c>
      <c r="P29" s="52" t="e">
        <f>GEOMEAN(#REF!)</f>
        <v>#REF!</v>
      </c>
      <c r="Q29" s="66" t="s">
        <v>272</v>
      </c>
      <c r="R29" s="39"/>
      <c r="S29" s="74" t="s">
        <v>6</v>
      </c>
      <c r="T29" s="8">
        <v>1</v>
      </c>
      <c r="U29" s="8">
        <v>2080</v>
      </c>
      <c r="V29" s="8">
        <v>369.7076923076923</v>
      </c>
      <c r="W29">
        <v>152.89079749726531</v>
      </c>
      <c r="X29" s="143">
        <v>156.80000000000001</v>
      </c>
      <c r="Y29" s="143">
        <v>233.08333333333334</v>
      </c>
      <c r="Z29"/>
      <c r="AA29" s="7">
        <v>15.200000000000001</v>
      </c>
      <c r="AB29" s="7">
        <v>25</v>
      </c>
      <c r="AC29" s="7">
        <v>25</v>
      </c>
      <c r="AD29" s="7">
        <v>45</v>
      </c>
      <c r="AE29" s="7">
        <v>206</v>
      </c>
      <c r="AF29" s="7">
        <v>256.59999999999997</v>
      </c>
      <c r="AG29" s="7">
        <v>400</v>
      </c>
      <c r="AH29" s="7">
        <v>650</v>
      </c>
      <c r="AI29" s="7">
        <v>750</v>
      </c>
      <c r="AK29" s="7">
        <v>842.3</v>
      </c>
      <c r="AL29" s="7">
        <v>858.9</v>
      </c>
      <c r="AM29" s="7">
        <v>867.2</v>
      </c>
      <c r="AN29" s="7">
        <v>875.5</v>
      </c>
      <c r="AO29" s="7">
        <v>917</v>
      </c>
      <c r="AP29" s="7">
        <v>933.6</v>
      </c>
      <c r="AQ29" s="7">
        <v>941.9</v>
      </c>
      <c r="AR29" s="7">
        <v>958.5</v>
      </c>
      <c r="AS29" s="7">
        <v>975.1</v>
      </c>
    </row>
    <row r="30" spans="1:45" s="7" customFormat="1" ht="25.5" customHeight="1" x14ac:dyDescent="0.25">
      <c r="A30" s="92" t="str">
        <f t="shared" si="0"/>
        <v>CK-NoKy [32]</v>
      </c>
      <c r="B30" s="92" t="str">
        <f t="shared" si="1"/>
        <v>Nootka and Kyuquot</v>
      </c>
      <c r="C30" s="93" t="str">
        <f t="shared" si="2"/>
        <v>ZEBALLOS RIVER_Chinook</v>
      </c>
      <c r="D30" s="128" t="s">
        <v>598</v>
      </c>
      <c r="E30" s="128" t="s">
        <v>598</v>
      </c>
      <c r="F30" s="64">
        <v>25</v>
      </c>
      <c r="G30" s="72" t="s">
        <v>241</v>
      </c>
      <c r="H30" s="65" t="s">
        <v>97</v>
      </c>
      <c r="I30" s="119"/>
      <c r="J30" s="119"/>
      <c r="K30" s="64">
        <v>3</v>
      </c>
      <c r="L30" s="52">
        <v>11</v>
      </c>
      <c r="M30" s="52">
        <v>11</v>
      </c>
      <c r="N30" s="52" t="e">
        <f>GEOMEAN(#REF!)</f>
        <v>#REF!</v>
      </c>
      <c r="O30" s="52" t="e">
        <f>MAX(#REF!)</f>
        <v>#REF!</v>
      </c>
      <c r="P30" s="52" t="e">
        <f>GEOMEAN(#REF!)</f>
        <v>#REF!</v>
      </c>
      <c r="Q30" s="66" t="s">
        <v>268</v>
      </c>
      <c r="R30" s="39"/>
      <c r="S30" s="74" t="s">
        <v>1</v>
      </c>
      <c r="T30" s="8">
        <v>1</v>
      </c>
      <c r="U30" s="8">
        <v>862</v>
      </c>
      <c r="V30" s="8">
        <v>199.1044776119403</v>
      </c>
      <c r="W30">
        <v>112.62977531462838</v>
      </c>
      <c r="X30" s="143">
        <v>249.25</v>
      </c>
      <c r="Y30" s="143">
        <v>241.09090909090909</v>
      </c>
      <c r="Z30"/>
      <c r="AA30" s="7">
        <v>25</v>
      </c>
      <c r="AB30" s="7">
        <v>25</v>
      </c>
      <c r="AC30" s="7">
        <v>42.800000000000011</v>
      </c>
      <c r="AD30" s="7">
        <v>57</v>
      </c>
      <c r="AE30" s="7">
        <v>100</v>
      </c>
      <c r="AF30" s="7">
        <v>154.20000000000002</v>
      </c>
      <c r="AG30" s="7">
        <v>200</v>
      </c>
      <c r="AH30" s="7">
        <v>315</v>
      </c>
      <c r="AI30" s="7">
        <v>402.1</v>
      </c>
      <c r="AK30" s="7" t="e">
        <v>#NUM!</v>
      </c>
      <c r="AL30" s="7" t="e">
        <v>#NUM!</v>
      </c>
      <c r="AM30" s="7" t="e">
        <v>#NUM!</v>
      </c>
      <c r="AN30" s="7" t="e">
        <v>#NUM!</v>
      </c>
      <c r="AO30" s="7" t="e">
        <v>#NUM!</v>
      </c>
      <c r="AP30" s="7" t="e">
        <v>#NUM!</v>
      </c>
      <c r="AQ30" s="7" t="e">
        <v>#NUM!</v>
      </c>
      <c r="AR30" s="7" t="e">
        <v>#NUM!</v>
      </c>
      <c r="AS30" s="7" t="e">
        <v>#NUM!</v>
      </c>
    </row>
    <row r="31" spans="1:45" s="7" customFormat="1" ht="25.5" customHeight="1" x14ac:dyDescent="0.25">
      <c r="A31" s="92" t="str">
        <f t="shared" si="0"/>
        <v>CK-SWVI [31]</v>
      </c>
      <c r="B31" s="92" t="str">
        <f t="shared" si="1"/>
        <v>Southwest Vancouver Island</v>
      </c>
      <c r="C31" s="93" t="str">
        <f t="shared" si="2"/>
        <v>MOYEHA RIVER_Chinook</v>
      </c>
      <c r="D31" s="128" t="s">
        <v>598</v>
      </c>
      <c r="E31" s="128" t="s">
        <v>599</v>
      </c>
      <c r="F31" s="64">
        <v>24</v>
      </c>
      <c r="G31" s="72" t="s">
        <v>194</v>
      </c>
      <c r="H31" s="65" t="s">
        <v>97</v>
      </c>
      <c r="I31" s="119"/>
      <c r="J31" s="119"/>
      <c r="K31" s="64">
        <v>3</v>
      </c>
      <c r="L31" s="52">
        <v>11</v>
      </c>
      <c r="M31" s="52">
        <v>11</v>
      </c>
      <c r="N31" s="52" t="e">
        <f>GEOMEAN(#REF!)</f>
        <v>#REF!</v>
      </c>
      <c r="O31" s="52" t="e">
        <f>MAX(#REF!)</f>
        <v>#REF!</v>
      </c>
      <c r="P31" s="52" t="e">
        <f>GEOMEAN(#REF!)</f>
        <v>#REF!</v>
      </c>
      <c r="Q31" s="66" t="s">
        <v>270</v>
      </c>
      <c r="R31" s="37"/>
      <c r="S31" s="74" t="s">
        <v>1</v>
      </c>
      <c r="T31" s="8">
        <v>5</v>
      </c>
      <c r="U31" s="8">
        <v>750</v>
      </c>
      <c r="V31" s="8">
        <v>192.37931034482759</v>
      </c>
      <c r="W31">
        <v>93.114058047099277</v>
      </c>
      <c r="X31" s="143">
        <v>63</v>
      </c>
      <c r="Y31" s="143">
        <v>70.599999999999994</v>
      </c>
      <c r="Z31"/>
      <c r="AA31" s="7">
        <v>10</v>
      </c>
      <c r="AB31" s="7">
        <v>25</v>
      </c>
      <c r="AC31" s="7">
        <v>25</v>
      </c>
      <c r="AD31" s="7">
        <v>45.5</v>
      </c>
      <c r="AE31" s="7">
        <v>84.5</v>
      </c>
      <c r="AF31" s="7">
        <v>115</v>
      </c>
      <c r="AG31" s="7">
        <v>136.15</v>
      </c>
      <c r="AH31" s="7">
        <v>196.25</v>
      </c>
      <c r="AI31" s="7">
        <v>408.99999999999989</v>
      </c>
      <c r="AK31" s="7" t="e">
        <v>#NUM!</v>
      </c>
      <c r="AL31" s="7" t="e">
        <v>#NUM!</v>
      </c>
      <c r="AM31" s="7" t="e">
        <v>#NUM!</v>
      </c>
      <c r="AN31" s="7" t="e">
        <v>#NUM!</v>
      </c>
      <c r="AO31" s="7" t="e">
        <v>#NUM!</v>
      </c>
      <c r="AP31" s="7" t="e">
        <v>#NUM!</v>
      </c>
      <c r="AQ31" s="7" t="e">
        <v>#NUM!</v>
      </c>
      <c r="AR31" s="7" t="e">
        <v>#NUM!</v>
      </c>
      <c r="AS31" s="7" t="e">
        <v>#NUM!</v>
      </c>
    </row>
    <row r="32" spans="1:45" s="7" customFormat="1" ht="25.5" customHeight="1" x14ac:dyDescent="0.25">
      <c r="A32" s="92" t="str">
        <f t="shared" si="0"/>
        <v>CK-SWVI [31]</v>
      </c>
      <c r="B32" s="92" t="str">
        <f t="shared" si="1"/>
        <v>Southwest Vancouver Island</v>
      </c>
      <c r="C32" s="93" t="str">
        <f t="shared" si="2"/>
        <v>CYPRE RIVER_Chinook</v>
      </c>
      <c r="D32" s="128" t="s">
        <v>598</v>
      </c>
      <c r="E32" s="128" t="s">
        <v>598</v>
      </c>
      <c r="F32" s="64">
        <v>24</v>
      </c>
      <c r="G32" s="72" t="s">
        <v>190</v>
      </c>
      <c r="H32" s="65" t="s">
        <v>97</v>
      </c>
      <c r="I32" s="119"/>
      <c r="J32" s="119"/>
      <c r="K32" s="64">
        <v>4</v>
      </c>
      <c r="L32" s="52">
        <v>10</v>
      </c>
      <c r="M32" s="52">
        <v>10</v>
      </c>
      <c r="N32" s="52" t="e">
        <f>GEOMEAN(#REF!)</f>
        <v>#REF!</v>
      </c>
      <c r="O32" s="52" t="e">
        <f>MAX(#REF!)</f>
        <v>#REF!</v>
      </c>
      <c r="P32" s="52" t="e">
        <f>GEOMEAN(#REF!)</f>
        <v>#REF!</v>
      </c>
      <c r="Q32" s="66"/>
      <c r="R32" s="37"/>
      <c r="S32" s="74" t="s">
        <v>388</v>
      </c>
      <c r="T32" s="8">
        <v>1</v>
      </c>
      <c r="U32" s="8">
        <v>3630</v>
      </c>
      <c r="V32" s="8">
        <v>321.76470588235293</v>
      </c>
      <c r="W32">
        <v>84.268807058487539</v>
      </c>
      <c r="X32" s="143">
        <v>153.19999999999999</v>
      </c>
      <c r="Y32" s="143">
        <v>972</v>
      </c>
      <c r="Z32"/>
      <c r="AA32" s="7">
        <v>10</v>
      </c>
      <c r="AB32" s="7">
        <v>15</v>
      </c>
      <c r="AC32" s="7">
        <v>16</v>
      </c>
      <c r="AD32" s="7">
        <v>23.75</v>
      </c>
      <c r="AE32" s="7">
        <v>65</v>
      </c>
      <c r="AF32" s="7">
        <v>200</v>
      </c>
      <c r="AG32" s="7">
        <v>293.40000000000038</v>
      </c>
      <c r="AH32" s="7">
        <v>402</v>
      </c>
      <c r="AI32" s="7">
        <v>500</v>
      </c>
      <c r="AK32" s="7">
        <v>23.6</v>
      </c>
      <c r="AL32" s="7">
        <v>41.199999999999996</v>
      </c>
      <c r="AM32" s="7">
        <v>59.20000000000001</v>
      </c>
      <c r="AN32" s="7">
        <v>83</v>
      </c>
      <c r="AO32" s="7">
        <v>241</v>
      </c>
      <c r="AP32" s="7">
        <v>413.99999999999994</v>
      </c>
      <c r="AQ32" s="7">
        <v>474.00000000000011</v>
      </c>
      <c r="AR32" s="7">
        <v>593</v>
      </c>
      <c r="AS32" s="7">
        <v>1089.9999999999995</v>
      </c>
    </row>
    <row r="33" spans="1:45" s="7" customFormat="1" ht="25.5" customHeight="1" x14ac:dyDescent="0.25">
      <c r="A33" s="92" t="str">
        <f t="shared" si="0"/>
        <v>CK-NoKy [32]</v>
      </c>
      <c r="B33" s="92" t="str">
        <f t="shared" si="1"/>
        <v>Nootka and Kyuquot</v>
      </c>
      <c r="C33" s="93" t="str">
        <f t="shared" si="2"/>
        <v>MUCHALAT RIVER_Chinook</v>
      </c>
      <c r="D33" s="128" t="s">
        <v>598</v>
      </c>
      <c r="E33" s="128" t="s">
        <v>598</v>
      </c>
      <c r="F33" s="64">
        <v>25</v>
      </c>
      <c r="G33" s="72" t="s">
        <v>218</v>
      </c>
      <c r="H33" s="65" t="s">
        <v>97</v>
      </c>
      <c r="I33" s="119"/>
      <c r="J33" s="119"/>
      <c r="K33" s="64">
        <v>5</v>
      </c>
      <c r="L33" s="52">
        <v>1</v>
      </c>
      <c r="M33" s="52">
        <v>1</v>
      </c>
      <c r="N33" s="52" t="e">
        <f>GEOMEAN(#REF!)</f>
        <v>#REF!</v>
      </c>
      <c r="O33" s="52" t="e">
        <f>MAX(#REF!)</f>
        <v>#REF!</v>
      </c>
      <c r="P33" s="52" t="e">
        <f>GEOMEAN(#REF!)</f>
        <v>#REF!</v>
      </c>
      <c r="Q33" s="66"/>
      <c r="R33" s="39"/>
      <c r="S33" s="74" t="s">
        <v>460</v>
      </c>
      <c r="T33" s="8">
        <v>10</v>
      </c>
      <c r="U33" s="8">
        <v>754</v>
      </c>
      <c r="V33" s="8">
        <v>211.66666666666666</v>
      </c>
      <c r="W33">
        <v>84.107156712374916</v>
      </c>
      <c r="X33" s="143">
        <v>427.5</v>
      </c>
      <c r="Y33" s="143">
        <v>427.5</v>
      </c>
      <c r="Z33"/>
      <c r="AA33" s="7">
        <v>15.999999999999998</v>
      </c>
      <c r="AB33" s="7">
        <v>25</v>
      </c>
      <c r="AC33" s="7">
        <v>25</v>
      </c>
      <c r="AD33" s="7">
        <v>25</v>
      </c>
      <c r="AE33" s="7">
        <v>60</v>
      </c>
      <c r="AF33" s="7">
        <v>72</v>
      </c>
      <c r="AG33" s="7">
        <v>139.80000000000007</v>
      </c>
      <c r="AH33" s="7">
        <v>399</v>
      </c>
      <c r="AI33" s="7">
        <v>486.2</v>
      </c>
      <c r="AK33" s="7">
        <v>1091.45</v>
      </c>
      <c r="AL33" s="7">
        <v>1271.55</v>
      </c>
      <c r="AM33" s="7">
        <v>1416.4</v>
      </c>
      <c r="AN33" s="7">
        <v>1606</v>
      </c>
      <c r="AO33" s="7">
        <v>3475</v>
      </c>
      <c r="AP33" s="7">
        <v>4671</v>
      </c>
      <c r="AQ33" s="7">
        <v>4916.6499999999996</v>
      </c>
      <c r="AR33" s="7">
        <v>6397.5</v>
      </c>
      <c r="AS33" s="7">
        <v>9882.2499999999982</v>
      </c>
    </row>
    <row r="34" spans="1:45" s="7" customFormat="1" ht="25.5" customHeight="1" x14ac:dyDescent="0.25">
      <c r="A34" s="92" t="str">
        <f t="shared" si="0"/>
        <v>CK-NoKy [32]</v>
      </c>
      <c r="B34" s="92" t="str">
        <f t="shared" si="1"/>
        <v>Nootka and Kyuquot</v>
      </c>
      <c r="C34" s="93" t="str">
        <f t="shared" si="2"/>
        <v>SUCWOA RIVER_Chinook</v>
      </c>
      <c r="D34" s="128" t="s">
        <v>598</v>
      </c>
      <c r="E34" s="128" t="s">
        <v>598</v>
      </c>
      <c r="F34" s="64">
        <v>25</v>
      </c>
      <c r="G34" s="72" t="s">
        <v>226</v>
      </c>
      <c r="H34" s="65" t="s">
        <v>97</v>
      </c>
      <c r="I34" s="119"/>
      <c r="J34" s="119"/>
      <c r="K34" s="64">
        <v>1</v>
      </c>
      <c r="L34" s="52">
        <v>10</v>
      </c>
      <c r="M34" s="52">
        <v>10</v>
      </c>
      <c r="N34" s="52" t="e">
        <f>GEOMEAN(#REF!)</f>
        <v>#REF!</v>
      </c>
      <c r="O34" s="52" t="e">
        <f>MAX(#REF!)</f>
        <v>#REF!</v>
      </c>
      <c r="P34" s="52" t="e">
        <f>GEOMEAN(#REF!)</f>
        <v>#REF!</v>
      </c>
      <c r="Q34" s="66" t="s">
        <v>272</v>
      </c>
      <c r="R34" s="39"/>
      <c r="S34" s="74" t="s">
        <v>13</v>
      </c>
      <c r="T34" s="8">
        <v>1</v>
      </c>
      <c r="U34" s="8">
        <v>1500</v>
      </c>
      <c r="V34" s="8">
        <v>225.16666666666666</v>
      </c>
      <c r="W34">
        <v>84.103430285077337</v>
      </c>
      <c r="X34" s="143" t="e">
        <v>#DIV/0!</v>
      </c>
      <c r="Y34" s="143">
        <v>79.25</v>
      </c>
      <c r="Z34"/>
      <c r="AA34" s="7">
        <v>8.6000000000000014</v>
      </c>
      <c r="AB34" s="7">
        <v>25</v>
      </c>
      <c r="AC34" s="7">
        <v>30</v>
      </c>
      <c r="AD34" s="7">
        <v>31.5</v>
      </c>
      <c r="AE34" s="7">
        <v>75</v>
      </c>
      <c r="AF34" s="7">
        <v>107.99999999999997</v>
      </c>
      <c r="AG34" s="7">
        <v>197.8</v>
      </c>
      <c r="AH34" s="7">
        <v>224</v>
      </c>
      <c r="AI34" s="7">
        <v>402.09999999999991</v>
      </c>
      <c r="AK34" s="7" t="e">
        <v>#NUM!</v>
      </c>
      <c r="AL34" s="7" t="e">
        <v>#NUM!</v>
      </c>
      <c r="AM34" s="7" t="e">
        <v>#NUM!</v>
      </c>
      <c r="AN34" s="7" t="e">
        <v>#NUM!</v>
      </c>
      <c r="AO34" s="7" t="e">
        <v>#NUM!</v>
      </c>
      <c r="AP34" s="7" t="e">
        <v>#NUM!</v>
      </c>
      <c r="AQ34" s="7" t="e">
        <v>#NUM!</v>
      </c>
      <c r="AR34" s="7" t="e">
        <v>#NUM!</v>
      </c>
      <c r="AS34" s="7" t="e">
        <v>#NUM!</v>
      </c>
    </row>
    <row r="35" spans="1:45" s="7" customFormat="1" ht="25.5" customHeight="1" x14ac:dyDescent="0.25">
      <c r="A35" s="92" t="str">
        <f t="shared" si="0"/>
        <v>CK-SWVI [31]</v>
      </c>
      <c r="B35" s="92" t="str">
        <f t="shared" si="1"/>
        <v>Southwest Vancouver Island</v>
      </c>
      <c r="C35" s="93" t="str">
        <f t="shared" si="2"/>
        <v>TOQUART RIVER_Chinook</v>
      </c>
      <c r="D35" s="128" t="s">
        <v>598</v>
      </c>
      <c r="E35" s="128" t="s">
        <v>598</v>
      </c>
      <c r="F35" s="64">
        <v>23</v>
      </c>
      <c r="G35" s="72" t="s">
        <v>143</v>
      </c>
      <c r="H35" s="65" t="s">
        <v>97</v>
      </c>
      <c r="I35" s="119"/>
      <c r="J35" s="119"/>
      <c r="K35" s="64">
        <v>3</v>
      </c>
      <c r="L35" s="52">
        <v>10</v>
      </c>
      <c r="M35" s="52">
        <v>10</v>
      </c>
      <c r="N35" s="52" t="e">
        <f>GEOMEAN(#REF!)</f>
        <v>#REF!</v>
      </c>
      <c r="O35" s="52" t="e">
        <f>MAX(#REF!)</f>
        <v>#REF!</v>
      </c>
      <c r="P35" s="52" t="e">
        <f>GEOMEAN(#REF!)</f>
        <v>#REF!</v>
      </c>
      <c r="Q35" s="66" t="s">
        <v>270</v>
      </c>
      <c r="R35" s="39"/>
      <c r="S35" s="74" t="s">
        <v>1</v>
      </c>
      <c r="T35" s="8">
        <v>3</v>
      </c>
      <c r="U35" s="8">
        <v>864</v>
      </c>
      <c r="V35" s="8">
        <v>167.79310344827587</v>
      </c>
      <c r="W35">
        <v>81.480331303786514</v>
      </c>
      <c r="X35" s="143">
        <v>60.8</v>
      </c>
      <c r="Y35" s="143">
        <v>158.45454545454547</v>
      </c>
      <c r="Z35"/>
      <c r="AA35" s="7">
        <v>3.85</v>
      </c>
      <c r="AB35" s="7">
        <v>25</v>
      </c>
      <c r="AC35" s="7">
        <v>25</v>
      </c>
      <c r="AD35" s="7">
        <v>25</v>
      </c>
      <c r="AE35" s="7">
        <v>97.5</v>
      </c>
      <c r="AF35" s="7">
        <v>168</v>
      </c>
      <c r="AG35" s="7">
        <v>200</v>
      </c>
      <c r="AH35" s="7">
        <v>201.5</v>
      </c>
      <c r="AI35" s="7">
        <v>324.64999999999992</v>
      </c>
      <c r="AK35" s="7">
        <v>1</v>
      </c>
      <c r="AL35" s="7">
        <v>1.7999999999999998</v>
      </c>
      <c r="AM35" s="7">
        <v>3.2000000000000011</v>
      </c>
      <c r="AN35" s="7">
        <v>5</v>
      </c>
      <c r="AO35" s="7">
        <v>11</v>
      </c>
      <c r="AP35" s="7">
        <v>13.999999999999996</v>
      </c>
      <c r="AQ35" s="7">
        <v>17.000000000000004</v>
      </c>
      <c r="AR35" s="7">
        <v>23</v>
      </c>
      <c r="AS35" s="7">
        <v>26.399999999999995</v>
      </c>
    </row>
    <row r="36" spans="1:45" s="7" customFormat="1" ht="25.5" customHeight="1" x14ac:dyDescent="0.25">
      <c r="A36" s="92" t="str">
        <f t="shared" si="0"/>
        <v>CK-SWVI [31]</v>
      </c>
      <c r="B36" s="92" t="str">
        <f t="shared" si="1"/>
        <v>Southwest Vancouver Island</v>
      </c>
      <c r="C36" s="93" t="str">
        <f t="shared" si="2"/>
        <v>MEGIN RIVER_Chinook</v>
      </c>
      <c r="D36" s="128" t="s">
        <v>598</v>
      </c>
      <c r="E36" s="128" t="s">
        <v>599</v>
      </c>
      <c r="F36" s="64">
        <v>24</v>
      </c>
      <c r="G36" s="72" t="s">
        <v>200</v>
      </c>
      <c r="H36" s="65" t="s">
        <v>97</v>
      </c>
      <c r="I36" s="119"/>
      <c r="J36" s="119"/>
      <c r="K36" s="64">
        <v>3</v>
      </c>
      <c r="L36" s="52">
        <v>10</v>
      </c>
      <c r="M36" s="52">
        <v>10</v>
      </c>
      <c r="N36" s="52" t="e">
        <f>GEOMEAN(#REF!)</f>
        <v>#REF!</v>
      </c>
      <c r="O36" s="52" t="e">
        <f>MAX(#REF!)</f>
        <v>#REF!</v>
      </c>
      <c r="P36" s="52" t="e">
        <f>GEOMEAN(#REF!)</f>
        <v>#REF!</v>
      </c>
      <c r="Q36" s="66" t="s">
        <v>270</v>
      </c>
      <c r="R36" s="39"/>
      <c r="S36" s="74" t="s">
        <v>1</v>
      </c>
      <c r="T36" s="8">
        <v>6</v>
      </c>
      <c r="U36" s="8">
        <v>1500</v>
      </c>
      <c r="V36" s="8">
        <v>256.73846153846154</v>
      </c>
      <c r="W36">
        <v>81.356890907922221</v>
      </c>
      <c r="X36" s="143">
        <v>29</v>
      </c>
      <c r="Y36" s="143">
        <v>42.5</v>
      </c>
      <c r="Z36"/>
      <c r="AA36" s="7">
        <v>10</v>
      </c>
      <c r="AB36" s="7">
        <v>20.599999999999998</v>
      </c>
      <c r="AC36" s="7">
        <v>24.8</v>
      </c>
      <c r="AD36" s="7">
        <v>25</v>
      </c>
      <c r="AE36" s="7">
        <v>61</v>
      </c>
      <c r="AF36" s="7">
        <v>82.799999999999983</v>
      </c>
      <c r="AG36" s="7">
        <v>136.80000000000004</v>
      </c>
      <c r="AH36" s="7">
        <v>234</v>
      </c>
      <c r="AI36" s="7">
        <v>750</v>
      </c>
      <c r="AK36" s="7" t="e">
        <v>#NUM!</v>
      </c>
      <c r="AL36" s="7" t="e">
        <v>#NUM!</v>
      </c>
      <c r="AM36" s="7" t="e">
        <v>#NUM!</v>
      </c>
      <c r="AN36" s="7" t="e">
        <v>#NUM!</v>
      </c>
      <c r="AO36" s="7" t="e">
        <v>#NUM!</v>
      </c>
      <c r="AP36" s="7" t="e">
        <v>#NUM!</v>
      </c>
      <c r="AQ36" s="7" t="e">
        <v>#NUM!</v>
      </c>
      <c r="AR36" s="7" t="e">
        <v>#NUM!</v>
      </c>
      <c r="AS36" s="7" t="e">
        <v>#NUM!</v>
      </c>
    </row>
    <row r="37" spans="1:45" s="7" customFormat="1" ht="25.5" customHeight="1" x14ac:dyDescent="0.25">
      <c r="A37" s="92" t="str">
        <f t="shared" si="0"/>
        <v>CK-NoKy [32]</v>
      </c>
      <c r="B37" s="92" t="str">
        <f t="shared" ref="B37:B68" si="3">VLOOKUP(C37,CU,7,FALSE)</f>
        <v>Nootka and Kyuquot</v>
      </c>
      <c r="C37" s="93" t="str">
        <f t="shared" ref="C37:C68" si="4">CONCATENATE(G37,"_",H37)</f>
        <v>OWOSSITSA CREEK_Chinook</v>
      </c>
      <c r="D37" s="128" t="s">
        <v>598</v>
      </c>
      <c r="E37" s="128" t="s">
        <v>598</v>
      </c>
      <c r="F37" s="64">
        <v>25</v>
      </c>
      <c r="G37" s="72" t="s">
        <v>237</v>
      </c>
      <c r="H37" s="65" t="s">
        <v>97</v>
      </c>
      <c r="I37" s="119"/>
      <c r="J37" s="119"/>
      <c r="K37" s="64">
        <v>5</v>
      </c>
      <c r="L37" s="52">
        <v>7</v>
      </c>
      <c r="M37" s="52">
        <v>0</v>
      </c>
      <c r="N37" s="52" t="e">
        <f>GEOMEAN(#REF!)</f>
        <v>#REF!</v>
      </c>
      <c r="O37" s="52" t="e">
        <f>MAX(#REF!)</f>
        <v>#REF!</v>
      </c>
      <c r="P37" s="52" t="e">
        <f>GEOMEAN(#REF!)</f>
        <v>#REF!</v>
      </c>
      <c r="Q37" s="66"/>
      <c r="R37" s="37"/>
      <c r="S37" s="74" t="s">
        <v>462</v>
      </c>
      <c r="T37" s="8">
        <v>25</v>
      </c>
      <c r="U37" s="8">
        <v>200</v>
      </c>
      <c r="V37" s="8">
        <v>100</v>
      </c>
      <c r="W37">
        <v>78.254229003664364</v>
      </c>
      <c r="X37" s="143" t="e">
        <v>#DIV/0!</v>
      </c>
      <c r="Y37" s="143" t="e">
        <v>#DIV/0!</v>
      </c>
      <c r="Z37"/>
      <c r="AA37" s="7">
        <v>32.499999999999993</v>
      </c>
      <c r="AB37" s="7">
        <v>47.5</v>
      </c>
      <c r="AC37" s="7">
        <v>55</v>
      </c>
      <c r="AD37" s="7">
        <v>62.5</v>
      </c>
      <c r="AE37" s="7">
        <v>87.5</v>
      </c>
      <c r="AF37" s="7">
        <v>95</v>
      </c>
      <c r="AG37" s="7">
        <v>98.75</v>
      </c>
      <c r="AH37" s="7">
        <v>125</v>
      </c>
      <c r="AI37" s="7">
        <v>155</v>
      </c>
      <c r="AK37" s="7">
        <v>8.1</v>
      </c>
      <c r="AL37" s="7">
        <v>10</v>
      </c>
      <c r="AM37" s="7">
        <v>12.000000000000002</v>
      </c>
      <c r="AN37" s="7">
        <v>15</v>
      </c>
      <c r="AO37" s="7">
        <v>55</v>
      </c>
      <c r="AP37" s="7">
        <v>75.400000000000006</v>
      </c>
      <c r="AQ37" s="7">
        <v>79.400000000000006</v>
      </c>
      <c r="AR37" s="7">
        <v>117.5</v>
      </c>
      <c r="AS37" s="7">
        <v>194.39999999999995</v>
      </c>
    </row>
    <row r="38" spans="1:45" s="7" customFormat="1" ht="25.5" customHeight="1" x14ac:dyDescent="0.25">
      <c r="A38" s="92" t="str">
        <f>A36</f>
        <v>CK-SWVI [31]</v>
      </c>
      <c r="B38" s="92" t="str">
        <f t="shared" si="3"/>
        <v>Port San Juan</v>
      </c>
      <c r="C38" s="93" t="str">
        <f t="shared" si="4"/>
        <v>GORDON RIVER_Chinook</v>
      </c>
      <c r="D38" s="128" t="s">
        <v>598</v>
      </c>
      <c r="E38" s="128" t="s">
        <v>598</v>
      </c>
      <c r="F38" s="64">
        <v>20</v>
      </c>
      <c r="G38" s="72" t="s">
        <v>36</v>
      </c>
      <c r="H38" s="67" t="s">
        <v>97</v>
      </c>
      <c r="I38" s="119"/>
      <c r="J38" s="119"/>
      <c r="K38" s="64">
        <v>3</v>
      </c>
      <c r="L38" s="52">
        <v>8</v>
      </c>
      <c r="M38" s="52">
        <v>8</v>
      </c>
      <c r="N38" s="52" t="e">
        <f>GEOMEAN(#REF!)</f>
        <v>#REF!</v>
      </c>
      <c r="O38" s="52" t="e">
        <f>MAX(#REF!)</f>
        <v>#REF!</v>
      </c>
      <c r="P38" s="52" t="e">
        <f>GEOMEAN(#REF!)</f>
        <v>#REF!</v>
      </c>
      <c r="Q38" s="66" t="s">
        <v>270</v>
      </c>
      <c r="R38" s="37"/>
      <c r="S38" s="74" t="s">
        <v>1</v>
      </c>
      <c r="T38" s="8">
        <v>2</v>
      </c>
      <c r="U38" s="8">
        <v>3500</v>
      </c>
      <c r="V38" s="8">
        <v>209.16666666666666</v>
      </c>
      <c r="W38">
        <v>72.112317493596137</v>
      </c>
      <c r="X38" s="143">
        <v>84.5</v>
      </c>
      <c r="Y38" s="143">
        <v>64.333333333333329</v>
      </c>
      <c r="AA38" s="7">
        <v>7.3000000000000007</v>
      </c>
      <c r="AB38" s="7">
        <v>20</v>
      </c>
      <c r="AC38" s="7">
        <v>24.6</v>
      </c>
      <c r="AD38" s="7">
        <v>25</v>
      </c>
      <c r="AE38" s="7">
        <v>75</v>
      </c>
      <c r="AF38" s="7">
        <v>92.199999999999974</v>
      </c>
      <c r="AG38" s="7">
        <v>135.15000000000009</v>
      </c>
      <c r="AH38" s="7">
        <v>200</v>
      </c>
      <c r="AI38" s="7">
        <v>224.74999999999994</v>
      </c>
      <c r="AK38" s="7">
        <v>46.249999999999993</v>
      </c>
      <c r="AL38" s="7">
        <v>68.75</v>
      </c>
      <c r="AM38" s="7">
        <v>80</v>
      </c>
      <c r="AN38" s="7">
        <v>91.25</v>
      </c>
      <c r="AO38" s="7">
        <v>115.5</v>
      </c>
      <c r="AP38" s="7">
        <v>118.8</v>
      </c>
      <c r="AQ38" s="7">
        <v>120.45</v>
      </c>
      <c r="AR38" s="7">
        <v>175.75</v>
      </c>
      <c r="AS38" s="7">
        <v>241.44999999999996</v>
      </c>
    </row>
    <row r="39" spans="1:45" s="7" customFormat="1" ht="25.5" customHeight="1" x14ac:dyDescent="0.25">
      <c r="A39" s="92" t="str">
        <f t="shared" ref="A39:A55" si="5">VLOOKUP(C39,CU,6,FALSE)</f>
        <v>CK-NoKy [32]</v>
      </c>
      <c r="B39" s="92" t="str">
        <f t="shared" si="3"/>
        <v>Nootka and Kyuquot</v>
      </c>
      <c r="C39" s="93" t="str">
        <f t="shared" si="4"/>
        <v>TLUPANA RIVER_Chinook</v>
      </c>
      <c r="D39" s="128" t="s">
        <v>598</v>
      </c>
      <c r="E39" s="128" t="s">
        <v>598</v>
      </c>
      <c r="F39" s="64">
        <v>25</v>
      </c>
      <c r="G39" s="72" t="s">
        <v>223</v>
      </c>
      <c r="H39" s="65" t="s">
        <v>97</v>
      </c>
      <c r="I39" s="119"/>
      <c r="J39" s="119"/>
      <c r="K39" s="64">
        <v>1</v>
      </c>
      <c r="L39" s="52">
        <v>10</v>
      </c>
      <c r="M39" s="52">
        <v>10</v>
      </c>
      <c r="N39" s="52" t="e">
        <f>GEOMEAN(#REF!)</f>
        <v>#REF!</v>
      </c>
      <c r="O39" s="52" t="e">
        <f>MAX(#REF!)</f>
        <v>#REF!</v>
      </c>
      <c r="P39" s="52" t="e">
        <f>GEOMEAN(#REF!)</f>
        <v>#REF!</v>
      </c>
      <c r="Q39" s="66" t="s">
        <v>272</v>
      </c>
      <c r="R39" s="37"/>
      <c r="S39" s="74" t="s">
        <v>13</v>
      </c>
      <c r="T39" s="8">
        <v>7</v>
      </c>
      <c r="U39" s="8">
        <v>2500</v>
      </c>
      <c r="V39" s="8">
        <v>205.34545454545454</v>
      </c>
      <c r="W39">
        <v>65.811273647568683</v>
      </c>
      <c r="X39" s="143">
        <v>23</v>
      </c>
      <c r="Y39" s="143">
        <v>578.57142857142856</v>
      </c>
      <c r="Z39"/>
      <c r="AA39" s="7">
        <v>13.5</v>
      </c>
      <c r="AB39" s="7">
        <v>24.1</v>
      </c>
      <c r="AC39" s="7">
        <v>25</v>
      </c>
      <c r="AD39" s="7">
        <v>25</v>
      </c>
      <c r="AE39" s="7">
        <v>40</v>
      </c>
      <c r="AF39" s="7">
        <v>69.400000000000006</v>
      </c>
      <c r="AG39" s="7">
        <v>75</v>
      </c>
      <c r="AH39" s="7">
        <v>150</v>
      </c>
      <c r="AI39" s="7">
        <v>325.19999999999993</v>
      </c>
      <c r="AK39" s="7">
        <v>1.5500000000000005</v>
      </c>
      <c r="AL39" s="7">
        <v>2.649999999999999</v>
      </c>
      <c r="AM39" s="7">
        <v>3.1999999999999993</v>
      </c>
      <c r="AN39" s="7">
        <v>3.75</v>
      </c>
      <c r="AO39" s="7">
        <v>6.5</v>
      </c>
      <c r="AP39" s="7">
        <v>7.6000000000000014</v>
      </c>
      <c r="AQ39" s="7">
        <v>8.1499999999999986</v>
      </c>
      <c r="AR39" s="7">
        <v>9.25</v>
      </c>
      <c r="AS39" s="7">
        <v>10.350000000000001</v>
      </c>
    </row>
    <row r="40" spans="1:45" s="7" customFormat="1" ht="25.5" customHeight="1" x14ac:dyDescent="0.25">
      <c r="A40" s="92" t="str">
        <f t="shared" si="5"/>
        <v>CK-NoKy [32]</v>
      </c>
      <c r="B40" s="92" t="str">
        <f t="shared" si="3"/>
        <v>Nootka and Kyuquot</v>
      </c>
      <c r="C40" s="93" t="str">
        <f t="shared" si="4"/>
        <v>DESERTED CREEK_Chinook</v>
      </c>
      <c r="D40" s="128" t="s">
        <v>598</v>
      </c>
      <c r="E40" s="128" t="s">
        <v>598</v>
      </c>
      <c r="F40" s="64">
        <v>25</v>
      </c>
      <c r="G40" s="72" t="s">
        <v>227</v>
      </c>
      <c r="H40" s="65" t="s">
        <v>97</v>
      </c>
      <c r="I40" s="119"/>
      <c r="J40" s="119"/>
      <c r="K40" s="64">
        <v>4</v>
      </c>
      <c r="L40" s="52">
        <v>8</v>
      </c>
      <c r="M40" s="52">
        <v>3</v>
      </c>
      <c r="N40" s="52" t="e">
        <f>GEOMEAN(#REF!)</f>
        <v>#REF!</v>
      </c>
      <c r="O40" s="52" t="e">
        <f>MAX(#REF!)</f>
        <v>#REF!</v>
      </c>
      <c r="P40" s="52" t="e">
        <f>GEOMEAN(#REF!)</f>
        <v>#REF!</v>
      </c>
      <c r="Q40" s="66"/>
      <c r="R40" s="37"/>
      <c r="S40" s="74" t="s">
        <v>448</v>
      </c>
      <c r="T40" s="8">
        <v>1</v>
      </c>
      <c r="U40" s="8">
        <v>750</v>
      </c>
      <c r="V40" s="8">
        <v>179.07407407407408</v>
      </c>
      <c r="W40">
        <v>65.524323323836953</v>
      </c>
      <c r="X40" s="143" t="e">
        <v>#DIV/0!</v>
      </c>
      <c r="Y40" s="143" t="e">
        <v>#DIV/0!</v>
      </c>
      <c r="Z40"/>
      <c r="AA40" s="7">
        <v>2.2999999999999998</v>
      </c>
      <c r="AB40" s="7">
        <v>22.900000000000006</v>
      </c>
      <c r="AC40" s="7">
        <v>25</v>
      </c>
      <c r="AD40" s="7">
        <v>25</v>
      </c>
      <c r="AE40" s="7">
        <v>75</v>
      </c>
      <c r="AF40" s="7">
        <v>190.00000000000003</v>
      </c>
      <c r="AG40" s="7">
        <v>200</v>
      </c>
      <c r="AH40" s="7">
        <v>300</v>
      </c>
      <c r="AI40" s="7">
        <v>354.99999999999989</v>
      </c>
      <c r="AK40" s="7">
        <v>9.3000000000000025</v>
      </c>
      <c r="AL40" s="7">
        <v>15.899999999999995</v>
      </c>
      <c r="AM40" s="7">
        <v>19.199999999999996</v>
      </c>
      <c r="AN40" s="7">
        <v>22.5</v>
      </c>
      <c r="AO40" s="7">
        <v>39</v>
      </c>
      <c r="AP40" s="7">
        <v>45.600000000000009</v>
      </c>
      <c r="AQ40" s="7">
        <v>48.899999999999991</v>
      </c>
      <c r="AR40" s="7">
        <v>55.5</v>
      </c>
      <c r="AS40" s="7">
        <v>62.100000000000009</v>
      </c>
    </row>
    <row r="41" spans="1:45" s="7" customFormat="1" ht="25.5" customHeight="1" x14ac:dyDescent="0.25">
      <c r="A41" s="92" t="str">
        <f t="shared" si="5"/>
        <v>CK-NoKy [32]</v>
      </c>
      <c r="B41" s="92" t="str">
        <f t="shared" si="3"/>
        <v>Nootka and Kyuquot</v>
      </c>
      <c r="C41" s="93" t="str">
        <f t="shared" si="4"/>
        <v>OUOUKINSH RIVER_Chinook</v>
      </c>
      <c r="D41" s="128" t="s">
        <v>598</v>
      </c>
      <c r="E41" s="128" t="s">
        <v>598</v>
      </c>
      <c r="F41" s="64">
        <v>26</v>
      </c>
      <c r="G41" s="72" t="s">
        <v>266</v>
      </c>
      <c r="H41" s="65" t="s">
        <v>97</v>
      </c>
      <c r="I41" s="119"/>
      <c r="J41" s="119"/>
      <c r="K41" s="64">
        <v>5</v>
      </c>
      <c r="L41" s="52">
        <v>4</v>
      </c>
      <c r="M41" s="52">
        <v>4</v>
      </c>
      <c r="N41" s="52" t="e">
        <f>GEOMEAN(#REF!)</f>
        <v>#REF!</v>
      </c>
      <c r="O41" s="52" t="e">
        <f>MAX(#REF!)</f>
        <v>#REF!</v>
      </c>
      <c r="P41" s="52" t="e">
        <f>GEOMEAN(#REF!)</f>
        <v>#REF!</v>
      </c>
      <c r="Q41" s="66"/>
      <c r="R41" s="37"/>
      <c r="S41" s="74" t="s">
        <v>436</v>
      </c>
      <c r="T41" s="8">
        <v>3</v>
      </c>
      <c r="U41" s="8">
        <v>400</v>
      </c>
      <c r="V41" s="8">
        <v>106.73076923076923</v>
      </c>
      <c r="W41">
        <v>52.035252838822849</v>
      </c>
      <c r="X41" s="143">
        <v>30</v>
      </c>
      <c r="Y41" s="143">
        <v>18.5</v>
      </c>
      <c r="Z41"/>
      <c r="AA41" s="7">
        <v>5.5</v>
      </c>
      <c r="AB41" s="7">
        <v>23.75</v>
      </c>
      <c r="AC41" s="7">
        <v>25</v>
      </c>
      <c r="AD41" s="7">
        <v>25</v>
      </c>
      <c r="AE41" s="7">
        <v>52.5</v>
      </c>
      <c r="AF41" s="7">
        <v>75</v>
      </c>
      <c r="AG41" s="7">
        <v>100</v>
      </c>
      <c r="AH41" s="7">
        <v>146.25</v>
      </c>
      <c r="AI41" s="7">
        <v>200</v>
      </c>
      <c r="AJ41"/>
      <c r="AK41" s="7">
        <v>6.4</v>
      </c>
      <c r="AL41" s="7">
        <v>7.2</v>
      </c>
      <c r="AM41" s="7">
        <v>7.6</v>
      </c>
      <c r="AN41" s="7">
        <v>8</v>
      </c>
      <c r="AO41" s="7">
        <v>10</v>
      </c>
      <c r="AP41" s="7">
        <v>14.000000000000004</v>
      </c>
      <c r="AQ41" s="7">
        <v>15.999999999999996</v>
      </c>
      <c r="AR41" s="7">
        <v>20</v>
      </c>
      <c r="AS41" s="7">
        <v>24.000000000000004</v>
      </c>
    </row>
    <row r="42" spans="1:45" s="7" customFormat="1" ht="25.5" customHeight="1" x14ac:dyDescent="0.25">
      <c r="A42" s="92" t="str">
        <f t="shared" si="5"/>
        <v>CK-NoKy [32]</v>
      </c>
      <c r="B42" s="92" t="str">
        <f t="shared" si="3"/>
        <v>Nootka and Kyuquot</v>
      </c>
      <c r="C42" s="93" t="str">
        <f t="shared" si="4"/>
        <v>KAUWINCH RIVER_Chinook</v>
      </c>
      <c r="D42" s="128" t="s">
        <v>598</v>
      </c>
      <c r="E42" s="128" t="s">
        <v>598</v>
      </c>
      <c r="F42" s="64">
        <v>26</v>
      </c>
      <c r="G42" s="72" t="s">
        <v>255</v>
      </c>
      <c r="H42" s="65" t="s">
        <v>97</v>
      </c>
      <c r="I42" s="119"/>
      <c r="J42" s="119"/>
      <c r="K42" s="64">
        <v>3</v>
      </c>
      <c r="L42" s="52">
        <v>10</v>
      </c>
      <c r="M42" s="52">
        <v>7</v>
      </c>
      <c r="N42" s="52" t="e">
        <f>GEOMEAN(#REF!)</f>
        <v>#REF!</v>
      </c>
      <c r="O42" s="52" t="e">
        <f>MAX(#REF!)</f>
        <v>#REF!</v>
      </c>
      <c r="P42" s="52" t="e">
        <f>GEOMEAN(#REF!)</f>
        <v>#REF!</v>
      </c>
      <c r="Q42" s="66"/>
      <c r="R42" s="37"/>
      <c r="S42" s="74" t="s">
        <v>425</v>
      </c>
      <c r="T42" s="8">
        <v>2</v>
      </c>
      <c r="U42" s="8">
        <v>750</v>
      </c>
      <c r="V42" s="8">
        <v>129.4</v>
      </c>
      <c r="W42">
        <v>51.515982146810799</v>
      </c>
      <c r="X42" s="143">
        <v>69.666666666666671</v>
      </c>
      <c r="Y42" s="143">
        <v>109.66666666666667</v>
      </c>
      <c r="Z42"/>
      <c r="AA42" s="7">
        <v>4.2</v>
      </c>
      <c r="AB42" s="7">
        <v>18.2</v>
      </c>
      <c r="AC42" s="7">
        <v>19.8</v>
      </c>
      <c r="AD42" s="7">
        <v>25</v>
      </c>
      <c r="AE42" s="7">
        <v>50</v>
      </c>
      <c r="AF42" s="7">
        <v>75</v>
      </c>
      <c r="AG42" s="7">
        <v>75</v>
      </c>
      <c r="AH42" s="7">
        <v>100</v>
      </c>
      <c r="AI42" s="7">
        <v>242.79999999999984</v>
      </c>
      <c r="AJ42"/>
      <c r="AK42" s="7" t="e">
        <v>#NUM!</v>
      </c>
      <c r="AL42" s="7" t="e">
        <v>#NUM!</v>
      </c>
      <c r="AM42" s="7" t="e">
        <v>#NUM!</v>
      </c>
      <c r="AN42" s="7" t="e">
        <v>#NUM!</v>
      </c>
      <c r="AO42" s="7" t="e">
        <v>#NUM!</v>
      </c>
      <c r="AP42" s="7" t="e">
        <v>#NUM!</v>
      </c>
      <c r="AQ42" s="7" t="e">
        <v>#NUM!</v>
      </c>
      <c r="AR42" s="7" t="e">
        <v>#NUM!</v>
      </c>
      <c r="AS42" s="7" t="e">
        <v>#NUM!</v>
      </c>
    </row>
    <row r="43" spans="1:45" s="7" customFormat="1" ht="25.5" customHeight="1" x14ac:dyDescent="0.25">
      <c r="A43" s="92" t="str">
        <f t="shared" si="5"/>
        <v>CK-SWVI [31]</v>
      </c>
      <c r="B43" s="92" t="str">
        <f t="shared" si="3"/>
        <v>Southwest Vancouver Island</v>
      </c>
      <c r="C43" s="93" t="str">
        <f t="shared" si="4"/>
        <v>CAMPUS CREEK_Chinook</v>
      </c>
      <c r="D43" s="128" t="s">
        <v>598</v>
      </c>
      <c r="E43" s="128" t="s">
        <v>598</v>
      </c>
      <c r="F43" s="64">
        <v>22</v>
      </c>
      <c r="G43" s="72" t="s">
        <v>106</v>
      </c>
      <c r="H43" s="67" t="s">
        <v>97</v>
      </c>
      <c r="I43" s="119"/>
      <c r="J43" s="119"/>
      <c r="K43" s="64">
        <v>4</v>
      </c>
      <c r="L43" s="52">
        <v>6</v>
      </c>
      <c r="M43" s="52">
        <v>1</v>
      </c>
      <c r="N43" s="52" t="e">
        <f>GEOMEAN(#REF!)</f>
        <v>#REF!</v>
      </c>
      <c r="O43" s="52" t="e">
        <f>MAX(#REF!)</f>
        <v>#REF!</v>
      </c>
      <c r="P43" s="52" t="e">
        <f>GEOMEAN(#REF!)</f>
        <v>#REF!</v>
      </c>
      <c r="Q43" s="66"/>
      <c r="R43" s="37"/>
      <c r="S43" s="74" t="s">
        <v>325</v>
      </c>
      <c r="T43" s="8">
        <v>2</v>
      </c>
      <c r="U43" s="8">
        <v>1500</v>
      </c>
      <c r="V43" s="8">
        <v>429.25</v>
      </c>
      <c r="W43">
        <v>50.937312426675575</v>
      </c>
      <c r="X43" s="143">
        <v>72.333333333333329</v>
      </c>
      <c r="Y43" s="143">
        <v>72.333333333333329</v>
      </c>
      <c r="AA43" s="7">
        <v>3.3499999999999992</v>
      </c>
      <c r="AB43" s="7">
        <v>6.05</v>
      </c>
      <c r="AC43" s="7">
        <v>7.4</v>
      </c>
      <c r="AD43" s="7">
        <v>8.75</v>
      </c>
      <c r="AE43" s="7">
        <v>107.5</v>
      </c>
      <c r="AF43" s="7">
        <v>165.39999999999998</v>
      </c>
      <c r="AG43" s="7">
        <v>194.35000000000002</v>
      </c>
      <c r="AH43" s="7">
        <v>528</v>
      </c>
      <c r="AI43" s="7">
        <v>916.79999999999973</v>
      </c>
      <c r="AK43" s="7">
        <v>181.8</v>
      </c>
      <c r="AL43" s="7">
        <v>204</v>
      </c>
      <c r="AM43" s="7">
        <v>232.00000000000003</v>
      </c>
      <c r="AN43" s="7">
        <v>260</v>
      </c>
      <c r="AO43" s="7">
        <v>368.5</v>
      </c>
      <c r="AP43" s="7">
        <v>499.60000000000008</v>
      </c>
      <c r="AQ43" s="7">
        <v>696.64999999999986</v>
      </c>
      <c r="AR43" s="7">
        <v>1153.75</v>
      </c>
      <c r="AS43" s="7">
        <v>1724.25</v>
      </c>
    </row>
    <row r="44" spans="1:45" s="7" customFormat="1" ht="25.5" customHeight="1" x14ac:dyDescent="0.25">
      <c r="A44" s="92" t="str">
        <f t="shared" si="5"/>
        <v>CK-NoKy [32]</v>
      </c>
      <c r="B44" s="92" t="str">
        <f t="shared" si="3"/>
        <v>Nootka and Kyuquot</v>
      </c>
      <c r="C44" s="93" t="str">
        <f t="shared" si="4"/>
        <v>MOOYAH RIVER_Chinook</v>
      </c>
      <c r="D44" s="128" t="s">
        <v>598</v>
      </c>
      <c r="E44" s="128" t="s">
        <v>598</v>
      </c>
      <c r="F44" s="64">
        <v>25</v>
      </c>
      <c r="G44" s="72" t="s">
        <v>215</v>
      </c>
      <c r="H44" s="65" t="s">
        <v>97</v>
      </c>
      <c r="I44" s="119"/>
      <c r="J44" s="119"/>
      <c r="K44" s="64">
        <v>4</v>
      </c>
      <c r="L44" s="52">
        <v>9</v>
      </c>
      <c r="M44" s="52">
        <v>7</v>
      </c>
      <c r="N44" s="52" t="e">
        <f>GEOMEAN(#REF!)</f>
        <v>#REF!</v>
      </c>
      <c r="O44" s="52" t="e">
        <f>MAX(#REF!)</f>
        <v>#REF!</v>
      </c>
      <c r="P44" s="52" t="e">
        <f>GEOMEAN(#REF!)</f>
        <v>#REF!</v>
      </c>
      <c r="Q44" s="66"/>
      <c r="R44" s="37"/>
      <c r="S44" s="74"/>
      <c r="T44" s="8">
        <v>1</v>
      </c>
      <c r="U44" s="8">
        <v>700</v>
      </c>
      <c r="V44" s="8">
        <v>113.75</v>
      </c>
      <c r="W44">
        <v>41.989001941868516</v>
      </c>
      <c r="X44" s="143" t="e">
        <v>#DIV/0!</v>
      </c>
      <c r="Y44" s="143">
        <v>17</v>
      </c>
      <c r="Z44"/>
      <c r="AA44" s="7">
        <v>2</v>
      </c>
      <c r="AB44" s="7">
        <v>6.25</v>
      </c>
      <c r="AC44" s="7">
        <v>11</v>
      </c>
      <c r="AD44" s="7">
        <v>14.25</v>
      </c>
      <c r="AE44" s="7">
        <v>75</v>
      </c>
      <c r="AF44" s="7">
        <v>75</v>
      </c>
      <c r="AG44" s="7">
        <v>79.5</v>
      </c>
      <c r="AH44" s="7">
        <v>200</v>
      </c>
      <c r="AI44" s="7">
        <v>200</v>
      </c>
      <c r="AK44" s="7">
        <v>21944.7</v>
      </c>
      <c r="AL44" s="7">
        <v>36809.35</v>
      </c>
      <c r="AM44" s="7">
        <v>51078.8</v>
      </c>
      <c r="AN44" s="7">
        <v>58082</v>
      </c>
      <c r="AO44" s="7">
        <v>122159.5</v>
      </c>
      <c r="AP44" s="7">
        <v>151835.79999999999</v>
      </c>
      <c r="AQ44" s="7">
        <v>189960.65000000002</v>
      </c>
      <c r="AR44" s="7">
        <v>235103.5</v>
      </c>
      <c r="AS44" s="7">
        <v>297199.99999999994</v>
      </c>
    </row>
    <row r="45" spans="1:45" s="7" customFormat="1" ht="25.5" customHeight="1" x14ac:dyDescent="0.25">
      <c r="A45" s="92" t="str">
        <f t="shared" si="5"/>
        <v>CK-SWVI [31]</v>
      </c>
      <c r="B45" s="92" t="str">
        <f t="shared" si="3"/>
        <v>Southwest Vancouver Island</v>
      </c>
      <c r="C45" s="93" t="str">
        <f t="shared" si="4"/>
        <v>ICE RIVER_Chinook</v>
      </c>
      <c r="D45" s="128" t="s">
        <v>598</v>
      </c>
      <c r="E45" s="128" t="s">
        <v>598</v>
      </c>
      <c r="F45" s="64">
        <v>24</v>
      </c>
      <c r="G45" s="72" t="s">
        <v>202</v>
      </c>
      <c r="H45" s="65" t="s">
        <v>97</v>
      </c>
      <c r="I45" s="119"/>
      <c r="J45" s="119"/>
      <c r="K45" s="64">
        <v>4</v>
      </c>
      <c r="L45" s="52">
        <v>7</v>
      </c>
      <c r="M45" s="52">
        <v>4</v>
      </c>
      <c r="N45" s="52" t="e">
        <f>GEOMEAN(#REF!)</f>
        <v>#REF!</v>
      </c>
      <c r="O45" s="52" t="e">
        <f>MAX(#REF!)</f>
        <v>#REF!</v>
      </c>
      <c r="P45" s="52" t="e">
        <f>GEOMEAN(#REF!)</f>
        <v>#REF!</v>
      </c>
      <c r="Q45" s="66"/>
      <c r="R45" s="37"/>
      <c r="S45" s="74" t="s">
        <v>395</v>
      </c>
      <c r="T45" s="8">
        <v>3</v>
      </c>
      <c r="U45" s="8">
        <v>400</v>
      </c>
      <c r="V45" s="8">
        <v>89</v>
      </c>
      <c r="W45">
        <v>39.982643873274846</v>
      </c>
      <c r="X45" s="143" t="e">
        <v>#DIV/0!</v>
      </c>
      <c r="Y45" s="143" t="e">
        <v>#DIV/0!</v>
      </c>
      <c r="Z45"/>
      <c r="AA45" s="7">
        <v>5.2</v>
      </c>
      <c r="AB45" s="7">
        <v>10</v>
      </c>
      <c r="AC45" s="7">
        <v>10.8</v>
      </c>
      <c r="AD45" s="7">
        <v>20</v>
      </c>
      <c r="AE45" s="7">
        <v>25</v>
      </c>
      <c r="AF45" s="7">
        <v>53.99999999999995</v>
      </c>
      <c r="AG45" s="7">
        <v>75</v>
      </c>
      <c r="AH45" s="7">
        <v>200</v>
      </c>
      <c r="AI45" s="7">
        <v>200</v>
      </c>
      <c r="AK45" s="7">
        <v>976.75</v>
      </c>
      <c r="AL45" s="7">
        <v>1793.8</v>
      </c>
      <c r="AM45" s="7">
        <v>1953</v>
      </c>
      <c r="AN45" s="7">
        <v>2619.75</v>
      </c>
      <c r="AO45" s="7">
        <v>6201</v>
      </c>
      <c r="AP45" s="7">
        <v>7433.8</v>
      </c>
      <c r="AQ45" s="7">
        <v>8699.8000000000011</v>
      </c>
      <c r="AR45" s="7">
        <v>13373.25</v>
      </c>
      <c r="AS45" s="7">
        <v>19510.849999999999</v>
      </c>
    </row>
    <row r="46" spans="1:45" s="7" customFormat="1" ht="25.5" customHeight="1" x14ac:dyDescent="0.25">
      <c r="A46" s="92" t="str">
        <f t="shared" si="5"/>
        <v>CK-NoKy [32]</v>
      </c>
      <c r="B46" s="92" t="str">
        <f t="shared" si="3"/>
        <v>Nootka and Kyuquot</v>
      </c>
      <c r="C46" s="93" t="str">
        <f t="shared" si="4"/>
        <v>PARK RIVER_Chinook</v>
      </c>
      <c r="D46" s="128" t="s">
        <v>598</v>
      </c>
      <c r="E46" s="128" t="s">
        <v>598</v>
      </c>
      <c r="F46" s="64">
        <v>25</v>
      </c>
      <c r="G46" s="72" t="s">
        <v>245</v>
      </c>
      <c r="H46" s="65" t="s">
        <v>97</v>
      </c>
      <c r="I46" s="119"/>
      <c r="J46" s="119"/>
      <c r="K46" s="64">
        <v>4</v>
      </c>
      <c r="L46" s="52">
        <v>11</v>
      </c>
      <c r="M46" s="52">
        <v>0</v>
      </c>
      <c r="N46" s="52" t="e">
        <f>GEOMEAN(#REF!)</f>
        <v>#REF!</v>
      </c>
      <c r="O46" s="52" t="e">
        <f>MAX(#REF!)</f>
        <v>#REF!</v>
      </c>
      <c r="P46" s="52" t="e">
        <f>GEOMEAN(#REF!)</f>
        <v>#REF!</v>
      </c>
      <c r="Q46" s="66"/>
      <c r="R46" s="37"/>
      <c r="S46" s="74"/>
      <c r="T46" s="8">
        <v>15</v>
      </c>
      <c r="U46" s="8">
        <v>200</v>
      </c>
      <c r="V46" s="8">
        <v>48.888888888888886</v>
      </c>
      <c r="W46">
        <v>38.601258668102425</v>
      </c>
      <c r="X46" s="143" t="e">
        <v>#DIV/0!</v>
      </c>
      <c r="Y46" s="143" t="e">
        <v>#DIV/0!</v>
      </c>
      <c r="Z46"/>
      <c r="AA46" s="7">
        <v>23.5</v>
      </c>
      <c r="AB46" s="7">
        <v>25</v>
      </c>
      <c r="AC46" s="7">
        <v>25</v>
      </c>
      <c r="AD46" s="7">
        <v>25</v>
      </c>
      <c r="AE46" s="7">
        <v>25</v>
      </c>
      <c r="AF46" s="7">
        <v>41.999999999999993</v>
      </c>
      <c r="AG46" s="7">
        <v>50</v>
      </c>
      <c r="AH46" s="7">
        <v>68.75</v>
      </c>
      <c r="AI46" s="7">
        <v>75</v>
      </c>
      <c r="AK46" s="7" t="e">
        <v>#NUM!</v>
      </c>
      <c r="AL46" s="7" t="e">
        <v>#NUM!</v>
      </c>
      <c r="AM46" s="7" t="e">
        <v>#NUM!</v>
      </c>
      <c r="AN46" s="7" t="e">
        <v>#NUM!</v>
      </c>
      <c r="AO46" s="7" t="e">
        <v>#NUM!</v>
      </c>
      <c r="AP46" s="7" t="e">
        <v>#NUM!</v>
      </c>
      <c r="AQ46" s="7" t="e">
        <v>#NUM!</v>
      </c>
      <c r="AR46" s="7" t="e">
        <v>#NUM!</v>
      </c>
      <c r="AS46" s="7" t="e">
        <v>#NUM!</v>
      </c>
    </row>
    <row r="47" spans="1:45" s="7" customFormat="1" ht="25.5" customHeight="1" x14ac:dyDescent="0.25">
      <c r="A47" s="92" t="str">
        <f t="shared" si="5"/>
        <v>CK-NoKy [32]</v>
      </c>
      <c r="B47" s="92" t="str">
        <f t="shared" si="3"/>
        <v>Nootka and Kyuquot</v>
      </c>
      <c r="C47" s="93" t="str">
        <f t="shared" si="4"/>
        <v>KLEEPTEE CREEK_Chinook</v>
      </c>
      <c r="D47" s="128" t="s">
        <v>598</v>
      </c>
      <c r="E47" s="128" t="s">
        <v>598</v>
      </c>
      <c r="F47" s="64">
        <v>25</v>
      </c>
      <c r="G47" s="72" t="s">
        <v>221</v>
      </c>
      <c r="H47" s="65" t="s">
        <v>97</v>
      </c>
      <c r="I47" s="119"/>
      <c r="J47" s="119"/>
      <c r="K47" s="64">
        <v>4</v>
      </c>
      <c r="L47" s="52">
        <v>9</v>
      </c>
      <c r="M47" s="52">
        <v>5</v>
      </c>
      <c r="N47" s="52" t="e">
        <f>GEOMEAN(#REF!)</f>
        <v>#REF!</v>
      </c>
      <c r="O47" s="52" t="e">
        <f>MAX(#REF!)</f>
        <v>#REF!</v>
      </c>
      <c r="P47" s="52" t="e">
        <f>GEOMEAN(#REF!)</f>
        <v>#REF!</v>
      </c>
      <c r="Q47" s="66"/>
      <c r="R47" s="37"/>
      <c r="S47" s="74" t="s">
        <v>445</v>
      </c>
      <c r="T47" s="8">
        <v>1</v>
      </c>
      <c r="U47" s="8">
        <v>300</v>
      </c>
      <c r="V47" s="8">
        <v>64.84375</v>
      </c>
      <c r="W47">
        <v>36.120241116118194</v>
      </c>
      <c r="X47" s="143">
        <v>23</v>
      </c>
      <c r="Y47" s="143">
        <v>28.333333333333332</v>
      </c>
      <c r="Z47"/>
      <c r="AA47" s="7">
        <v>4.55</v>
      </c>
      <c r="AB47" s="7">
        <v>20</v>
      </c>
      <c r="AC47" s="7">
        <v>23</v>
      </c>
      <c r="AD47" s="7">
        <v>24.5</v>
      </c>
      <c r="AE47" s="7">
        <v>35.5</v>
      </c>
      <c r="AF47" s="7">
        <v>48.399999999999991</v>
      </c>
      <c r="AG47" s="7">
        <v>51.500000000000021</v>
      </c>
      <c r="AH47" s="7">
        <v>75</v>
      </c>
      <c r="AI47" s="7">
        <v>75</v>
      </c>
      <c r="AK47" s="7">
        <v>9</v>
      </c>
      <c r="AL47" s="7">
        <v>9</v>
      </c>
      <c r="AM47" s="7">
        <v>9</v>
      </c>
      <c r="AN47" s="7">
        <v>9</v>
      </c>
      <c r="AO47" s="7">
        <v>9</v>
      </c>
      <c r="AP47" s="7">
        <v>11.400000000000002</v>
      </c>
      <c r="AQ47" s="7">
        <v>12.599999999999998</v>
      </c>
      <c r="AR47" s="7">
        <v>15</v>
      </c>
      <c r="AS47" s="7">
        <v>17.400000000000002</v>
      </c>
    </row>
    <row r="48" spans="1:45" s="7" customFormat="1" ht="25.5" customHeight="1" x14ac:dyDescent="0.25">
      <c r="A48" s="92" t="str">
        <f t="shared" si="5"/>
        <v>CK-NoKy [32]</v>
      </c>
      <c r="B48" s="92" t="str">
        <f t="shared" si="3"/>
        <v>Nootka and Kyuquot</v>
      </c>
      <c r="C48" s="93" t="str">
        <f t="shared" si="4"/>
        <v>OKTWANCH RIVER_Chinook</v>
      </c>
      <c r="D48" s="128" t="s">
        <v>598</v>
      </c>
      <c r="E48" s="128" t="s">
        <v>598</v>
      </c>
      <c r="F48" s="64">
        <v>25</v>
      </c>
      <c r="G48" s="72" t="s">
        <v>219</v>
      </c>
      <c r="H48" s="65" t="s">
        <v>97</v>
      </c>
      <c r="I48" s="119"/>
      <c r="J48" s="119"/>
      <c r="K48" s="64">
        <v>3</v>
      </c>
      <c r="L48" s="52">
        <v>2</v>
      </c>
      <c r="M48" s="52">
        <v>2</v>
      </c>
      <c r="N48" s="52" t="e">
        <f>GEOMEAN(#REF!)</f>
        <v>#REF!</v>
      </c>
      <c r="O48" s="52" t="e">
        <f>MAX(#REF!)</f>
        <v>#REF!</v>
      </c>
      <c r="P48" s="52" t="e">
        <f>GEOMEAN(#REF!)</f>
        <v>#REF!</v>
      </c>
      <c r="Q48" s="66"/>
      <c r="R48" s="37"/>
      <c r="S48" s="74"/>
      <c r="T48" s="8">
        <v>9</v>
      </c>
      <c r="U48" s="8">
        <v>252</v>
      </c>
      <c r="V48" s="8">
        <v>62.5</v>
      </c>
      <c r="W48">
        <v>35.229730410896799</v>
      </c>
      <c r="X48" s="143">
        <v>144.33333333333334</v>
      </c>
      <c r="Y48" s="143">
        <v>91.5</v>
      </c>
      <c r="Z48"/>
      <c r="AA48" s="7">
        <v>10.35</v>
      </c>
      <c r="AB48" s="7">
        <v>12.7</v>
      </c>
      <c r="AC48" s="7">
        <v>13.6</v>
      </c>
      <c r="AD48" s="7">
        <v>16.75</v>
      </c>
      <c r="AE48" s="7">
        <v>27.5</v>
      </c>
      <c r="AF48" s="7">
        <v>34.799999999999997</v>
      </c>
      <c r="AG48" s="7">
        <v>40.200000000000003</v>
      </c>
      <c r="AH48" s="7">
        <v>59.25</v>
      </c>
      <c r="AI48" s="7">
        <v>120.89999999999988</v>
      </c>
      <c r="AK48" s="7">
        <v>1</v>
      </c>
      <c r="AL48" s="7">
        <v>1.7999999999999998</v>
      </c>
      <c r="AM48" s="7">
        <v>2</v>
      </c>
      <c r="AN48" s="7">
        <v>2</v>
      </c>
      <c r="AO48" s="7">
        <v>4</v>
      </c>
      <c r="AP48" s="7">
        <v>7</v>
      </c>
      <c r="AQ48" s="7">
        <v>7</v>
      </c>
      <c r="AR48" s="7">
        <v>13</v>
      </c>
      <c r="AS48" s="7">
        <v>14.199999999999996</v>
      </c>
    </row>
    <row r="49" spans="1:45" s="7" customFormat="1" ht="25.5" customHeight="1" x14ac:dyDescent="0.25">
      <c r="A49" s="92" t="str">
        <f t="shared" si="5"/>
        <v>CK-SWVI [31]</v>
      </c>
      <c r="B49" s="92" t="str">
        <f t="shared" si="3"/>
        <v>Southwest Vancouver Island</v>
      </c>
      <c r="C49" s="93" t="str">
        <f t="shared" si="4"/>
        <v>SYDNEY RIVER_Chinook</v>
      </c>
      <c r="D49" s="128" t="s">
        <v>598</v>
      </c>
      <c r="E49" s="128" t="s">
        <v>598</v>
      </c>
      <c r="F49" s="64">
        <v>24</v>
      </c>
      <c r="G49" s="72" t="s">
        <v>203</v>
      </c>
      <c r="H49" s="65" t="s">
        <v>97</v>
      </c>
      <c r="I49" s="119"/>
      <c r="J49" s="119"/>
      <c r="K49" s="64">
        <v>4</v>
      </c>
      <c r="L49" s="52">
        <v>7</v>
      </c>
      <c r="M49" s="52">
        <v>3</v>
      </c>
      <c r="N49" s="52" t="e">
        <f>GEOMEAN(#REF!)</f>
        <v>#REF!</v>
      </c>
      <c r="O49" s="52" t="e">
        <f>MAX(#REF!)</f>
        <v>#REF!</v>
      </c>
      <c r="P49" s="52" t="e">
        <f>GEOMEAN(#REF!)</f>
        <v>#REF!</v>
      </c>
      <c r="Q49" s="66"/>
      <c r="R49" s="37"/>
      <c r="S49" s="74" t="s">
        <v>387</v>
      </c>
      <c r="T49" s="8">
        <v>1</v>
      </c>
      <c r="U49" s="8">
        <v>750</v>
      </c>
      <c r="V49" s="8">
        <v>106.8</v>
      </c>
      <c r="W49">
        <v>33.265693580769302</v>
      </c>
      <c r="X49" s="143" t="e">
        <v>#DIV/0!</v>
      </c>
      <c r="Y49" s="143" t="e">
        <v>#DIV/0!</v>
      </c>
      <c r="Z49"/>
      <c r="AA49" s="7">
        <v>1.7000000000000002</v>
      </c>
      <c r="AB49" s="7">
        <v>6.1999999999999993</v>
      </c>
      <c r="AC49" s="7">
        <v>9.6000000000000014</v>
      </c>
      <c r="AD49" s="7">
        <v>10</v>
      </c>
      <c r="AE49" s="7">
        <v>25</v>
      </c>
      <c r="AF49" s="7">
        <v>33.999999999999986</v>
      </c>
      <c r="AG49" s="7">
        <v>75</v>
      </c>
      <c r="AH49" s="7">
        <v>200</v>
      </c>
      <c r="AI49" s="7">
        <v>200</v>
      </c>
      <c r="AK49" s="7" t="e">
        <v>#NUM!</v>
      </c>
      <c r="AL49" s="7" t="e">
        <v>#NUM!</v>
      </c>
      <c r="AM49" s="7" t="e">
        <v>#NUM!</v>
      </c>
      <c r="AN49" s="7" t="e">
        <v>#NUM!</v>
      </c>
      <c r="AO49" s="7" t="e">
        <v>#NUM!</v>
      </c>
      <c r="AP49" s="7" t="e">
        <v>#NUM!</v>
      </c>
      <c r="AQ49" s="7" t="e">
        <v>#NUM!</v>
      </c>
      <c r="AR49" s="7" t="e">
        <v>#NUM!</v>
      </c>
      <c r="AS49" s="7" t="e">
        <v>#NUM!</v>
      </c>
    </row>
    <row r="50" spans="1:45" s="7" customFormat="1" ht="25.5" customHeight="1" x14ac:dyDescent="0.25">
      <c r="A50" s="92" t="str">
        <f t="shared" si="5"/>
        <v>CK-SWVI [31]</v>
      </c>
      <c r="B50" s="92" t="str">
        <f t="shared" si="3"/>
        <v>Southwest Vancouver Island</v>
      </c>
      <c r="C50" s="93" t="str">
        <f t="shared" si="4"/>
        <v>TOFINO CREEK_Chinook</v>
      </c>
      <c r="D50" s="128" t="s">
        <v>598</v>
      </c>
      <c r="E50" s="128" t="s">
        <v>598</v>
      </c>
      <c r="F50" s="64">
        <v>24</v>
      </c>
      <c r="G50" s="196" t="s">
        <v>182</v>
      </c>
      <c r="H50" s="65" t="s">
        <v>97</v>
      </c>
      <c r="I50" s="119"/>
      <c r="J50" s="119"/>
      <c r="K50" s="64">
        <v>4</v>
      </c>
      <c r="L50" s="52">
        <v>6</v>
      </c>
      <c r="M50" s="52">
        <v>2</v>
      </c>
      <c r="N50" s="52" t="e">
        <f>GEOMEAN(#REF!)</f>
        <v>#REF!</v>
      </c>
      <c r="O50" s="52" t="e">
        <f>MAX(#REF!)</f>
        <v>#REF!</v>
      </c>
      <c r="P50" s="52" t="e">
        <f>GEOMEAN(#REF!)</f>
        <v>#REF!</v>
      </c>
      <c r="Q50" s="66"/>
      <c r="R50" s="37"/>
      <c r="S50" s="74" t="s">
        <v>409</v>
      </c>
      <c r="T50" s="8">
        <v>1</v>
      </c>
      <c r="U50" s="8">
        <v>400</v>
      </c>
      <c r="V50" s="8">
        <v>89.04</v>
      </c>
      <c r="W50">
        <v>32.920054816288427</v>
      </c>
      <c r="X50" s="143">
        <v>1.5</v>
      </c>
      <c r="Y50" s="143">
        <v>1.6666666666666667</v>
      </c>
      <c r="Z50"/>
      <c r="AA50" s="7">
        <v>2</v>
      </c>
      <c r="AB50" s="7">
        <v>6.7999999999999989</v>
      </c>
      <c r="AC50" s="7">
        <v>8</v>
      </c>
      <c r="AD50" s="7">
        <v>10</v>
      </c>
      <c r="AE50" s="7">
        <v>25</v>
      </c>
      <c r="AF50" s="7">
        <v>65.999999999999972</v>
      </c>
      <c r="AG50" s="7">
        <v>75</v>
      </c>
      <c r="AH50" s="7">
        <v>200</v>
      </c>
      <c r="AI50" s="7">
        <v>200</v>
      </c>
      <c r="AK50" s="7">
        <v>78</v>
      </c>
      <c r="AL50" s="7">
        <v>78</v>
      </c>
      <c r="AM50" s="7">
        <v>78</v>
      </c>
      <c r="AN50" s="7">
        <v>78</v>
      </c>
      <c r="AO50" s="7">
        <v>78</v>
      </c>
      <c r="AP50" s="7">
        <v>78</v>
      </c>
      <c r="AQ50" s="7">
        <v>78</v>
      </c>
      <c r="AR50" s="7">
        <v>78</v>
      </c>
      <c r="AS50" s="7">
        <v>78</v>
      </c>
    </row>
    <row r="51" spans="1:45" s="7" customFormat="1" ht="25.5" customHeight="1" x14ac:dyDescent="0.25">
      <c r="A51" s="92" t="str">
        <f t="shared" si="5"/>
        <v>CK-NoKy [32]</v>
      </c>
      <c r="B51" s="92" t="str">
        <f t="shared" si="3"/>
        <v>Nootka and Kyuquot</v>
      </c>
      <c r="C51" s="93" t="str">
        <f t="shared" si="4"/>
        <v>MAMAT CREEK_Chinook</v>
      </c>
      <c r="D51" s="128" t="s">
        <v>598</v>
      </c>
      <c r="E51" s="128" t="s">
        <v>598</v>
      </c>
      <c r="F51" s="64">
        <v>25</v>
      </c>
      <c r="G51" s="72" t="s">
        <v>242</v>
      </c>
      <c r="H51" s="65" t="s">
        <v>97</v>
      </c>
      <c r="I51" s="119"/>
      <c r="J51" s="119"/>
      <c r="K51" s="64">
        <v>4</v>
      </c>
      <c r="L51" s="52">
        <v>9</v>
      </c>
      <c r="M51" s="52">
        <v>0</v>
      </c>
      <c r="N51" s="52" t="e">
        <f>GEOMEAN(#REF!)</f>
        <v>#REF!</v>
      </c>
      <c r="O51" s="52" t="e">
        <f>MAX(#REF!)</f>
        <v>#REF!</v>
      </c>
      <c r="P51" s="52" t="e">
        <f>GEOMEAN(#REF!)</f>
        <v>#REF!</v>
      </c>
      <c r="Q51" s="66"/>
      <c r="R51" s="37"/>
      <c r="S51" s="74" t="s">
        <v>457</v>
      </c>
      <c r="T51" s="8">
        <v>25</v>
      </c>
      <c r="U51" s="8">
        <v>75</v>
      </c>
      <c r="V51" s="8">
        <v>35.714285714285715</v>
      </c>
      <c r="W51">
        <v>32.292708552268664</v>
      </c>
      <c r="X51" s="143" t="e">
        <v>#DIV/0!</v>
      </c>
      <c r="Y51" s="143" t="e">
        <v>#DIV/0!</v>
      </c>
      <c r="Z51"/>
      <c r="AA51" s="7">
        <v>25</v>
      </c>
      <c r="AB51" s="7">
        <v>25</v>
      </c>
      <c r="AC51" s="7">
        <v>25</v>
      </c>
      <c r="AD51" s="7">
        <v>25</v>
      </c>
      <c r="AE51" s="7">
        <v>25</v>
      </c>
      <c r="AF51" s="7">
        <v>25</v>
      </c>
      <c r="AG51" s="7">
        <v>25</v>
      </c>
      <c r="AH51" s="7">
        <v>37.5</v>
      </c>
      <c r="AI51" s="7">
        <v>52.499999999999993</v>
      </c>
      <c r="AK51" s="7">
        <v>669.25</v>
      </c>
      <c r="AL51" s="7">
        <v>1719.3499999999995</v>
      </c>
      <c r="AM51" s="7">
        <v>2259.7999999999997</v>
      </c>
      <c r="AN51" s="7">
        <v>2707.5</v>
      </c>
      <c r="AO51" s="7">
        <v>3835.5</v>
      </c>
      <c r="AP51" s="7">
        <v>5305.5999999999985</v>
      </c>
      <c r="AQ51" s="7">
        <v>6774.4000000000015</v>
      </c>
      <c r="AR51" s="7">
        <v>8406.25</v>
      </c>
      <c r="AS51" s="7">
        <v>8978.75</v>
      </c>
    </row>
    <row r="52" spans="1:45" s="7" customFormat="1" ht="25.5" customHeight="1" x14ac:dyDescent="0.25">
      <c r="A52" s="92" t="str">
        <f t="shared" si="5"/>
        <v>CK-NoKy [32]</v>
      </c>
      <c r="B52" s="92" t="str">
        <f t="shared" si="3"/>
        <v>Nootka and Kyuquot</v>
      </c>
      <c r="C52" s="93" t="str">
        <f t="shared" si="4"/>
        <v>MALKSOPE RIVER_Chinook</v>
      </c>
      <c r="D52" s="128" t="s">
        <v>598</v>
      </c>
      <c r="E52" s="128" t="s">
        <v>598</v>
      </c>
      <c r="F52" s="64">
        <v>26</v>
      </c>
      <c r="G52" s="72" t="s">
        <v>265</v>
      </c>
      <c r="H52" s="65" t="s">
        <v>97</v>
      </c>
      <c r="I52" s="119"/>
      <c r="J52" s="119"/>
      <c r="K52" s="64">
        <v>3</v>
      </c>
      <c r="L52" s="52">
        <v>7</v>
      </c>
      <c r="M52" s="52">
        <v>7</v>
      </c>
      <c r="N52" s="52" t="e">
        <f>GEOMEAN(#REF!)</f>
        <v>#REF!</v>
      </c>
      <c r="O52" s="52" t="e">
        <f>MAX(#REF!)</f>
        <v>#REF!</v>
      </c>
      <c r="P52" s="52" t="e">
        <f>GEOMEAN(#REF!)</f>
        <v>#REF!</v>
      </c>
      <c r="Q52" s="66" t="s">
        <v>271</v>
      </c>
      <c r="R52" s="39"/>
      <c r="S52" s="74" t="s">
        <v>437</v>
      </c>
      <c r="T52" s="8">
        <v>1</v>
      </c>
      <c r="U52" s="8">
        <v>400</v>
      </c>
      <c r="V52" s="8">
        <v>75.868421052631575</v>
      </c>
      <c r="W52">
        <v>32.238960139888086</v>
      </c>
      <c r="X52" s="143">
        <v>27.4</v>
      </c>
      <c r="Y52" s="143">
        <v>21.833333333333332</v>
      </c>
      <c r="Z52"/>
      <c r="AA52" s="7">
        <v>5.5500000000000007</v>
      </c>
      <c r="AB52" s="7">
        <v>11.1</v>
      </c>
      <c r="AC52" s="7">
        <v>13</v>
      </c>
      <c r="AD52" s="7">
        <v>14.25</v>
      </c>
      <c r="AE52" s="7">
        <v>25</v>
      </c>
      <c r="AF52" s="7">
        <v>40.200000000000003</v>
      </c>
      <c r="AG52" s="7">
        <v>50</v>
      </c>
      <c r="AH52" s="7">
        <v>72.25</v>
      </c>
      <c r="AI52" s="7">
        <v>200</v>
      </c>
      <c r="AJ52"/>
      <c r="AK52" s="7" t="e">
        <v>#NUM!</v>
      </c>
      <c r="AL52" s="7" t="e">
        <v>#NUM!</v>
      </c>
      <c r="AM52" s="7" t="e">
        <v>#NUM!</v>
      </c>
      <c r="AN52" s="7" t="e">
        <v>#NUM!</v>
      </c>
      <c r="AO52" s="7" t="e">
        <v>#NUM!</v>
      </c>
      <c r="AP52" s="7" t="e">
        <v>#NUM!</v>
      </c>
      <c r="AQ52" s="7" t="e">
        <v>#NUM!</v>
      </c>
      <c r="AR52" s="7" t="e">
        <v>#NUM!</v>
      </c>
      <c r="AS52" s="7" t="e">
        <v>#NUM!</v>
      </c>
    </row>
    <row r="53" spans="1:45" s="7" customFormat="1" ht="25.5" customHeight="1" x14ac:dyDescent="0.25">
      <c r="A53" s="92" t="str">
        <f t="shared" si="5"/>
        <v>CK-SWVI [31]</v>
      </c>
      <c r="B53" s="92" t="str">
        <f t="shared" si="3"/>
        <v>Southwest Vancouver Island</v>
      </c>
      <c r="C53" s="93" t="str">
        <f t="shared" si="4"/>
        <v>CLEMENS CREEK_Chinook</v>
      </c>
      <c r="D53" s="128" t="s">
        <v>598</v>
      </c>
      <c r="E53" s="128" t="s">
        <v>598</v>
      </c>
      <c r="F53" s="64">
        <v>23</v>
      </c>
      <c r="G53" s="72" t="s">
        <v>128</v>
      </c>
      <c r="H53" s="65" t="s">
        <v>97</v>
      </c>
      <c r="I53" s="119"/>
      <c r="J53" s="119"/>
      <c r="K53" s="64">
        <v>3</v>
      </c>
      <c r="L53" s="52">
        <v>3</v>
      </c>
      <c r="M53" s="52">
        <v>3</v>
      </c>
      <c r="N53" s="52" t="e">
        <f>GEOMEAN(#REF!)</f>
        <v>#REF!</v>
      </c>
      <c r="O53" s="52" t="e">
        <f>MAX(#REF!)</f>
        <v>#REF!</v>
      </c>
      <c r="P53" s="52" t="e">
        <f>GEOMEAN(#REF!)</f>
        <v>#REF!</v>
      </c>
      <c r="Q53" s="66"/>
      <c r="R53" s="39"/>
      <c r="S53" s="74" t="s">
        <v>324</v>
      </c>
      <c r="T53" s="8">
        <v>1</v>
      </c>
      <c r="U53" s="8">
        <v>704</v>
      </c>
      <c r="V53" s="8">
        <v>79.849999999999994</v>
      </c>
      <c r="W53">
        <v>30.030132401886437</v>
      </c>
      <c r="X53" s="143">
        <v>28.2</v>
      </c>
      <c r="Y53" s="143">
        <v>88.5</v>
      </c>
      <c r="Z53"/>
      <c r="AA53" s="7">
        <v>1.9500000000000002</v>
      </c>
      <c r="AB53" s="7">
        <v>7.25</v>
      </c>
      <c r="AC53" s="7">
        <v>13.600000000000005</v>
      </c>
      <c r="AD53" s="7">
        <v>18.75</v>
      </c>
      <c r="AE53" s="7">
        <v>36</v>
      </c>
      <c r="AF53" s="7">
        <v>41.400000000000006</v>
      </c>
      <c r="AG53" s="7">
        <v>52.899999999999991</v>
      </c>
      <c r="AH53" s="7">
        <v>75.75</v>
      </c>
      <c r="AI53" s="7">
        <v>87.29999999999994</v>
      </c>
      <c r="AK53" s="7">
        <v>121.00000000000003</v>
      </c>
      <c r="AL53" s="7">
        <v>236.8</v>
      </c>
      <c r="AM53" s="7">
        <v>270.40000000000003</v>
      </c>
      <c r="AN53" s="7">
        <v>281.5</v>
      </c>
      <c r="AO53" s="7">
        <v>480</v>
      </c>
      <c r="AP53" s="7">
        <v>714.40000000000009</v>
      </c>
      <c r="AQ53" s="7">
        <v>789.4</v>
      </c>
      <c r="AR53" s="7">
        <v>874</v>
      </c>
      <c r="AS53" s="7">
        <v>1013.5</v>
      </c>
    </row>
    <row r="54" spans="1:45" s="7" customFormat="1" ht="25.5" customHeight="1" x14ac:dyDescent="0.25">
      <c r="A54" s="92" t="str">
        <f t="shared" si="5"/>
        <v>CK-NoKy [32]</v>
      </c>
      <c r="B54" s="92" t="str">
        <f t="shared" si="3"/>
        <v>Nootka and Kyuquot</v>
      </c>
      <c r="C54" s="93" t="str">
        <f t="shared" si="4"/>
        <v>LITTLE ZEBALLOS RIVER_Chinook</v>
      </c>
      <c r="D54" s="128" t="s">
        <v>598</v>
      </c>
      <c r="E54" s="128" t="s">
        <v>598</v>
      </c>
      <c r="F54" s="64">
        <v>25</v>
      </c>
      <c r="G54" s="72" t="s">
        <v>240</v>
      </c>
      <c r="H54" s="65" t="s">
        <v>97</v>
      </c>
      <c r="I54" s="119"/>
      <c r="J54" s="119"/>
      <c r="K54" s="64">
        <v>4</v>
      </c>
      <c r="L54" s="52">
        <v>10</v>
      </c>
      <c r="M54" s="52">
        <v>8</v>
      </c>
      <c r="N54" s="52" t="e">
        <f>GEOMEAN(#REF!)</f>
        <v>#REF!</v>
      </c>
      <c r="O54" s="52" t="e">
        <f>MAX(#REF!)</f>
        <v>#REF!</v>
      </c>
      <c r="P54" s="52" t="e">
        <f>GEOMEAN(#REF!)</f>
        <v>#REF!</v>
      </c>
      <c r="Q54" s="66"/>
      <c r="R54" s="39"/>
      <c r="S54" s="74"/>
      <c r="T54" s="8">
        <v>5</v>
      </c>
      <c r="U54" s="8">
        <v>900</v>
      </c>
      <c r="V54" s="8">
        <v>60.772727272727273</v>
      </c>
      <c r="W54">
        <v>29.809101468099662</v>
      </c>
      <c r="X54" s="143">
        <v>30</v>
      </c>
      <c r="Y54" s="143">
        <v>33.5</v>
      </c>
      <c r="Z54"/>
      <c r="AA54" s="7">
        <v>8.3000000000000007</v>
      </c>
      <c r="AB54" s="7">
        <v>11.45</v>
      </c>
      <c r="AC54" s="7">
        <v>13.6</v>
      </c>
      <c r="AD54" s="7">
        <v>15</v>
      </c>
      <c r="AE54" s="7">
        <v>25</v>
      </c>
      <c r="AF54" s="7">
        <v>25</v>
      </c>
      <c r="AG54" s="7">
        <v>29.799999999999997</v>
      </c>
      <c r="AH54" s="7">
        <v>54</v>
      </c>
      <c r="AI54" s="7">
        <v>75</v>
      </c>
      <c r="AK54" s="7">
        <v>7.9</v>
      </c>
      <c r="AL54" s="7">
        <v>9.6999999999999993</v>
      </c>
      <c r="AM54" s="7">
        <v>10.199999999999999</v>
      </c>
      <c r="AN54" s="7">
        <v>10.5</v>
      </c>
      <c r="AO54" s="7">
        <v>22</v>
      </c>
      <c r="AP54" s="7">
        <v>26.799999999999997</v>
      </c>
      <c r="AQ54" s="7">
        <v>29.200000000000003</v>
      </c>
      <c r="AR54" s="7">
        <v>42.5</v>
      </c>
      <c r="AS54" s="7">
        <v>55</v>
      </c>
    </row>
    <row r="55" spans="1:45" s="7" customFormat="1" ht="25.5" customHeight="1" x14ac:dyDescent="0.25">
      <c r="A55" s="92" t="str">
        <f t="shared" si="5"/>
        <v>CK-SWVI [31]</v>
      </c>
      <c r="B55" s="92" t="str">
        <f t="shared" si="3"/>
        <v>Southwest Vancouver Island</v>
      </c>
      <c r="C55" s="93" t="str">
        <f t="shared" si="4"/>
        <v>CAYCUSE RIVER_Chinook</v>
      </c>
      <c r="D55" s="128" t="s">
        <v>598</v>
      </c>
      <c r="E55" s="128" t="s">
        <v>598</v>
      </c>
      <c r="F55" s="64">
        <v>22</v>
      </c>
      <c r="G55" s="72" t="s">
        <v>105</v>
      </c>
      <c r="H55" s="67" t="s">
        <v>97</v>
      </c>
      <c r="I55" s="119"/>
      <c r="J55" s="119"/>
      <c r="K55" s="64">
        <v>4</v>
      </c>
      <c r="L55" s="52">
        <v>7</v>
      </c>
      <c r="M55" s="52">
        <v>3</v>
      </c>
      <c r="N55" s="52" t="e">
        <f>GEOMEAN(#REF!)</f>
        <v>#REF!</v>
      </c>
      <c r="O55" s="52" t="e">
        <f>MAX(#REF!)</f>
        <v>#REF!</v>
      </c>
      <c r="P55" s="52" t="e">
        <f>GEOMEAN(#REF!)</f>
        <v>#REF!</v>
      </c>
      <c r="Q55" s="66"/>
      <c r="R55" s="37"/>
      <c r="S55" s="37" t="s">
        <v>300</v>
      </c>
      <c r="T55" s="8">
        <v>6</v>
      </c>
      <c r="U55" s="8">
        <v>75</v>
      </c>
      <c r="V55" s="8">
        <v>38.285714285714285</v>
      </c>
      <c r="W55">
        <v>28.741017884657055</v>
      </c>
      <c r="X55" s="143" t="e">
        <v>#DIV/0!</v>
      </c>
      <c r="Y55" s="143" t="e">
        <v>#DIV/0!</v>
      </c>
      <c r="AA55" s="7">
        <v>10.200000000000001</v>
      </c>
      <c r="AB55" s="7">
        <v>18.599999999999998</v>
      </c>
      <c r="AC55" s="7">
        <v>20</v>
      </c>
      <c r="AD55" s="7">
        <v>20</v>
      </c>
      <c r="AE55" s="7">
        <v>25</v>
      </c>
      <c r="AF55" s="7">
        <v>39.999999999999993</v>
      </c>
      <c r="AG55" s="7">
        <v>47.500000000000007</v>
      </c>
      <c r="AH55" s="7">
        <v>61</v>
      </c>
      <c r="AI55" s="7">
        <v>72.3</v>
      </c>
      <c r="AK55" s="7">
        <v>4.6999999999999993</v>
      </c>
      <c r="AL55" s="7">
        <v>9.0499999999999989</v>
      </c>
      <c r="AM55" s="7">
        <v>10.399999999999999</v>
      </c>
      <c r="AN55" s="7">
        <v>11.75</v>
      </c>
      <c r="AO55" s="7">
        <v>47</v>
      </c>
      <c r="AP55" s="7">
        <v>83.399999999999991</v>
      </c>
      <c r="AQ55" s="7">
        <v>90.600000000000009</v>
      </c>
      <c r="AR55" s="7">
        <v>96.75</v>
      </c>
      <c r="AS55" s="7">
        <v>159.74999999999986</v>
      </c>
    </row>
    <row r="56" spans="1:45" s="7" customFormat="1" ht="25.5" customHeight="1" x14ac:dyDescent="0.25">
      <c r="A56" s="92" t="str">
        <f>A54</f>
        <v>CK-NoKy [32]</v>
      </c>
      <c r="B56" s="92" t="str">
        <f t="shared" si="3"/>
        <v>Port San Juan</v>
      </c>
      <c r="C56" s="93" t="str">
        <f t="shared" si="4"/>
        <v>HARRIS CREEK_Chinook</v>
      </c>
      <c r="D56" s="128" t="s">
        <v>598</v>
      </c>
      <c r="E56" s="128" t="s">
        <v>598</v>
      </c>
      <c r="F56" s="64">
        <v>20</v>
      </c>
      <c r="G56" s="72" t="s">
        <v>33</v>
      </c>
      <c r="H56" s="65" t="s">
        <v>97</v>
      </c>
      <c r="I56" s="119"/>
      <c r="J56" s="119"/>
      <c r="K56" s="64">
        <v>3</v>
      </c>
      <c r="L56" s="52">
        <v>9</v>
      </c>
      <c r="M56" s="52">
        <v>6</v>
      </c>
      <c r="N56" s="52" t="e">
        <f>GEOMEAN(#REF!)</f>
        <v>#REF!</v>
      </c>
      <c r="O56" s="52" t="e">
        <f>MAX(#REF!)</f>
        <v>#REF!</v>
      </c>
      <c r="P56" s="52" t="e">
        <f>GEOMEAN(#REF!)</f>
        <v>#REF!</v>
      </c>
      <c r="Q56" s="66"/>
      <c r="R56" s="39"/>
      <c r="S56" s="74"/>
      <c r="T56" s="8">
        <v>2</v>
      </c>
      <c r="U56" s="8">
        <v>297</v>
      </c>
      <c r="V56" s="8">
        <v>54.5</v>
      </c>
      <c r="W56">
        <v>27.138405744143924</v>
      </c>
      <c r="X56" s="143">
        <v>172.66666666666666</v>
      </c>
      <c r="Y56" s="143">
        <v>89.25</v>
      </c>
      <c r="AA56" s="7">
        <v>3.9000000000000004</v>
      </c>
      <c r="AB56" s="7">
        <v>5</v>
      </c>
      <c r="AC56" s="7">
        <v>9.0000000000000036</v>
      </c>
      <c r="AD56" s="7">
        <v>13.75</v>
      </c>
      <c r="AE56" s="7">
        <v>30.5</v>
      </c>
      <c r="AF56" s="7">
        <v>41.2</v>
      </c>
      <c r="AG56" s="7">
        <v>44.4</v>
      </c>
      <c r="AH56" s="7">
        <v>55</v>
      </c>
      <c r="AI56" s="7">
        <v>79.599999999999966</v>
      </c>
      <c r="AK56" s="7">
        <v>5.3000000000000007</v>
      </c>
      <c r="AL56" s="7">
        <v>5.9</v>
      </c>
      <c r="AM56" s="7">
        <v>6.1999999999999993</v>
      </c>
      <c r="AN56" s="7">
        <v>6.5</v>
      </c>
      <c r="AO56" s="7">
        <v>8</v>
      </c>
      <c r="AP56" s="7">
        <v>8.4</v>
      </c>
      <c r="AQ56" s="7">
        <v>8.6</v>
      </c>
      <c r="AR56" s="7">
        <v>9</v>
      </c>
      <c r="AS56" s="7">
        <v>9.4</v>
      </c>
    </row>
    <row r="57" spans="1:45" s="7" customFormat="1" ht="25.5" customHeight="1" x14ac:dyDescent="0.25">
      <c r="A57" s="92" t="e">
        <f t="shared" ref="A57:A89" si="6">VLOOKUP(C57,CU,6,FALSE)</f>
        <v>#N/A</v>
      </c>
      <c r="B57" s="92" t="e">
        <f t="shared" si="3"/>
        <v>#N/A</v>
      </c>
      <c r="C57" s="93" t="str">
        <f t="shared" si="4"/>
        <v>MCKAY COVE CREEK_Chinook</v>
      </c>
      <c r="D57" s="128" t="s">
        <v>598</v>
      </c>
      <c r="E57" s="128" t="s">
        <v>598</v>
      </c>
      <c r="F57" s="64">
        <v>26</v>
      </c>
      <c r="G57" s="72" t="s">
        <v>672</v>
      </c>
      <c r="H57" s="65" t="s">
        <v>97</v>
      </c>
      <c r="I57" s="119"/>
      <c r="J57" s="119"/>
      <c r="K57" s="64"/>
      <c r="L57" s="52"/>
      <c r="M57" s="52"/>
      <c r="N57" s="52"/>
      <c r="O57" s="52"/>
      <c r="P57" s="52"/>
      <c r="Q57" s="66"/>
      <c r="R57" s="39"/>
      <c r="S57" s="74"/>
      <c r="T57" s="8">
        <v>3</v>
      </c>
      <c r="U57" s="8">
        <v>400</v>
      </c>
      <c r="V57" s="8">
        <v>50.866666666666667</v>
      </c>
      <c r="W57">
        <v>26.430507789691241</v>
      </c>
      <c r="X57" s="143" t="e">
        <v>#DIV/0!</v>
      </c>
      <c r="Y57" s="143" t="e">
        <v>#DIV/0!</v>
      </c>
      <c r="Z57"/>
      <c r="AA57" s="7">
        <v>7.9000000000000012</v>
      </c>
      <c r="AB57" s="7">
        <v>25</v>
      </c>
      <c r="AC57" s="7">
        <v>25</v>
      </c>
      <c r="AD57" s="7">
        <v>25</v>
      </c>
      <c r="AE57" s="7">
        <v>25</v>
      </c>
      <c r="AF57" s="7">
        <v>25</v>
      </c>
      <c r="AG57" s="7">
        <v>25</v>
      </c>
      <c r="AH57" s="7">
        <v>25</v>
      </c>
      <c r="AI57" s="7">
        <v>25</v>
      </c>
      <c r="AJ57"/>
      <c r="AK57" s="7" t="e">
        <v>#NUM!</v>
      </c>
      <c r="AL57" s="7" t="e">
        <v>#NUM!</v>
      </c>
      <c r="AM57" s="7" t="e">
        <v>#NUM!</v>
      </c>
      <c r="AN57" s="7" t="e">
        <v>#NUM!</v>
      </c>
      <c r="AO57" s="7" t="e">
        <v>#NUM!</v>
      </c>
      <c r="AP57" s="7" t="e">
        <v>#NUM!</v>
      </c>
      <c r="AQ57" s="7" t="e">
        <v>#NUM!</v>
      </c>
      <c r="AR57" s="7" t="e">
        <v>#NUM!</v>
      </c>
      <c r="AS57" s="7" t="e">
        <v>#NUM!</v>
      </c>
    </row>
    <row r="58" spans="1:45" s="7" customFormat="1" ht="25.5" customHeight="1" x14ac:dyDescent="0.25">
      <c r="A58" s="92" t="str">
        <f t="shared" si="6"/>
        <v>CK-NoKy [32]</v>
      </c>
      <c r="B58" s="92" t="str">
        <f t="shared" si="3"/>
        <v>Nootka and Kyuquot</v>
      </c>
      <c r="C58" s="93" t="str">
        <f t="shared" si="4"/>
        <v>TSOWWIN RIVER_Chinook</v>
      </c>
      <c r="D58" s="128" t="s">
        <v>598</v>
      </c>
      <c r="E58" s="128" t="s">
        <v>598</v>
      </c>
      <c r="F58" s="64">
        <v>25</v>
      </c>
      <c r="G58" s="72" t="s">
        <v>229</v>
      </c>
      <c r="H58" s="65" t="s">
        <v>97</v>
      </c>
      <c r="I58" s="119"/>
      <c r="J58" s="119"/>
      <c r="K58" s="64">
        <v>3</v>
      </c>
      <c r="L58" s="52">
        <v>9</v>
      </c>
      <c r="M58" s="52">
        <v>8</v>
      </c>
      <c r="N58" s="52" t="e">
        <f>GEOMEAN(#REF!)</f>
        <v>#REF!</v>
      </c>
      <c r="O58" s="52" t="e">
        <f>MAX(#REF!)</f>
        <v>#REF!</v>
      </c>
      <c r="P58" s="52" t="e">
        <f>GEOMEAN(#REF!)</f>
        <v>#REF!</v>
      </c>
      <c r="Q58" s="66" t="s">
        <v>271</v>
      </c>
      <c r="R58" s="39"/>
      <c r="S58" s="74"/>
      <c r="T58" s="8">
        <v>2</v>
      </c>
      <c r="U58" s="8">
        <v>750</v>
      </c>
      <c r="V58" s="8">
        <v>96.11363636363636</v>
      </c>
      <c r="W58">
        <v>25.892700230582221</v>
      </c>
      <c r="X58" s="143">
        <v>29</v>
      </c>
      <c r="Y58" s="143">
        <v>26.2</v>
      </c>
      <c r="Z58"/>
      <c r="AA58" s="7">
        <v>2.15</v>
      </c>
      <c r="AB58" s="7">
        <v>4</v>
      </c>
      <c r="AC58" s="7">
        <v>4.5999999999999996</v>
      </c>
      <c r="AD58" s="7">
        <v>9.25</v>
      </c>
      <c r="AE58" s="7">
        <v>25</v>
      </c>
      <c r="AF58" s="7">
        <v>30.200000000000003</v>
      </c>
      <c r="AG58" s="7">
        <v>38.649999999999991</v>
      </c>
      <c r="AH58" s="7">
        <v>75</v>
      </c>
      <c r="AI58" s="7">
        <v>143.74999999999966</v>
      </c>
      <c r="AK58" s="7" t="e">
        <v>#NUM!</v>
      </c>
      <c r="AL58" s="7" t="e">
        <v>#NUM!</v>
      </c>
      <c r="AM58" s="7" t="e">
        <v>#NUM!</v>
      </c>
      <c r="AN58" s="7" t="e">
        <v>#NUM!</v>
      </c>
      <c r="AO58" s="7" t="e">
        <v>#NUM!</v>
      </c>
      <c r="AP58" s="7" t="e">
        <v>#NUM!</v>
      </c>
      <c r="AQ58" s="7" t="e">
        <v>#NUM!</v>
      </c>
      <c r="AR58" s="7" t="e">
        <v>#NUM!</v>
      </c>
      <c r="AS58" s="7" t="e">
        <v>#NUM!</v>
      </c>
    </row>
    <row r="59" spans="1:45" s="7" customFormat="1" ht="25.5" customHeight="1" x14ac:dyDescent="0.25">
      <c r="A59" s="92" t="str">
        <f t="shared" si="6"/>
        <v>CK-SWVI [31]</v>
      </c>
      <c r="B59" s="92" t="str">
        <f t="shared" si="3"/>
        <v>Southwest Vancouver Island</v>
      </c>
      <c r="C59" s="93" t="str">
        <f t="shared" si="4"/>
        <v>WATTA CREEK_Chinook</v>
      </c>
      <c r="D59" s="128" t="s">
        <v>598</v>
      </c>
      <c r="E59" s="128" t="s">
        <v>598</v>
      </c>
      <c r="F59" s="64">
        <v>24</v>
      </c>
      <c r="G59" s="196" t="s">
        <v>199</v>
      </c>
      <c r="H59" s="65" t="s">
        <v>97</v>
      </c>
      <c r="I59" s="119"/>
      <c r="J59" s="119"/>
      <c r="K59" s="64">
        <v>4</v>
      </c>
      <c r="L59" s="52">
        <v>7</v>
      </c>
      <c r="M59" s="52">
        <v>2</v>
      </c>
      <c r="N59" s="52" t="e">
        <f>GEOMEAN(#REF!)</f>
        <v>#REF!</v>
      </c>
      <c r="O59" s="52" t="e">
        <f>MAX(#REF!)</f>
        <v>#REF!</v>
      </c>
      <c r="P59" s="52" t="e">
        <f>GEOMEAN(#REF!)</f>
        <v>#REF!</v>
      </c>
      <c r="Q59" s="66"/>
      <c r="R59" s="39"/>
      <c r="S59" s="74" t="s">
        <v>389</v>
      </c>
      <c r="T59" s="8">
        <v>3</v>
      </c>
      <c r="U59" s="8">
        <v>200</v>
      </c>
      <c r="V59" s="8">
        <v>40.548387096774192</v>
      </c>
      <c r="W59">
        <v>25.28787026129201</v>
      </c>
      <c r="X59" s="143" t="e">
        <v>#DIV/0!</v>
      </c>
      <c r="Y59" s="143" t="e">
        <v>#DIV/0!</v>
      </c>
      <c r="Z59"/>
      <c r="AA59" s="7">
        <v>3.5</v>
      </c>
      <c r="AB59" s="7">
        <v>9</v>
      </c>
      <c r="AC59" s="7">
        <v>10</v>
      </c>
      <c r="AD59" s="7">
        <v>11.5</v>
      </c>
      <c r="AE59" s="7">
        <v>25</v>
      </c>
      <c r="AF59" s="7">
        <v>40</v>
      </c>
      <c r="AG59" s="7">
        <v>40</v>
      </c>
      <c r="AH59" s="7">
        <v>75</v>
      </c>
      <c r="AI59" s="7">
        <v>75</v>
      </c>
      <c r="AK59" s="7">
        <v>91</v>
      </c>
      <c r="AL59" s="7">
        <v>154.85</v>
      </c>
      <c r="AM59" s="7">
        <v>174.4</v>
      </c>
      <c r="AN59" s="7">
        <v>200.25</v>
      </c>
      <c r="AO59" s="7">
        <v>291.5</v>
      </c>
      <c r="AP59" s="7">
        <v>526.19999999999982</v>
      </c>
      <c r="AQ59" s="7">
        <v>701.35000000000014</v>
      </c>
      <c r="AR59" s="7">
        <v>973</v>
      </c>
      <c r="AS59" s="7">
        <v>1355.5999999999997</v>
      </c>
    </row>
    <row r="60" spans="1:45" s="7" customFormat="1" ht="25.5" customHeight="1" x14ac:dyDescent="0.25">
      <c r="A60" s="92" t="str">
        <f t="shared" si="6"/>
        <v>CK-NoKy [32]</v>
      </c>
      <c r="B60" s="92" t="str">
        <f t="shared" si="3"/>
        <v>Nootka and Kyuquot</v>
      </c>
      <c r="C60" s="93" t="str">
        <f t="shared" si="4"/>
        <v>ESPINOSA CREEK_Chinook</v>
      </c>
      <c r="D60" s="128" t="s">
        <v>598</v>
      </c>
      <c r="E60" s="128" t="s">
        <v>598</v>
      </c>
      <c r="F60" s="64">
        <v>25</v>
      </c>
      <c r="G60" s="72" t="s">
        <v>243</v>
      </c>
      <c r="H60" s="65" t="s">
        <v>97</v>
      </c>
      <c r="I60" s="119"/>
      <c r="J60" s="119"/>
      <c r="K60" s="64">
        <v>4</v>
      </c>
      <c r="L60" s="52">
        <v>9</v>
      </c>
      <c r="M60" s="52">
        <v>6</v>
      </c>
      <c r="N60" s="52" t="e">
        <f>GEOMEAN(#REF!)</f>
        <v>#REF!</v>
      </c>
      <c r="O60" s="52" t="e">
        <f>MAX(#REF!)</f>
        <v>#REF!</v>
      </c>
      <c r="P60" s="52" t="e">
        <f>GEOMEAN(#REF!)</f>
        <v>#REF!</v>
      </c>
      <c r="Q60" s="66"/>
      <c r="R60" s="39"/>
      <c r="S60" s="74" t="s">
        <v>450</v>
      </c>
      <c r="T60" s="8">
        <v>5</v>
      </c>
      <c r="U60" s="8">
        <v>400</v>
      </c>
      <c r="V60" s="8">
        <v>43.628571428571426</v>
      </c>
      <c r="W60">
        <v>25.075756944976217</v>
      </c>
      <c r="X60" s="143">
        <v>54</v>
      </c>
      <c r="Y60" s="143">
        <v>40.625</v>
      </c>
      <c r="Z60"/>
      <c r="AA60" s="7">
        <v>5</v>
      </c>
      <c r="AB60" s="7">
        <v>8.1999999999999993</v>
      </c>
      <c r="AC60" s="7">
        <v>10.8</v>
      </c>
      <c r="AD60" s="7">
        <v>14</v>
      </c>
      <c r="AE60" s="7">
        <v>25</v>
      </c>
      <c r="AF60" s="7">
        <v>25</v>
      </c>
      <c r="AG60" s="7">
        <v>25</v>
      </c>
      <c r="AH60" s="7">
        <v>46.5</v>
      </c>
      <c r="AI60" s="7">
        <v>75</v>
      </c>
      <c r="AK60" s="7">
        <v>135</v>
      </c>
      <c r="AL60" s="7">
        <v>208.3</v>
      </c>
      <c r="AM60" s="7">
        <v>266.40000000000003</v>
      </c>
      <c r="AN60" s="7">
        <v>291.5</v>
      </c>
      <c r="AO60" s="7">
        <v>648</v>
      </c>
      <c r="AP60" s="7">
        <v>1000</v>
      </c>
      <c r="AQ60" s="7">
        <v>1099.9999999999995</v>
      </c>
      <c r="AR60" s="7">
        <v>2143</v>
      </c>
      <c r="AS60" s="7">
        <v>2457.9</v>
      </c>
    </row>
    <row r="61" spans="1:45" s="7" customFormat="1" ht="25.5" customHeight="1" x14ac:dyDescent="0.25">
      <c r="A61" s="92" t="str">
        <f t="shared" si="6"/>
        <v>CK-SWVI [31]</v>
      </c>
      <c r="B61" s="92" t="str">
        <f t="shared" si="3"/>
        <v>Southwest Vancouver Island</v>
      </c>
      <c r="C61" s="93" t="str">
        <f t="shared" si="4"/>
        <v>UCHUCK CREEK_Chinook</v>
      </c>
      <c r="D61" s="128" t="s">
        <v>598</v>
      </c>
      <c r="E61" s="128" t="s">
        <v>598</v>
      </c>
      <c r="F61" s="64">
        <v>23</v>
      </c>
      <c r="G61" s="72" t="s">
        <v>129</v>
      </c>
      <c r="H61" s="65" t="s">
        <v>97</v>
      </c>
      <c r="I61" s="119"/>
      <c r="J61" s="119"/>
      <c r="K61" s="64">
        <v>4</v>
      </c>
      <c r="L61" s="52">
        <v>11</v>
      </c>
      <c r="M61" s="52">
        <v>0</v>
      </c>
      <c r="N61" s="52" t="e">
        <f>GEOMEAN(#REF!)</f>
        <v>#REF!</v>
      </c>
      <c r="O61" s="52" t="e">
        <f>MAX(#REF!)</f>
        <v>#REF!</v>
      </c>
      <c r="P61" s="52" t="e">
        <f>GEOMEAN(#REF!)</f>
        <v>#REF!</v>
      </c>
      <c r="Q61" s="66"/>
      <c r="R61" s="39"/>
      <c r="S61" s="74" t="s">
        <v>326</v>
      </c>
      <c r="T61" s="8">
        <v>25</v>
      </c>
      <c r="U61" s="8">
        <v>25</v>
      </c>
      <c r="V61" s="8">
        <v>25</v>
      </c>
      <c r="W61">
        <v>25</v>
      </c>
      <c r="X61" s="143" t="e">
        <v>#DIV/0!</v>
      </c>
      <c r="Y61" s="143" t="e">
        <v>#DIV/0!</v>
      </c>
      <c r="Z61"/>
      <c r="AA61" s="7">
        <v>25</v>
      </c>
      <c r="AB61" s="7">
        <v>25</v>
      </c>
      <c r="AC61" s="7">
        <v>25</v>
      </c>
      <c r="AD61" s="7">
        <v>25</v>
      </c>
      <c r="AE61" s="7">
        <v>25</v>
      </c>
      <c r="AF61" s="7">
        <v>25</v>
      </c>
      <c r="AG61" s="7">
        <v>25</v>
      </c>
      <c r="AH61" s="7">
        <v>25</v>
      </c>
      <c r="AI61" s="7">
        <v>25</v>
      </c>
      <c r="AK61" s="7">
        <v>24.200000000000003</v>
      </c>
      <c r="AL61" s="7">
        <v>44.599999999999994</v>
      </c>
      <c r="AM61" s="7">
        <v>71.400000000000006</v>
      </c>
      <c r="AN61" s="7">
        <v>85</v>
      </c>
      <c r="AO61" s="7">
        <v>137</v>
      </c>
      <c r="AP61" s="7">
        <v>156.6</v>
      </c>
      <c r="AQ61" s="7">
        <v>169.8</v>
      </c>
      <c r="AR61" s="7">
        <v>218</v>
      </c>
      <c r="AS61" s="7">
        <v>593.99999999999977</v>
      </c>
    </row>
    <row r="62" spans="1:45" s="7" customFormat="1" ht="25.5" customHeight="1" x14ac:dyDescent="0.25">
      <c r="A62" s="92" t="str">
        <f t="shared" si="6"/>
        <v>CK-SWVI [31]</v>
      </c>
      <c r="B62" s="92" t="str">
        <f t="shared" si="3"/>
        <v>Southwest Vancouver Island</v>
      </c>
      <c r="C62" s="93" t="str">
        <f t="shared" si="4"/>
        <v>WALLACE CREEK_Chinook</v>
      </c>
      <c r="D62" s="128" t="s">
        <v>598</v>
      </c>
      <c r="E62" s="128" t="s">
        <v>598</v>
      </c>
      <c r="F62" s="64">
        <v>23</v>
      </c>
      <c r="G62" s="72" t="s">
        <v>135</v>
      </c>
      <c r="H62" s="65" t="s">
        <v>97</v>
      </c>
      <c r="I62" s="119"/>
      <c r="J62" s="119"/>
      <c r="K62" s="64">
        <v>4</v>
      </c>
      <c r="L62" s="52">
        <v>9</v>
      </c>
      <c r="M62" s="52">
        <v>0</v>
      </c>
      <c r="N62" s="52" t="e">
        <f>GEOMEAN(#REF!)</f>
        <v>#REF!</v>
      </c>
      <c r="O62" s="52" t="e">
        <f>MAX(#REF!)</f>
        <v>#REF!</v>
      </c>
      <c r="P62" s="52" t="e">
        <f>GEOMEAN(#REF!)</f>
        <v>#REF!</v>
      </c>
      <c r="Q62" s="66"/>
      <c r="R62" s="37"/>
      <c r="S62" s="74" t="s">
        <v>327</v>
      </c>
      <c r="T62" s="8">
        <v>25</v>
      </c>
      <c r="U62" s="8">
        <v>25</v>
      </c>
      <c r="V62" s="8">
        <v>25</v>
      </c>
      <c r="W62">
        <v>25</v>
      </c>
      <c r="X62" s="143" t="e">
        <v>#DIV/0!</v>
      </c>
      <c r="Y62" s="143" t="e">
        <v>#DIV/0!</v>
      </c>
      <c r="AA62" s="7">
        <v>25</v>
      </c>
      <c r="AB62" s="7">
        <v>25</v>
      </c>
      <c r="AC62" s="7">
        <v>25</v>
      </c>
      <c r="AD62" s="7">
        <v>25</v>
      </c>
      <c r="AE62" s="7">
        <v>25</v>
      </c>
      <c r="AF62" s="7">
        <v>25</v>
      </c>
      <c r="AG62" s="7">
        <v>25</v>
      </c>
      <c r="AH62" s="7">
        <v>25</v>
      </c>
      <c r="AI62" s="7">
        <v>25</v>
      </c>
      <c r="AK62" s="7">
        <v>120.29999999999998</v>
      </c>
      <c r="AL62" s="7">
        <v>234.85000000000002</v>
      </c>
      <c r="AM62" s="7">
        <v>285.39999999999998</v>
      </c>
      <c r="AN62" s="7">
        <v>306</v>
      </c>
      <c r="AO62" s="7">
        <v>672.5</v>
      </c>
      <c r="AP62" s="7">
        <v>980.19999999999993</v>
      </c>
      <c r="AQ62" s="7">
        <v>1103.8500000000001</v>
      </c>
      <c r="AR62" s="7">
        <v>1252.25</v>
      </c>
      <c r="AS62" s="7">
        <v>1933.6999999999994</v>
      </c>
    </row>
    <row r="63" spans="1:45" s="7" customFormat="1" ht="25.5" customHeight="1" x14ac:dyDescent="0.25">
      <c r="A63" s="92" t="str">
        <f t="shared" si="6"/>
        <v>CK-SWVI [31]</v>
      </c>
      <c r="B63" s="92" t="str">
        <f t="shared" si="3"/>
        <v>Southwest Vancouver Island</v>
      </c>
      <c r="C63" s="93" t="str">
        <f t="shared" si="4"/>
        <v>MERCANTILE CREEK_Chinook</v>
      </c>
      <c r="D63" s="128" t="s">
        <v>598</v>
      </c>
      <c r="E63" s="128" t="s">
        <v>598</v>
      </c>
      <c r="F63" s="64">
        <v>23</v>
      </c>
      <c r="G63" s="72" t="s">
        <v>151</v>
      </c>
      <c r="H63" s="65" t="s">
        <v>97</v>
      </c>
      <c r="I63" s="119"/>
      <c r="J63" s="119"/>
      <c r="K63" s="64">
        <v>5</v>
      </c>
      <c r="L63" s="52">
        <v>10</v>
      </c>
      <c r="M63" s="52">
        <v>10</v>
      </c>
      <c r="N63" s="52" t="e">
        <f>GEOMEAN(#REF!)</f>
        <v>#REF!</v>
      </c>
      <c r="O63" s="52" t="e">
        <f>MAX(#REF!)</f>
        <v>#REF!</v>
      </c>
      <c r="P63" s="52" t="e">
        <f>GEOMEAN(#REF!)</f>
        <v>#REF!</v>
      </c>
      <c r="Q63" s="66"/>
      <c r="R63" s="37"/>
      <c r="S63" s="74" t="s">
        <v>327</v>
      </c>
      <c r="T63" s="8">
        <v>1</v>
      </c>
      <c r="U63" s="8">
        <v>135</v>
      </c>
      <c r="V63" s="8">
        <v>43.388888888888886</v>
      </c>
      <c r="W63">
        <v>23.094235114871751</v>
      </c>
      <c r="X63" s="143" t="e">
        <v>#DIV/0!</v>
      </c>
      <c r="Y63" s="143">
        <v>25</v>
      </c>
      <c r="AA63" s="7">
        <v>1.85</v>
      </c>
      <c r="AB63" s="7">
        <v>4.55</v>
      </c>
      <c r="AC63" s="7">
        <v>9.4000000000000039</v>
      </c>
      <c r="AD63" s="7">
        <v>17</v>
      </c>
      <c r="AE63" s="7">
        <v>30</v>
      </c>
      <c r="AF63" s="7">
        <v>36</v>
      </c>
      <c r="AG63" s="7">
        <v>40.70000000000001</v>
      </c>
      <c r="AH63" s="7">
        <v>54.75</v>
      </c>
      <c r="AI63" s="7">
        <v>86.999999999999957</v>
      </c>
      <c r="AK63" s="7">
        <v>1.7000000000000002</v>
      </c>
      <c r="AL63" s="7">
        <v>3.2999999999999989</v>
      </c>
      <c r="AM63" s="7">
        <v>5.4000000000000021</v>
      </c>
      <c r="AN63" s="7">
        <v>7.5</v>
      </c>
      <c r="AO63" s="7">
        <v>20</v>
      </c>
      <c r="AP63" s="7">
        <v>24.800000000000004</v>
      </c>
      <c r="AQ63" s="7">
        <v>33.199999999999996</v>
      </c>
      <c r="AR63" s="7">
        <v>58.75</v>
      </c>
      <c r="AS63" s="7">
        <v>100.05000000000001</v>
      </c>
    </row>
    <row r="64" spans="1:45" s="7" customFormat="1" ht="25.5" customHeight="1" x14ac:dyDescent="0.25">
      <c r="A64" s="92" t="str">
        <f t="shared" si="6"/>
        <v>CK-SWVI [31]</v>
      </c>
      <c r="B64" s="92" t="str">
        <f t="shared" si="3"/>
        <v>Southwest Vancouver Island</v>
      </c>
      <c r="C64" s="93" t="str">
        <f t="shared" si="4"/>
        <v>EFFINGHAM RIVER_Chinook</v>
      </c>
      <c r="D64" s="128" t="s">
        <v>598</v>
      </c>
      <c r="E64" s="128" t="s">
        <v>598</v>
      </c>
      <c r="F64" s="64">
        <v>23</v>
      </c>
      <c r="G64" s="72" t="s">
        <v>134</v>
      </c>
      <c r="H64" s="65" t="s">
        <v>97</v>
      </c>
      <c r="I64" s="119"/>
      <c r="J64" s="119"/>
      <c r="K64" s="64">
        <v>4</v>
      </c>
      <c r="L64" s="52">
        <v>11</v>
      </c>
      <c r="M64" s="52">
        <v>3</v>
      </c>
      <c r="N64" s="52" t="e">
        <f>GEOMEAN(#REF!)</f>
        <v>#REF!</v>
      </c>
      <c r="O64" s="52" t="e">
        <f>MAX(#REF!)</f>
        <v>#REF!</v>
      </c>
      <c r="P64" s="52" t="e">
        <f>GEOMEAN(#REF!)</f>
        <v>#REF!</v>
      </c>
      <c r="Q64" s="66"/>
      <c r="R64" s="37"/>
      <c r="S64" s="74" t="s">
        <v>327</v>
      </c>
      <c r="T64" s="8">
        <v>5</v>
      </c>
      <c r="U64" s="8">
        <v>200</v>
      </c>
      <c r="V64" s="8">
        <v>30.166666666666668</v>
      </c>
      <c r="W64">
        <v>22.217626396997005</v>
      </c>
      <c r="X64" s="143">
        <v>11.2</v>
      </c>
      <c r="Y64" s="143">
        <v>21.5</v>
      </c>
      <c r="Z64"/>
      <c r="AA64" s="7">
        <v>7.8000000000000007</v>
      </c>
      <c r="AB64" s="7">
        <v>10.35</v>
      </c>
      <c r="AC64" s="7">
        <v>11</v>
      </c>
      <c r="AD64" s="7">
        <v>13.25</v>
      </c>
      <c r="AE64" s="7">
        <v>25</v>
      </c>
      <c r="AF64" s="7">
        <v>25</v>
      </c>
      <c r="AG64" s="7">
        <v>25</v>
      </c>
      <c r="AH64" s="7">
        <v>25</v>
      </c>
      <c r="AI64" s="7">
        <v>34.749999999999979</v>
      </c>
      <c r="AK64" s="7">
        <v>1</v>
      </c>
      <c r="AL64" s="7">
        <v>1.5</v>
      </c>
      <c r="AM64" s="7">
        <v>2</v>
      </c>
      <c r="AN64" s="7">
        <v>2</v>
      </c>
      <c r="AO64" s="7">
        <v>4</v>
      </c>
      <c r="AP64" s="7">
        <v>4</v>
      </c>
      <c r="AQ64" s="7">
        <v>5.5</v>
      </c>
      <c r="AR64" s="7">
        <v>15.5</v>
      </c>
      <c r="AS64" s="7">
        <v>29.5</v>
      </c>
    </row>
    <row r="65" spans="1:59" s="7" customFormat="1" ht="25.5" customHeight="1" x14ac:dyDescent="0.25">
      <c r="A65" s="92" t="str">
        <f t="shared" si="6"/>
        <v>CK-SWVI [31]</v>
      </c>
      <c r="B65" s="92" t="str">
        <f t="shared" si="3"/>
        <v>Southwest Vancouver Island</v>
      </c>
      <c r="C65" s="93" t="str">
        <f t="shared" si="4"/>
        <v>CHARTERS RIVER_Chinook</v>
      </c>
      <c r="D65" s="128" t="s">
        <v>598</v>
      </c>
      <c r="E65" s="128" t="s">
        <v>598</v>
      </c>
      <c r="F65" s="64">
        <v>20</v>
      </c>
      <c r="G65" s="72" t="s">
        <v>25</v>
      </c>
      <c r="H65" s="65" t="s">
        <v>97</v>
      </c>
      <c r="I65" s="119"/>
      <c r="J65" s="119"/>
      <c r="K65" s="64">
        <v>5</v>
      </c>
      <c r="L65" s="52">
        <v>6</v>
      </c>
      <c r="M65" s="52">
        <v>3</v>
      </c>
      <c r="N65" s="52" t="e">
        <f>GEOMEAN(#REF!)</f>
        <v>#REF!</v>
      </c>
      <c r="O65" s="52" t="e">
        <f>MAX(#REF!)</f>
        <v>#REF!</v>
      </c>
      <c r="P65" s="52" t="e">
        <f>GEOMEAN(#REF!)</f>
        <v>#REF!</v>
      </c>
      <c r="Q65" s="66"/>
      <c r="R65" s="37"/>
      <c r="S65" s="74" t="s">
        <v>277</v>
      </c>
      <c r="T65" s="8">
        <v>3</v>
      </c>
      <c r="U65" s="8">
        <v>150</v>
      </c>
      <c r="V65" s="8">
        <v>49.5</v>
      </c>
      <c r="W65">
        <v>21.213203435596427</v>
      </c>
      <c r="X65" s="143" t="e">
        <v>#DIV/0!</v>
      </c>
      <c r="Y65" s="143" t="e">
        <v>#DIV/0!</v>
      </c>
      <c r="AA65" s="7">
        <v>4.7999999999999989</v>
      </c>
      <c r="AB65" s="7">
        <v>8.3999999999999986</v>
      </c>
      <c r="AC65" s="7">
        <v>10.200000000000001</v>
      </c>
      <c r="AD65" s="7">
        <v>12</v>
      </c>
      <c r="AE65" s="7">
        <v>22.5</v>
      </c>
      <c r="AF65" s="7">
        <v>26.999999999999996</v>
      </c>
      <c r="AG65" s="7">
        <v>29.250000000000004</v>
      </c>
      <c r="AH65" s="7">
        <v>60</v>
      </c>
      <c r="AI65" s="7">
        <v>95.999999999999972</v>
      </c>
      <c r="AK65" s="7">
        <v>20.95</v>
      </c>
      <c r="AL65" s="7">
        <v>24.85</v>
      </c>
      <c r="AM65" s="7">
        <v>26.8</v>
      </c>
      <c r="AN65" s="7">
        <v>28.75</v>
      </c>
      <c r="AO65" s="7">
        <v>191</v>
      </c>
      <c r="AP65" s="7">
        <v>286.39999999999998</v>
      </c>
      <c r="AQ65" s="7">
        <v>334.10000000000008</v>
      </c>
      <c r="AR65" s="7">
        <v>437.5</v>
      </c>
      <c r="AS65" s="7">
        <v>542.5</v>
      </c>
      <c r="BE65" s="7" t="e">
        <f>_xlfn.PERCENTILE.INC(#REF!,0.25)</f>
        <v>#REF!</v>
      </c>
      <c r="BF65" s="7" t="e">
        <f>_xlfn.PERCENTILE.INC(#REF!,0.75)</f>
        <v>#REF!</v>
      </c>
      <c r="BG65" s="7" t="s">
        <v>681</v>
      </c>
    </row>
    <row r="66" spans="1:59" s="7" customFormat="1" ht="25.5" customHeight="1" x14ac:dyDescent="0.25">
      <c r="A66" s="92" t="str">
        <f t="shared" si="6"/>
        <v>CK-NoKy [32]</v>
      </c>
      <c r="B66" s="92" t="str">
        <f t="shared" si="3"/>
        <v>Nootka and Kyuquot</v>
      </c>
      <c r="C66" s="93" t="str">
        <f t="shared" si="4"/>
        <v>NARROWGUT CREEK_Chinook</v>
      </c>
      <c r="D66" s="128" t="s">
        <v>598</v>
      </c>
      <c r="E66" s="128" t="s">
        <v>598</v>
      </c>
      <c r="F66" s="64">
        <v>26</v>
      </c>
      <c r="G66" s="72" t="s">
        <v>249</v>
      </c>
      <c r="H66" s="65" t="s">
        <v>97</v>
      </c>
      <c r="I66" s="119"/>
      <c r="J66" s="119"/>
      <c r="K66" s="64">
        <v>3</v>
      </c>
      <c r="L66" s="52">
        <v>7</v>
      </c>
      <c r="M66" s="52">
        <v>2</v>
      </c>
      <c r="N66" s="52" t="e">
        <f>GEOMEAN(#REF!)</f>
        <v>#REF!</v>
      </c>
      <c r="O66" s="52" t="e">
        <f>MAX(#REF!)</f>
        <v>#REF!</v>
      </c>
      <c r="P66" s="52" t="e">
        <f>GEOMEAN(#REF!)</f>
        <v>#REF!</v>
      </c>
      <c r="Q66" s="66"/>
      <c r="R66" s="37"/>
      <c r="S66" s="74" t="s">
        <v>415</v>
      </c>
      <c r="T66" s="8">
        <v>2</v>
      </c>
      <c r="U66" s="8">
        <v>200</v>
      </c>
      <c r="V66" s="8">
        <v>34.8125</v>
      </c>
      <c r="W66">
        <v>20.946437063289192</v>
      </c>
      <c r="X66" s="143" t="e">
        <v>#DIV/0!</v>
      </c>
      <c r="Y66" s="143">
        <v>2</v>
      </c>
      <c r="Z66"/>
      <c r="AA66" s="7">
        <v>3.5</v>
      </c>
      <c r="AB66" s="7">
        <v>9.5</v>
      </c>
      <c r="AC66" s="7">
        <v>20</v>
      </c>
      <c r="AD66" s="7">
        <v>23.75</v>
      </c>
      <c r="AE66" s="7">
        <v>25</v>
      </c>
      <c r="AF66" s="7">
        <v>25</v>
      </c>
      <c r="AG66" s="7">
        <v>25</v>
      </c>
      <c r="AH66" s="7">
        <v>25</v>
      </c>
      <c r="AI66" s="7">
        <v>25</v>
      </c>
      <c r="AJ66"/>
      <c r="AK66" s="7">
        <v>38.500000000000021</v>
      </c>
      <c r="AL66" s="7">
        <v>85.500000000000014</v>
      </c>
      <c r="AM66" s="7">
        <v>108.99999999999999</v>
      </c>
      <c r="AN66" s="7">
        <v>132.5</v>
      </c>
      <c r="AO66" s="7">
        <v>250</v>
      </c>
      <c r="AP66" s="7">
        <v>250</v>
      </c>
      <c r="AQ66" s="7">
        <v>250</v>
      </c>
      <c r="AR66" s="7">
        <v>250</v>
      </c>
      <c r="AS66" s="7">
        <v>250</v>
      </c>
      <c r="BE66" s="7" t="e">
        <f>_xlfn.PERCENTILE.INC(#REF!,0.25)</f>
        <v>#REF!</v>
      </c>
      <c r="BF66" s="7" t="e">
        <f>_xlfn.PERCENTILE.INC(#REF!,0.75)</f>
        <v>#REF!</v>
      </c>
      <c r="BG66" s="7" t="s">
        <v>681</v>
      </c>
    </row>
    <row r="67" spans="1:59" s="7" customFormat="1" ht="25.5" customHeight="1" x14ac:dyDescent="0.25">
      <c r="A67" s="92" t="str">
        <f t="shared" si="6"/>
        <v>CK-SWVI [31]</v>
      </c>
      <c r="B67" s="92" t="str">
        <f t="shared" si="3"/>
        <v>Southwest Vancouver Island</v>
      </c>
      <c r="C67" s="93" t="str">
        <f t="shared" si="4"/>
        <v>FRANKLIN RIVER_Chinook</v>
      </c>
      <c r="D67" s="128" t="s">
        <v>598</v>
      </c>
      <c r="E67" s="128" t="s">
        <v>598</v>
      </c>
      <c r="F67" s="64">
        <v>23</v>
      </c>
      <c r="G67" s="72" t="s">
        <v>118</v>
      </c>
      <c r="H67" s="65" t="s">
        <v>97</v>
      </c>
      <c r="I67" s="119"/>
      <c r="J67" s="119"/>
      <c r="K67" s="64">
        <v>4</v>
      </c>
      <c r="L67" s="52">
        <v>10</v>
      </c>
      <c r="M67" s="52">
        <v>4</v>
      </c>
      <c r="N67" s="52" t="e">
        <f>GEOMEAN(#REF!)</f>
        <v>#REF!</v>
      </c>
      <c r="O67" s="52" t="e">
        <f>MAX(#REF!)</f>
        <v>#REF!</v>
      </c>
      <c r="P67" s="52" t="e">
        <f>GEOMEAN(#REF!)</f>
        <v>#REF!</v>
      </c>
      <c r="Q67" s="66"/>
      <c r="R67" s="37"/>
      <c r="S67" s="74" t="s">
        <v>327</v>
      </c>
      <c r="T67" s="8">
        <v>2</v>
      </c>
      <c r="U67" s="8">
        <v>90</v>
      </c>
      <c r="V67" s="8">
        <v>30.904761904761905</v>
      </c>
      <c r="W67">
        <v>20.613428976975939</v>
      </c>
      <c r="X67" s="143" t="e">
        <v>#DIV/0!</v>
      </c>
      <c r="Y67" s="143" t="e">
        <v>#DIV/0!</v>
      </c>
      <c r="Z67"/>
      <c r="AA67" s="7">
        <v>2</v>
      </c>
      <c r="AB67" s="7">
        <v>6</v>
      </c>
      <c r="AC67" s="7">
        <v>10</v>
      </c>
      <c r="AD67" s="7">
        <v>25</v>
      </c>
      <c r="AE67" s="7">
        <v>25</v>
      </c>
      <c r="AF67" s="7">
        <v>25</v>
      </c>
      <c r="AG67" s="7">
        <v>25</v>
      </c>
      <c r="AH67" s="7">
        <v>40</v>
      </c>
      <c r="AI67" s="7">
        <v>50</v>
      </c>
      <c r="AK67" s="7">
        <v>138.65</v>
      </c>
      <c r="AL67" s="7">
        <v>255.05000000000013</v>
      </c>
      <c r="AM67" s="7">
        <v>585.6</v>
      </c>
      <c r="AN67" s="7">
        <v>665.5</v>
      </c>
      <c r="AO67" s="7">
        <v>843.5</v>
      </c>
      <c r="AP67" s="7">
        <v>1483.9999999999998</v>
      </c>
      <c r="AQ67" s="7">
        <v>1705.55</v>
      </c>
      <c r="AR67" s="7">
        <v>2225</v>
      </c>
      <c r="AS67" s="7">
        <v>2936.1499999999996</v>
      </c>
      <c r="BE67" s="7" t="e">
        <f>_xlfn.PERCENTILE.INC(#REF!,0.25)</f>
        <v>#REF!</v>
      </c>
      <c r="BF67" s="7" t="e">
        <f>_xlfn.PERCENTILE.INC(#REF!,0.75)</f>
        <v>#REF!</v>
      </c>
      <c r="BG67" s="7" t="s">
        <v>681</v>
      </c>
    </row>
    <row r="68" spans="1:59" s="7" customFormat="1" ht="25.5" customHeight="1" x14ac:dyDescent="0.25">
      <c r="A68" s="92" t="str">
        <f t="shared" si="6"/>
        <v>CK-SWVI [31]</v>
      </c>
      <c r="B68" s="92" t="str">
        <f t="shared" si="3"/>
        <v>Southwest Vancouver Island</v>
      </c>
      <c r="C68" s="93" t="str">
        <f t="shared" si="4"/>
        <v>COEUR D'ALENE CREEK_Chinook</v>
      </c>
      <c r="D68" s="128" t="s">
        <v>598</v>
      </c>
      <c r="E68" s="128" t="s">
        <v>598</v>
      </c>
      <c r="F68" s="64">
        <v>23</v>
      </c>
      <c r="G68" s="72" t="s">
        <v>133</v>
      </c>
      <c r="H68" s="65" t="s">
        <v>97</v>
      </c>
      <c r="I68" s="119"/>
      <c r="J68" s="119"/>
      <c r="K68" s="64">
        <v>4</v>
      </c>
      <c r="L68" s="52">
        <v>9</v>
      </c>
      <c r="M68" s="52">
        <v>2</v>
      </c>
      <c r="N68" s="52" t="e">
        <f>GEOMEAN(#REF!)</f>
        <v>#REF!</v>
      </c>
      <c r="O68" s="52" t="e">
        <f>MAX(#REF!)</f>
        <v>#REF!</v>
      </c>
      <c r="P68" s="52" t="e">
        <f>GEOMEAN(#REF!)</f>
        <v>#REF!</v>
      </c>
      <c r="Q68" s="66"/>
      <c r="R68" s="37"/>
      <c r="S68" s="74" t="s">
        <v>327</v>
      </c>
      <c r="T68" s="8">
        <v>2</v>
      </c>
      <c r="U68" s="8">
        <v>50</v>
      </c>
      <c r="V68" s="8">
        <v>24</v>
      </c>
      <c r="W68">
        <v>20.171767213911689</v>
      </c>
      <c r="X68" s="143" t="e">
        <v>#DIV/0!</v>
      </c>
      <c r="Y68" s="143" t="e">
        <v>#DIV/0!</v>
      </c>
      <c r="Z68"/>
      <c r="AA68" s="7">
        <v>6.8000000000000007</v>
      </c>
      <c r="AB68" s="7">
        <v>18</v>
      </c>
      <c r="AC68" s="7">
        <v>22</v>
      </c>
      <c r="AD68" s="7">
        <v>25</v>
      </c>
      <c r="AE68" s="7">
        <v>25</v>
      </c>
      <c r="AF68" s="7">
        <v>25</v>
      </c>
      <c r="AG68" s="7">
        <v>25</v>
      </c>
      <c r="AH68" s="7">
        <v>25</v>
      </c>
      <c r="AI68" s="7">
        <v>25.999999999999996</v>
      </c>
      <c r="AK68" s="7">
        <v>2.2999999999999998</v>
      </c>
      <c r="AL68" s="7">
        <v>2.9</v>
      </c>
      <c r="AM68" s="7">
        <v>4.8000000000000016</v>
      </c>
      <c r="AN68" s="7">
        <v>7.5</v>
      </c>
      <c r="AO68" s="7">
        <v>18</v>
      </c>
      <c r="AP68" s="7">
        <v>19.2</v>
      </c>
      <c r="AQ68" s="7">
        <v>19.8</v>
      </c>
      <c r="AR68" s="7">
        <v>39</v>
      </c>
      <c r="AS68" s="7">
        <v>66.199999999999974</v>
      </c>
      <c r="BE68" s="7" t="e">
        <f>_xlfn.PERCENTILE.INC(#REF!,0.25)</f>
        <v>#REF!</v>
      </c>
      <c r="BF68" s="7" t="e">
        <f>_xlfn.PERCENTILE.INC(#REF!,0.75)</f>
        <v>#REF!</v>
      </c>
      <c r="BG68" s="7" t="s">
        <v>681</v>
      </c>
    </row>
    <row r="69" spans="1:59" s="7" customFormat="1" ht="25.5" customHeight="1" x14ac:dyDescent="0.25">
      <c r="A69" s="92" t="str">
        <f t="shared" si="6"/>
        <v>CK-SWVI [31]</v>
      </c>
      <c r="B69" s="92" t="str">
        <f t="shared" ref="B69:B100" si="7">VLOOKUP(C69,CU,7,FALSE)</f>
        <v>Southwest Vancouver Island</v>
      </c>
      <c r="C69" s="93" t="str">
        <f t="shared" ref="C69:C89" si="8">CONCATENATE(G69,"_",H69)</f>
        <v>COUS CREEK_Chinook</v>
      </c>
      <c r="D69" s="128" t="s">
        <v>598</v>
      </c>
      <c r="E69" s="128" t="s">
        <v>598</v>
      </c>
      <c r="F69" s="64">
        <v>23</v>
      </c>
      <c r="G69" s="72" t="s">
        <v>123</v>
      </c>
      <c r="H69" s="65" t="s">
        <v>97</v>
      </c>
      <c r="I69" s="119"/>
      <c r="J69" s="119"/>
      <c r="K69" s="64">
        <v>4</v>
      </c>
      <c r="L69" s="52">
        <v>11</v>
      </c>
      <c r="M69" s="52">
        <v>0</v>
      </c>
      <c r="N69" s="52" t="e">
        <f>GEOMEAN(#REF!)</f>
        <v>#REF!</v>
      </c>
      <c r="O69" s="52" t="e">
        <f>MAX(#REF!)</f>
        <v>#REF!</v>
      </c>
      <c r="P69" s="52" t="e">
        <f>GEOMEAN(#REF!)</f>
        <v>#REF!</v>
      </c>
      <c r="Q69" s="66"/>
      <c r="R69" s="37"/>
      <c r="S69" s="74" t="s">
        <v>327</v>
      </c>
      <c r="T69" s="8">
        <v>2</v>
      </c>
      <c r="U69" s="8">
        <v>25</v>
      </c>
      <c r="V69" s="8">
        <v>22.285714285714285</v>
      </c>
      <c r="W69">
        <v>19.807096178377339</v>
      </c>
      <c r="X69" s="143" t="e">
        <v>#DIV/0!</v>
      </c>
      <c r="Y69" s="143" t="e">
        <v>#DIV/0!</v>
      </c>
      <c r="Z69"/>
      <c r="AA69" s="7">
        <v>10.45</v>
      </c>
      <c r="AB69" s="7">
        <v>19.75</v>
      </c>
      <c r="AC69" s="7">
        <v>23</v>
      </c>
      <c r="AD69" s="7">
        <v>25</v>
      </c>
      <c r="AE69" s="7">
        <v>25</v>
      </c>
      <c r="AF69" s="7">
        <v>25</v>
      </c>
      <c r="AG69" s="7">
        <v>25</v>
      </c>
      <c r="AH69" s="7">
        <v>25</v>
      </c>
      <c r="AI69" s="7">
        <v>25</v>
      </c>
      <c r="AK69" s="7">
        <v>3.5</v>
      </c>
      <c r="AL69" s="7">
        <v>5</v>
      </c>
      <c r="AM69" s="7">
        <v>5</v>
      </c>
      <c r="AN69" s="7">
        <v>8.75</v>
      </c>
      <c r="AO69" s="7">
        <v>30.5</v>
      </c>
      <c r="AP69" s="7">
        <v>40</v>
      </c>
      <c r="AQ69" s="7">
        <v>42.25</v>
      </c>
      <c r="AR69" s="7">
        <v>55</v>
      </c>
      <c r="AS69" s="7">
        <v>75.25</v>
      </c>
      <c r="BE69" s="7" t="e">
        <f>_xlfn.PERCENTILE.INC(#REF!,0.25)</f>
        <v>#REF!</v>
      </c>
      <c r="BF69" s="7" t="e">
        <f>_xlfn.PERCENTILE.INC(#REF!,0.75)</f>
        <v>#REF!</v>
      </c>
      <c r="BG69" s="7" t="s">
        <v>681</v>
      </c>
    </row>
    <row r="70" spans="1:59" s="7" customFormat="1" ht="25.5" customHeight="1" x14ac:dyDescent="0.25">
      <c r="A70" s="92" t="str">
        <f t="shared" si="6"/>
        <v>CK-PSJ [30]</v>
      </c>
      <c r="B70" s="92" t="str">
        <f t="shared" si="7"/>
        <v>Port San Juan</v>
      </c>
      <c r="C70" s="93" t="str">
        <f t="shared" si="8"/>
        <v>LENS CREEK_Chinook</v>
      </c>
      <c r="D70" s="128" t="s">
        <v>598</v>
      </c>
      <c r="E70" s="128" t="s">
        <v>598</v>
      </c>
      <c r="F70" s="64">
        <v>20</v>
      </c>
      <c r="G70" s="72" t="s">
        <v>35</v>
      </c>
      <c r="H70" s="65" t="s">
        <v>97</v>
      </c>
      <c r="I70" s="119"/>
      <c r="J70" s="119"/>
      <c r="K70" s="64">
        <v>4</v>
      </c>
      <c r="L70" s="52">
        <v>7</v>
      </c>
      <c r="M70" s="52">
        <v>4</v>
      </c>
      <c r="N70" s="52" t="e">
        <f>GEOMEAN(#REF!)</f>
        <v>#REF!</v>
      </c>
      <c r="O70" s="52" t="e">
        <f>MAX(#REF!)</f>
        <v>#REF!</v>
      </c>
      <c r="P70" s="52" t="e">
        <f>GEOMEAN(#REF!)</f>
        <v>#REF!</v>
      </c>
      <c r="Q70" s="66"/>
      <c r="R70" s="37"/>
      <c r="S70" s="74" t="s">
        <v>288</v>
      </c>
      <c r="T70" s="8">
        <v>1</v>
      </c>
      <c r="U70" s="8">
        <v>104</v>
      </c>
      <c r="V70" s="8">
        <v>38</v>
      </c>
      <c r="W70">
        <v>16.343436293473399</v>
      </c>
      <c r="X70" s="143">
        <v>10</v>
      </c>
      <c r="Y70" s="143">
        <v>38</v>
      </c>
      <c r="AA70" s="7">
        <v>1.7000000000000002</v>
      </c>
      <c r="AB70" s="7">
        <v>3.2999999999999989</v>
      </c>
      <c r="AC70" s="7">
        <v>5.4000000000000021</v>
      </c>
      <c r="AD70" s="7">
        <v>7.5</v>
      </c>
      <c r="AE70" s="7">
        <v>20</v>
      </c>
      <c r="AF70" s="7">
        <v>24.800000000000004</v>
      </c>
      <c r="AG70" s="7">
        <v>33.199999999999996</v>
      </c>
      <c r="AH70" s="7">
        <v>58.75</v>
      </c>
      <c r="AI70" s="7">
        <v>100.05000000000001</v>
      </c>
      <c r="AK70" s="7">
        <v>16.5</v>
      </c>
      <c r="AL70" s="7">
        <v>19.5</v>
      </c>
      <c r="AM70" s="7">
        <v>21</v>
      </c>
      <c r="AN70" s="7">
        <v>22.5</v>
      </c>
      <c r="AO70" s="7">
        <v>30</v>
      </c>
      <c r="AP70" s="7">
        <v>54.000000000000021</v>
      </c>
      <c r="AQ70" s="7">
        <v>65.999999999999972</v>
      </c>
      <c r="AR70" s="7">
        <v>90</v>
      </c>
      <c r="AS70" s="7">
        <v>114.00000000000003</v>
      </c>
    </row>
    <row r="71" spans="1:59" s="7" customFormat="1" ht="25.5" customHeight="1" x14ac:dyDescent="0.25">
      <c r="A71" s="92" t="str">
        <f t="shared" si="6"/>
        <v>CK-NoKy [32]</v>
      </c>
      <c r="B71" s="92" t="str">
        <f t="shared" si="7"/>
        <v>Nootka and Kyuquot</v>
      </c>
      <c r="C71" s="93" t="str">
        <f t="shared" si="8"/>
        <v>AMAI CREEK_Chinook</v>
      </c>
      <c r="D71" s="128" t="s">
        <v>598</v>
      </c>
      <c r="E71" s="128" t="s">
        <v>598</v>
      </c>
      <c r="F71" s="64">
        <v>26</v>
      </c>
      <c r="G71" s="72" t="s">
        <v>250</v>
      </c>
      <c r="H71" s="65" t="s">
        <v>97</v>
      </c>
      <c r="I71" s="119"/>
      <c r="J71" s="119"/>
      <c r="K71" s="64">
        <v>3</v>
      </c>
      <c r="L71" s="52">
        <v>8</v>
      </c>
      <c r="M71" s="52">
        <v>3</v>
      </c>
      <c r="N71" s="52" t="e">
        <f>GEOMEAN(#REF!)</f>
        <v>#REF!</v>
      </c>
      <c r="O71" s="52" t="e">
        <f>MAX(#REF!)</f>
        <v>#REF!</v>
      </c>
      <c r="P71" s="52" t="e">
        <f>GEOMEAN(#REF!)</f>
        <v>#REF!</v>
      </c>
      <c r="Q71" s="66"/>
      <c r="R71" s="37"/>
      <c r="S71" s="74" t="s">
        <v>431</v>
      </c>
      <c r="T71" s="8">
        <v>1</v>
      </c>
      <c r="U71" s="8">
        <v>25</v>
      </c>
      <c r="V71" s="8">
        <v>19.266666666666666</v>
      </c>
      <c r="W71">
        <v>13.858042050970715</v>
      </c>
      <c r="X71" s="143">
        <v>4.5</v>
      </c>
      <c r="Y71" s="143">
        <v>4.5</v>
      </c>
      <c r="Z71"/>
      <c r="AA71" s="7">
        <v>1.7000000000000002</v>
      </c>
      <c r="AB71" s="7">
        <v>4.3000000000000007</v>
      </c>
      <c r="AC71" s="7">
        <v>6.4</v>
      </c>
      <c r="AD71" s="7">
        <v>16</v>
      </c>
      <c r="AE71" s="7">
        <v>25</v>
      </c>
      <c r="AF71" s="7">
        <v>25</v>
      </c>
      <c r="AG71" s="7">
        <v>25</v>
      </c>
      <c r="AH71" s="7">
        <v>25</v>
      </c>
      <c r="AI71" s="7">
        <v>25</v>
      </c>
      <c r="AK71" s="7">
        <v>12</v>
      </c>
      <c r="AL71" s="7">
        <v>22</v>
      </c>
      <c r="AM71" s="7">
        <v>23</v>
      </c>
      <c r="AN71" s="7">
        <v>50</v>
      </c>
      <c r="AO71" s="7">
        <v>108</v>
      </c>
      <c r="AP71" s="7">
        <v>116</v>
      </c>
      <c r="AQ71" s="7">
        <v>120</v>
      </c>
      <c r="AR71" s="7">
        <v>505</v>
      </c>
      <c r="AS71" s="7">
        <v>702</v>
      </c>
    </row>
    <row r="72" spans="1:59" s="7" customFormat="1" ht="25.5" customHeight="1" x14ac:dyDescent="0.25">
      <c r="A72" s="92" t="str">
        <f t="shared" si="6"/>
        <v>CK-NoKy [32]</v>
      </c>
      <c r="B72" s="92" t="str">
        <f t="shared" si="7"/>
        <v>Nootka and Kyuquot</v>
      </c>
      <c r="C72" s="93" t="str">
        <f t="shared" si="8"/>
        <v>CHUM CREEK_Chinook</v>
      </c>
      <c r="D72" s="128" t="s">
        <v>598</v>
      </c>
      <c r="E72" s="128" t="s">
        <v>598</v>
      </c>
      <c r="F72" s="64">
        <v>25</v>
      </c>
      <c r="G72" s="72" t="s">
        <v>244</v>
      </c>
      <c r="H72" s="65" t="s">
        <v>97</v>
      </c>
      <c r="I72" s="119"/>
      <c r="J72" s="119"/>
      <c r="K72" s="64">
        <v>4</v>
      </c>
      <c r="L72" s="52">
        <v>8</v>
      </c>
      <c r="M72" s="52">
        <v>2</v>
      </c>
      <c r="N72" s="52" t="e">
        <f>GEOMEAN(#REF!)</f>
        <v>#REF!</v>
      </c>
      <c r="O72" s="52" t="e">
        <f>MAX(#REF!)</f>
        <v>#REF!</v>
      </c>
      <c r="P72" s="52" t="e">
        <f>GEOMEAN(#REF!)</f>
        <v>#REF!</v>
      </c>
      <c r="Q72" s="66"/>
      <c r="R72" s="37"/>
      <c r="S72" s="74" t="s">
        <v>445</v>
      </c>
      <c r="T72" s="8">
        <v>1</v>
      </c>
      <c r="U72" s="8">
        <v>32</v>
      </c>
      <c r="V72" s="8">
        <v>17.153846153846153</v>
      </c>
      <c r="W72">
        <v>11.35595988794628</v>
      </c>
      <c r="X72" s="143">
        <v>14.666666666666666</v>
      </c>
      <c r="Y72" s="143">
        <v>13</v>
      </c>
      <c r="Z72"/>
      <c r="AA72" s="7">
        <v>1.6</v>
      </c>
      <c r="AB72" s="7">
        <v>3.5999999999999996</v>
      </c>
      <c r="AC72" s="7">
        <v>4.8000000000000007</v>
      </c>
      <c r="AD72" s="7">
        <v>6</v>
      </c>
      <c r="AE72" s="7">
        <v>25</v>
      </c>
      <c r="AF72" s="7">
        <v>25</v>
      </c>
      <c r="AG72" s="7">
        <v>25</v>
      </c>
      <c r="AH72" s="7">
        <v>25</v>
      </c>
      <c r="AI72" s="7">
        <v>26.999999999999996</v>
      </c>
      <c r="AK72" s="7">
        <v>300</v>
      </c>
      <c r="AL72" s="7">
        <v>739.85000000000014</v>
      </c>
      <c r="AM72" s="7">
        <v>785.2</v>
      </c>
      <c r="AN72" s="7">
        <v>850</v>
      </c>
      <c r="AO72" s="7">
        <v>1441</v>
      </c>
      <c r="AP72" s="7">
        <v>1900.0000000000005</v>
      </c>
      <c r="AQ72" s="7">
        <v>2000</v>
      </c>
      <c r="AR72" s="7">
        <v>2318</v>
      </c>
      <c r="AS72" s="7">
        <v>2932.5499999999997</v>
      </c>
    </row>
    <row r="73" spans="1:59" s="7" customFormat="1" ht="25.5" customHeight="1" x14ac:dyDescent="0.25">
      <c r="A73" s="92" t="str">
        <f t="shared" si="6"/>
        <v>CK-SWVI [31]</v>
      </c>
      <c r="B73" s="92" t="str">
        <f t="shared" si="7"/>
        <v>Southwest Vancouver Island</v>
      </c>
      <c r="C73" s="93" t="str">
        <f t="shared" si="8"/>
        <v>KENNEDY RIVER (UPPER)_Chinook</v>
      </c>
      <c r="D73" s="128" t="s">
        <v>598</v>
      </c>
      <c r="E73" s="128" t="s">
        <v>598</v>
      </c>
      <c r="F73" s="64">
        <v>24</v>
      </c>
      <c r="G73" s="72" t="s">
        <v>358</v>
      </c>
      <c r="H73" s="65" t="s">
        <v>97</v>
      </c>
      <c r="I73" s="119"/>
      <c r="J73" s="119"/>
      <c r="K73" s="64">
        <v>3</v>
      </c>
      <c r="L73" s="52">
        <v>8</v>
      </c>
      <c r="M73" s="52">
        <v>7</v>
      </c>
      <c r="N73" s="52" t="e">
        <f>GEOMEAN(#REF!)</f>
        <v>#REF!</v>
      </c>
      <c r="O73" s="52" t="e">
        <f>MAX(#REF!)</f>
        <v>#REF!</v>
      </c>
      <c r="P73" s="52" t="e">
        <f>GEOMEAN(#REF!)</f>
        <v>#REF!</v>
      </c>
      <c r="Q73" s="66" t="s">
        <v>271</v>
      </c>
      <c r="R73" s="37"/>
      <c r="S73" s="74" t="s">
        <v>356</v>
      </c>
      <c r="T73" s="8">
        <v>1</v>
      </c>
      <c r="U73" s="8">
        <v>43</v>
      </c>
      <c r="V73" s="8">
        <v>15.333333333333334</v>
      </c>
      <c r="W73">
        <v>10.071216677364596</v>
      </c>
      <c r="X73" s="143">
        <v>3.5</v>
      </c>
      <c r="Y73" s="143">
        <v>6.833333333333333</v>
      </c>
      <c r="Z73"/>
      <c r="AA73" s="7">
        <v>2</v>
      </c>
      <c r="AB73" s="7">
        <v>2.8999999999999986</v>
      </c>
      <c r="AC73" s="7">
        <v>5.2000000000000011</v>
      </c>
      <c r="AD73" s="7">
        <v>6</v>
      </c>
      <c r="AE73" s="7">
        <v>12</v>
      </c>
      <c r="AF73" s="7">
        <v>15.399999999999997</v>
      </c>
      <c r="AG73" s="7">
        <v>16</v>
      </c>
      <c r="AH73" s="7">
        <v>22.5</v>
      </c>
      <c r="AI73" s="7">
        <v>25</v>
      </c>
      <c r="AK73" s="7">
        <v>2</v>
      </c>
      <c r="AL73" s="7">
        <v>3</v>
      </c>
      <c r="AM73" s="7">
        <v>4</v>
      </c>
      <c r="AN73" s="7">
        <v>4</v>
      </c>
      <c r="AO73" s="7">
        <v>7</v>
      </c>
      <c r="AP73" s="7">
        <v>13</v>
      </c>
      <c r="AQ73" s="7">
        <v>15</v>
      </c>
      <c r="AR73" s="7">
        <v>21</v>
      </c>
      <c r="AS73" s="7">
        <v>43</v>
      </c>
    </row>
    <row r="74" spans="1:59" s="7" customFormat="1" ht="25.5" customHeight="1" x14ac:dyDescent="0.25">
      <c r="A74" s="92" t="str">
        <f t="shared" si="6"/>
        <v>CK-SWVI [31]</v>
      </c>
      <c r="B74" s="92" t="str">
        <f t="shared" si="7"/>
        <v>Southwest Vancouver Island</v>
      </c>
      <c r="C74" s="93" t="str">
        <f t="shared" si="8"/>
        <v>WARN BAY CREEK_Chinook</v>
      </c>
      <c r="D74" s="128" t="s">
        <v>598</v>
      </c>
      <c r="E74" s="128" t="s">
        <v>598</v>
      </c>
      <c r="F74" s="64">
        <v>24</v>
      </c>
      <c r="G74" s="196" t="s">
        <v>184</v>
      </c>
      <c r="H74" s="65" t="s">
        <v>97</v>
      </c>
      <c r="I74" s="119"/>
      <c r="J74" s="119"/>
      <c r="K74" s="64">
        <v>4</v>
      </c>
      <c r="L74" s="52">
        <v>9</v>
      </c>
      <c r="M74" s="52">
        <v>5</v>
      </c>
      <c r="N74" s="52" t="e">
        <f>GEOMEAN(#REF!)</f>
        <v>#REF!</v>
      </c>
      <c r="O74" s="52" t="e">
        <f>MAX(#REF!)</f>
        <v>#REF!</v>
      </c>
      <c r="P74" s="52" t="e">
        <f>GEOMEAN(#REF!)</f>
        <v>#REF!</v>
      </c>
      <c r="Q74" s="66"/>
      <c r="R74" s="37"/>
      <c r="S74" s="76" t="s">
        <v>390</v>
      </c>
      <c r="T74" s="8">
        <v>1</v>
      </c>
      <c r="U74" s="8">
        <v>57</v>
      </c>
      <c r="V74" s="8">
        <v>15.222222222222221</v>
      </c>
      <c r="W74">
        <v>9.6880686126440345</v>
      </c>
      <c r="X74" s="143">
        <v>7</v>
      </c>
      <c r="Y74" s="143">
        <v>22.375</v>
      </c>
      <c r="Z74"/>
      <c r="AA74" s="7">
        <v>1.85</v>
      </c>
      <c r="AB74" s="7">
        <v>3.55</v>
      </c>
      <c r="AC74" s="7">
        <v>4.8000000000000007</v>
      </c>
      <c r="AD74" s="7">
        <v>6.25</v>
      </c>
      <c r="AE74" s="7">
        <v>10</v>
      </c>
      <c r="AF74" s="7">
        <v>13.599999999999998</v>
      </c>
      <c r="AG74" s="7">
        <v>16.05</v>
      </c>
      <c r="AH74" s="7">
        <v>19.25</v>
      </c>
      <c r="AI74" s="7">
        <v>26</v>
      </c>
      <c r="AK74" s="7">
        <v>1</v>
      </c>
      <c r="AL74" s="7">
        <v>1.0499999999999998</v>
      </c>
      <c r="AM74" s="7">
        <v>1.4000000000000004</v>
      </c>
      <c r="AN74" s="7">
        <v>1.75</v>
      </c>
      <c r="AO74" s="7">
        <v>6.5</v>
      </c>
      <c r="AP74" s="7">
        <v>7.2</v>
      </c>
      <c r="AQ74" s="7">
        <v>7.55</v>
      </c>
      <c r="AR74" s="7">
        <v>8.75</v>
      </c>
      <c r="AS74" s="7">
        <v>10.850000000000001</v>
      </c>
    </row>
    <row r="75" spans="1:59" s="7" customFormat="1" ht="25.5" customHeight="1" x14ac:dyDescent="0.25">
      <c r="A75" s="92" t="str">
        <f t="shared" si="6"/>
        <v>CK-NoKy [32]</v>
      </c>
      <c r="B75" s="92" t="str">
        <f t="shared" si="7"/>
        <v>Nootka and Kyuquot</v>
      </c>
      <c r="C75" s="93" t="str">
        <f t="shared" si="8"/>
        <v>HOISS CREEK_Chinook</v>
      </c>
      <c r="D75" s="128" t="s">
        <v>598</v>
      </c>
      <c r="E75" s="128" t="s">
        <v>598</v>
      </c>
      <c r="F75" s="64">
        <v>25</v>
      </c>
      <c r="G75" s="72" t="s">
        <v>228</v>
      </c>
      <c r="H75" s="65" t="s">
        <v>97</v>
      </c>
      <c r="I75" s="119"/>
      <c r="J75" s="119"/>
      <c r="K75" s="64">
        <v>4</v>
      </c>
      <c r="L75" s="52">
        <v>11</v>
      </c>
      <c r="M75" s="52">
        <v>6</v>
      </c>
      <c r="N75" s="52" t="e">
        <f>GEOMEAN(#REF!)</f>
        <v>#REF!</v>
      </c>
      <c r="O75" s="52" t="e">
        <f>MAX(#REF!)</f>
        <v>#REF!</v>
      </c>
      <c r="P75" s="52" t="e">
        <f>GEOMEAN(#REF!)</f>
        <v>#REF!</v>
      </c>
      <c r="Q75" s="66"/>
      <c r="R75" s="37"/>
      <c r="S75" s="76"/>
      <c r="T75" s="8">
        <v>1</v>
      </c>
      <c r="U75" s="8">
        <v>50</v>
      </c>
      <c r="V75" s="8">
        <v>17.357142857142858</v>
      </c>
      <c r="W75">
        <v>9.0888562839552058</v>
      </c>
      <c r="X75" s="143" t="e">
        <v>#DIV/0!</v>
      </c>
      <c r="Y75" s="143">
        <v>1</v>
      </c>
      <c r="Z75"/>
      <c r="AA75" s="7">
        <v>1</v>
      </c>
      <c r="AB75" s="7">
        <v>1.9500000000000002</v>
      </c>
      <c r="AC75" s="7">
        <v>2</v>
      </c>
      <c r="AD75" s="7">
        <v>2.5</v>
      </c>
      <c r="AE75" s="7">
        <v>23</v>
      </c>
      <c r="AF75" s="7">
        <v>25</v>
      </c>
      <c r="AG75" s="7">
        <v>25</v>
      </c>
      <c r="AH75" s="7">
        <v>25</v>
      </c>
      <c r="AI75" s="7">
        <v>25.349999999999994</v>
      </c>
      <c r="AK75" s="7">
        <v>1</v>
      </c>
      <c r="AL75" s="7">
        <v>1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</row>
    <row r="76" spans="1:59" s="7" customFormat="1" ht="25.5" customHeight="1" x14ac:dyDescent="0.25">
      <c r="A76" s="92" t="str">
        <f t="shared" si="6"/>
        <v>CK-PSJ [30]</v>
      </c>
      <c r="B76" s="92" t="str">
        <f t="shared" si="7"/>
        <v>Port San Juan</v>
      </c>
      <c r="C76" s="93" t="str">
        <f t="shared" si="8"/>
        <v>RENFREW CREEK_Chinook</v>
      </c>
      <c r="D76" s="128" t="s">
        <v>598</v>
      </c>
      <c r="E76" s="128" t="s">
        <v>598</v>
      </c>
      <c r="F76" s="64">
        <v>20</v>
      </c>
      <c r="G76" s="72" t="s">
        <v>32</v>
      </c>
      <c r="H76" s="65" t="s">
        <v>97</v>
      </c>
      <c r="I76" s="119"/>
      <c r="J76" s="119"/>
      <c r="K76" s="64">
        <v>4</v>
      </c>
      <c r="L76" s="52">
        <v>7</v>
      </c>
      <c r="M76" s="52">
        <v>3</v>
      </c>
      <c r="N76" s="52" t="e">
        <f>GEOMEAN(#REF!)</f>
        <v>#REF!</v>
      </c>
      <c r="O76" s="52" t="e">
        <f>MAX(#REF!)</f>
        <v>#REF!</v>
      </c>
      <c r="P76" s="52" t="e">
        <f>GEOMEAN(#REF!)</f>
        <v>#REF!</v>
      </c>
      <c r="Q76" s="66"/>
      <c r="R76" s="37"/>
      <c r="S76" s="74" t="s">
        <v>290</v>
      </c>
      <c r="T76" s="8">
        <v>1</v>
      </c>
      <c r="U76" s="8">
        <v>162</v>
      </c>
      <c r="V76" s="8">
        <v>22.285714285714285</v>
      </c>
      <c r="W76">
        <v>8.8615746749970441</v>
      </c>
      <c r="X76" s="143">
        <v>47.25</v>
      </c>
      <c r="Y76" s="143">
        <v>29.75</v>
      </c>
      <c r="AA76" s="7">
        <v>1</v>
      </c>
      <c r="AB76" s="7">
        <v>1.9500000000000002</v>
      </c>
      <c r="AC76" s="7">
        <v>3.8000000000000003</v>
      </c>
      <c r="AD76" s="7">
        <v>5</v>
      </c>
      <c r="AE76" s="7">
        <v>9.5</v>
      </c>
      <c r="AF76" s="7">
        <v>12.600000000000001</v>
      </c>
      <c r="AG76" s="7">
        <v>15.250000000000005</v>
      </c>
      <c r="AH76" s="7">
        <v>21.75</v>
      </c>
      <c r="AI76" s="7">
        <v>25.349999999999994</v>
      </c>
      <c r="AK76" s="7">
        <v>64.75</v>
      </c>
      <c r="AL76" s="7">
        <v>106.25</v>
      </c>
      <c r="AM76" s="7">
        <v>127</v>
      </c>
      <c r="AN76" s="7">
        <v>150</v>
      </c>
      <c r="AO76" s="7">
        <v>334.5</v>
      </c>
      <c r="AP76" s="7">
        <v>450</v>
      </c>
      <c r="AQ76" s="7">
        <v>587.5</v>
      </c>
      <c r="AR76" s="7">
        <v>862.5</v>
      </c>
      <c r="AS76" s="7">
        <v>1175</v>
      </c>
    </row>
    <row r="77" spans="1:59" s="7" customFormat="1" ht="25.5" customHeight="1" x14ac:dyDescent="0.25">
      <c r="A77" s="92" t="str">
        <f t="shared" si="6"/>
        <v>CK-SWVI [31]</v>
      </c>
      <c r="B77" s="92" t="str">
        <f t="shared" si="7"/>
        <v>Southwest Vancouver Island</v>
      </c>
      <c r="C77" s="93" t="str">
        <f t="shared" si="8"/>
        <v>DE MAMIEL CREEK_Chinook</v>
      </c>
      <c r="D77" s="128" t="s">
        <v>598</v>
      </c>
      <c r="E77" s="128" t="s">
        <v>598</v>
      </c>
      <c r="F77" s="64">
        <v>20</v>
      </c>
      <c r="G77" s="72" t="s">
        <v>24</v>
      </c>
      <c r="H77" s="65" t="s">
        <v>97</v>
      </c>
      <c r="I77" s="119"/>
      <c r="J77" s="119"/>
      <c r="K77" s="64">
        <v>4</v>
      </c>
      <c r="L77" s="52">
        <v>6</v>
      </c>
      <c r="M77" s="52">
        <v>6</v>
      </c>
      <c r="N77" s="52" t="e">
        <f>GEOMEAN(#REF!)</f>
        <v>#REF!</v>
      </c>
      <c r="O77" s="52" t="e">
        <f>MAX(#REF!)</f>
        <v>#REF!</v>
      </c>
      <c r="P77" s="52" t="e">
        <f>GEOMEAN(#REF!)</f>
        <v>#REF!</v>
      </c>
      <c r="Q77" s="66"/>
      <c r="R77" s="37"/>
      <c r="S77" s="74" t="s">
        <v>291</v>
      </c>
      <c r="T77" s="8">
        <v>2</v>
      </c>
      <c r="U77" s="8">
        <v>210</v>
      </c>
      <c r="V77" s="8">
        <v>24.529411764705884</v>
      </c>
      <c r="W77">
        <v>8.6585822582216796</v>
      </c>
      <c r="X77" s="143" t="e">
        <v>#DIV/0!</v>
      </c>
      <c r="Y77" s="143">
        <v>75</v>
      </c>
      <c r="AA77" s="7">
        <v>2</v>
      </c>
      <c r="AB77" s="7">
        <v>2.4</v>
      </c>
      <c r="AC77" s="7">
        <v>3</v>
      </c>
      <c r="AD77" s="7">
        <v>3</v>
      </c>
      <c r="AE77" s="7">
        <v>7</v>
      </c>
      <c r="AF77" s="7">
        <v>9.6</v>
      </c>
      <c r="AG77" s="7">
        <v>10.8</v>
      </c>
      <c r="AH77" s="7">
        <v>15</v>
      </c>
      <c r="AI77" s="7">
        <v>26.799999999999997</v>
      </c>
      <c r="AK77" s="7">
        <v>11.2</v>
      </c>
      <c r="AL77" s="7">
        <v>11.6</v>
      </c>
      <c r="AM77" s="7">
        <v>11.8</v>
      </c>
      <c r="AN77" s="7">
        <v>12</v>
      </c>
      <c r="AO77" s="7">
        <v>20</v>
      </c>
      <c r="AP77" s="7">
        <v>20.8</v>
      </c>
      <c r="AQ77" s="7">
        <v>21.2</v>
      </c>
      <c r="AR77" s="7">
        <v>22</v>
      </c>
      <c r="AS77" s="7">
        <v>30.000000000000007</v>
      </c>
    </row>
    <row r="78" spans="1:59" s="7" customFormat="1" ht="25.5" customHeight="1" x14ac:dyDescent="0.25">
      <c r="A78" s="92" t="str">
        <f t="shared" si="6"/>
        <v>CK-SWVI [31]</v>
      </c>
      <c r="B78" s="92" t="str">
        <f t="shared" si="7"/>
        <v>Southwest Vancouver Island</v>
      </c>
      <c r="C78" s="93" t="str">
        <f t="shared" si="8"/>
        <v>SMITH CREEK_Chinook</v>
      </c>
      <c r="D78" s="128" t="s">
        <v>598</v>
      </c>
      <c r="E78" s="128" t="s">
        <v>598</v>
      </c>
      <c r="F78" s="64">
        <v>23</v>
      </c>
      <c r="G78" s="72" t="s">
        <v>153</v>
      </c>
      <c r="H78" s="65" t="s">
        <v>97</v>
      </c>
      <c r="I78" s="119"/>
      <c r="J78" s="119"/>
      <c r="K78" s="64">
        <v>4</v>
      </c>
      <c r="L78" s="52">
        <v>10</v>
      </c>
      <c r="M78" s="52">
        <v>6</v>
      </c>
      <c r="N78" s="52" t="e">
        <f>GEOMEAN(#REF!)</f>
        <v>#REF!</v>
      </c>
      <c r="O78" s="52" t="e">
        <f>MAX(#REF!)</f>
        <v>#REF!</v>
      </c>
      <c r="P78" s="52" t="e">
        <f>GEOMEAN(#REF!)</f>
        <v>#REF!</v>
      </c>
      <c r="Q78" s="66"/>
      <c r="R78" s="37"/>
      <c r="S78" s="74"/>
      <c r="T78" s="8">
        <v>2</v>
      </c>
      <c r="U78" s="8">
        <v>40</v>
      </c>
      <c r="V78" s="8">
        <v>14.833333333333334</v>
      </c>
      <c r="W78">
        <v>8.1264103377747627</v>
      </c>
      <c r="X78" s="143" t="e">
        <v>#DIV/0!</v>
      </c>
      <c r="Y78" s="143" t="e">
        <v>#DIV/0!</v>
      </c>
      <c r="Z78"/>
      <c r="AA78" s="7">
        <v>2.25</v>
      </c>
      <c r="AB78" s="7">
        <v>2.75</v>
      </c>
      <c r="AC78" s="7">
        <v>3</v>
      </c>
      <c r="AD78" s="7">
        <v>3</v>
      </c>
      <c r="AE78" s="7">
        <v>9.5</v>
      </c>
      <c r="AF78" s="7">
        <v>16</v>
      </c>
      <c r="AG78" s="7">
        <v>18.25</v>
      </c>
      <c r="AH78" s="7">
        <v>22.75</v>
      </c>
      <c r="AI78" s="7">
        <v>28.75</v>
      </c>
      <c r="AK78" s="7" t="e">
        <v>#NUM!</v>
      </c>
      <c r="AL78" s="7" t="e">
        <v>#NUM!</v>
      </c>
      <c r="AM78" s="7" t="e">
        <v>#NUM!</v>
      </c>
      <c r="AN78" s="7" t="e">
        <v>#NUM!</v>
      </c>
      <c r="AO78" s="7" t="e">
        <v>#NUM!</v>
      </c>
      <c r="AP78" s="7" t="e">
        <v>#NUM!</v>
      </c>
      <c r="AQ78" s="7" t="e">
        <v>#NUM!</v>
      </c>
      <c r="AR78" s="7" t="e">
        <v>#NUM!</v>
      </c>
      <c r="AS78" s="7" t="e">
        <v>#NUM!</v>
      </c>
      <c r="AT78"/>
      <c r="AU78"/>
      <c r="AV78"/>
      <c r="AW78"/>
      <c r="AX78"/>
      <c r="AY78"/>
      <c r="AZ78"/>
      <c r="BA78"/>
      <c r="BB78"/>
      <c r="BC78"/>
    </row>
    <row r="79" spans="1:59" s="7" customFormat="1" ht="25.5" customHeight="1" x14ac:dyDescent="0.25">
      <c r="A79" s="92" t="str">
        <f t="shared" si="6"/>
        <v>CK-SWVI [31]</v>
      </c>
      <c r="B79" s="92" t="str">
        <f t="shared" si="7"/>
        <v>Southwest Vancouver Island</v>
      </c>
      <c r="C79" s="93" t="str">
        <f t="shared" si="8"/>
        <v>KLANAWA RIVER_Chinook</v>
      </c>
      <c r="D79" s="128" t="s">
        <v>598</v>
      </c>
      <c r="E79" s="128" t="s">
        <v>598</v>
      </c>
      <c r="F79" s="64">
        <v>21</v>
      </c>
      <c r="G79" s="72" t="s">
        <v>100</v>
      </c>
      <c r="H79" s="65" t="s">
        <v>97</v>
      </c>
      <c r="I79" s="119"/>
      <c r="J79" s="119"/>
      <c r="K79" s="64">
        <v>4</v>
      </c>
      <c r="L79" s="52">
        <v>9</v>
      </c>
      <c r="M79" s="52">
        <v>5</v>
      </c>
      <c r="N79" s="52" t="e">
        <f>GEOMEAN(#REF!)</f>
        <v>#REF!</v>
      </c>
      <c r="O79" s="52" t="e">
        <f>MAX(#REF!)</f>
        <v>#REF!</v>
      </c>
      <c r="P79" s="52" t="e">
        <f>GEOMEAN(#REF!)</f>
        <v>#REF!</v>
      </c>
      <c r="Q79" s="66"/>
      <c r="R79" s="37"/>
      <c r="S79" s="74" t="s">
        <v>286</v>
      </c>
      <c r="T79" s="8">
        <v>1</v>
      </c>
      <c r="U79" s="8">
        <v>75</v>
      </c>
      <c r="V79" s="8">
        <v>20.5</v>
      </c>
      <c r="W79">
        <v>7.9930484420756542</v>
      </c>
      <c r="X79" s="143" t="e">
        <v>#DIV/0!</v>
      </c>
      <c r="Y79" s="143">
        <v>8</v>
      </c>
      <c r="AA79" s="7">
        <v>1</v>
      </c>
      <c r="AB79" s="7">
        <v>1.3499999999999996</v>
      </c>
      <c r="AC79" s="7">
        <v>1.7999999999999998</v>
      </c>
      <c r="AD79" s="7">
        <v>3</v>
      </c>
      <c r="AE79" s="7">
        <v>7.5</v>
      </c>
      <c r="AF79" s="7">
        <v>9.1999999999999993</v>
      </c>
      <c r="AG79" s="7">
        <v>10.55</v>
      </c>
      <c r="AH79" s="7">
        <v>25.25</v>
      </c>
      <c r="AI79" s="7">
        <v>52.099999999999952</v>
      </c>
      <c r="AK79" s="7">
        <v>630.4</v>
      </c>
      <c r="AL79" s="7">
        <v>791.2</v>
      </c>
      <c r="AM79" s="7">
        <v>962.40000000000009</v>
      </c>
      <c r="AN79" s="7">
        <v>1179</v>
      </c>
      <c r="AO79" s="7">
        <v>3754</v>
      </c>
      <c r="AP79" s="7">
        <v>5701.5999999999985</v>
      </c>
      <c r="AQ79" s="7">
        <v>6675.4000000000015</v>
      </c>
      <c r="AR79" s="7">
        <v>9000</v>
      </c>
      <c r="AS79" s="7">
        <v>15399.999999999985</v>
      </c>
      <c r="AT79"/>
      <c r="AU79"/>
      <c r="AV79"/>
      <c r="AW79"/>
      <c r="AX79"/>
      <c r="AY79"/>
      <c r="AZ79"/>
      <c r="BA79"/>
      <c r="BB79"/>
      <c r="BC79"/>
    </row>
    <row r="80" spans="1:59" s="7" customFormat="1" ht="25.5" customHeight="1" x14ac:dyDescent="0.25">
      <c r="A80" s="92" t="str">
        <f t="shared" si="6"/>
        <v>CK-NoKy [32]</v>
      </c>
      <c r="B80" s="92" t="str">
        <f t="shared" si="7"/>
        <v>Nootka and Kyuquot</v>
      </c>
      <c r="C80" s="93" t="str">
        <f t="shared" si="8"/>
        <v>MARVINAS BAY CREEK_Chinook</v>
      </c>
      <c r="D80" s="128" t="s">
        <v>598</v>
      </c>
      <c r="E80" s="128" t="s">
        <v>598</v>
      </c>
      <c r="F80" s="64">
        <v>25</v>
      </c>
      <c r="G80" s="72" t="s">
        <v>233</v>
      </c>
      <c r="H80" s="65" t="s">
        <v>97</v>
      </c>
      <c r="I80" s="119"/>
      <c r="J80" s="119"/>
      <c r="K80" s="64">
        <v>4</v>
      </c>
      <c r="L80" s="52">
        <v>11</v>
      </c>
      <c r="M80" s="52">
        <v>4</v>
      </c>
      <c r="N80" s="52" t="e">
        <f>GEOMEAN(#REF!)</f>
        <v>#REF!</v>
      </c>
      <c r="O80" s="52" t="e">
        <f>MAX(#REF!)</f>
        <v>#REF!</v>
      </c>
      <c r="P80" s="52" t="e">
        <f>GEOMEAN(#REF!)</f>
        <v>#REF!</v>
      </c>
      <c r="Q80" s="66"/>
      <c r="R80" s="37"/>
      <c r="S80" s="74"/>
      <c r="T80" s="8">
        <v>3</v>
      </c>
      <c r="U80" s="8">
        <v>22</v>
      </c>
      <c r="V80" s="8">
        <v>10.4</v>
      </c>
      <c r="W80">
        <v>7.680682126933644</v>
      </c>
      <c r="X80" s="143" t="e">
        <v>#DIV/0!</v>
      </c>
      <c r="Y80" s="143">
        <v>3</v>
      </c>
      <c r="Z80"/>
      <c r="AA80" s="7">
        <v>3</v>
      </c>
      <c r="AB80" s="7">
        <v>3</v>
      </c>
      <c r="AC80" s="7">
        <v>3</v>
      </c>
      <c r="AD80" s="7">
        <v>3</v>
      </c>
      <c r="AE80" s="7">
        <v>9</v>
      </c>
      <c r="AF80" s="7">
        <v>11.399999999999999</v>
      </c>
      <c r="AG80" s="7">
        <v>12.600000000000001</v>
      </c>
      <c r="AH80" s="7">
        <v>15</v>
      </c>
      <c r="AI80" s="7">
        <v>17.800000000000004</v>
      </c>
      <c r="AK80" s="7">
        <v>5121.1000000000004</v>
      </c>
      <c r="AL80" s="7">
        <v>6551.75</v>
      </c>
      <c r="AM80" s="7">
        <v>8060.6</v>
      </c>
      <c r="AN80" s="7">
        <v>8962.25</v>
      </c>
      <c r="AO80" s="7">
        <v>12353</v>
      </c>
      <c r="AP80" s="7">
        <v>13823.8</v>
      </c>
      <c r="AQ80" s="7">
        <v>15661.050000000003</v>
      </c>
      <c r="AR80" s="7">
        <v>18350.5</v>
      </c>
      <c r="AS80" s="7">
        <v>21774.05</v>
      </c>
      <c r="AT80"/>
      <c r="AU80"/>
      <c r="AV80"/>
      <c r="AW80"/>
      <c r="AX80"/>
      <c r="AY80"/>
      <c r="AZ80"/>
      <c r="BA80"/>
      <c r="BB80"/>
      <c r="BC80"/>
    </row>
    <row r="81" spans="1:55" s="7" customFormat="1" ht="25.5" customHeight="1" x14ac:dyDescent="0.25">
      <c r="A81" s="92" t="str">
        <f t="shared" si="6"/>
        <v>CK-SWVI [31]</v>
      </c>
      <c r="B81" s="92" t="str">
        <f t="shared" si="7"/>
        <v>Southwest Vancouver Island</v>
      </c>
      <c r="C81" s="93" t="str">
        <f t="shared" si="8"/>
        <v>MACKTUSH CREEK_Chinook</v>
      </c>
      <c r="D81" s="128" t="s">
        <v>598</v>
      </c>
      <c r="E81" s="128" t="s">
        <v>598</v>
      </c>
      <c r="F81" s="64">
        <v>23</v>
      </c>
      <c r="G81" s="72" t="s">
        <v>124</v>
      </c>
      <c r="H81" s="65" t="s">
        <v>97</v>
      </c>
      <c r="I81" s="119"/>
      <c r="J81" s="119"/>
      <c r="K81" s="64">
        <v>4</v>
      </c>
      <c r="L81" s="52">
        <v>10</v>
      </c>
      <c r="M81" s="52">
        <v>1</v>
      </c>
      <c r="N81" s="52" t="e">
        <f>GEOMEAN(#REF!)</f>
        <v>#REF!</v>
      </c>
      <c r="O81" s="52" t="e">
        <f>MAX(#REF!)</f>
        <v>#REF!</v>
      </c>
      <c r="P81" s="52" t="e">
        <f>GEOMEAN(#REF!)</f>
        <v>#REF!</v>
      </c>
      <c r="Q81" s="66"/>
      <c r="R81" s="37"/>
      <c r="S81" s="76" t="s">
        <v>327</v>
      </c>
      <c r="T81" s="8">
        <v>2</v>
      </c>
      <c r="U81" s="8">
        <v>25</v>
      </c>
      <c r="V81" s="8">
        <v>13.5</v>
      </c>
      <c r="W81">
        <v>7.0710678118654755</v>
      </c>
      <c r="X81" s="143" t="e">
        <v>#DIV/0!</v>
      </c>
      <c r="Y81" s="143" t="e">
        <v>#DIV/0!</v>
      </c>
      <c r="AA81" s="7">
        <v>3.1500000000000012</v>
      </c>
      <c r="AB81" s="7">
        <v>5.4499999999999975</v>
      </c>
      <c r="AC81" s="7">
        <v>6.5999999999999988</v>
      </c>
      <c r="AD81" s="7">
        <v>7.75</v>
      </c>
      <c r="AE81" s="7">
        <v>13.5</v>
      </c>
      <c r="AF81" s="7">
        <v>15.800000000000002</v>
      </c>
      <c r="AG81" s="7">
        <v>16.949999999999996</v>
      </c>
      <c r="AH81" s="7">
        <v>19.25</v>
      </c>
      <c r="AI81" s="7">
        <v>21.55</v>
      </c>
      <c r="AK81" s="7">
        <v>356</v>
      </c>
      <c r="AL81" s="7">
        <v>356</v>
      </c>
      <c r="AM81" s="7">
        <v>356</v>
      </c>
      <c r="AN81" s="7">
        <v>356</v>
      </c>
      <c r="AO81" s="7">
        <v>356</v>
      </c>
      <c r="AP81" s="7">
        <v>356</v>
      </c>
      <c r="AQ81" s="7">
        <v>356</v>
      </c>
      <c r="AR81" s="7">
        <v>356</v>
      </c>
      <c r="AS81" s="7">
        <v>356</v>
      </c>
      <c r="AT81"/>
      <c r="AU81"/>
      <c r="AV81"/>
      <c r="AW81"/>
      <c r="AX81"/>
      <c r="AY81"/>
      <c r="AZ81"/>
      <c r="BA81"/>
      <c r="BB81"/>
      <c r="BC81"/>
    </row>
    <row r="82" spans="1:55" s="7" customFormat="1" ht="25.5" customHeight="1" x14ac:dyDescent="0.25">
      <c r="A82" s="92" t="str">
        <f t="shared" si="6"/>
        <v>CK-SWVI [31]</v>
      </c>
      <c r="B82" s="92" t="str">
        <f t="shared" si="7"/>
        <v>Southwest Vancouver Island</v>
      </c>
      <c r="C82" s="93" t="str">
        <f t="shared" si="8"/>
        <v>CLAYOQUOT RIVER_Chinook</v>
      </c>
      <c r="D82" s="128" t="s">
        <v>598</v>
      </c>
      <c r="E82" s="128" t="s">
        <v>598</v>
      </c>
      <c r="F82" s="64">
        <v>24</v>
      </c>
      <c r="G82" s="72" t="s">
        <v>176</v>
      </c>
      <c r="H82" s="65" t="s">
        <v>97</v>
      </c>
      <c r="I82" s="119"/>
      <c r="J82" s="119"/>
      <c r="K82" s="64">
        <v>3</v>
      </c>
      <c r="L82" s="52">
        <v>7</v>
      </c>
      <c r="M82" s="52">
        <v>6</v>
      </c>
      <c r="N82" s="52" t="e">
        <f>GEOMEAN(#REF!)</f>
        <v>#REF!</v>
      </c>
      <c r="O82" s="52" t="e">
        <f>MAX(#REF!)</f>
        <v>#REF!</v>
      </c>
      <c r="P82" s="52" t="e">
        <f>GEOMEAN(#REF!)</f>
        <v>#REF!</v>
      </c>
      <c r="Q82" s="66"/>
      <c r="R82" s="37"/>
      <c r="S82" s="74" t="s">
        <v>377</v>
      </c>
      <c r="T82" s="8">
        <v>1</v>
      </c>
      <c r="U82" s="8">
        <v>22</v>
      </c>
      <c r="V82" s="8">
        <v>10.142857142857142</v>
      </c>
      <c r="W82">
        <v>6.3540598409733775</v>
      </c>
      <c r="X82" s="143">
        <v>4</v>
      </c>
      <c r="Y82" s="143">
        <v>4</v>
      </c>
      <c r="AA82" s="7">
        <v>1.3</v>
      </c>
      <c r="AB82" s="7">
        <v>1.9</v>
      </c>
      <c r="AC82" s="7">
        <v>2.8000000000000007</v>
      </c>
      <c r="AD82" s="7">
        <v>4</v>
      </c>
      <c r="AE82" s="7">
        <v>6</v>
      </c>
      <c r="AF82" s="7">
        <v>9.5999999999999979</v>
      </c>
      <c r="AG82" s="7">
        <v>11.400000000000002</v>
      </c>
      <c r="AH82" s="7">
        <v>17</v>
      </c>
      <c r="AI82" s="7">
        <v>22</v>
      </c>
      <c r="AK82" s="7">
        <v>319.95</v>
      </c>
      <c r="AL82" s="7">
        <v>498.3</v>
      </c>
      <c r="AM82" s="7">
        <v>580.79999999999995</v>
      </c>
      <c r="AN82" s="7">
        <v>715.5</v>
      </c>
      <c r="AO82" s="7">
        <v>886.5</v>
      </c>
      <c r="AP82" s="7">
        <v>919.99999999999989</v>
      </c>
      <c r="AQ82" s="7">
        <v>1029.7</v>
      </c>
      <c r="AR82" s="7">
        <v>1307.25</v>
      </c>
      <c r="AS82" s="7">
        <v>2829.5499999999993</v>
      </c>
      <c r="AT82"/>
      <c r="AU82"/>
      <c r="AV82"/>
      <c r="AW82"/>
      <c r="AX82"/>
      <c r="AY82"/>
      <c r="AZ82"/>
      <c r="BA82"/>
      <c r="BB82"/>
      <c r="BC82"/>
    </row>
    <row r="83" spans="1:55" s="7" customFormat="1" ht="25.5" customHeight="1" x14ac:dyDescent="0.25">
      <c r="A83" s="92" t="str">
        <f t="shared" si="6"/>
        <v>CK-NoKy [32]</v>
      </c>
      <c r="B83" s="92" t="str">
        <f t="shared" si="7"/>
        <v>Nootka and Kyuquot</v>
      </c>
      <c r="C83" s="93" t="str">
        <f t="shared" si="8"/>
        <v>HAMMOND CREEK_Chinook</v>
      </c>
      <c r="D83" s="128" t="s">
        <v>598</v>
      </c>
      <c r="E83" s="128" t="s">
        <v>598</v>
      </c>
      <c r="F83" s="64">
        <v>25</v>
      </c>
      <c r="G83" s="72" t="s">
        <v>214</v>
      </c>
      <c r="H83" s="65" t="s">
        <v>97</v>
      </c>
      <c r="I83" s="119"/>
      <c r="J83" s="119"/>
      <c r="K83" s="64">
        <v>4</v>
      </c>
      <c r="L83" s="52">
        <v>9</v>
      </c>
      <c r="M83" s="52">
        <v>2</v>
      </c>
      <c r="N83" s="52" t="e">
        <f>GEOMEAN(#REF!)</f>
        <v>#REF!</v>
      </c>
      <c r="O83" s="52" t="e">
        <f>MAX(#REF!)</f>
        <v>#REF!</v>
      </c>
      <c r="P83" s="52" t="e">
        <f>GEOMEAN(#REF!)</f>
        <v>#REF!</v>
      </c>
      <c r="Q83" s="66"/>
      <c r="R83" s="37"/>
      <c r="S83" s="74"/>
      <c r="T83" s="8">
        <v>1</v>
      </c>
      <c r="U83" s="8">
        <v>25</v>
      </c>
      <c r="V83" s="8">
        <v>10.333333333333334</v>
      </c>
      <c r="W83">
        <v>6.027429569388123</v>
      </c>
      <c r="X83" s="143">
        <v>1</v>
      </c>
      <c r="Y83" s="143">
        <v>1</v>
      </c>
      <c r="Z83"/>
      <c r="AA83" s="7">
        <v>1</v>
      </c>
      <c r="AB83" s="7">
        <v>1.2000000000000002</v>
      </c>
      <c r="AC83" s="7">
        <v>1.6</v>
      </c>
      <c r="AD83" s="7">
        <v>2</v>
      </c>
      <c r="AE83" s="7">
        <v>10</v>
      </c>
      <c r="AF83" s="7">
        <v>10</v>
      </c>
      <c r="AG83" s="7">
        <v>10.4</v>
      </c>
      <c r="AH83" s="7">
        <v>12</v>
      </c>
      <c r="AI83" s="7">
        <v>22.4</v>
      </c>
      <c r="AK83" s="7">
        <v>1</v>
      </c>
      <c r="AL83" s="7">
        <v>1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/>
      <c r="AU83"/>
      <c r="AV83"/>
      <c r="AW83"/>
      <c r="AX83"/>
      <c r="AY83"/>
      <c r="AZ83"/>
      <c r="BA83"/>
      <c r="BB83"/>
      <c r="BC83"/>
    </row>
    <row r="84" spans="1:55" s="7" customFormat="1" ht="25.5" customHeight="1" x14ac:dyDescent="0.25">
      <c r="A84" s="92" t="str">
        <f t="shared" si="6"/>
        <v>CK-SWVI [31]</v>
      </c>
      <c r="B84" s="92" t="str">
        <f t="shared" si="7"/>
        <v>Southwest Vancouver Island</v>
      </c>
      <c r="C84" s="93" t="str">
        <f t="shared" si="8"/>
        <v>CONSINKA CREEK_Chinook</v>
      </c>
      <c r="D84" s="128" t="s">
        <v>598</v>
      </c>
      <c r="E84" s="128" t="s">
        <v>598</v>
      </c>
      <c r="F84" s="64">
        <v>23</v>
      </c>
      <c r="G84" s="72" t="s">
        <v>115</v>
      </c>
      <c r="H84" s="65" t="s">
        <v>97</v>
      </c>
      <c r="I84" s="119"/>
      <c r="J84" s="119"/>
      <c r="K84" s="64">
        <v>4</v>
      </c>
      <c r="L84" s="52">
        <v>10</v>
      </c>
      <c r="M84" s="52">
        <v>1</v>
      </c>
      <c r="N84" s="52" t="e">
        <f>GEOMEAN(#REF!)</f>
        <v>#REF!</v>
      </c>
      <c r="O84" s="52" t="e">
        <f>MAX(#REF!)</f>
        <v>#REF!</v>
      </c>
      <c r="P84" s="52" t="e">
        <f>GEOMEAN(#REF!)</f>
        <v>#REF!</v>
      </c>
      <c r="Q84" s="66"/>
      <c r="R84" s="39"/>
      <c r="S84" s="74" t="s">
        <v>327</v>
      </c>
      <c r="T84" s="8">
        <v>6</v>
      </c>
      <c r="U84" s="8">
        <v>6</v>
      </c>
      <c r="V84" s="8">
        <v>6</v>
      </c>
      <c r="W84">
        <v>6</v>
      </c>
      <c r="X84" s="143" t="e">
        <v>#DIV/0!</v>
      </c>
      <c r="Y84" s="143" t="e">
        <v>#DIV/0!</v>
      </c>
      <c r="Z84"/>
      <c r="AA84" s="7">
        <v>6</v>
      </c>
      <c r="AB84" s="7">
        <v>6</v>
      </c>
      <c r="AC84" s="7">
        <v>6</v>
      </c>
      <c r="AD84" s="7">
        <v>6</v>
      </c>
      <c r="AE84" s="7">
        <v>6</v>
      </c>
      <c r="AF84" s="7">
        <v>6</v>
      </c>
      <c r="AG84" s="7">
        <v>6</v>
      </c>
      <c r="AH84" s="7">
        <v>6</v>
      </c>
      <c r="AI84" s="7">
        <v>6</v>
      </c>
      <c r="AK84" s="7">
        <v>1</v>
      </c>
      <c r="AL84" s="7">
        <v>1.6999999999999993</v>
      </c>
      <c r="AM84" s="7">
        <v>2.5999999999999996</v>
      </c>
      <c r="AN84" s="7">
        <v>4.25</v>
      </c>
      <c r="AO84" s="7">
        <v>15.5</v>
      </c>
      <c r="AP84" s="7">
        <v>16.399999999999999</v>
      </c>
      <c r="AQ84" s="7">
        <v>16.850000000000001</v>
      </c>
      <c r="AR84" s="7">
        <v>29.75</v>
      </c>
      <c r="AS84" s="7">
        <v>48.299999999999969</v>
      </c>
      <c r="AT84"/>
      <c r="AU84"/>
      <c r="AV84"/>
      <c r="AW84"/>
      <c r="AX84"/>
      <c r="AY84"/>
      <c r="AZ84"/>
      <c r="BA84"/>
      <c r="BB84"/>
      <c r="BC84"/>
    </row>
    <row r="85" spans="1:55" s="7" customFormat="1" ht="25.5" customHeight="1" x14ac:dyDescent="0.25">
      <c r="A85" s="92" t="str">
        <f t="shared" si="6"/>
        <v>CK-SWVI [31]</v>
      </c>
      <c r="B85" s="92" t="str">
        <f t="shared" si="7"/>
        <v>Southwest Vancouver Island</v>
      </c>
      <c r="C85" s="93" t="str">
        <f t="shared" si="8"/>
        <v>SAND RIVER_Chinook</v>
      </c>
      <c r="D85" s="128" t="s">
        <v>598</v>
      </c>
      <c r="E85" s="128" t="s">
        <v>598</v>
      </c>
      <c r="F85" s="64">
        <v>24</v>
      </c>
      <c r="G85" s="72" t="s">
        <v>179</v>
      </c>
      <c r="H85" s="65" t="s">
        <v>97</v>
      </c>
      <c r="I85" s="119"/>
      <c r="J85" s="119"/>
      <c r="K85" s="64">
        <v>4</v>
      </c>
      <c r="L85" s="52">
        <v>5</v>
      </c>
      <c r="M85" s="52">
        <v>4</v>
      </c>
      <c r="N85" s="52" t="e">
        <f>GEOMEAN(#REF!)</f>
        <v>#REF!</v>
      </c>
      <c r="O85" s="52" t="e">
        <f>MAX(#REF!)</f>
        <v>#REF!</v>
      </c>
      <c r="P85" s="52" t="e">
        <f>GEOMEAN(#REF!)</f>
        <v>#REF!</v>
      </c>
      <c r="Q85" s="66"/>
      <c r="R85" s="39"/>
      <c r="S85" s="74" t="s">
        <v>403</v>
      </c>
      <c r="T85" s="8">
        <v>1</v>
      </c>
      <c r="U85" s="8">
        <v>58</v>
      </c>
      <c r="V85" s="8">
        <v>14</v>
      </c>
      <c r="W85">
        <v>5.7361527439797042</v>
      </c>
      <c r="X85" s="143">
        <v>1</v>
      </c>
      <c r="Y85" s="143">
        <v>1</v>
      </c>
      <c r="Z85"/>
      <c r="AA85" s="7">
        <v>1</v>
      </c>
      <c r="AB85" s="7">
        <v>1</v>
      </c>
      <c r="AC85" s="7">
        <v>1</v>
      </c>
      <c r="AD85" s="7">
        <v>1</v>
      </c>
      <c r="AE85" s="7">
        <v>7</v>
      </c>
      <c r="AF85" s="7">
        <v>11</v>
      </c>
      <c r="AG85" s="7">
        <v>13.600000000000001</v>
      </c>
      <c r="AH85" s="7">
        <v>20</v>
      </c>
      <c r="AI85" s="7">
        <v>22.4</v>
      </c>
      <c r="AK85" s="7" t="e">
        <v>#NUM!</v>
      </c>
      <c r="AL85" s="7" t="e">
        <v>#NUM!</v>
      </c>
      <c r="AM85" s="7" t="e">
        <v>#NUM!</v>
      </c>
      <c r="AN85" s="7" t="e">
        <v>#NUM!</v>
      </c>
      <c r="AO85" s="7" t="e">
        <v>#NUM!</v>
      </c>
      <c r="AP85" s="7" t="e">
        <v>#NUM!</v>
      </c>
      <c r="AQ85" s="7" t="e">
        <v>#NUM!</v>
      </c>
      <c r="AR85" s="7" t="e">
        <v>#NUM!</v>
      </c>
      <c r="AS85" s="7" t="e">
        <v>#NUM!</v>
      </c>
      <c r="AT85"/>
      <c r="AU85"/>
      <c r="AV85"/>
      <c r="AW85"/>
      <c r="AX85"/>
      <c r="AY85"/>
      <c r="AZ85"/>
      <c r="BA85"/>
      <c r="BB85"/>
      <c r="BC85"/>
    </row>
    <row r="86" spans="1:55" s="7" customFormat="1" ht="25.5" customHeight="1" x14ac:dyDescent="0.25">
      <c r="A86" s="92" t="str">
        <f t="shared" si="6"/>
        <v>CK-SWVI [31]</v>
      </c>
      <c r="B86" s="92" t="str">
        <f t="shared" si="7"/>
        <v>Southwest Vancouver Island</v>
      </c>
      <c r="C86" s="93" t="str">
        <f t="shared" si="8"/>
        <v>SUGSAW CREEK_Chinook</v>
      </c>
      <c r="D86" s="128" t="s">
        <v>598</v>
      </c>
      <c r="E86" s="128" t="s">
        <v>598</v>
      </c>
      <c r="F86" s="64">
        <v>23</v>
      </c>
      <c r="G86" s="72" t="s">
        <v>110</v>
      </c>
      <c r="H86" s="65" t="s">
        <v>97</v>
      </c>
      <c r="I86" s="119"/>
      <c r="J86" s="119"/>
      <c r="K86" s="64">
        <v>4</v>
      </c>
      <c r="L86" s="52">
        <v>3</v>
      </c>
      <c r="M86" s="52">
        <v>2</v>
      </c>
      <c r="N86" s="52" t="e">
        <f>GEOMEAN(#REF!)</f>
        <v>#REF!</v>
      </c>
      <c r="O86" s="52" t="e">
        <f>MAX(#REF!)</f>
        <v>#REF!</v>
      </c>
      <c r="P86" s="52" t="e">
        <f>GEOMEAN(#REF!)</f>
        <v>#REF!</v>
      </c>
      <c r="Q86" s="66"/>
      <c r="R86" s="37"/>
      <c r="S86" s="74" t="s">
        <v>343</v>
      </c>
      <c r="T86" s="8">
        <v>2</v>
      </c>
      <c r="U86" s="8">
        <v>10</v>
      </c>
      <c r="V86" s="8">
        <v>6</v>
      </c>
      <c r="W86">
        <v>4.4721359549995796</v>
      </c>
      <c r="X86" s="143" t="e">
        <v>#DIV/0!</v>
      </c>
      <c r="Y86" s="143" t="e">
        <v>#DIV/0!</v>
      </c>
      <c r="Z86"/>
      <c r="AA86" s="7">
        <v>2.4000000000000004</v>
      </c>
      <c r="AB86" s="7">
        <v>3.1999999999999993</v>
      </c>
      <c r="AC86" s="7">
        <v>3.5999999999999996</v>
      </c>
      <c r="AD86" s="7">
        <v>4</v>
      </c>
      <c r="AE86" s="7">
        <v>6</v>
      </c>
      <c r="AF86" s="7">
        <v>6.8000000000000007</v>
      </c>
      <c r="AG86" s="7">
        <v>7.1999999999999993</v>
      </c>
      <c r="AH86" s="7">
        <v>8</v>
      </c>
      <c r="AI86" s="7">
        <v>8.8000000000000007</v>
      </c>
      <c r="AK86" s="7">
        <v>79</v>
      </c>
      <c r="AL86" s="7">
        <v>213</v>
      </c>
      <c r="AM86" s="7">
        <v>280</v>
      </c>
      <c r="AN86" s="7">
        <v>335</v>
      </c>
      <c r="AO86" s="7">
        <v>1100</v>
      </c>
      <c r="AP86" s="7">
        <v>1700</v>
      </c>
      <c r="AQ86" s="7">
        <v>2032</v>
      </c>
      <c r="AR86" s="7">
        <v>2696</v>
      </c>
      <c r="AS86" s="7">
        <v>3417.25</v>
      </c>
      <c r="AT86"/>
      <c r="AU86"/>
      <c r="AV86"/>
      <c r="AW86"/>
      <c r="AX86"/>
      <c r="AY86"/>
      <c r="AZ86"/>
      <c r="BA86"/>
      <c r="BB86"/>
      <c r="BC86"/>
    </row>
    <row r="87" spans="1:55" s="7" customFormat="1" ht="25.5" customHeight="1" x14ac:dyDescent="0.25">
      <c r="A87" s="92" t="str">
        <f t="shared" si="6"/>
        <v>CK-NWVI [33]</v>
      </c>
      <c r="B87" s="92" t="str">
        <f t="shared" si="7"/>
        <v>Northwest Vancouver Island</v>
      </c>
      <c r="C87" s="93" t="str">
        <f t="shared" si="8"/>
        <v>BENSON RIVER_Chinook</v>
      </c>
      <c r="D87" s="128" t="s">
        <v>598</v>
      </c>
      <c r="E87" s="128" t="s">
        <v>598</v>
      </c>
      <c r="F87" s="64">
        <v>27</v>
      </c>
      <c r="G87" s="72" t="s">
        <v>16</v>
      </c>
      <c r="H87" s="65" t="s">
        <v>97</v>
      </c>
      <c r="I87" s="119"/>
      <c r="J87" s="119"/>
      <c r="K87" s="64">
        <v>3</v>
      </c>
      <c r="L87" s="52">
        <v>7</v>
      </c>
      <c r="M87" s="52">
        <v>3</v>
      </c>
      <c r="N87" s="52" t="e">
        <f>GEOMEAN(#REF!)</f>
        <v>#REF!</v>
      </c>
      <c r="O87" s="52" t="e">
        <f>MAX(#REF!)</f>
        <v>#REF!</v>
      </c>
      <c r="P87" s="52" t="e">
        <f>GEOMEAN(#REF!)</f>
        <v>#REF!</v>
      </c>
      <c r="Q87" s="66"/>
      <c r="R87" s="37"/>
      <c r="S87" s="74" t="s">
        <v>365</v>
      </c>
      <c r="T87" s="8">
        <v>2</v>
      </c>
      <c r="U87" s="8">
        <v>8</v>
      </c>
      <c r="V87" s="8">
        <v>4.666666666666667</v>
      </c>
      <c r="W87">
        <v>4</v>
      </c>
      <c r="X87" s="143" t="e">
        <v>#DIV/0!</v>
      </c>
      <c r="Y87" s="143">
        <v>2</v>
      </c>
      <c r="Z87"/>
      <c r="AA87" s="7">
        <v>2.2000000000000002</v>
      </c>
      <c r="AB87" s="7">
        <v>2.6</v>
      </c>
      <c r="AC87" s="7">
        <v>2.8</v>
      </c>
      <c r="AD87" s="7">
        <v>3</v>
      </c>
      <c r="AE87" s="7">
        <v>4</v>
      </c>
      <c r="AF87" s="7">
        <v>4.8000000000000007</v>
      </c>
      <c r="AG87" s="7">
        <v>5.1999999999999993</v>
      </c>
      <c r="AH87" s="7">
        <v>6</v>
      </c>
      <c r="AI87" s="7">
        <v>6.8000000000000007</v>
      </c>
      <c r="AJ87"/>
      <c r="AK87" s="7">
        <v>15.650000000000002</v>
      </c>
      <c r="AL87" s="7">
        <v>20.55</v>
      </c>
      <c r="AM87" s="7">
        <v>32.20000000000001</v>
      </c>
      <c r="AN87" s="7">
        <v>38</v>
      </c>
      <c r="AO87" s="7">
        <v>80.5</v>
      </c>
      <c r="AP87" s="7">
        <v>107.80000000000001</v>
      </c>
      <c r="AQ87" s="7">
        <v>120.25</v>
      </c>
      <c r="AR87" s="7">
        <v>142.25</v>
      </c>
      <c r="AS87" s="7">
        <v>202.74999999999991</v>
      </c>
      <c r="AT87"/>
      <c r="AU87"/>
      <c r="AV87"/>
      <c r="AW87"/>
      <c r="AX87"/>
      <c r="AY87"/>
      <c r="AZ87"/>
      <c r="BA87"/>
      <c r="BB87"/>
      <c r="BC87"/>
    </row>
    <row r="88" spans="1:55" s="7" customFormat="1" ht="25.5" customHeight="1" x14ac:dyDescent="0.25">
      <c r="A88" s="92" t="str">
        <f t="shared" si="6"/>
        <v>CK-NoKy [32]</v>
      </c>
      <c r="B88" s="92" t="str">
        <f t="shared" si="7"/>
        <v>Nootka and Kyuquot</v>
      </c>
      <c r="C88" s="93" t="str">
        <f t="shared" si="8"/>
        <v>INNER BASIN RIVER (Ransom C)_Chinook</v>
      </c>
      <c r="D88" s="128" t="s">
        <v>598</v>
      </c>
      <c r="E88" s="128" t="s">
        <v>598</v>
      </c>
      <c r="F88" s="64">
        <v>25</v>
      </c>
      <c r="G88" s="72" t="s">
        <v>608</v>
      </c>
      <c r="H88" s="65" t="s">
        <v>97</v>
      </c>
      <c r="I88" s="119"/>
      <c r="J88" s="119"/>
      <c r="K88" s="64">
        <v>5</v>
      </c>
      <c r="L88" s="52">
        <v>10</v>
      </c>
      <c r="M88" s="52">
        <v>0</v>
      </c>
      <c r="N88" s="52" t="e">
        <f>GEOMEAN(#REF!)</f>
        <v>#REF!</v>
      </c>
      <c r="O88" s="52" t="e">
        <f>MAX(#REF!)</f>
        <v>#REF!</v>
      </c>
      <c r="P88" s="52" t="e">
        <f>GEOMEAN(#REF!)</f>
        <v>#REF!</v>
      </c>
      <c r="Q88" s="66"/>
      <c r="R88" s="37"/>
      <c r="S88" s="74"/>
      <c r="T88" s="8">
        <v>1</v>
      </c>
      <c r="U88" s="8">
        <v>25</v>
      </c>
      <c r="V88" s="8">
        <v>9.3333333333333339</v>
      </c>
      <c r="W88">
        <v>3.6840314986403864</v>
      </c>
      <c r="X88" s="143" t="e">
        <v>#DIV/0!</v>
      </c>
      <c r="Y88" s="143">
        <v>1</v>
      </c>
      <c r="Z88"/>
      <c r="AA88" s="7">
        <v>1.1000000000000001</v>
      </c>
      <c r="AB88" s="7">
        <v>1.3</v>
      </c>
      <c r="AC88" s="7">
        <v>1.4</v>
      </c>
      <c r="AD88" s="7">
        <v>1.5</v>
      </c>
      <c r="AE88" s="7">
        <v>2</v>
      </c>
      <c r="AF88" s="7">
        <v>6.6000000000000041</v>
      </c>
      <c r="AG88" s="7">
        <v>8.899999999999995</v>
      </c>
      <c r="AH88" s="7">
        <v>13.5</v>
      </c>
      <c r="AI88" s="7">
        <v>18.100000000000005</v>
      </c>
      <c r="AK88" s="7">
        <v>65.349999999999994</v>
      </c>
      <c r="AL88" s="7">
        <v>147.5</v>
      </c>
      <c r="AM88" s="7">
        <v>180</v>
      </c>
      <c r="AN88" s="7">
        <v>200</v>
      </c>
      <c r="AO88" s="7">
        <v>212.5</v>
      </c>
      <c r="AP88" s="7">
        <v>265.00000000000006</v>
      </c>
      <c r="AQ88" s="7">
        <v>376.25000000000023</v>
      </c>
      <c r="AR88" s="7">
        <v>500</v>
      </c>
      <c r="AS88" s="7">
        <v>1523.0999999999995</v>
      </c>
      <c r="AT88"/>
      <c r="AU88"/>
      <c r="AV88"/>
      <c r="AW88"/>
      <c r="AX88"/>
      <c r="AY88"/>
      <c r="AZ88"/>
      <c r="BA88"/>
      <c r="BB88"/>
      <c r="BC88"/>
    </row>
    <row r="89" spans="1:55" s="7" customFormat="1" ht="25.5" customHeight="1" x14ac:dyDescent="0.25">
      <c r="A89" s="92" t="str">
        <f t="shared" si="6"/>
        <v>CK-SWVI [31]</v>
      </c>
      <c r="B89" s="92" t="str">
        <f t="shared" si="7"/>
        <v>Southwest Vancouver Island</v>
      </c>
      <c r="C89" s="93" t="str">
        <f t="shared" si="8"/>
        <v>DOOBAH CREEK_Chinook</v>
      </c>
      <c r="D89" s="128" t="s">
        <v>598</v>
      </c>
      <c r="E89" s="128" t="s">
        <v>598</v>
      </c>
      <c r="F89" s="64">
        <v>22</v>
      </c>
      <c r="G89" s="72" t="s">
        <v>103</v>
      </c>
      <c r="H89" s="67" t="s">
        <v>97</v>
      </c>
      <c r="I89" s="119"/>
      <c r="J89" s="119"/>
      <c r="K89" s="64">
        <v>4</v>
      </c>
      <c r="L89" s="52">
        <v>6</v>
      </c>
      <c r="M89" s="52">
        <v>1</v>
      </c>
      <c r="N89" s="52" t="e">
        <f>GEOMEAN(#REF!)</f>
        <v>#REF!</v>
      </c>
      <c r="O89" s="52" t="e">
        <f>MAX(#REF!)</f>
        <v>#REF!</v>
      </c>
      <c r="P89" s="52" t="e">
        <f>GEOMEAN(#REF!)</f>
        <v>#REF!</v>
      </c>
      <c r="Q89" s="66"/>
      <c r="R89" s="37"/>
      <c r="S89" s="74" t="s">
        <v>301</v>
      </c>
      <c r="T89" s="8">
        <v>1</v>
      </c>
      <c r="U89" s="8">
        <v>1</v>
      </c>
      <c r="V89" s="8">
        <v>1</v>
      </c>
      <c r="W89">
        <v>1</v>
      </c>
      <c r="X89" s="143" t="e">
        <v>#DIV/0!</v>
      </c>
      <c r="Y89" s="143" t="e">
        <v>#DIV/0!</v>
      </c>
      <c r="AA89" s="7">
        <v>1</v>
      </c>
      <c r="AB89" s="7">
        <v>1</v>
      </c>
      <c r="AC89" s="7">
        <v>1</v>
      </c>
      <c r="AD89" s="7">
        <v>1</v>
      </c>
      <c r="AE89" s="7">
        <v>1</v>
      </c>
      <c r="AF89" s="7">
        <v>1</v>
      </c>
      <c r="AG89" s="7">
        <v>1</v>
      </c>
      <c r="AH89" s="7">
        <v>1</v>
      </c>
      <c r="AI89" s="7">
        <v>1</v>
      </c>
      <c r="AK89" s="7">
        <v>3.8000000000000003</v>
      </c>
      <c r="AL89" s="7">
        <v>11.399999999999999</v>
      </c>
      <c r="AM89" s="7">
        <v>15.800000000000002</v>
      </c>
      <c r="AN89" s="7">
        <v>20</v>
      </c>
      <c r="AO89" s="7">
        <v>50</v>
      </c>
      <c r="AP89" s="7">
        <v>65.999999999999972</v>
      </c>
      <c r="AQ89" s="7">
        <v>87.000000000000028</v>
      </c>
      <c r="AR89" s="7">
        <v>120</v>
      </c>
      <c r="AS89" s="7">
        <v>143.19999999999993</v>
      </c>
      <c r="AT89"/>
      <c r="AU89"/>
      <c r="AV89"/>
      <c r="AW89"/>
      <c r="AX89"/>
      <c r="AY89"/>
      <c r="AZ89"/>
      <c r="BA89"/>
      <c r="BB89"/>
      <c r="BC89"/>
    </row>
    <row r="90" spans="1:55" ht="12" customHeight="1" x14ac:dyDescent="0.25">
      <c r="V90">
        <f>SUM(V5:V89)</f>
        <v>58511.255907659033</v>
      </c>
      <c r="W90">
        <f>SUM(W5:W89)</f>
        <v>32975.124808569839</v>
      </c>
    </row>
  </sheetData>
  <sheetProtection autoFilter="0"/>
  <autoFilter ref="A4:AS90" xr:uid="{00000000-0001-0000-0100-000000000000}"/>
  <sortState xmlns:xlrd2="http://schemas.microsoft.com/office/spreadsheetml/2017/richdata2" ref="A5:AS89">
    <sortCondition descending="1" ref="W5:W89"/>
  </sortState>
  <mergeCells count="2">
    <mergeCell ref="T3:W3"/>
    <mergeCell ref="AA3:AI3"/>
  </mergeCells>
  <printOptions horizontalCentered="1"/>
  <pageMargins left="0.19685039370078741" right="0.19685039370078741" top="0.39370078740157483" bottom="0.59055118110236227" header="0" footer="0.11811023622047245"/>
  <pageSetup paperSize="5" scale="32" fitToHeight="0" orientation="portrait" r:id="rId1"/>
  <headerFooter alignWithMargins="0">
    <oddFooter>&amp;L&amp;8&amp;F / &amp;A&amp;R&amp;8Page  &amp;P  of 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FR547"/>
  <sheetViews>
    <sheetView tabSelected="1" zoomScale="85" zoomScaleNormal="85" workbookViewId="0">
      <selection activeCell="A164" sqref="A164"/>
    </sheetView>
  </sheetViews>
  <sheetFormatPr defaultRowHeight="12" customHeight="1" outlineLevelCol="1" x14ac:dyDescent="0.25"/>
  <cols>
    <col min="1" max="1" width="20.5546875" customWidth="1" outlineLevel="1"/>
    <col min="2" max="2" width="25.6640625" customWidth="1" outlineLevel="1"/>
    <col min="3" max="3" width="29.109375" customWidth="1" outlineLevel="1"/>
    <col min="4" max="4" width="13.44140625" customWidth="1" outlineLevel="1"/>
    <col min="5" max="5" width="11.6640625" customWidth="1" outlineLevel="1"/>
    <col min="6" max="6" width="7.6640625" style="3" customWidth="1"/>
    <col min="7" max="7" width="30" style="3" bestFit="1" customWidth="1"/>
    <col min="8" max="8" width="10.6640625" customWidth="1"/>
    <col min="9" max="10" width="0.109375" style="120" hidden="1" customWidth="1"/>
    <col min="11" max="11" width="14.6640625" style="29" hidden="1" customWidth="1"/>
    <col min="12" max="12" width="16.33203125" style="18" hidden="1" customWidth="1"/>
    <col min="13" max="14" width="15.33203125" style="18" hidden="1" customWidth="1"/>
    <col min="15" max="15" width="19.33203125" style="18" hidden="1" customWidth="1"/>
    <col min="16" max="16" width="15.33203125" style="18" hidden="1" customWidth="1"/>
    <col min="17" max="17" width="0.109375" hidden="1" customWidth="1" outlineLevel="1"/>
    <col min="18" max="18" width="11.6640625" style="27" hidden="1" customWidth="1" outlineLevel="1"/>
    <col min="19" max="19" width="13.5546875" hidden="1" customWidth="1" outlineLevel="1"/>
    <col min="20" max="20" width="14.44140625" bestFit="1" customWidth="1" outlineLevel="1"/>
    <col min="21" max="21" width="10.88671875" style="147" bestFit="1" customWidth="1"/>
    <col min="22" max="22" width="8.109375" style="247" customWidth="1"/>
    <col min="23" max="23" width="7.88671875" style="147" bestFit="1" customWidth="1"/>
    <col min="24" max="29" width="8.6640625" style="147" customWidth="1"/>
    <col min="30" max="30" width="8.6640625" style="45" customWidth="1"/>
    <col min="31" max="31" width="8.109375" style="45" customWidth="1"/>
    <col min="32" max="32" width="8.44140625" style="45" customWidth="1"/>
    <col min="33" max="33" width="7.88671875" style="45" customWidth="1"/>
    <col min="34" max="34" width="7.5546875" style="45" customWidth="1"/>
    <col min="35" max="35" width="7.6640625" style="45" customWidth="1"/>
    <col min="36" max="38" width="9.33203125" style="49" customWidth="1"/>
    <col min="39" max="40" width="9.33203125" customWidth="1"/>
    <col min="41" max="42" width="9.33203125" style="17" customWidth="1"/>
    <col min="43" max="44" width="9.33203125" style="8" customWidth="1"/>
    <col min="45" max="45" width="9.33203125" style="9" customWidth="1"/>
    <col min="46" max="46" width="9.33203125" style="10" customWidth="1"/>
    <col min="47" max="48" width="9.33203125" style="5" customWidth="1"/>
    <col min="49" max="50" width="9.33203125" style="4" customWidth="1"/>
    <col min="51" max="94" width="7.6640625" style="5" customWidth="1"/>
    <col min="95" max="99" width="9.109375" customWidth="1"/>
    <col min="100" max="100" width="11.44140625" customWidth="1"/>
    <col min="101" max="120" width="9.109375" customWidth="1"/>
    <col min="121" max="121" width="29.88671875" customWidth="1"/>
    <col min="122" max="165" width="9.109375" customWidth="1"/>
    <col min="167" max="167" width="55.6640625" bestFit="1" customWidth="1"/>
    <col min="168" max="168" width="5.109375" bestFit="1" customWidth="1"/>
    <col min="169" max="169" width="5.6640625" bestFit="1" customWidth="1"/>
    <col min="170" max="170" width="23.6640625" bestFit="1" customWidth="1"/>
    <col min="171" max="171" width="3.109375" bestFit="1" customWidth="1"/>
    <col min="172" max="172" width="12.88671875" bestFit="1" customWidth="1"/>
    <col min="173" max="173" width="13.44140625" bestFit="1" customWidth="1"/>
    <col min="174" max="174" width="17.5546875" bestFit="1" customWidth="1"/>
  </cols>
  <sheetData>
    <row r="1" spans="1:133" s="1" customFormat="1" ht="23.25" customHeight="1" x14ac:dyDescent="0.3">
      <c r="A1" s="40" t="s">
        <v>683</v>
      </c>
      <c r="B1" s="40"/>
      <c r="D1" t="s">
        <v>616</v>
      </c>
      <c r="U1" s="145"/>
      <c r="V1" s="243"/>
      <c r="W1" s="145"/>
      <c r="X1" s="145"/>
      <c r="Y1" s="145"/>
      <c r="Z1" s="49"/>
      <c r="AA1" s="201"/>
      <c r="AB1" s="145"/>
      <c r="AC1" s="145"/>
      <c r="AD1" s="157" t="s">
        <v>619</v>
      </c>
      <c r="AE1" s="157"/>
      <c r="AF1" s="157"/>
      <c r="AG1" s="173" t="s">
        <v>630</v>
      </c>
      <c r="AI1" s="44"/>
      <c r="AJ1" s="124" t="s">
        <v>2</v>
      </c>
      <c r="AK1" s="46"/>
      <c r="AL1" s="46"/>
      <c r="AM1" s="47"/>
      <c r="AN1" s="46"/>
      <c r="AO1" s="46"/>
      <c r="AP1" s="46"/>
      <c r="AR1" s="82" t="s">
        <v>466</v>
      </c>
      <c r="AS1" s="83"/>
      <c r="AT1" s="84"/>
      <c r="AU1" s="85"/>
      <c r="AV1" s="85"/>
      <c r="AX1" s="239" t="s">
        <v>684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33" s="1" customFormat="1" ht="15.6" x14ac:dyDescent="0.3">
      <c r="A2" s="40" t="s">
        <v>20</v>
      </c>
      <c r="B2" s="40"/>
      <c r="D2"/>
      <c r="G2"/>
      <c r="H2"/>
      <c r="I2"/>
      <c r="J2"/>
      <c r="K2"/>
      <c r="L2"/>
      <c r="M2"/>
      <c r="N2"/>
      <c r="O2"/>
      <c r="P2"/>
      <c r="Q2"/>
      <c r="R2"/>
      <c r="S2"/>
      <c r="T2"/>
      <c r="U2" s="3"/>
      <c r="V2" s="244"/>
      <c r="W2" s="145"/>
      <c r="X2" s="145"/>
      <c r="Y2" s="145"/>
      <c r="Z2" s="49"/>
      <c r="AA2" s="201"/>
      <c r="AB2" s="145"/>
      <c r="AC2" s="176"/>
      <c r="AD2" s="175" t="s">
        <v>644</v>
      </c>
      <c r="AE2" s="176"/>
      <c r="AF2"/>
      <c r="AG2" s="98" t="s">
        <v>631</v>
      </c>
      <c r="AH2"/>
      <c r="AI2" s="44"/>
      <c r="AJ2" s="125" t="s">
        <v>3</v>
      </c>
      <c r="AK2" s="48"/>
      <c r="AL2" s="48"/>
      <c r="AM2" s="48"/>
      <c r="AN2" s="48"/>
      <c r="AO2" s="48"/>
      <c r="AP2" s="48"/>
      <c r="AR2" s="152" t="s">
        <v>618</v>
      </c>
      <c r="AS2" s="152"/>
      <c r="AT2" s="152"/>
      <c r="AU2" s="152"/>
      <c r="AV2" s="152"/>
      <c r="AX2" s="241" t="s">
        <v>685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33" ht="19.5" customHeight="1" thickBot="1" x14ac:dyDescent="0.3">
      <c r="G3" s="23"/>
      <c r="H3" s="22"/>
      <c r="I3" s="116"/>
      <c r="J3" s="116"/>
      <c r="L3" s="24"/>
      <c r="M3" s="24"/>
      <c r="N3" s="24"/>
      <c r="O3" s="24"/>
      <c r="P3" s="24"/>
      <c r="R3" s="25"/>
      <c r="S3" s="22"/>
      <c r="T3" s="22"/>
      <c r="U3" s="146"/>
      <c r="V3" s="245"/>
      <c r="W3" s="146"/>
      <c r="X3" s="146"/>
      <c r="Y3" s="203">
        <f>SUM(Y5:Y37)</f>
        <v>4126</v>
      </c>
      <c r="Z3" s="203">
        <f t="shared" ref="Z3:CK3" si="0">SUM(Z5:Z37)</f>
        <v>2395</v>
      </c>
      <c r="AA3" s="203">
        <f t="shared" si="0"/>
        <v>3258</v>
      </c>
      <c r="AB3" s="203">
        <f t="shared" si="0"/>
        <v>2059</v>
      </c>
      <c r="AC3" s="203">
        <f t="shared" si="0"/>
        <v>4392</v>
      </c>
      <c r="AD3" s="203">
        <f t="shared" si="0"/>
        <v>6347</v>
      </c>
      <c r="AE3" s="203">
        <f t="shared" si="0"/>
        <v>3695</v>
      </c>
      <c r="AF3" s="203">
        <f t="shared" si="0"/>
        <v>8297</v>
      </c>
      <c r="AG3" s="203">
        <f t="shared" si="0"/>
        <v>7424</v>
      </c>
      <c r="AH3" s="203">
        <f t="shared" si="0"/>
        <v>7438</v>
      </c>
      <c r="AI3" s="203">
        <f t="shared" si="0"/>
        <v>11972</v>
      </c>
      <c r="AJ3" s="203">
        <f t="shared" si="0"/>
        <v>3669</v>
      </c>
      <c r="AK3" s="203">
        <f t="shared" si="0"/>
        <v>3749</v>
      </c>
      <c r="AL3" s="203">
        <f t="shared" si="0"/>
        <v>3971</v>
      </c>
      <c r="AM3" s="203">
        <f t="shared" si="0"/>
        <v>2786</v>
      </c>
      <c r="AN3" s="203">
        <f t="shared" si="0"/>
        <v>3500</v>
      </c>
      <c r="AO3" s="203">
        <f t="shared" si="0"/>
        <v>7833</v>
      </c>
      <c r="AP3" s="203">
        <f t="shared" si="0"/>
        <v>10963</v>
      </c>
      <c r="AQ3" s="203">
        <f t="shared" si="0"/>
        <v>25155</v>
      </c>
      <c r="AR3" s="203">
        <f t="shared" si="0"/>
        <v>4537</v>
      </c>
      <c r="AS3" s="203">
        <f t="shared" si="0"/>
        <v>10289</v>
      </c>
      <c r="AT3" s="203">
        <f t="shared" si="0"/>
        <v>72225</v>
      </c>
      <c r="AU3" s="203">
        <f t="shared" si="0"/>
        <v>19485</v>
      </c>
      <c r="AV3" s="203">
        <f t="shared" si="0"/>
        <v>10404</v>
      </c>
      <c r="AW3" s="203">
        <f t="shared" si="0"/>
        <v>3577</v>
      </c>
      <c r="AX3" s="203">
        <f t="shared" si="0"/>
        <v>9403</v>
      </c>
      <c r="AY3" s="203">
        <f t="shared" si="0"/>
        <v>17475</v>
      </c>
      <c r="AZ3" s="203">
        <f t="shared" si="0"/>
        <v>22419</v>
      </c>
      <c r="BA3" s="203">
        <f t="shared" si="0"/>
        <v>3651</v>
      </c>
      <c r="BB3" s="203">
        <f t="shared" si="0"/>
        <v>7219</v>
      </c>
      <c r="BC3" s="203">
        <f t="shared" si="0"/>
        <v>5278</v>
      </c>
      <c r="BD3" s="203">
        <f t="shared" si="0"/>
        <v>57986</v>
      </c>
      <c r="BE3" s="203">
        <f t="shared" si="0"/>
        <v>13218</v>
      </c>
      <c r="BF3" s="203">
        <f t="shared" si="0"/>
        <v>13448</v>
      </c>
      <c r="BG3" s="203">
        <f t="shared" si="0"/>
        <v>20060</v>
      </c>
      <c r="BH3" s="203">
        <f t="shared" si="0"/>
        <v>25211</v>
      </c>
      <c r="BI3" s="203">
        <f t="shared" si="0"/>
        <v>12137</v>
      </c>
      <c r="BJ3" s="203">
        <f t="shared" si="0"/>
        <v>7072</v>
      </c>
      <c r="BK3" s="203">
        <f t="shared" si="0"/>
        <v>19062</v>
      </c>
      <c r="BL3" s="203">
        <f t="shared" si="0"/>
        <v>20029</v>
      </c>
      <c r="BM3" s="203">
        <f t="shared" si="0"/>
        <v>3872</v>
      </c>
      <c r="BN3" s="203">
        <f t="shared" si="0"/>
        <v>11355</v>
      </c>
      <c r="BO3" s="203">
        <f t="shared" si="0"/>
        <v>8575</v>
      </c>
      <c r="BP3" s="203">
        <f t="shared" si="0"/>
        <v>3125</v>
      </c>
      <c r="BQ3" s="203">
        <f t="shared" si="0"/>
        <v>5400</v>
      </c>
      <c r="BR3" s="203">
        <f t="shared" si="0"/>
        <v>10127</v>
      </c>
      <c r="BS3" s="203">
        <f t="shared" si="0"/>
        <v>53150</v>
      </c>
      <c r="BT3" s="203">
        <f t="shared" si="0"/>
        <v>30700</v>
      </c>
      <c r="BU3" s="203">
        <f t="shared" si="0"/>
        <v>14475</v>
      </c>
      <c r="BV3" s="203">
        <f t="shared" si="0"/>
        <v>35299</v>
      </c>
      <c r="BW3" s="203">
        <f t="shared" si="0"/>
        <v>18450</v>
      </c>
      <c r="BX3" s="203">
        <f t="shared" si="0"/>
        <v>46175</v>
      </c>
      <c r="BY3" s="203">
        <f t="shared" si="0"/>
        <v>12475</v>
      </c>
      <c r="BZ3" s="203">
        <f t="shared" si="0"/>
        <v>18905</v>
      </c>
      <c r="CA3" s="203">
        <f t="shared" si="0"/>
        <v>25275</v>
      </c>
      <c r="CB3" s="203">
        <f t="shared" si="0"/>
        <v>22950</v>
      </c>
      <c r="CC3" s="203">
        <f t="shared" si="0"/>
        <v>12650</v>
      </c>
      <c r="CD3" s="203">
        <f t="shared" si="0"/>
        <v>16351</v>
      </c>
      <c r="CE3" s="203">
        <f t="shared" si="0"/>
        <v>10625</v>
      </c>
      <c r="CF3" s="203">
        <f t="shared" si="0"/>
        <v>15225</v>
      </c>
      <c r="CG3" s="203">
        <f t="shared" si="0"/>
        <v>10650</v>
      </c>
      <c r="CH3" s="203">
        <f t="shared" si="0"/>
        <v>46825</v>
      </c>
      <c r="CI3" s="203">
        <f t="shared" si="0"/>
        <v>9750</v>
      </c>
      <c r="CJ3" s="203">
        <f t="shared" si="0"/>
        <v>17350</v>
      </c>
      <c r="CK3" s="203">
        <f t="shared" si="0"/>
        <v>19850</v>
      </c>
      <c r="CL3" s="203">
        <f>SUM(CL5:CL37)</f>
        <v>21325</v>
      </c>
      <c r="CM3" s="203">
        <f>SUM(CM5:CM37)</f>
        <v>24100</v>
      </c>
      <c r="CN3" s="203">
        <f>SUM(CN5:CN37)</f>
        <v>18349.375653594769</v>
      </c>
      <c r="CO3" s="203"/>
      <c r="CP3" s="203"/>
      <c r="CQ3" s="251" t="s">
        <v>609</v>
      </c>
      <c r="CR3" s="251"/>
      <c r="CS3" s="251"/>
      <c r="CT3" s="251"/>
      <c r="CX3" s="251" t="s">
        <v>609</v>
      </c>
      <c r="CY3" s="251"/>
      <c r="CZ3" s="251"/>
      <c r="DA3" s="251"/>
      <c r="DB3" s="251"/>
      <c r="DC3" s="251"/>
      <c r="DD3" s="251"/>
      <c r="DE3" s="251"/>
      <c r="DF3" s="251"/>
      <c r="DH3" s="173" t="s">
        <v>629</v>
      </c>
      <c r="DR3" s="173" t="s">
        <v>632</v>
      </c>
      <c r="EC3" s="227" t="s">
        <v>679</v>
      </c>
    </row>
    <row r="4" spans="1:133" s="6" customFormat="1" ht="25.5" customHeight="1" x14ac:dyDescent="0.2">
      <c r="A4" s="94" t="s">
        <v>485</v>
      </c>
      <c r="B4" s="94" t="s">
        <v>592</v>
      </c>
      <c r="C4" s="94" t="s">
        <v>484</v>
      </c>
      <c r="D4" s="86" t="s">
        <v>596</v>
      </c>
      <c r="E4" s="86" t="s">
        <v>597</v>
      </c>
      <c r="F4" s="20" t="s">
        <v>37</v>
      </c>
      <c r="G4" s="21" t="s">
        <v>41</v>
      </c>
      <c r="H4" s="21" t="s">
        <v>42</v>
      </c>
      <c r="I4" s="117" t="s">
        <v>503</v>
      </c>
      <c r="J4" s="118" t="s">
        <v>593</v>
      </c>
      <c r="K4" s="86" t="s">
        <v>292</v>
      </c>
      <c r="L4" s="87" t="s">
        <v>412</v>
      </c>
      <c r="M4" s="87" t="s">
        <v>316</v>
      </c>
      <c r="N4" s="30" t="s">
        <v>488</v>
      </c>
      <c r="O4" s="30" t="s">
        <v>486</v>
      </c>
      <c r="P4" s="30" t="s">
        <v>487</v>
      </c>
      <c r="Q4" s="21" t="s">
        <v>273</v>
      </c>
      <c r="R4" s="26" t="s">
        <v>279</v>
      </c>
      <c r="S4" s="88" t="s">
        <v>276</v>
      </c>
      <c r="T4" s="188" t="s">
        <v>643</v>
      </c>
      <c r="U4" s="141" t="s">
        <v>615</v>
      </c>
      <c r="V4" s="246">
        <v>2022</v>
      </c>
      <c r="W4" s="90">
        <v>2021</v>
      </c>
      <c r="X4" s="90">
        <v>2020</v>
      </c>
      <c r="Y4" s="90">
        <v>2019</v>
      </c>
      <c r="Z4" s="90">
        <v>2018</v>
      </c>
      <c r="AA4" s="90">
        <v>2017</v>
      </c>
      <c r="AB4" s="90">
        <v>2016</v>
      </c>
      <c r="AC4" s="90">
        <v>2015</v>
      </c>
      <c r="AD4" s="90">
        <v>2014</v>
      </c>
      <c r="AE4" s="90">
        <v>2013</v>
      </c>
      <c r="AF4" s="90">
        <v>2012</v>
      </c>
      <c r="AG4" s="90">
        <v>2011</v>
      </c>
      <c r="AH4" s="90">
        <v>2010</v>
      </c>
      <c r="AI4" s="90">
        <v>2009</v>
      </c>
      <c r="AJ4" s="90">
        <v>2008</v>
      </c>
      <c r="AK4" s="90">
        <v>2007</v>
      </c>
      <c r="AL4" s="90">
        <v>2006</v>
      </c>
      <c r="AM4" s="19">
        <v>2005</v>
      </c>
      <c r="AN4" s="19">
        <v>2004</v>
      </c>
      <c r="AO4" s="19">
        <v>2003</v>
      </c>
      <c r="AP4" s="19">
        <v>2002</v>
      </c>
      <c r="AQ4" s="20">
        <v>2001</v>
      </c>
      <c r="AR4" s="20">
        <v>2000</v>
      </c>
      <c r="AS4" s="21" t="s">
        <v>43</v>
      </c>
      <c r="AT4" s="21" t="s">
        <v>44</v>
      </c>
      <c r="AU4" s="20" t="s">
        <v>45</v>
      </c>
      <c r="AV4" s="20" t="s">
        <v>46</v>
      </c>
      <c r="AW4" s="20" t="s">
        <v>47</v>
      </c>
      <c r="AX4" s="28" t="s">
        <v>48</v>
      </c>
      <c r="AY4" s="20" t="s">
        <v>49</v>
      </c>
      <c r="AZ4" s="20" t="s">
        <v>50</v>
      </c>
      <c r="BA4" s="20" t="s">
        <v>51</v>
      </c>
      <c r="BB4" s="20" t="s">
        <v>52</v>
      </c>
      <c r="BC4" s="20" t="s">
        <v>53</v>
      </c>
      <c r="BD4" s="20" t="s">
        <v>54</v>
      </c>
      <c r="BE4" s="20" t="s">
        <v>55</v>
      </c>
      <c r="BF4" s="20" t="s">
        <v>56</v>
      </c>
      <c r="BG4" s="20" t="s">
        <v>57</v>
      </c>
      <c r="BH4" s="20" t="s">
        <v>58</v>
      </c>
      <c r="BI4" s="20" t="s">
        <v>59</v>
      </c>
      <c r="BJ4" s="20" t="s">
        <v>60</v>
      </c>
      <c r="BK4" s="20" t="s">
        <v>61</v>
      </c>
      <c r="BL4" s="20" t="s">
        <v>62</v>
      </c>
      <c r="BM4" s="20" t="s">
        <v>63</v>
      </c>
      <c r="BN4" s="20" t="s">
        <v>64</v>
      </c>
      <c r="BO4" s="20" t="s">
        <v>65</v>
      </c>
      <c r="BP4" s="20" t="s">
        <v>66</v>
      </c>
      <c r="BQ4" s="20" t="s">
        <v>67</v>
      </c>
      <c r="BR4" s="20" t="s">
        <v>68</v>
      </c>
      <c r="BS4" s="20" t="s">
        <v>69</v>
      </c>
      <c r="BT4" s="20" t="s">
        <v>70</v>
      </c>
      <c r="BU4" s="20" t="s">
        <v>71</v>
      </c>
      <c r="BV4" s="20" t="s">
        <v>72</v>
      </c>
      <c r="BW4" s="20" t="s">
        <v>73</v>
      </c>
      <c r="BX4" s="20" t="s">
        <v>74</v>
      </c>
      <c r="BY4" s="20" t="s">
        <v>75</v>
      </c>
      <c r="BZ4" s="20" t="s">
        <v>76</v>
      </c>
      <c r="CA4" s="20" t="s">
        <v>77</v>
      </c>
      <c r="CB4" s="20" t="s">
        <v>78</v>
      </c>
      <c r="CC4" s="20" t="s">
        <v>79</v>
      </c>
      <c r="CD4" s="20" t="s">
        <v>80</v>
      </c>
      <c r="CE4" s="20" t="s">
        <v>81</v>
      </c>
      <c r="CF4" s="20" t="s">
        <v>82</v>
      </c>
      <c r="CG4" s="20" t="s">
        <v>83</v>
      </c>
      <c r="CH4" s="20" t="s">
        <v>84</v>
      </c>
      <c r="CI4" s="20" t="s">
        <v>85</v>
      </c>
      <c r="CJ4" s="20" t="s">
        <v>86</v>
      </c>
      <c r="CK4" s="20" t="s">
        <v>87</v>
      </c>
      <c r="CL4" s="20" t="s">
        <v>88</v>
      </c>
      <c r="CM4" s="20" t="s">
        <v>89</v>
      </c>
      <c r="CN4" s="97"/>
      <c r="CO4" s="97"/>
      <c r="CP4" s="97"/>
      <c r="CQ4" s="6" t="s">
        <v>610</v>
      </c>
      <c r="CR4" s="6" t="s">
        <v>611</v>
      </c>
      <c r="CS4" s="6" t="s">
        <v>612</v>
      </c>
      <c r="CT4" s="6" t="s">
        <v>613</v>
      </c>
      <c r="CU4" s="6" t="s">
        <v>614</v>
      </c>
      <c r="CV4" s="6" t="s">
        <v>615</v>
      </c>
      <c r="CX4" s="6" t="s">
        <v>620</v>
      </c>
      <c r="CY4" s="6" t="s">
        <v>621</v>
      </c>
      <c r="CZ4" s="6" t="s">
        <v>622</v>
      </c>
      <c r="DA4" s="6" t="s">
        <v>623</v>
      </c>
      <c r="DB4" s="6" t="s">
        <v>628</v>
      </c>
      <c r="DC4" s="6" t="s">
        <v>624</v>
      </c>
      <c r="DD4" s="6" t="s">
        <v>625</v>
      </c>
      <c r="DE4" s="6" t="s">
        <v>626</v>
      </c>
      <c r="DF4" s="6" t="s">
        <v>627</v>
      </c>
      <c r="DH4" s="6" t="s">
        <v>620</v>
      </c>
      <c r="DI4" s="6" t="s">
        <v>621</v>
      </c>
      <c r="DJ4" s="6" t="s">
        <v>622</v>
      </c>
      <c r="DK4" s="6" t="s">
        <v>623</v>
      </c>
      <c r="DL4" s="6" t="s">
        <v>628</v>
      </c>
      <c r="DM4" s="6" t="s">
        <v>624</v>
      </c>
      <c r="DN4" s="6" t="s">
        <v>625</v>
      </c>
      <c r="DO4" s="6" t="s">
        <v>626</v>
      </c>
      <c r="DP4" s="6" t="s">
        <v>627</v>
      </c>
      <c r="DR4" s="6" t="s">
        <v>620</v>
      </c>
      <c r="DS4" s="6" t="s">
        <v>621</v>
      </c>
      <c r="DT4" s="6" t="s">
        <v>622</v>
      </c>
      <c r="DU4" s="6" t="s">
        <v>623</v>
      </c>
      <c r="DV4" s="6" t="s">
        <v>628</v>
      </c>
      <c r="DW4" s="6" t="s">
        <v>624</v>
      </c>
      <c r="DX4" s="6" t="s">
        <v>625</v>
      </c>
      <c r="DY4" s="6" t="s">
        <v>626</v>
      </c>
      <c r="DZ4" s="6" t="s">
        <v>627</v>
      </c>
      <c r="EB4" s="6" t="s">
        <v>623</v>
      </c>
      <c r="EC4" s="6" t="s">
        <v>626</v>
      </c>
    </row>
    <row r="5" spans="1:133" s="7" customFormat="1" ht="25.5" hidden="1" customHeight="1" x14ac:dyDescent="0.25">
      <c r="A5" s="92" t="str">
        <f>VLOOKUP(C5,CU,6,FALSE)</f>
        <v>CM-GStr [4]</v>
      </c>
      <c r="B5" s="92" t="str">
        <f>VLOOKUP(C5,CU,7,FALSE)</f>
        <v>Georgia Strait</v>
      </c>
      <c r="C5" s="93" t="str">
        <f t="shared" ref="C5:C68" si="1">CONCATENATE(G5,"_",H5)</f>
        <v>AYUM CREEK_Chum</v>
      </c>
      <c r="D5" s="128" t="s">
        <v>598</v>
      </c>
      <c r="E5" s="128" t="s">
        <v>598</v>
      </c>
      <c r="F5" s="64">
        <v>20</v>
      </c>
      <c r="G5" s="72" t="s">
        <v>22</v>
      </c>
      <c r="H5" s="65" t="s">
        <v>96</v>
      </c>
      <c r="I5" s="119"/>
      <c r="J5" s="119"/>
      <c r="K5" s="64">
        <v>5</v>
      </c>
      <c r="L5" s="52">
        <v>5</v>
      </c>
      <c r="M5" s="52">
        <v>4</v>
      </c>
      <c r="N5" s="52">
        <f t="shared" ref="N5:N68" si="2">GEOMEAN(AJ5:AW5)</f>
        <v>110.47586633248859</v>
      </c>
      <c r="O5" s="52">
        <f t="shared" ref="O5:O68" si="3">MAX(AJ5:CM5)</f>
        <v>4000</v>
      </c>
      <c r="P5" s="52">
        <f t="shared" ref="P5:P68" si="4">GEOMEAN(AJ5:CM5)</f>
        <v>588.64893565336524</v>
      </c>
      <c r="Q5" s="66"/>
      <c r="R5" s="37"/>
      <c r="S5" s="74"/>
      <c r="T5" s="81" t="e">
        <f>AVERAGE(V5:Y5)</f>
        <v>#DIV/0!</v>
      </c>
      <c r="U5" s="81" t="e">
        <f>AVERAGE(V5:AG5)</f>
        <v>#DIV/0!</v>
      </c>
      <c r="V5" s="52" t="s">
        <v>102</v>
      </c>
      <c r="W5" s="198" t="s">
        <v>102</v>
      </c>
      <c r="X5" s="198" t="s">
        <v>102</v>
      </c>
      <c r="Y5" s="198" t="s">
        <v>102</v>
      </c>
      <c r="Z5" s="52" t="s">
        <v>102</v>
      </c>
      <c r="AA5" s="52" t="s">
        <v>102</v>
      </c>
      <c r="AB5" s="52" t="s">
        <v>102</v>
      </c>
      <c r="AC5" s="52" t="s">
        <v>102</v>
      </c>
      <c r="AD5" s="52" t="s">
        <v>102</v>
      </c>
      <c r="AE5" s="52" t="s">
        <v>102</v>
      </c>
      <c r="AF5" s="52" t="s">
        <v>102</v>
      </c>
      <c r="AG5" s="52" t="s">
        <v>102</v>
      </c>
      <c r="AH5" s="52" t="s">
        <v>102</v>
      </c>
      <c r="AI5" s="52" t="s">
        <v>102</v>
      </c>
      <c r="AJ5" s="52" t="s">
        <v>102</v>
      </c>
      <c r="AK5" s="52" t="s">
        <v>102</v>
      </c>
      <c r="AL5" s="89" t="s">
        <v>102</v>
      </c>
      <c r="AM5" s="52" t="s">
        <v>102</v>
      </c>
      <c r="AN5" s="52" t="s">
        <v>102</v>
      </c>
      <c r="AO5" s="52" t="s">
        <v>102</v>
      </c>
      <c r="AP5" s="52" t="s">
        <v>102</v>
      </c>
      <c r="AQ5" s="52" t="s">
        <v>102</v>
      </c>
      <c r="AR5" s="52" t="s">
        <v>262</v>
      </c>
      <c r="AS5" s="52">
        <v>19</v>
      </c>
      <c r="AT5" s="52" t="s">
        <v>102</v>
      </c>
      <c r="AU5" s="52">
        <v>700</v>
      </c>
      <c r="AV5" s="52">
        <v>350</v>
      </c>
      <c r="AW5" s="53">
        <v>32</v>
      </c>
      <c r="AX5" s="51">
        <v>246</v>
      </c>
      <c r="AY5" s="53">
        <v>600</v>
      </c>
      <c r="AZ5" s="53">
        <v>1400</v>
      </c>
      <c r="BA5" s="53">
        <v>445</v>
      </c>
      <c r="BB5" s="53">
        <v>55</v>
      </c>
      <c r="BC5" s="53">
        <v>200</v>
      </c>
      <c r="BD5" s="53">
        <v>3500</v>
      </c>
      <c r="BE5" s="53">
        <v>300</v>
      </c>
      <c r="BF5" s="53">
        <v>305</v>
      </c>
      <c r="BG5" s="53">
        <v>1500</v>
      </c>
      <c r="BH5" s="53">
        <v>1000</v>
      </c>
      <c r="BI5" s="53">
        <v>1500</v>
      </c>
      <c r="BJ5" s="53">
        <v>1000</v>
      </c>
      <c r="BK5" s="53">
        <v>4000</v>
      </c>
      <c r="BL5" s="53">
        <v>2000</v>
      </c>
      <c r="BM5" s="53">
        <v>1200</v>
      </c>
      <c r="BN5" s="53">
        <v>1500</v>
      </c>
      <c r="BO5" s="53">
        <v>3500</v>
      </c>
      <c r="BP5" s="53">
        <v>400</v>
      </c>
      <c r="BQ5" s="53">
        <v>400</v>
      </c>
      <c r="BR5" s="53">
        <v>1500</v>
      </c>
      <c r="BS5" s="53">
        <v>3500</v>
      </c>
      <c r="BT5" s="53">
        <v>3500</v>
      </c>
      <c r="BU5" s="53">
        <v>3500</v>
      </c>
      <c r="BV5" s="53">
        <v>3500</v>
      </c>
      <c r="BW5" s="53">
        <v>750</v>
      </c>
      <c r="BX5" s="53">
        <v>3500</v>
      </c>
      <c r="BY5" s="53">
        <v>750</v>
      </c>
      <c r="BZ5" s="53">
        <v>30</v>
      </c>
      <c r="CA5" s="53">
        <v>750</v>
      </c>
      <c r="CB5" s="53">
        <v>75</v>
      </c>
      <c r="CC5" s="53">
        <v>25</v>
      </c>
      <c r="CD5" s="53">
        <v>750</v>
      </c>
      <c r="CE5" s="53">
        <v>25</v>
      </c>
      <c r="CF5" s="53">
        <v>25</v>
      </c>
      <c r="CG5" s="53">
        <v>200</v>
      </c>
      <c r="CH5" s="53">
        <v>3500</v>
      </c>
      <c r="CI5" s="53">
        <v>750</v>
      </c>
      <c r="CJ5" s="53">
        <v>150</v>
      </c>
      <c r="CK5" s="53">
        <v>3500</v>
      </c>
      <c r="CL5" s="53">
        <v>3500</v>
      </c>
      <c r="CM5" s="53">
        <v>3500</v>
      </c>
      <c r="CN5" s="206">
        <f t="shared" ref="CN5:CN11" si="5">IF(ISERROR(AVERAGE(BV5:CM5)),CS5,AVERAGE(BV5:CM5))</f>
        <v>1404.4444444444443</v>
      </c>
      <c r="CO5" s="206"/>
      <c r="CP5" s="206"/>
      <c r="CQ5" s="8">
        <f>MIN(V5:CM5)</f>
        <v>19</v>
      </c>
      <c r="CR5" s="8">
        <f>MAX(V5:CM5)</f>
        <v>4000</v>
      </c>
      <c r="CS5" s="8">
        <f>AVERAGE(V5:CM5)</f>
        <v>1378.9565217391305</v>
      </c>
      <c r="CT5">
        <f>GEOMEAN(V5:CM5)</f>
        <v>588.64893565336524</v>
      </c>
      <c r="CU5" s="143" t="e">
        <f>AVERAGE(V5:Z5)</f>
        <v>#DIV/0!</v>
      </c>
      <c r="CV5" s="143" t="e">
        <f>AVERAGE(V5:AG5)</f>
        <v>#DIV/0!</v>
      </c>
      <c r="CX5" s="7">
        <f>_xlfn.PERCENTILE.INC(V5:CM5,0.05)</f>
        <v>25</v>
      </c>
      <c r="CY5" s="7">
        <f>_xlfn.PERCENTILE.INC(V5:CM5,0.15)</f>
        <v>70</v>
      </c>
      <c r="CZ5" s="7">
        <f>_xlfn.PERCENTILE.INC(V5:CM5,0.2)</f>
        <v>200</v>
      </c>
      <c r="DA5" s="7">
        <f>_xlfn.PERCENTILE.INC(V5:CM5,0.25)</f>
        <v>259.5</v>
      </c>
      <c r="DB5" s="7">
        <f>_xlfn.PERCENTILE.INC(V5:CM5,0.5)</f>
        <v>750</v>
      </c>
      <c r="DC5" s="7">
        <f>_xlfn.PERCENTILE.INC(V5:CM5,0.6)</f>
        <v>1200</v>
      </c>
      <c r="DD5" s="7">
        <f>_xlfn.PERCENTILE.INC(V5:CM5,0.65)</f>
        <v>1500</v>
      </c>
      <c r="DE5" s="7">
        <f>_xlfn.PERCENTILE.INC(V5:CM5,0.75)</f>
        <v>3125</v>
      </c>
      <c r="DF5" s="7">
        <f>_xlfn.PERCENTILE.INC(V5:CM5,0.85)</f>
        <v>3500</v>
      </c>
      <c r="DH5" s="7">
        <f>_xlfn.PERCENTILE.INC(V5:AW5,0.05)</f>
        <v>20.95</v>
      </c>
      <c r="DI5" s="7">
        <f>_xlfn.PERCENTILE.INC(V5:AW5,0.15)</f>
        <v>24.85</v>
      </c>
      <c r="DJ5" s="7">
        <f>_xlfn.PERCENTILE.INC(V5:AW5,0.2)</f>
        <v>26.8</v>
      </c>
      <c r="DK5" s="7">
        <f>_xlfn.PERCENTILE.INC(V5:AW5,0.25)</f>
        <v>28.75</v>
      </c>
      <c r="DL5" s="7">
        <f>_xlfn.PERCENTILE.INC(V5:AW5,0.5)</f>
        <v>191</v>
      </c>
      <c r="DM5" s="7">
        <f>_xlfn.PERCENTILE.INC(V5:AW5,0.6)</f>
        <v>286.39999999999998</v>
      </c>
      <c r="DN5" s="7">
        <f>_xlfn.PERCENTILE.INC(V5:AW5,0.65)</f>
        <v>334.10000000000008</v>
      </c>
      <c r="DO5" s="7">
        <f>_xlfn.PERCENTILE.INC(V5:AW5,0.75)</f>
        <v>437.5</v>
      </c>
      <c r="DP5" s="7">
        <f>_xlfn.PERCENTILE.INC(V5:AW5,0.85)</f>
        <v>542.5</v>
      </c>
    </row>
    <row r="6" spans="1:133" s="7" customFormat="1" ht="25.5" hidden="1" customHeight="1" x14ac:dyDescent="0.25">
      <c r="A6" s="92" t="str">
        <f>VLOOKUP(C6,CU,6,FALSE)</f>
        <v>CO-EVI+GStr [13]</v>
      </c>
      <c r="B6" s="92" t="str">
        <f>VLOOKUP(C6,CU,7,FALSE)</f>
        <v>Georgia Strait-E Vancouver Island</v>
      </c>
      <c r="C6" s="93" t="str">
        <f t="shared" si="1"/>
        <v>AYUM CREEK_Coho</v>
      </c>
      <c r="D6" s="128" t="s">
        <v>598</v>
      </c>
      <c r="E6" s="128" t="s">
        <v>598</v>
      </c>
      <c r="F6" s="64">
        <v>20</v>
      </c>
      <c r="G6" s="72" t="s">
        <v>22</v>
      </c>
      <c r="H6" s="65" t="s">
        <v>93</v>
      </c>
      <c r="I6" s="119"/>
      <c r="J6" s="119"/>
      <c r="K6" s="64">
        <v>5</v>
      </c>
      <c r="L6" s="52">
        <v>5</v>
      </c>
      <c r="M6" s="52">
        <v>5</v>
      </c>
      <c r="N6" s="52">
        <f t="shared" si="2"/>
        <v>18.943280044210695</v>
      </c>
      <c r="O6" s="52">
        <f t="shared" si="3"/>
        <v>75</v>
      </c>
      <c r="P6" s="52">
        <f t="shared" si="4"/>
        <v>15.33040307224204</v>
      </c>
      <c r="Q6" s="66"/>
      <c r="R6" s="37"/>
      <c r="S6" s="74"/>
      <c r="T6" s="81" t="e">
        <f t="shared" ref="T6:T69" si="6">AVERAGE(V6:Y6)</f>
        <v>#DIV/0!</v>
      </c>
      <c r="U6" s="81" t="e">
        <f t="shared" ref="U6:U69" si="7">AVERAGE(V6:AG6)</f>
        <v>#DIV/0!</v>
      </c>
      <c r="V6" s="52" t="s">
        <v>102</v>
      </c>
      <c r="W6" s="198" t="s">
        <v>102</v>
      </c>
      <c r="X6" s="198" t="s">
        <v>102</v>
      </c>
      <c r="Y6" s="198" t="s">
        <v>102</v>
      </c>
      <c r="Z6" s="52" t="s">
        <v>102</v>
      </c>
      <c r="AA6" s="52" t="s">
        <v>102</v>
      </c>
      <c r="AB6" s="52" t="s">
        <v>102</v>
      </c>
      <c r="AC6" s="52" t="s">
        <v>102</v>
      </c>
      <c r="AD6" s="52" t="s">
        <v>102</v>
      </c>
      <c r="AE6" s="52" t="s">
        <v>102</v>
      </c>
      <c r="AF6" s="52" t="s">
        <v>102</v>
      </c>
      <c r="AG6" s="52" t="s">
        <v>102</v>
      </c>
      <c r="AH6" s="52" t="s">
        <v>102</v>
      </c>
      <c r="AI6" s="52" t="s">
        <v>102</v>
      </c>
      <c r="AJ6" s="52" t="s">
        <v>102</v>
      </c>
      <c r="AK6" s="52" t="s">
        <v>102</v>
      </c>
      <c r="AL6" s="155" t="s">
        <v>102</v>
      </c>
      <c r="AM6" s="52" t="s">
        <v>102</v>
      </c>
      <c r="AN6" s="52" t="s">
        <v>102</v>
      </c>
      <c r="AO6" s="52" t="s">
        <v>102</v>
      </c>
      <c r="AP6" s="52" t="s">
        <v>102</v>
      </c>
      <c r="AQ6" s="52" t="s">
        <v>102</v>
      </c>
      <c r="AR6" s="52">
        <v>42</v>
      </c>
      <c r="AS6" s="52">
        <v>20</v>
      </c>
      <c r="AT6" s="52" t="s">
        <v>102</v>
      </c>
      <c r="AU6" s="52">
        <v>12</v>
      </c>
      <c r="AV6" s="52">
        <v>22</v>
      </c>
      <c r="AW6" s="53">
        <v>11</v>
      </c>
      <c r="AX6" s="51">
        <v>2</v>
      </c>
      <c r="AY6" s="53" t="s">
        <v>262</v>
      </c>
      <c r="AZ6" s="53" t="s">
        <v>262</v>
      </c>
      <c r="BA6" s="53" t="s">
        <v>264</v>
      </c>
      <c r="BB6" s="53" t="s">
        <v>264</v>
      </c>
      <c r="BC6" s="53">
        <v>10</v>
      </c>
      <c r="BD6" s="53">
        <v>2</v>
      </c>
      <c r="BE6" s="53">
        <v>3</v>
      </c>
      <c r="BF6" s="53">
        <v>16</v>
      </c>
      <c r="BG6" s="53" t="s">
        <v>262</v>
      </c>
      <c r="BH6" s="53">
        <v>6</v>
      </c>
      <c r="BI6" s="53">
        <v>8</v>
      </c>
      <c r="BJ6" s="53" t="s">
        <v>264</v>
      </c>
      <c r="BK6" s="53">
        <v>6</v>
      </c>
      <c r="BL6" s="53">
        <v>25</v>
      </c>
      <c r="BM6" s="53" t="s">
        <v>264</v>
      </c>
      <c r="BN6" s="53">
        <v>40</v>
      </c>
      <c r="BO6" s="53">
        <v>25</v>
      </c>
      <c r="BP6" s="53" t="s">
        <v>262</v>
      </c>
      <c r="BQ6" s="53">
        <v>25</v>
      </c>
      <c r="BR6" s="53" t="s">
        <v>262</v>
      </c>
      <c r="BS6" s="53" t="s">
        <v>264</v>
      </c>
      <c r="BT6" s="53" t="s">
        <v>264</v>
      </c>
      <c r="BU6" s="53" t="s">
        <v>264</v>
      </c>
      <c r="BV6" s="53" t="s">
        <v>264</v>
      </c>
      <c r="BW6" s="53" t="s">
        <v>262</v>
      </c>
      <c r="BX6" s="53" t="s">
        <v>264</v>
      </c>
      <c r="BY6" s="53" t="s">
        <v>262</v>
      </c>
      <c r="BZ6" s="53" t="s">
        <v>264</v>
      </c>
      <c r="CA6" s="53" t="s">
        <v>262</v>
      </c>
      <c r="CB6" s="53" t="s">
        <v>264</v>
      </c>
      <c r="CC6" s="53" t="s">
        <v>262</v>
      </c>
      <c r="CD6" s="53">
        <v>25</v>
      </c>
      <c r="CE6" s="53">
        <v>25</v>
      </c>
      <c r="CF6" s="53" t="s">
        <v>264</v>
      </c>
      <c r="CG6" s="53" t="s">
        <v>264</v>
      </c>
      <c r="CH6" s="53">
        <v>75</v>
      </c>
      <c r="CI6" s="53" t="s">
        <v>262</v>
      </c>
      <c r="CJ6" s="53" t="s">
        <v>264</v>
      </c>
      <c r="CK6" s="53">
        <v>25</v>
      </c>
      <c r="CL6" s="53">
        <v>25</v>
      </c>
      <c r="CM6" s="53">
        <v>75</v>
      </c>
      <c r="CN6" s="206">
        <f t="shared" si="5"/>
        <v>41.666666666666664</v>
      </c>
      <c r="CO6" s="206"/>
      <c r="CP6" s="206"/>
      <c r="CQ6" s="8">
        <f t="shared" ref="CQ6:CQ69" si="8">MIN(V6:CM6)</f>
        <v>2</v>
      </c>
      <c r="CR6" s="8">
        <f t="shared" ref="CR6:CR69" si="9">MAX(V6:CM6)</f>
        <v>75</v>
      </c>
      <c r="CS6" s="8">
        <f t="shared" ref="CS6:CS69" si="10">AVERAGE(V6:CM6)</f>
        <v>22.826086956521738</v>
      </c>
      <c r="CT6">
        <f t="shared" ref="CT6:CT69" si="11">GEOMEAN(V6:CM6)</f>
        <v>15.33040307224204</v>
      </c>
      <c r="CU6" s="143" t="e">
        <f t="shared" ref="CU6:CU69" si="12">AVERAGE(V6:Z6)</f>
        <v>#DIV/0!</v>
      </c>
      <c r="CV6" s="143" t="e">
        <f t="shared" ref="CV6:CV69" si="13">AVERAGE(V6:AG6)</f>
        <v>#DIV/0!</v>
      </c>
      <c r="CX6" s="7">
        <f t="shared" ref="CX6:CX69" si="14">_xlfn.PERCENTILE.INC(V6:CM6,0.05)</f>
        <v>2.1</v>
      </c>
      <c r="CY6" s="7">
        <f t="shared" ref="CY6:CY69" si="15">_xlfn.PERCENTILE.INC(V6:CM6,0.15)</f>
        <v>6</v>
      </c>
      <c r="CZ6" s="7">
        <f t="shared" ref="CZ6:CZ69" si="16">_xlfn.PERCENTILE.INC(V6:CM6,0.2)</f>
        <v>6.8000000000000007</v>
      </c>
      <c r="DA6" s="7">
        <f t="shared" ref="DA6:DA69" si="17">_xlfn.PERCENTILE.INC(V6:CM6,0.25)</f>
        <v>9</v>
      </c>
      <c r="DB6" s="7">
        <f t="shared" ref="DB6:DB69" si="18">_xlfn.PERCENTILE.INC(V6:CM6,0.5)</f>
        <v>22</v>
      </c>
      <c r="DC6" s="7">
        <f t="shared" ref="DC6:DC69" si="19">_xlfn.PERCENTILE.INC(V6:CM6,0.6)</f>
        <v>25</v>
      </c>
      <c r="DD6" s="7">
        <f t="shared" ref="DD6:DD69" si="20">_xlfn.PERCENTILE.INC(V6:CM6,0.65)</f>
        <v>25</v>
      </c>
      <c r="DE6" s="7">
        <f t="shared" ref="DE6:DE69" si="21">_xlfn.PERCENTILE.INC(V6:CM6,0.75)</f>
        <v>25</v>
      </c>
      <c r="DF6" s="7">
        <f t="shared" ref="DF6:DF69" si="22">_xlfn.PERCENTILE.INC(V6:CM6,0.85)</f>
        <v>35.499999999999986</v>
      </c>
      <c r="DH6" s="7">
        <f t="shared" ref="DH6:DH69" si="23">_xlfn.PERCENTILE.INC(V6:AW6,0.05)</f>
        <v>11.2</v>
      </c>
      <c r="DI6" s="7">
        <f t="shared" ref="DI6:DI69" si="24">_xlfn.PERCENTILE.INC(V6:AW6,0.15)</f>
        <v>11.6</v>
      </c>
      <c r="DJ6" s="7">
        <f t="shared" ref="DJ6:DJ69" si="25">_xlfn.PERCENTILE.INC(V6:AW6,0.2)</f>
        <v>11.8</v>
      </c>
      <c r="DK6" s="7">
        <f t="shared" ref="DK6:DK69" si="26">_xlfn.PERCENTILE.INC(V6:AW6,0.25)</f>
        <v>12</v>
      </c>
      <c r="DL6" s="7">
        <f t="shared" ref="DL6:DL69" si="27">_xlfn.PERCENTILE.INC(V6:AW6,0.5)</f>
        <v>20</v>
      </c>
      <c r="DM6" s="7">
        <f t="shared" ref="DM6:DM69" si="28">_xlfn.PERCENTILE.INC(V6:AW6,0.6)</f>
        <v>20.8</v>
      </c>
      <c r="DN6" s="7">
        <f t="shared" ref="DN6:DN69" si="29">_xlfn.PERCENTILE.INC(V6:AW6,0.65)</f>
        <v>21.2</v>
      </c>
      <c r="DO6" s="7">
        <f t="shared" ref="DO6:DO69" si="30">_xlfn.PERCENTILE.INC(V6:AW6,0.75)</f>
        <v>22</v>
      </c>
      <c r="DP6" s="7">
        <f t="shared" ref="DP6:DP69" si="31">_xlfn.PERCENTILE.INC(V6:AW6,0.85)</f>
        <v>30.000000000000007</v>
      </c>
    </row>
    <row r="7" spans="1:133" s="7" customFormat="1" ht="25.5" hidden="1" customHeight="1" x14ac:dyDescent="0.25">
      <c r="A7" s="92" t="str">
        <f>A5</f>
        <v>CM-GStr [4]</v>
      </c>
      <c r="B7" s="92" t="str">
        <f>B5</f>
        <v>Georgia Strait</v>
      </c>
      <c r="C7" s="93" t="str">
        <f t="shared" si="1"/>
        <v>BAKER CREEK_Chum</v>
      </c>
      <c r="D7" s="128" t="s">
        <v>598</v>
      </c>
      <c r="E7" s="128" t="s">
        <v>598</v>
      </c>
      <c r="F7" s="64">
        <v>20</v>
      </c>
      <c r="G7" s="72" t="s">
        <v>18</v>
      </c>
      <c r="H7" s="65" t="s">
        <v>96</v>
      </c>
      <c r="I7" s="119"/>
      <c r="J7" s="119"/>
      <c r="K7" s="64">
        <v>5</v>
      </c>
      <c r="L7" s="52">
        <v>5</v>
      </c>
      <c r="M7" s="52">
        <v>4</v>
      </c>
      <c r="N7" s="52">
        <f t="shared" si="2"/>
        <v>112.18408606735605</v>
      </c>
      <c r="O7" s="52">
        <f t="shared" si="3"/>
        <v>1700</v>
      </c>
      <c r="P7" s="52">
        <f t="shared" si="4"/>
        <v>174.53067251140888</v>
      </c>
      <c r="Q7" s="66"/>
      <c r="R7" s="37"/>
      <c r="S7" s="74" t="s">
        <v>277</v>
      </c>
      <c r="T7" s="81" t="e">
        <f t="shared" si="6"/>
        <v>#DIV/0!</v>
      </c>
      <c r="U7" s="81" t="e">
        <f t="shared" si="7"/>
        <v>#DIV/0!</v>
      </c>
      <c r="V7" s="52" t="s">
        <v>102</v>
      </c>
      <c r="W7" s="198" t="s">
        <v>102</v>
      </c>
      <c r="X7" s="198" t="s">
        <v>102</v>
      </c>
      <c r="Y7" s="198" t="s">
        <v>102</v>
      </c>
      <c r="Z7" s="52" t="s">
        <v>102</v>
      </c>
      <c r="AA7" s="52" t="s">
        <v>102</v>
      </c>
      <c r="AB7" s="52" t="s">
        <v>102</v>
      </c>
      <c r="AC7" s="52" t="s">
        <v>102</v>
      </c>
      <c r="AD7" s="52" t="s">
        <v>102</v>
      </c>
      <c r="AE7" s="52" t="s">
        <v>102</v>
      </c>
      <c r="AF7" s="52" t="s">
        <v>102</v>
      </c>
      <c r="AG7" s="52" t="s">
        <v>102</v>
      </c>
      <c r="AH7" s="52" t="s">
        <v>102</v>
      </c>
      <c r="AI7" s="52" t="s">
        <v>102</v>
      </c>
      <c r="AJ7" s="52" t="s">
        <v>102</v>
      </c>
      <c r="AK7" s="52" t="s">
        <v>102</v>
      </c>
      <c r="AL7" s="155" t="s">
        <v>102</v>
      </c>
      <c r="AM7" s="52" t="s">
        <v>102</v>
      </c>
      <c r="AN7" s="52" t="s">
        <v>102</v>
      </c>
      <c r="AO7" s="52" t="s">
        <v>102</v>
      </c>
      <c r="AP7" s="52" t="s">
        <v>102</v>
      </c>
      <c r="AQ7" s="52" t="s">
        <v>102</v>
      </c>
      <c r="AR7" s="52" t="s">
        <v>262</v>
      </c>
      <c r="AS7" s="52" t="s">
        <v>102</v>
      </c>
      <c r="AT7" s="52">
        <v>340</v>
      </c>
      <c r="AU7" s="52">
        <v>110</v>
      </c>
      <c r="AV7" s="52">
        <v>35</v>
      </c>
      <c r="AW7" s="53">
        <v>121</v>
      </c>
      <c r="AX7" s="51" t="s">
        <v>264</v>
      </c>
      <c r="AY7" s="53">
        <v>60</v>
      </c>
      <c r="AZ7" s="53">
        <v>600</v>
      </c>
      <c r="BA7" s="53" t="s">
        <v>102</v>
      </c>
      <c r="BB7" s="53">
        <v>550</v>
      </c>
      <c r="BC7" s="53" t="s">
        <v>102</v>
      </c>
      <c r="BD7" s="53">
        <v>900</v>
      </c>
      <c r="BE7" s="53">
        <v>150</v>
      </c>
      <c r="BF7" s="53">
        <v>170</v>
      </c>
      <c r="BG7" s="53">
        <v>267</v>
      </c>
      <c r="BH7" s="53">
        <v>1700</v>
      </c>
      <c r="BI7" s="53">
        <v>130</v>
      </c>
      <c r="BJ7" s="53" t="s">
        <v>264</v>
      </c>
      <c r="BK7" s="53">
        <v>50</v>
      </c>
      <c r="BL7" s="53">
        <v>20</v>
      </c>
      <c r="BM7" s="53" t="s">
        <v>102</v>
      </c>
      <c r="BN7" s="53" t="s">
        <v>102</v>
      </c>
      <c r="BO7" s="53" t="s">
        <v>102</v>
      </c>
      <c r="BP7" s="53" t="s">
        <v>102</v>
      </c>
      <c r="BQ7" s="53" t="s">
        <v>102</v>
      </c>
      <c r="BR7" s="53" t="s">
        <v>102</v>
      </c>
      <c r="BS7" s="53" t="s">
        <v>102</v>
      </c>
      <c r="BT7" s="53" t="s">
        <v>102</v>
      </c>
      <c r="BU7" s="53" t="s">
        <v>102</v>
      </c>
      <c r="BV7" s="53" t="s">
        <v>102</v>
      </c>
      <c r="BW7" s="53" t="s">
        <v>102</v>
      </c>
      <c r="BX7" s="53" t="s">
        <v>102</v>
      </c>
      <c r="BY7" s="53" t="s">
        <v>102</v>
      </c>
      <c r="BZ7" s="53" t="s">
        <v>102</v>
      </c>
      <c r="CA7" s="53" t="s">
        <v>102</v>
      </c>
      <c r="CB7" s="53" t="s">
        <v>102</v>
      </c>
      <c r="CC7" s="53" t="s">
        <v>102</v>
      </c>
      <c r="CD7" s="53" t="s">
        <v>102</v>
      </c>
      <c r="CE7" s="53" t="s">
        <v>102</v>
      </c>
      <c r="CF7" s="53" t="s">
        <v>102</v>
      </c>
      <c r="CG7" s="53" t="s">
        <v>102</v>
      </c>
      <c r="CH7" s="53" t="s">
        <v>102</v>
      </c>
      <c r="CI7" s="53" t="s">
        <v>102</v>
      </c>
      <c r="CJ7" s="53" t="s">
        <v>102</v>
      </c>
      <c r="CK7" s="53" t="s">
        <v>102</v>
      </c>
      <c r="CL7" s="53" t="s">
        <v>102</v>
      </c>
      <c r="CM7" s="53" t="s">
        <v>102</v>
      </c>
      <c r="CN7" s="206">
        <f t="shared" si="5"/>
        <v>346.86666666666667</v>
      </c>
      <c r="CO7" s="206"/>
      <c r="CP7" s="206"/>
      <c r="CQ7" s="8">
        <f t="shared" si="8"/>
        <v>20</v>
      </c>
      <c r="CR7" s="8">
        <f t="shared" si="9"/>
        <v>1700</v>
      </c>
      <c r="CS7" s="8">
        <f t="shared" si="10"/>
        <v>346.86666666666667</v>
      </c>
      <c r="CT7">
        <f t="shared" si="11"/>
        <v>174.53067251140888</v>
      </c>
      <c r="CU7" s="143" t="e">
        <f t="shared" si="12"/>
        <v>#DIV/0!</v>
      </c>
      <c r="CV7" s="143" t="e">
        <f t="shared" si="13"/>
        <v>#DIV/0!</v>
      </c>
      <c r="CX7" s="7">
        <f t="shared" si="14"/>
        <v>30.500000000000004</v>
      </c>
      <c r="CY7" s="7">
        <f t="shared" si="15"/>
        <v>51</v>
      </c>
      <c r="CZ7" s="7">
        <f t="shared" si="16"/>
        <v>58</v>
      </c>
      <c r="DA7" s="7">
        <f t="shared" si="17"/>
        <v>85</v>
      </c>
      <c r="DB7" s="7">
        <f t="shared" si="18"/>
        <v>150</v>
      </c>
      <c r="DC7" s="7">
        <f t="shared" si="19"/>
        <v>208.80000000000004</v>
      </c>
      <c r="DD7" s="7">
        <f t="shared" si="20"/>
        <v>274.29999999999995</v>
      </c>
      <c r="DE7" s="7">
        <f t="shared" si="21"/>
        <v>445</v>
      </c>
      <c r="DF7" s="7">
        <f t="shared" si="22"/>
        <v>595</v>
      </c>
      <c r="DH7" s="7">
        <f t="shared" si="23"/>
        <v>46.249999999999993</v>
      </c>
      <c r="DI7" s="7">
        <f t="shared" si="24"/>
        <v>68.75</v>
      </c>
      <c r="DJ7" s="7">
        <f t="shared" si="25"/>
        <v>80</v>
      </c>
      <c r="DK7" s="7">
        <f t="shared" si="26"/>
        <v>91.25</v>
      </c>
      <c r="DL7" s="7">
        <f t="shared" si="27"/>
        <v>115.5</v>
      </c>
      <c r="DM7" s="7">
        <f t="shared" si="28"/>
        <v>118.8</v>
      </c>
      <c r="DN7" s="7">
        <f t="shared" si="29"/>
        <v>120.45</v>
      </c>
      <c r="DO7" s="7">
        <f t="shared" si="30"/>
        <v>175.75</v>
      </c>
      <c r="DP7" s="7">
        <f t="shared" si="31"/>
        <v>241.44999999999996</v>
      </c>
    </row>
    <row r="8" spans="1:133" s="7" customFormat="1" ht="25.5" hidden="1" customHeight="1" x14ac:dyDescent="0.25">
      <c r="A8" s="92" t="str">
        <f>A6</f>
        <v>CO-EVI+GStr [13]</v>
      </c>
      <c r="B8" s="92" t="str">
        <f>B6</f>
        <v>Georgia Strait-E Vancouver Island</v>
      </c>
      <c r="C8" s="93" t="str">
        <f t="shared" si="1"/>
        <v>BAKER CREEK_Coho</v>
      </c>
      <c r="D8" s="128" t="s">
        <v>598</v>
      </c>
      <c r="E8" s="128" t="s">
        <v>598</v>
      </c>
      <c r="F8" s="64">
        <v>20</v>
      </c>
      <c r="G8" s="72" t="s">
        <v>18</v>
      </c>
      <c r="H8" s="65" t="s">
        <v>93</v>
      </c>
      <c r="I8" s="119"/>
      <c r="J8" s="119"/>
      <c r="K8" s="64">
        <v>5</v>
      </c>
      <c r="L8" s="52">
        <v>5</v>
      </c>
      <c r="M8" s="52">
        <v>3</v>
      </c>
      <c r="N8" s="52">
        <f t="shared" si="2"/>
        <v>7.3680629972807727</v>
      </c>
      <c r="O8" s="52">
        <f t="shared" si="3"/>
        <v>15</v>
      </c>
      <c r="P8" s="52">
        <f t="shared" si="4"/>
        <v>6.5691454099277813</v>
      </c>
      <c r="Q8" s="66"/>
      <c r="R8" s="37"/>
      <c r="S8" s="74" t="s">
        <v>277</v>
      </c>
      <c r="T8" s="81" t="e">
        <f t="shared" si="6"/>
        <v>#DIV/0!</v>
      </c>
      <c r="U8" s="81" t="e">
        <f t="shared" si="7"/>
        <v>#DIV/0!</v>
      </c>
      <c r="V8" s="52" t="s">
        <v>102</v>
      </c>
      <c r="W8" s="198" t="s">
        <v>102</v>
      </c>
      <c r="X8" s="198" t="s">
        <v>102</v>
      </c>
      <c r="Y8" s="198" t="s">
        <v>102</v>
      </c>
      <c r="Z8" s="52" t="s">
        <v>102</v>
      </c>
      <c r="AA8" s="52" t="s">
        <v>102</v>
      </c>
      <c r="AB8" s="52" t="s">
        <v>102</v>
      </c>
      <c r="AC8" s="52" t="s">
        <v>102</v>
      </c>
      <c r="AD8" s="52" t="s">
        <v>102</v>
      </c>
      <c r="AE8" s="52" t="s">
        <v>102</v>
      </c>
      <c r="AF8" s="144" t="s">
        <v>102</v>
      </c>
      <c r="AG8" s="52" t="s">
        <v>102</v>
      </c>
      <c r="AH8" s="52" t="s">
        <v>102</v>
      </c>
      <c r="AI8" s="52" t="s">
        <v>102</v>
      </c>
      <c r="AJ8" s="52" t="s">
        <v>102</v>
      </c>
      <c r="AK8" s="52" t="s">
        <v>102</v>
      </c>
      <c r="AL8" s="155" t="s">
        <v>102</v>
      </c>
      <c r="AM8" s="52" t="s">
        <v>102</v>
      </c>
      <c r="AN8" s="52" t="s">
        <v>102</v>
      </c>
      <c r="AO8" s="52" t="s">
        <v>102</v>
      </c>
      <c r="AP8" s="52" t="s">
        <v>102</v>
      </c>
      <c r="AQ8" s="52" t="s">
        <v>102</v>
      </c>
      <c r="AR8" s="52" t="s">
        <v>262</v>
      </c>
      <c r="AS8" s="52" t="s">
        <v>102</v>
      </c>
      <c r="AT8" s="52">
        <v>10</v>
      </c>
      <c r="AU8" s="52">
        <v>8</v>
      </c>
      <c r="AV8" s="52">
        <v>5</v>
      </c>
      <c r="AW8" s="53" t="s">
        <v>262</v>
      </c>
      <c r="AX8" s="51" t="s">
        <v>264</v>
      </c>
      <c r="AY8" s="53">
        <v>2</v>
      </c>
      <c r="AZ8" s="53">
        <v>6</v>
      </c>
      <c r="BA8" s="53" t="s">
        <v>102</v>
      </c>
      <c r="BB8" s="53">
        <v>4</v>
      </c>
      <c r="BC8" s="53" t="s">
        <v>102</v>
      </c>
      <c r="BD8" s="53">
        <v>6</v>
      </c>
      <c r="BE8" s="53">
        <v>15</v>
      </c>
      <c r="BF8" s="53">
        <v>10</v>
      </c>
      <c r="BG8" s="53">
        <v>12</v>
      </c>
      <c r="BH8" s="53">
        <v>12</v>
      </c>
      <c r="BI8" s="53">
        <v>4</v>
      </c>
      <c r="BJ8" s="53">
        <v>4</v>
      </c>
      <c r="BK8" s="53" t="s">
        <v>264</v>
      </c>
      <c r="BL8" s="53">
        <v>7</v>
      </c>
      <c r="BM8" s="53" t="s">
        <v>102</v>
      </c>
      <c r="BN8" s="53" t="s">
        <v>102</v>
      </c>
      <c r="BO8" s="53" t="s">
        <v>102</v>
      </c>
      <c r="BP8" s="53" t="s">
        <v>102</v>
      </c>
      <c r="BQ8" s="53" t="s">
        <v>102</v>
      </c>
      <c r="BR8" s="53" t="s">
        <v>102</v>
      </c>
      <c r="BS8" s="53" t="s">
        <v>102</v>
      </c>
      <c r="BT8" s="53" t="s">
        <v>102</v>
      </c>
      <c r="BU8" s="53" t="s">
        <v>102</v>
      </c>
      <c r="BV8" s="53" t="s">
        <v>102</v>
      </c>
      <c r="BW8" s="53" t="s">
        <v>102</v>
      </c>
      <c r="BX8" s="53" t="s">
        <v>102</v>
      </c>
      <c r="BY8" s="53" t="s">
        <v>102</v>
      </c>
      <c r="BZ8" s="53" t="s">
        <v>102</v>
      </c>
      <c r="CA8" s="53" t="s">
        <v>102</v>
      </c>
      <c r="CB8" s="53" t="s">
        <v>102</v>
      </c>
      <c r="CC8" s="53" t="s">
        <v>102</v>
      </c>
      <c r="CD8" s="53" t="s">
        <v>102</v>
      </c>
      <c r="CE8" s="53" t="s">
        <v>102</v>
      </c>
      <c r="CF8" s="53" t="s">
        <v>102</v>
      </c>
      <c r="CG8" s="53" t="s">
        <v>102</v>
      </c>
      <c r="CH8" s="53" t="s">
        <v>102</v>
      </c>
      <c r="CI8" s="53" t="s">
        <v>102</v>
      </c>
      <c r="CJ8" s="53" t="s">
        <v>102</v>
      </c>
      <c r="CK8" s="53" t="s">
        <v>102</v>
      </c>
      <c r="CL8" s="53" t="s">
        <v>102</v>
      </c>
      <c r="CM8" s="53" t="s">
        <v>102</v>
      </c>
      <c r="CN8" s="206">
        <f t="shared" si="5"/>
        <v>7.5</v>
      </c>
      <c r="CO8" s="206"/>
      <c r="CP8" s="206"/>
      <c r="CQ8" s="8">
        <f t="shared" si="8"/>
        <v>2</v>
      </c>
      <c r="CR8" s="8">
        <f t="shared" si="9"/>
        <v>15</v>
      </c>
      <c r="CS8" s="8">
        <f t="shared" si="10"/>
        <v>7.5</v>
      </c>
      <c r="CT8">
        <f t="shared" si="11"/>
        <v>6.5691454099277813</v>
      </c>
      <c r="CU8" s="143" t="e">
        <f t="shared" si="12"/>
        <v>#DIV/0!</v>
      </c>
      <c r="CV8" s="143" t="e">
        <f t="shared" si="13"/>
        <v>#DIV/0!</v>
      </c>
      <c r="CX8" s="7">
        <f t="shared" si="14"/>
        <v>3.3</v>
      </c>
      <c r="CY8" s="7">
        <f t="shared" si="15"/>
        <v>4</v>
      </c>
      <c r="CZ8" s="7">
        <f t="shared" si="16"/>
        <v>4</v>
      </c>
      <c r="DA8" s="7">
        <f t="shared" si="17"/>
        <v>4.25</v>
      </c>
      <c r="DB8" s="7">
        <f t="shared" si="18"/>
        <v>6.5</v>
      </c>
      <c r="DC8" s="7">
        <f t="shared" si="19"/>
        <v>7.8000000000000007</v>
      </c>
      <c r="DD8" s="7">
        <f t="shared" si="20"/>
        <v>8.9000000000000021</v>
      </c>
      <c r="DE8" s="7">
        <f t="shared" si="21"/>
        <v>10</v>
      </c>
      <c r="DF8" s="7">
        <f t="shared" si="22"/>
        <v>12</v>
      </c>
      <c r="DH8" s="7">
        <f t="shared" si="23"/>
        <v>5.3000000000000007</v>
      </c>
      <c r="DI8" s="7">
        <f t="shared" si="24"/>
        <v>5.9</v>
      </c>
      <c r="DJ8" s="7">
        <f t="shared" si="25"/>
        <v>6.1999999999999993</v>
      </c>
      <c r="DK8" s="7">
        <f t="shared" si="26"/>
        <v>6.5</v>
      </c>
      <c r="DL8" s="7">
        <f t="shared" si="27"/>
        <v>8</v>
      </c>
      <c r="DM8" s="7">
        <f t="shared" si="28"/>
        <v>8.4</v>
      </c>
      <c r="DN8" s="7">
        <f t="shared" si="29"/>
        <v>8.6</v>
      </c>
      <c r="DO8" s="7">
        <f t="shared" si="30"/>
        <v>9</v>
      </c>
      <c r="DP8" s="7">
        <f t="shared" si="31"/>
        <v>9.4</v>
      </c>
    </row>
    <row r="9" spans="1:133" s="7" customFormat="1" ht="25.5" customHeight="1" x14ac:dyDescent="0.25">
      <c r="A9" s="92" t="str">
        <f t="shared" ref="A9:A72" si="32">VLOOKUP(C9,CU,6,FALSE)</f>
        <v>CK-SWVI [31]</v>
      </c>
      <c r="B9" s="92" t="str">
        <f t="shared" ref="B9:B72" si="33">VLOOKUP(C9,CU,7,FALSE)</f>
        <v>Southwest Vancouver Island</v>
      </c>
      <c r="C9" s="93" t="str">
        <f t="shared" si="1"/>
        <v>CHARTERS RIVER_Chinook</v>
      </c>
      <c r="D9" s="128" t="s">
        <v>598</v>
      </c>
      <c r="E9" s="128" t="s">
        <v>598</v>
      </c>
      <c r="F9" s="64">
        <v>20</v>
      </c>
      <c r="G9" s="72" t="s">
        <v>25</v>
      </c>
      <c r="H9" s="65" t="s">
        <v>97</v>
      </c>
      <c r="I9" s="119"/>
      <c r="J9" s="119"/>
      <c r="K9" s="64">
        <v>5</v>
      </c>
      <c r="L9" s="52">
        <v>6</v>
      </c>
      <c r="M9" s="52">
        <v>3</v>
      </c>
      <c r="N9" s="52">
        <f t="shared" si="2"/>
        <v>40.716264248923601</v>
      </c>
      <c r="O9" s="52">
        <f t="shared" si="3"/>
        <v>150</v>
      </c>
      <c r="P9" s="52">
        <f t="shared" si="4"/>
        <v>21.213203435596427</v>
      </c>
      <c r="Q9" s="66"/>
      <c r="R9" s="37"/>
      <c r="S9" s="74" t="s">
        <v>277</v>
      </c>
      <c r="T9" s="81" t="e">
        <f t="shared" si="6"/>
        <v>#DIV/0!</v>
      </c>
      <c r="U9" s="81" t="e">
        <f t="shared" si="7"/>
        <v>#DIV/0!</v>
      </c>
      <c r="V9" s="52" t="s">
        <v>102</v>
      </c>
      <c r="W9" s="198" t="s">
        <v>102</v>
      </c>
      <c r="X9" s="198" t="s">
        <v>102</v>
      </c>
      <c r="Y9" s="198" t="s">
        <v>102</v>
      </c>
      <c r="Z9" s="52" t="s">
        <v>102</v>
      </c>
      <c r="AA9" s="52" t="s">
        <v>102</v>
      </c>
      <c r="AB9" s="52" t="s">
        <v>102</v>
      </c>
      <c r="AC9" s="52" t="s">
        <v>102</v>
      </c>
      <c r="AD9" s="52" t="s">
        <v>102</v>
      </c>
      <c r="AE9" s="52" t="s">
        <v>102</v>
      </c>
      <c r="AF9" s="52" t="s">
        <v>102</v>
      </c>
      <c r="AG9" s="52" t="s">
        <v>102</v>
      </c>
      <c r="AH9" s="52" t="s">
        <v>102</v>
      </c>
      <c r="AI9" s="52" t="s">
        <v>102</v>
      </c>
      <c r="AJ9" s="52" t="s">
        <v>102</v>
      </c>
      <c r="AK9" s="52" t="s">
        <v>102</v>
      </c>
      <c r="AL9" s="155" t="s">
        <v>102</v>
      </c>
      <c r="AM9" s="52" t="s">
        <v>102</v>
      </c>
      <c r="AN9" s="52" t="s">
        <v>102</v>
      </c>
      <c r="AO9" s="52" t="s">
        <v>102</v>
      </c>
      <c r="AP9" s="52" t="s">
        <v>102</v>
      </c>
      <c r="AQ9" s="52" t="s">
        <v>102</v>
      </c>
      <c r="AR9" s="52" t="s">
        <v>262</v>
      </c>
      <c r="AS9" s="52">
        <v>30</v>
      </c>
      <c r="AT9" s="52" t="s">
        <v>262</v>
      </c>
      <c r="AU9" s="52">
        <v>150</v>
      </c>
      <c r="AV9" s="52">
        <v>15</v>
      </c>
      <c r="AW9" s="53" t="s">
        <v>262</v>
      </c>
      <c r="AX9" s="51" t="s">
        <v>264</v>
      </c>
      <c r="AY9" s="53" t="s">
        <v>264</v>
      </c>
      <c r="AZ9" s="53" t="s">
        <v>264</v>
      </c>
      <c r="BA9" s="53" t="s">
        <v>102</v>
      </c>
      <c r="BB9" s="53" t="s">
        <v>264</v>
      </c>
      <c r="BC9" s="53" t="s">
        <v>264</v>
      </c>
      <c r="BD9" s="53" t="s">
        <v>264</v>
      </c>
      <c r="BE9" s="53" t="s">
        <v>264</v>
      </c>
      <c r="BF9" s="53" t="s">
        <v>264</v>
      </c>
      <c r="BG9" s="53">
        <v>3</v>
      </c>
      <c r="BH9" s="53" t="s">
        <v>264</v>
      </c>
      <c r="BI9" s="53" t="s">
        <v>264</v>
      </c>
      <c r="BJ9" s="53" t="s">
        <v>264</v>
      </c>
      <c r="BK9" s="53" t="s">
        <v>264</v>
      </c>
      <c r="BL9" s="53" t="s">
        <v>264</v>
      </c>
      <c r="BM9" s="53" t="s">
        <v>102</v>
      </c>
      <c r="BN9" s="53" t="s">
        <v>102</v>
      </c>
      <c r="BO9" s="53" t="s">
        <v>102</v>
      </c>
      <c r="BP9" s="53" t="s">
        <v>102</v>
      </c>
      <c r="BQ9" s="53" t="s">
        <v>102</v>
      </c>
      <c r="BR9" s="53" t="s">
        <v>102</v>
      </c>
      <c r="BS9" s="53" t="s">
        <v>102</v>
      </c>
      <c r="BT9" s="53" t="s">
        <v>102</v>
      </c>
      <c r="BU9" s="53" t="s">
        <v>102</v>
      </c>
      <c r="BV9" s="53" t="s">
        <v>102</v>
      </c>
      <c r="BW9" s="53" t="s">
        <v>102</v>
      </c>
      <c r="BX9" s="53" t="s">
        <v>102</v>
      </c>
      <c r="BY9" s="53" t="s">
        <v>102</v>
      </c>
      <c r="BZ9" s="53" t="s">
        <v>102</v>
      </c>
      <c r="CA9" s="53" t="s">
        <v>102</v>
      </c>
      <c r="CB9" s="53" t="s">
        <v>102</v>
      </c>
      <c r="CC9" s="53" t="s">
        <v>102</v>
      </c>
      <c r="CD9" s="53" t="s">
        <v>102</v>
      </c>
      <c r="CE9" s="53" t="s">
        <v>102</v>
      </c>
      <c r="CF9" s="53" t="s">
        <v>102</v>
      </c>
      <c r="CG9" s="53" t="s">
        <v>102</v>
      </c>
      <c r="CH9" s="53" t="s">
        <v>102</v>
      </c>
      <c r="CI9" s="53" t="s">
        <v>102</v>
      </c>
      <c r="CJ9" s="53" t="s">
        <v>102</v>
      </c>
      <c r="CK9" s="53" t="s">
        <v>102</v>
      </c>
      <c r="CL9" s="53" t="s">
        <v>102</v>
      </c>
      <c r="CM9" s="53" t="s">
        <v>102</v>
      </c>
      <c r="CN9" s="206">
        <f t="shared" si="5"/>
        <v>49.5</v>
      </c>
      <c r="CO9" s="206"/>
      <c r="CP9" s="206"/>
      <c r="CQ9" s="8">
        <f t="shared" si="8"/>
        <v>3</v>
      </c>
      <c r="CR9" s="8">
        <f t="shared" si="9"/>
        <v>150</v>
      </c>
      <c r="CS9" s="8">
        <f t="shared" si="10"/>
        <v>49.5</v>
      </c>
      <c r="CT9">
        <f t="shared" si="11"/>
        <v>21.213203435596427</v>
      </c>
      <c r="CU9" s="143" t="e">
        <f t="shared" si="12"/>
        <v>#DIV/0!</v>
      </c>
      <c r="CV9" s="143" t="e">
        <f t="shared" si="13"/>
        <v>#DIV/0!</v>
      </c>
      <c r="CX9" s="7">
        <f t="shared" si="14"/>
        <v>4.7999999999999989</v>
      </c>
      <c r="CY9" s="7">
        <f t="shared" si="15"/>
        <v>8.3999999999999986</v>
      </c>
      <c r="CZ9" s="7">
        <f t="shared" si="16"/>
        <v>10.200000000000001</v>
      </c>
      <c r="DA9" s="7">
        <f t="shared" si="17"/>
        <v>12</v>
      </c>
      <c r="DB9" s="7">
        <f t="shared" si="18"/>
        <v>22.5</v>
      </c>
      <c r="DC9" s="7">
        <f t="shared" si="19"/>
        <v>26.999999999999996</v>
      </c>
      <c r="DD9" s="7">
        <f t="shared" si="20"/>
        <v>29.250000000000004</v>
      </c>
      <c r="DE9" s="7">
        <f t="shared" si="21"/>
        <v>60</v>
      </c>
      <c r="DF9" s="7">
        <f t="shared" si="22"/>
        <v>95.999999999999972</v>
      </c>
      <c r="DH9" s="7">
        <f t="shared" si="23"/>
        <v>16.5</v>
      </c>
      <c r="DI9" s="7">
        <f t="shared" si="24"/>
        <v>19.5</v>
      </c>
      <c r="DJ9" s="7">
        <f t="shared" si="25"/>
        <v>21</v>
      </c>
      <c r="DK9" s="7">
        <f t="shared" si="26"/>
        <v>22.5</v>
      </c>
      <c r="DL9" s="7">
        <f t="shared" si="27"/>
        <v>30</v>
      </c>
      <c r="DM9" s="7">
        <f t="shared" si="28"/>
        <v>54.000000000000021</v>
      </c>
      <c r="DN9" s="7">
        <f t="shared" si="29"/>
        <v>65.999999999999972</v>
      </c>
      <c r="DO9" s="7">
        <f t="shared" si="30"/>
        <v>90</v>
      </c>
      <c r="DP9" s="7">
        <f t="shared" si="31"/>
        <v>114.00000000000003</v>
      </c>
      <c r="DR9" s="7">
        <f>_xlfn.PERCENTILE.INC(AB9:AW9,0.05)</f>
        <v>16.5</v>
      </c>
      <c r="DS9" s="7">
        <f>_xlfn.PERCENTILE.INC(AB9:AW9,0.15)</f>
        <v>19.5</v>
      </c>
      <c r="DT9" s="7">
        <f>_xlfn.PERCENTILE.INC(AB9:AW9,0.2)</f>
        <v>21</v>
      </c>
      <c r="DU9" s="7">
        <f>_xlfn.PERCENTILE.INC(AB9:AW9,0.25)</f>
        <v>22.5</v>
      </c>
      <c r="DV9" s="7">
        <f>_xlfn.PERCENTILE.INC(AB9:AW9,0.5)</f>
        <v>30</v>
      </c>
      <c r="DW9" s="7">
        <f>_xlfn.PERCENTILE.INC(AB9:AW9,0.6)</f>
        <v>54.000000000000021</v>
      </c>
      <c r="DX9" s="7">
        <f>_xlfn.PERCENTILE.INC(AB9:AW9,0.65)</f>
        <v>65.999999999999972</v>
      </c>
      <c r="DY9" s="7">
        <f>_xlfn.PERCENTILE.INC(AB9:AW9,0.75)</f>
        <v>90</v>
      </c>
      <c r="DZ9" s="7">
        <f>_xlfn.PERCENTILE.INC(AB9:AW9,0.85)</f>
        <v>114.00000000000003</v>
      </c>
    </row>
    <row r="10" spans="1:133" s="7" customFormat="1" ht="25.5" hidden="1" customHeight="1" x14ac:dyDescent="0.25">
      <c r="A10" s="92" t="str">
        <f t="shared" si="32"/>
        <v>CM-GStr [4]</v>
      </c>
      <c r="B10" s="92" t="str">
        <f t="shared" si="33"/>
        <v>Georgia Strait</v>
      </c>
      <c r="C10" s="93" t="str">
        <f t="shared" si="1"/>
        <v>CHARTERS RIVER_Chum</v>
      </c>
      <c r="D10" s="128" t="s">
        <v>598</v>
      </c>
      <c r="E10" s="128" t="s">
        <v>598</v>
      </c>
      <c r="F10" s="64">
        <v>20</v>
      </c>
      <c r="G10" s="72" t="s">
        <v>25</v>
      </c>
      <c r="H10" s="65" t="s">
        <v>96</v>
      </c>
      <c r="I10" s="119"/>
      <c r="J10" s="119"/>
      <c r="K10" s="64">
        <v>5</v>
      </c>
      <c r="L10" s="52">
        <v>6</v>
      </c>
      <c r="M10" s="52">
        <v>6</v>
      </c>
      <c r="N10" s="52">
        <f t="shared" si="2"/>
        <v>312.77136916015218</v>
      </c>
      <c r="O10" s="52">
        <f t="shared" si="3"/>
        <v>3500</v>
      </c>
      <c r="P10" s="52">
        <f t="shared" si="4"/>
        <v>741.91879561522774</v>
      </c>
      <c r="Q10" s="66"/>
      <c r="R10" s="37"/>
      <c r="S10" s="74" t="s">
        <v>278</v>
      </c>
      <c r="T10" s="81" t="e">
        <f t="shared" si="6"/>
        <v>#DIV/0!</v>
      </c>
      <c r="U10" s="81" t="e">
        <f t="shared" si="7"/>
        <v>#DIV/0!</v>
      </c>
      <c r="V10" s="52" t="s">
        <v>102</v>
      </c>
      <c r="W10" s="198" t="s">
        <v>102</v>
      </c>
      <c r="X10" s="198" t="s">
        <v>102</v>
      </c>
      <c r="Y10" s="198" t="s">
        <v>102</v>
      </c>
      <c r="Z10" s="52" t="s">
        <v>102</v>
      </c>
      <c r="AA10" s="52" t="s">
        <v>102</v>
      </c>
      <c r="AB10" s="52" t="s">
        <v>102</v>
      </c>
      <c r="AC10" s="52" t="s">
        <v>102</v>
      </c>
      <c r="AD10" s="52" t="s">
        <v>102</v>
      </c>
      <c r="AE10" s="52" t="s">
        <v>102</v>
      </c>
      <c r="AF10" s="52" t="s">
        <v>102</v>
      </c>
      <c r="AG10" s="52" t="s">
        <v>102</v>
      </c>
      <c r="AH10" s="52" t="s">
        <v>102</v>
      </c>
      <c r="AI10" s="52" t="s">
        <v>102</v>
      </c>
      <c r="AJ10" s="52" t="s">
        <v>102</v>
      </c>
      <c r="AK10" s="52" t="s">
        <v>102</v>
      </c>
      <c r="AL10" s="155" t="s">
        <v>102</v>
      </c>
      <c r="AM10" s="52" t="s">
        <v>102</v>
      </c>
      <c r="AN10" s="52" t="s">
        <v>102</v>
      </c>
      <c r="AO10" s="52" t="s">
        <v>102</v>
      </c>
      <c r="AP10" s="52" t="s">
        <v>102</v>
      </c>
      <c r="AQ10" s="52" t="s">
        <v>102</v>
      </c>
      <c r="AR10" s="52">
        <v>44</v>
      </c>
      <c r="AS10" s="52">
        <v>219</v>
      </c>
      <c r="AT10" s="52">
        <v>1000</v>
      </c>
      <c r="AU10" s="52">
        <v>1700</v>
      </c>
      <c r="AV10" s="52">
        <v>450</v>
      </c>
      <c r="AW10" s="53">
        <v>127</v>
      </c>
      <c r="AX10" s="51">
        <v>1100</v>
      </c>
      <c r="AY10" s="53">
        <v>1500</v>
      </c>
      <c r="AZ10" s="53">
        <v>1500</v>
      </c>
      <c r="BA10" s="53" t="s">
        <v>102</v>
      </c>
      <c r="BB10" s="53">
        <v>420</v>
      </c>
      <c r="BC10" s="53">
        <v>300</v>
      </c>
      <c r="BD10" s="53">
        <v>3500</v>
      </c>
      <c r="BE10" s="53">
        <v>1000</v>
      </c>
      <c r="BF10" s="53">
        <v>900</v>
      </c>
      <c r="BG10" s="53">
        <v>900</v>
      </c>
      <c r="BH10" s="53">
        <v>670</v>
      </c>
      <c r="BI10" s="53">
        <v>1100</v>
      </c>
      <c r="BJ10" s="53">
        <v>1300</v>
      </c>
      <c r="BK10" s="53">
        <v>1400</v>
      </c>
      <c r="BL10" s="53">
        <v>2300</v>
      </c>
      <c r="BM10" s="53" t="s">
        <v>102</v>
      </c>
      <c r="BN10" s="53" t="s">
        <v>102</v>
      </c>
      <c r="BO10" s="53" t="s">
        <v>102</v>
      </c>
      <c r="BP10" s="53" t="s">
        <v>102</v>
      </c>
      <c r="BQ10" s="53" t="s">
        <v>102</v>
      </c>
      <c r="BR10" s="53" t="s">
        <v>102</v>
      </c>
      <c r="BS10" s="53" t="s">
        <v>102</v>
      </c>
      <c r="BT10" s="53" t="s">
        <v>102</v>
      </c>
      <c r="BU10" s="53" t="s">
        <v>102</v>
      </c>
      <c r="BV10" s="53" t="s">
        <v>102</v>
      </c>
      <c r="BW10" s="53" t="s">
        <v>102</v>
      </c>
      <c r="BX10" s="53" t="s">
        <v>102</v>
      </c>
      <c r="BY10" s="53" t="s">
        <v>102</v>
      </c>
      <c r="BZ10" s="53" t="s">
        <v>102</v>
      </c>
      <c r="CA10" s="53" t="s">
        <v>102</v>
      </c>
      <c r="CB10" s="53" t="s">
        <v>102</v>
      </c>
      <c r="CC10" s="53" t="s">
        <v>102</v>
      </c>
      <c r="CD10" s="53" t="s">
        <v>102</v>
      </c>
      <c r="CE10" s="53" t="s">
        <v>102</v>
      </c>
      <c r="CF10" s="53" t="s">
        <v>102</v>
      </c>
      <c r="CG10" s="53" t="s">
        <v>102</v>
      </c>
      <c r="CH10" s="53" t="s">
        <v>102</v>
      </c>
      <c r="CI10" s="53" t="s">
        <v>102</v>
      </c>
      <c r="CJ10" s="53" t="s">
        <v>102</v>
      </c>
      <c r="CK10" s="53" t="s">
        <v>102</v>
      </c>
      <c r="CL10" s="53" t="s">
        <v>102</v>
      </c>
      <c r="CM10" s="53" t="s">
        <v>102</v>
      </c>
      <c r="CN10" s="206">
        <f t="shared" si="5"/>
        <v>1071.5</v>
      </c>
      <c r="CO10" s="206"/>
      <c r="CP10" s="206"/>
      <c r="CQ10" s="8">
        <f t="shared" si="8"/>
        <v>44</v>
      </c>
      <c r="CR10" s="8">
        <f t="shared" si="9"/>
        <v>3500</v>
      </c>
      <c r="CS10" s="8">
        <f t="shared" si="10"/>
        <v>1071.5</v>
      </c>
      <c r="CT10">
        <f t="shared" si="11"/>
        <v>741.91879561522774</v>
      </c>
      <c r="CU10" s="143" t="e">
        <f t="shared" si="12"/>
        <v>#DIV/0!</v>
      </c>
      <c r="CV10" s="143" t="e">
        <f t="shared" si="13"/>
        <v>#DIV/0!</v>
      </c>
      <c r="CX10" s="7">
        <f t="shared" si="14"/>
        <v>122.85000000000001</v>
      </c>
      <c r="CY10" s="7">
        <f t="shared" si="15"/>
        <v>287.85000000000002</v>
      </c>
      <c r="CZ10" s="7">
        <f t="shared" si="16"/>
        <v>396.00000000000011</v>
      </c>
      <c r="DA10" s="7">
        <f t="shared" si="17"/>
        <v>442.5</v>
      </c>
      <c r="DB10" s="7">
        <f t="shared" si="18"/>
        <v>1000</v>
      </c>
      <c r="DC10" s="7">
        <f t="shared" si="19"/>
        <v>1100</v>
      </c>
      <c r="DD10" s="7">
        <f t="shared" si="20"/>
        <v>1170</v>
      </c>
      <c r="DE10" s="7">
        <f t="shared" si="21"/>
        <v>1425</v>
      </c>
      <c r="DF10" s="7">
        <f t="shared" si="22"/>
        <v>1529.9999999999998</v>
      </c>
      <c r="DH10" s="7">
        <f t="shared" si="23"/>
        <v>64.75</v>
      </c>
      <c r="DI10" s="7">
        <f t="shared" si="24"/>
        <v>106.25</v>
      </c>
      <c r="DJ10" s="7">
        <f t="shared" si="25"/>
        <v>127</v>
      </c>
      <c r="DK10" s="7">
        <f t="shared" si="26"/>
        <v>150</v>
      </c>
      <c r="DL10" s="7">
        <f t="shared" si="27"/>
        <v>334.5</v>
      </c>
      <c r="DM10" s="7">
        <f t="shared" si="28"/>
        <v>450</v>
      </c>
      <c r="DN10" s="7">
        <f t="shared" si="29"/>
        <v>587.5</v>
      </c>
      <c r="DO10" s="7">
        <f t="shared" si="30"/>
        <v>862.5</v>
      </c>
      <c r="DP10" s="7">
        <f t="shared" si="31"/>
        <v>1175</v>
      </c>
    </row>
    <row r="11" spans="1:133" s="7" customFormat="1" ht="25.5" hidden="1" customHeight="1" x14ac:dyDescent="0.25">
      <c r="A11" s="92" t="str">
        <f t="shared" si="32"/>
        <v>CO-EVI+GStr [13]</v>
      </c>
      <c r="B11" s="92" t="str">
        <f t="shared" si="33"/>
        <v>Georgia Strait-E Vancouver Island</v>
      </c>
      <c r="C11" s="93" t="str">
        <f t="shared" si="1"/>
        <v>CHARTERS RIVER_Coho</v>
      </c>
      <c r="D11" s="128" t="s">
        <v>598</v>
      </c>
      <c r="E11" s="128" t="s">
        <v>598</v>
      </c>
      <c r="F11" s="64">
        <v>20</v>
      </c>
      <c r="G11" s="72" t="s">
        <v>25</v>
      </c>
      <c r="H11" s="65" t="s">
        <v>93</v>
      </c>
      <c r="I11" s="119"/>
      <c r="J11" s="119"/>
      <c r="K11" s="64">
        <v>5</v>
      </c>
      <c r="L11" s="52">
        <v>6</v>
      </c>
      <c r="M11" s="52">
        <v>5</v>
      </c>
      <c r="N11" s="52">
        <f t="shared" si="2"/>
        <v>17.454322774580643</v>
      </c>
      <c r="O11" s="52">
        <f t="shared" si="3"/>
        <v>57</v>
      </c>
      <c r="P11" s="52">
        <f t="shared" si="4"/>
        <v>13.907411272120305</v>
      </c>
      <c r="Q11" s="66"/>
      <c r="R11" s="37"/>
      <c r="S11" s="74" t="s">
        <v>277</v>
      </c>
      <c r="T11" s="81" t="e">
        <f t="shared" si="6"/>
        <v>#DIV/0!</v>
      </c>
      <c r="U11" s="81" t="e">
        <f t="shared" si="7"/>
        <v>#DIV/0!</v>
      </c>
      <c r="V11" s="52" t="s">
        <v>102</v>
      </c>
      <c r="W11" s="198" t="s">
        <v>102</v>
      </c>
      <c r="X11" s="198" t="s">
        <v>102</v>
      </c>
      <c r="Y11" s="198" t="s">
        <v>102</v>
      </c>
      <c r="Z11" s="52" t="s">
        <v>102</v>
      </c>
      <c r="AA11" s="52" t="s">
        <v>102</v>
      </c>
      <c r="AB11" s="52" t="s">
        <v>102</v>
      </c>
      <c r="AC11" s="52" t="s">
        <v>102</v>
      </c>
      <c r="AD11" s="52" t="s">
        <v>102</v>
      </c>
      <c r="AE11" s="52" t="s">
        <v>102</v>
      </c>
      <c r="AF11" s="144" t="s">
        <v>102</v>
      </c>
      <c r="AG11" s="52" t="s">
        <v>102</v>
      </c>
      <c r="AH11" s="52" t="s">
        <v>102</v>
      </c>
      <c r="AI11" s="52" t="s">
        <v>102</v>
      </c>
      <c r="AJ11" s="52" t="s">
        <v>102</v>
      </c>
      <c r="AK11" s="52" t="s">
        <v>102</v>
      </c>
      <c r="AL11" s="155" t="s">
        <v>102</v>
      </c>
      <c r="AM11" s="52" t="s">
        <v>102</v>
      </c>
      <c r="AN11" s="52" t="s">
        <v>102</v>
      </c>
      <c r="AO11" s="52" t="s">
        <v>102</v>
      </c>
      <c r="AP11" s="52" t="s">
        <v>102</v>
      </c>
      <c r="AQ11" s="52" t="s">
        <v>102</v>
      </c>
      <c r="AR11" s="52" t="s">
        <v>262</v>
      </c>
      <c r="AS11" s="52">
        <v>9</v>
      </c>
      <c r="AT11" s="52">
        <v>50</v>
      </c>
      <c r="AU11" s="52">
        <v>12</v>
      </c>
      <c r="AV11" s="52">
        <v>20</v>
      </c>
      <c r="AW11" s="53">
        <v>15</v>
      </c>
      <c r="AX11" s="51" t="s">
        <v>264</v>
      </c>
      <c r="AY11" s="53" t="s">
        <v>262</v>
      </c>
      <c r="AZ11" s="53" t="s">
        <v>262</v>
      </c>
      <c r="BA11" s="53" t="s">
        <v>102</v>
      </c>
      <c r="BB11" s="53" t="s">
        <v>264</v>
      </c>
      <c r="BC11" s="53" t="s">
        <v>264</v>
      </c>
      <c r="BD11" s="53" t="s">
        <v>264</v>
      </c>
      <c r="BE11" s="53">
        <v>14</v>
      </c>
      <c r="BF11" s="53">
        <v>7</v>
      </c>
      <c r="BG11" s="53">
        <v>4</v>
      </c>
      <c r="BH11" s="53">
        <v>8</v>
      </c>
      <c r="BI11" s="53" t="s">
        <v>262</v>
      </c>
      <c r="BJ11" s="53">
        <v>13</v>
      </c>
      <c r="BK11" s="53" t="s">
        <v>262</v>
      </c>
      <c r="BL11" s="53">
        <v>57</v>
      </c>
      <c r="BM11" s="53" t="s">
        <v>102</v>
      </c>
      <c r="BN11" s="53" t="s">
        <v>102</v>
      </c>
      <c r="BO11" s="53" t="s">
        <v>102</v>
      </c>
      <c r="BP11" s="53" t="s">
        <v>102</v>
      </c>
      <c r="BQ11" s="53" t="s">
        <v>102</v>
      </c>
      <c r="BR11" s="53" t="s">
        <v>102</v>
      </c>
      <c r="BS11" s="53" t="s">
        <v>102</v>
      </c>
      <c r="BT11" s="53" t="s">
        <v>102</v>
      </c>
      <c r="BU11" s="53" t="s">
        <v>102</v>
      </c>
      <c r="BV11" s="53" t="s">
        <v>102</v>
      </c>
      <c r="BW11" s="53" t="s">
        <v>102</v>
      </c>
      <c r="BX11" s="53" t="s">
        <v>102</v>
      </c>
      <c r="BY11" s="53" t="s">
        <v>102</v>
      </c>
      <c r="BZ11" s="53" t="s">
        <v>102</v>
      </c>
      <c r="CA11" s="53" t="s">
        <v>102</v>
      </c>
      <c r="CB11" s="53" t="s">
        <v>102</v>
      </c>
      <c r="CC11" s="53" t="s">
        <v>102</v>
      </c>
      <c r="CD11" s="53" t="s">
        <v>102</v>
      </c>
      <c r="CE11" s="53" t="s">
        <v>102</v>
      </c>
      <c r="CF11" s="53" t="s">
        <v>102</v>
      </c>
      <c r="CG11" s="53" t="s">
        <v>102</v>
      </c>
      <c r="CH11" s="53" t="s">
        <v>102</v>
      </c>
      <c r="CI11" s="53" t="s">
        <v>102</v>
      </c>
      <c r="CJ11" s="53" t="s">
        <v>102</v>
      </c>
      <c r="CK11" s="53" t="s">
        <v>102</v>
      </c>
      <c r="CL11" s="53" t="s">
        <v>102</v>
      </c>
      <c r="CM11" s="53" t="s">
        <v>102</v>
      </c>
      <c r="CN11" s="206">
        <f t="shared" si="5"/>
        <v>19</v>
      </c>
      <c r="CO11" s="206"/>
      <c r="CP11" s="206"/>
      <c r="CQ11" s="8">
        <f t="shared" si="8"/>
        <v>4</v>
      </c>
      <c r="CR11" s="8">
        <f t="shared" si="9"/>
        <v>57</v>
      </c>
      <c r="CS11" s="8">
        <f t="shared" si="10"/>
        <v>19</v>
      </c>
      <c r="CT11">
        <f t="shared" si="11"/>
        <v>13.907411272120305</v>
      </c>
      <c r="CU11" s="143" t="e">
        <f t="shared" si="12"/>
        <v>#DIV/0!</v>
      </c>
      <c r="CV11" s="143" t="e">
        <f t="shared" si="13"/>
        <v>#DIV/0!</v>
      </c>
      <c r="CX11" s="7">
        <f t="shared" si="14"/>
        <v>5.5</v>
      </c>
      <c r="CY11" s="7">
        <f t="shared" si="15"/>
        <v>7.5</v>
      </c>
      <c r="CZ11" s="7">
        <f t="shared" si="16"/>
        <v>8</v>
      </c>
      <c r="DA11" s="7">
        <f t="shared" si="17"/>
        <v>8.5</v>
      </c>
      <c r="DB11" s="7">
        <f t="shared" si="18"/>
        <v>13</v>
      </c>
      <c r="DC11" s="7">
        <f t="shared" si="19"/>
        <v>14</v>
      </c>
      <c r="DD11" s="7">
        <f t="shared" si="20"/>
        <v>14.5</v>
      </c>
      <c r="DE11" s="7">
        <f t="shared" si="21"/>
        <v>17.5</v>
      </c>
      <c r="DF11" s="7">
        <f t="shared" si="22"/>
        <v>35</v>
      </c>
      <c r="DH11" s="7">
        <f t="shared" si="23"/>
        <v>9.6</v>
      </c>
      <c r="DI11" s="7">
        <f t="shared" si="24"/>
        <v>10.8</v>
      </c>
      <c r="DJ11" s="7">
        <f t="shared" si="25"/>
        <v>11.4</v>
      </c>
      <c r="DK11" s="7">
        <f t="shared" si="26"/>
        <v>12</v>
      </c>
      <c r="DL11" s="7">
        <f t="shared" si="27"/>
        <v>15</v>
      </c>
      <c r="DM11" s="7">
        <f t="shared" si="28"/>
        <v>17</v>
      </c>
      <c r="DN11" s="7">
        <f t="shared" si="29"/>
        <v>18</v>
      </c>
      <c r="DO11" s="7">
        <f t="shared" si="30"/>
        <v>20</v>
      </c>
      <c r="DP11" s="7">
        <f t="shared" si="31"/>
        <v>32.000000000000014</v>
      </c>
    </row>
    <row r="12" spans="1:133" s="7" customFormat="1" ht="25.5" customHeight="1" x14ac:dyDescent="0.25">
      <c r="A12" s="92" t="str">
        <f t="shared" si="32"/>
        <v>CK-SWVI [31]</v>
      </c>
      <c r="B12" s="92" t="str">
        <f t="shared" si="33"/>
        <v>Southwest Vancouver Island</v>
      </c>
      <c r="C12" s="93" t="str">
        <f t="shared" si="1"/>
        <v>DE MAMIEL CREEK_Chinook</v>
      </c>
      <c r="D12" s="128" t="s">
        <v>598</v>
      </c>
      <c r="E12" s="128" t="s">
        <v>598</v>
      </c>
      <c r="F12" s="64">
        <v>20</v>
      </c>
      <c r="G12" s="72" t="s">
        <v>24</v>
      </c>
      <c r="H12" s="65" t="s">
        <v>97</v>
      </c>
      <c r="I12" s="119"/>
      <c r="J12" s="119"/>
      <c r="K12" s="64">
        <v>4</v>
      </c>
      <c r="L12" s="52">
        <v>6</v>
      </c>
      <c r="M12" s="52">
        <v>6</v>
      </c>
      <c r="N12" s="52">
        <f t="shared" si="2"/>
        <v>8.0124433747705677</v>
      </c>
      <c r="O12" s="52">
        <f t="shared" si="3"/>
        <v>210</v>
      </c>
      <c r="P12" s="52">
        <f t="shared" si="4"/>
        <v>7.5656436626287187</v>
      </c>
      <c r="Q12" s="66"/>
      <c r="R12" s="37"/>
      <c r="S12" s="74" t="s">
        <v>291</v>
      </c>
      <c r="T12" s="81" t="e">
        <f t="shared" si="6"/>
        <v>#DIV/0!</v>
      </c>
      <c r="U12" s="81">
        <f t="shared" si="7"/>
        <v>75</v>
      </c>
      <c r="V12" s="52" t="s">
        <v>102</v>
      </c>
      <c r="W12" s="198" t="s">
        <v>102</v>
      </c>
      <c r="X12" s="198" t="s">
        <v>102</v>
      </c>
      <c r="Y12" s="198" t="s">
        <v>102</v>
      </c>
      <c r="Z12" s="52" t="s">
        <v>102</v>
      </c>
      <c r="AA12" s="52" t="s">
        <v>102</v>
      </c>
      <c r="AB12" s="52" t="s">
        <v>102</v>
      </c>
      <c r="AC12" s="52" t="s">
        <v>102</v>
      </c>
      <c r="AD12" s="52" t="s">
        <v>102</v>
      </c>
      <c r="AE12" s="52" t="s">
        <v>102</v>
      </c>
      <c r="AF12" s="52">
        <v>75</v>
      </c>
      <c r="AG12" s="52" t="s">
        <v>102</v>
      </c>
      <c r="AH12" s="53" t="s">
        <v>263</v>
      </c>
      <c r="AI12" s="52" t="s">
        <v>102</v>
      </c>
      <c r="AJ12" s="52" t="s">
        <v>102</v>
      </c>
      <c r="AK12" s="52" t="s">
        <v>102</v>
      </c>
      <c r="AL12" s="155" t="s">
        <v>102</v>
      </c>
      <c r="AM12" s="52" t="s">
        <v>102</v>
      </c>
      <c r="AN12" s="123" t="s">
        <v>263</v>
      </c>
      <c r="AO12" s="68" t="s">
        <v>263</v>
      </c>
      <c r="AP12" s="68" t="s">
        <v>263</v>
      </c>
      <c r="AQ12" s="68" t="s">
        <v>263</v>
      </c>
      <c r="AR12" s="52">
        <v>7</v>
      </c>
      <c r="AS12" s="52">
        <v>3</v>
      </c>
      <c r="AT12" s="52">
        <v>2</v>
      </c>
      <c r="AU12" s="52">
        <v>210</v>
      </c>
      <c r="AV12" s="52">
        <v>10</v>
      </c>
      <c r="AW12" s="53">
        <v>3</v>
      </c>
      <c r="AX12" s="51">
        <v>9</v>
      </c>
      <c r="AY12" s="53" t="s">
        <v>264</v>
      </c>
      <c r="AZ12" s="53">
        <v>2</v>
      </c>
      <c r="BA12" s="53" t="s">
        <v>264</v>
      </c>
      <c r="BB12" s="53">
        <v>4</v>
      </c>
      <c r="BC12" s="53">
        <v>6</v>
      </c>
      <c r="BD12" s="53">
        <v>28</v>
      </c>
      <c r="BE12" s="53" t="s">
        <v>264</v>
      </c>
      <c r="BF12" s="53" t="s">
        <v>264</v>
      </c>
      <c r="BG12" s="53">
        <v>4</v>
      </c>
      <c r="BH12" s="53" t="s">
        <v>264</v>
      </c>
      <c r="BI12" s="53" t="s">
        <v>264</v>
      </c>
      <c r="BJ12" s="53" t="s">
        <v>264</v>
      </c>
      <c r="BK12" s="53" t="s">
        <v>264</v>
      </c>
      <c r="BL12" s="53" t="s">
        <v>262</v>
      </c>
      <c r="BM12" s="53">
        <v>12</v>
      </c>
      <c r="BN12" s="53">
        <v>15</v>
      </c>
      <c r="BO12" s="53">
        <v>25</v>
      </c>
      <c r="BP12" s="53" t="s">
        <v>264</v>
      </c>
      <c r="BQ12" s="53" t="s">
        <v>262</v>
      </c>
      <c r="BR12" s="53">
        <v>2</v>
      </c>
      <c r="BS12" s="53" t="s">
        <v>264</v>
      </c>
      <c r="BT12" s="53" t="s">
        <v>264</v>
      </c>
      <c r="BU12" s="53" t="s">
        <v>264</v>
      </c>
      <c r="BV12" s="53" t="s">
        <v>264</v>
      </c>
      <c r="BW12" s="53" t="s">
        <v>264</v>
      </c>
      <c r="BX12" s="53" t="s">
        <v>264</v>
      </c>
      <c r="BY12" s="53" t="s">
        <v>264</v>
      </c>
      <c r="BZ12" s="53" t="s">
        <v>264</v>
      </c>
      <c r="CA12" s="53" t="s">
        <v>264</v>
      </c>
      <c r="CB12" s="53" t="s">
        <v>264</v>
      </c>
      <c r="CC12" s="53" t="s">
        <v>264</v>
      </c>
      <c r="CD12" s="53" t="s">
        <v>264</v>
      </c>
      <c r="CE12" s="53" t="s">
        <v>264</v>
      </c>
      <c r="CF12" s="53" t="s">
        <v>264</v>
      </c>
      <c r="CG12" s="53" t="s">
        <v>264</v>
      </c>
      <c r="CH12" s="53" t="s">
        <v>264</v>
      </c>
      <c r="CI12" s="53" t="s">
        <v>264</v>
      </c>
      <c r="CJ12" s="53" t="s">
        <v>264</v>
      </c>
      <c r="CK12" s="53" t="s">
        <v>264</v>
      </c>
      <c r="CL12" s="53" t="s">
        <v>264</v>
      </c>
      <c r="CM12" s="53" t="s">
        <v>264</v>
      </c>
      <c r="CN12" s="206"/>
      <c r="CO12" s="206"/>
      <c r="CP12" s="206"/>
      <c r="CQ12" s="8">
        <f t="shared" si="8"/>
        <v>2</v>
      </c>
      <c r="CR12" s="8">
        <f t="shared" si="9"/>
        <v>210</v>
      </c>
      <c r="CS12" s="8">
        <f t="shared" si="10"/>
        <v>24.529411764705884</v>
      </c>
      <c r="CT12">
        <f t="shared" si="11"/>
        <v>8.6585822582216796</v>
      </c>
      <c r="CU12" s="143" t="e">
        <f t="shared" si="12"/>
        <v>#DIV/0!</v>
      </c>
      <c r="CV12" s="143">
        <f t="shared" si="13"/>
        <v>75</v>
      </c>
      <c r="CX12" s="7">
        <f t="shared" si="14"/>
        <v>2</v>
      </c>
      <c r="CY12" s="7">
        <f t="shared" si="15"/>
        <v>2.4</v>
      </c>
      <c r="CZ12" s="7">
        <f t="shared" si="16"/>
        <v>3</v>
      </c>
      <c r="DA12" s="7">
        <f t="shared" si="17"/>
        <v>3</v>
      </c>
      <c r="DB12" s="7">
        <f t="shared" si="18"/>
        <v>7</v>
      </c>
      <c r="DC12" s="7">
        <f t="shared" si="19"/>
        <v>9.6</v>
      </c>
      <c r="DD12" s="7">
        <f t="shared" si="20"/>
        <v>10.8</v>
      </c>
      <c r="DE12" s="7">
        <f t="shared" si="21"/>
        <v>15</v>
      </c>
      <c r="DF12" s="7">
        <f t="shared" si="22"/>
        <v>26.799999999999997</v>
      </c>
      <c r="DH12" s="7">
        <f t="shared" si="23"/>
        <v>2.2999999999999998</v>
      </c>
      <c r="DI12" s="7">
        <f t="shared" si="24"/>
        <v>2.9</v>
      </c>
      <c r="DJ12" s="7">
        <f t="shared" si="25"/>
        <v>3</v>
      </c>
      <c r="DK12" s="7">
        <f t="shared" si="26"/>
        <v>3</v>
      </c>
      <c r="DL12" s="7">
        <f t="shared" si="27"/>
        <v>7</v>
      </c>
      <c r="DM12" s="7">
        <f t="shared" si="28"/>
        <v>8.7999999999999989</v>
      </c>
      <c r="DN12" s="7">
        <f t="shared" si="29"/>
        <v>9.7000000000000011</v>
      </c>
      <c r="DO12" s="7">
        <f t="shared" si="30"/>
        <v>42.5</v>
      </c>
      <c r="DP12" s="7">
        <f t="shared" si="31"/>
        <v>88.499999999999957</v>
      </c>
    </row>
    <row r="13" spans="1:133" s="7" customFormat="1" ht="25.5" hidden="1" customHeight="1" x14ac:dyDescent="0.25">
      <c r="A13" s="92" t="str">
        <f t="shared" si="32"/>
        <v>CM-GStr [4]</v>
      </c>
      <c r="B13" s="92" t="str">
        <f t="shared" si="33"/>
        <v>Georgia Strait</v>
      </c>
      <c r="C13" s="93" t="str">
        <f t="shared" si="1"/>
        <v>DE MAMIEL CREEK_Chum</v>
      </c>
      <c r="D13" s="128" t="s">
        <v>598</v>
      </c>
      <c r="E13" s="128" t="s">
        <v>598</v>
      </c>
      <c r="F13" s="64">
        <v>20</v>
      </c>
      <c r="G13" s="72" t="s">
        <v>24</v>
      </c>
      <c r="H13" s="65" t="s">
        <v>96</v>
      </c>
      <c r="I13" s="119"/>
      <c r="J13" s="119"/>
      <c r="K13" s="64">
        <v>4</v>
      </c>
      <c r="L13" s="52">
        <v>6</v>
      </c>
      <c r="M13" s="52">
        <v>6</v>
      </c>
      <c r="N13" s="52">
        <f t="shared" si="2"/>
        <v>3783.6854196662657</v>
      </c>
      <c r="O13" s="52">
        <f t="shared" si="3"/>
        <v>55000</v>
      </c>
      <c r="P13" s="52">
        <f t="shared" si="4"/>
        <v>6423.9897209133196</v>
      </c>
      <c r="Q13" s="66"/>
      <c r="R13" s="37"/>
      <c r="S13" s="74" t="s">
        <v>291</v>
      </c>
      <c r="T13" s="81" t="e">
        <f t="shared" si="6"/>
        <v>#DIV/0!</v>
      </c>
      <c r="U13" s="81">
        <f t="shared" si="7"/>
        <v>3754</v>
      </c>
      <c r="V13" s="52" t="s">
        <v>102</v>
      </c>
      <c r="W13" s="198" t="s">
        <v>102</v>
      </c>
      <c r="X13" s="198" t="s">
        <v>102</v>
      </c>
      <c r="Y13" s="198" t="s">
        <v>102</v>
      </c>
      <c r="Z13" s="52" t="s">
        <v>102</v>
      </c>
      <c r="AA13" s="52" t="s">
        <v>102</v>
      </c>
      <c r="AB13" s="52" t="s">
        <v>102</v>
      </c>
      <c r="AC13" s="52" t="s">
        <v>102</v>
      </c>
      <c r="AD13" s="52" t="s">
        <v>102</v>
      </c>
      <c r="AE13" s="52" t="s">
        <v>102</v>
      </c>
      <c r="AF13" s="144">
        <v>3754</v>
      </c>
      <c r="AG13" s="52" t="s">
        <v>102</v>
      </c>
      <c r="AH13" s="53" t="s">
        <v>263</v>
      </c>
      <c r="AI13" s="52" t="s">
        <v>102</v>
      </c>
      <c r="AJ13" s="52" t="s">
        <v>102</v>
      </c>
      <c r="AK13" s="52" t="s">
        <v>102</v>
      </c>
      <c r="AL13" s="155" t="s">
        <v>102</v>
      </c>
      <c r="AM13" s="52" t="s">
        <v>102</v>
      </c>
      <c r="AN13" s="123" t="s">
        <v>263</v>
      </c>
      <c r="AO13" s="68" t="s">
        <v>263</v>
      </c>
      <c r="AP13" s="68" t="s">
        <v>263</v>
      </c>
      <c r="AQ13" s="68" t="s">
        <v>263</v>
      </c>
      <c r="AR13" s="52">
        <v>550</v>
      </c>
      <c r="AS13" s="52">
        <v>1540</v>
      </c>
      <c r="AT13" s="52">
        <v>55000</v>
      </c>
      <c r="AU13" s="52">
        <v>11000</v>
      </c>
      <c r="AV13" s="52">
        <v>7000</v>
      </c>
      <c r="AW13" s="53">
        <v>818</v>
      </c>
      <c r="AX13" s="51">
        <v>6000</v>
      </c>
      <c r="AY13" s="53">
        <v>10000</v>
      </c>
      <c r="AZ13" s="53">
        <v>15000</v>
      </c>
      <c r="BA13" s="53">
        <v>1633</v>
      </c>
      <c r="BB13" s="53">
        <v>3500</v>
      </c>
      <c r="BC13" s="53">
        <v>3300</v>
      </c>
      <c r="BD13" s="53">
        <v>44000</v>
      </c>
      <c r="BE13" s="53">
        <v>4980</v>
      </c>
      <c r="BF13" s="53">
        <v>1900</v>
      </c>
      <c r="BG13" s="53">
        <v>11000</v>
      </c>
      <c r="BH13" s="53">
        <v>8000</v>
      </c>
      <c r="BI13" s="53">
        <v>8000</v>
      </c>
      <c r="BJ13" s="53">
        <v>2500</v>
      </c>
      <c r="BK13" s="53">
        <v>6000</v>
      </c>
      <c r="BL13" s="53">
        <v>9000</v>
      </c>
      <c r="BM13" s="53">
        <v>800</v>
      </c>
      <c r="BN13" s="53">
        <v>8000</v>
      </c>
      <c r="BO13" s="53">
        <v>3500</v>
      </c>
      <c r="BP13" s="53">
        <v>1500</v>
      </c>
      <c r="BQ13" s="53">
        <v>3500</v>
      </c>
      <c r="BR13" s="53">
        <v>3500</v>
      </c>
      <c r="BS13" s="53">
        <v>35000</v>
      </c>
      <c r="BT13" s="53">
        <v>15000</v>
      </c>
      <c r="BU13" s="53">
        <v>7500</v>
      </c>
      <c r="BV13" s="53">
        <v>15000</v>
      </c>
      <c r="BW13" s="53">
        <v>15000</v>
      </c>
      <c r="BX13" s="53">
        <v>35000</v>
      </c>
      <c r="BY13" s="53">
        <v>7500</v>
      </c>
      <c r="BZ13" s="53">
        <v>7500</v>
      </c>
      <c r="CA13" s="53">
        <v>7500</v>
      </c>
      <c r="CB13" s="53">
        <v>15000</v>
      </c>
      <c r="CC13" s="53">
        <v>3500</v>
      </c>
      <c r="CD13" s="53">
        <v>3500</v>
      </c>
      <c r="CE13" s="53">
        <v>3500</v>
      </c>
      <c r="CF13" s="53">
        <v>3500</v>
      </c>
      <c r="CG13" s="53">
        <v>7500</v>
      </c>
      <c r="CH13" s="53">
        <v>35000</v>
      </c>
      <c r="CI13" s="53">
        <v>7500</v>
      </c>
      <c r="CJ13" s="53">
        <v>7500</v>
      </c>
      <c r="CK13" s="53">
        <v>15000</v>
      </c>
      <c r="CL13" s="53">
        <v>7500</v>
      </c>
      <c r="CM13" s="53">
        <v>15000</v>
      </c>
      <c r="CN13" s="206">
        <f>IF(ISERROR(AVERAGE(BV13:CM13)),CS13,AVERAGE(BV13:CM13))</f>
        <v>11750</v>
      </c>
      <c r="CO13" s="206"/>
      <c r="CP13" s="206"/>
      <c r="CQ13" s="8">
        <f t="shared" si="8"/>
        <v>550</v>
      </c>
      <c r="CR13" s="8">
        <f t="shared" si="9"/>
        <v>55000</v>
      </c>
      <c r="CS13" s="8">
        <f t="shared" si="10"/>
        <v>10291.326530612245</v>
      </c>
      <c r="CT13">
        <f t="shared" si="11"/>
        <v>6353.9442089333124</v>
      </c>
      <c r="CU13" s="143" t="e">
        <f t="shared" si="12"/>
        <v>#DIV/0!</v>
      </c>
      <c r="CV13" s="143">
        <f t="shared" si="13"/>
        <v>3754</v>
      </c>
      <c r="CX13" s="7">
        <f t="shared" si="14"/>
        <v>1090.8000000000002</v>
      </c>
      <c r="CY13" s="7">
        <f t="shared" si="15"/>
        <v>2659.9999999999995</v>
      </c>
      <c r="CZ13" s="7">
        <f t="shared" si="16"/>
        <v>3500</v>
      </c>
      <c r="DA13" s="7">
        <f t="shared" si="17"/>
        <v>3500</v>
      </c>
      <c r="DB13" s="7">
        <f t="shared" si="18"/>
        <v>7500</v>
      </c>
      <c r="DC13" s="7">
        <f t="shared" si="19"/>
        <v>7500</v>
      </c>
      <c r="DD13" s="7">
        <f t="shared" si="20"/>
        <v>8000</v>
      </c>
      <c r="DE13" s="7">
        <f t="shared" si="21"/>
        <v>11000</v>
      </c>
      <c r="DF13" s="7">
        <f t="shared" si="22"/>
        <v>15000</v>
      </c>
      <c r="DH13" s="7">
        <f t="shared" si="23"/>
        <v>630.4</v>
      </c>
      <c r="DI13" s="7">
        <f t="shared" si="24"/>
        <v>791.2</v>
      </c>
      <c r="DJ13" s="7">
        <f t="shared" si="25"/>
        <v>962.40000000000009</v>
      </c>
      <c r="DK13" s="7">
        <f t="shared" si="26"/>
        <v>1179</v>
      </c>
      <c r="DL13" s="7">
        <f t="shared" si="27"/>
        <v>3754</v>
      </c>
      <c r="DM13" s="7">
        <f t="shared" si="28"/>
        <v>5701.5999999999985</v>
      </c>
      <c r="DN13" s="7">
        <f t="shared" si="29"/>
        <v>6675.4000000000015</v>
      </c>
      <c r="DO13" s="7">
        <f t="shared" si="30"/>
        <v>9000</v>
      </c>
      <c r="DP13" s="7">
        <f t="shared" si="31"/>
        <v>15399.999999999985</v>
      </c>
    </row>
    <row r="14" spans="1:133" s="7" customFormat="1" ht="25.5" hidden="1" customHeight="1" x14ac:dyDescent="0.25">
      <c r="A14" s="92" t="str">
        <f t="shared" si="32"/>
        <v>CO-EVI+GStr [13]</v>
      </c>
      <c r="B14" s="92" t="str">
        <f t="shared" si="33"/>
        <v>Georgia Strait-E Vancouver Island</v>
      </c>
      <c r="C14" s="93" t="str">
        <f t="shared" si="1"/>
        <v>DE MAMIEL CREEK_Coho</v>
      </c>
      <c r="D14" s="128" t="s">
        <v>598</v>
      </c>
      <c r="E14" s="128" t="s">
        <v>598</v>
      </c>
      <c r="F14" s="64">
        <v>20</v>
      </c>
      <c r="G14" s="72" t="s">
        <v>24</v>
      </c>
      <c r="H14" s="65" t="s">
        <v>93</v>
      </c>
      <c r="I14" s="119"/>
      <c r="J14" s="119"/>
      <c r="K14" s="64">
        <v>4</v>
      </c>
      <c r="L14" s="52">
        <v>6</v>
      </c>
      <c r="M14" s="52">
        <v>6</v>
      </c>
      <c r="N14" s="52">
        <f t="shared" si="2"/>
        <v>471.14613607867756</v>
      </c>
      <c r="O14" s="52">
        <f t="shared" si="3"/>
        <v>7500</v>
      </c>
      <c r="P14" s="52">
        <f t="shared" si="4"/>
        <v>899.7042522813806</v>
      </c>
      <c r="Q14" s="66"/>
      <c r="R14" s="37"/>
      <c r="S14" s="74" t="s">
        <v>291</v>
      </c>
      <c r="T14" s="81" t="e">
        <f t="shared" si="6"/>
        <v>#DIV/0!</v>
      </c>
      <c r="U14" s="81">
        <f t="shared" si="7"/>
        <v>200</v>
      </c>
      <c r="V14" s="52" t="s">
        <v>102</v>
      </c>
      <c r="W14" s="198" t="s">
        <v>102</v>
      </c>
      <c r="X14" s="198" t="s">
        <v>102</v>
      </c>
      <c r="Y14" s="198" t="s">
        <v>102</v>
      </c>
      <c r="Z14" s="52" t="s">
        <v>102</v>
      </c>
      <c r="AA14" s="52" t="s">
        <v>102</v>
      </c>
      <c r="AB14" s="52" t="s">
        <v>102</v>
      </c>
      <c r="AC14" s="52" t="s">
        <v>102</v>
      </c>
      <c r="AD14" s="52" t="s">
        <v>102</v>
      </c>
      <c r="AE14" s="52" t="s">
        <v>102</v>
      </c>
      <c r="AF14" s="144">
        <v>200</v>
      </c>
      <c r="AG14" s="52" t="s">
        <v>102</v>
      </c>
      <c r="AH14" s="53">
        <v>3402</v>
      </c>
      <c r="AI14" s="52" t="s">
        <v>102</v>
      </c>
      <c r="AJ14" s="52" t="s">
        <v>102</v>
      </c>
      <c r="AK14" s="52" t="s">
        <v>102</v>
      </c>
      <c r="AL14" s="155" t="s">
        <v>102</v>
      </c>
      <c r="AM14" s="52" t="s">
        <v>102</v>
      </c>
      <c r="AN14" s="123" t="s">
        <v>263</v>
      </c>
      <c r="AO14" s="68" t="s">
        <v>263</v>
      </c>
      <c r="AP14" s="68" t="s">
        <v>263</v>
      </c>
      <c r="AQ14" s="68" t="s">
        <v>263</v>
      </c>
      <c r="AR14" s="52">
        <v>1765</v>
      </c>
      <c r="AS14" s="52">
        <v>387</v>
      </c>
      <c r="AT14" s="52">
        <v>950</v>
      </c>
      <c r="AU14" s="52">
        <v>350</v>
      </c>
      <c r="AV14" s="52">
        <v>280</v>
      </c>
      <c r="AW14" s="53">
        <v>172</v>
      </c>
      <c r="AX14" s="51">
        <v>600</v>
      </c>
      <c r="AY14" s="53">
        <v>610</v>
      </c>
      <c r="AZ14" s="53">
        <v>800</v>
      </c>
      <c r="BA14" s="53">
        <v>703</v>
      </c>
      <c r="BB14" s="53">
        <v>700</v>
      </c>
      <c r="BC14" s="53">
        <v>780</v>
      </c>
      <c r="BD14" s="53">
        <v>350</v>
      </c>
      <c r="BE14" s="53">
        <v>1340</v>
      </c>
      <c r="BF14" s="53">
        <v>862</v>
      </c>
      <c r="BG14" s="53">
        <v>700</v>
      </c>
      <c r="BH14" s="53">
        <v>365</v>
      </c>
      <c r="BI14" s="53">
        <v>230</v>
      </c>
      <c r="BJ14" s="53">
        <v>700</v>
      </c>
      <c r="BK14" s="53">
        <v>800</v>
      </c>
      <c r="BL14" s="53">
        <v>800</v>
      </c>
      <c r="BM14" s="53">
        <v>1200</v>
      </c>
      <c r="BN14" s="53">
        <v>800</v>
      </c>
      <c r="BO14" s="53">
        <v>750</v>
      </c>
      <c r="BP14" s="53">
        <v>400</v>
      </c>
      <c r="BQ14" s="53">
        <v>750</v>
      </c>
      <c r="BR14" s="53">
        <v>1500</v>
      </c>
      <c r="BS14" s="53">
        <v>6400</v>
      </c>
      <c r="BT14" s="53">
        <v>3500</v>
      </c>
      <c r="BU14" s="53">
        <v>1500</v>
      </c>
      <c r="BV14" s="53">
        <v>3500</v>
      </c>
      <c r="BW14" s="53">
        <v>750</v>
      </c>
      <c r="BX14" s="53">
        <v>3500</v>
      </c>
      <c r="BY14" s="53">
        <v>750</v>
      </c>
      <c r="BZ14" s="53">
        <v>7500</v>
      </c>
      <c r="CA14" s="53">
        <v>3500</v>
      </c>
      <c r="CB14" s="53">
        <v>1500</v>
      </c>
      <c r="CC14" s="53">
        <v>3500</v>
      </c>
      <c r="CD14" s="53">
        <v>3500</v>
      </c>
      <c r="CE14" s="53">
        <v>3500</v>
      </c>
      <c r="CF14" s="53">
        <v>200</v>
      </c>
      <c r="CG14" s="53">
        <v>750</v>
      </c>
      <c r="CH14" s="53">
        <v>3500</v>
      </c>
      <c r="CI14" s="53">
        <v>400</v>
      </c>
      <c r="CJ14" s="53">
        <v>400</v>
      </c>
      <c r="CK14" s="53">
        <v>75</v>
      </c>
      <c r="CL14" s="53">
        <v>1500</v>
      </c>
      <c r="CM14" s="53">
        <v>400</v>
      </c>
      <c r="CN14" s="206">
        <f>IF(ISERROR(AVERAGE(BV14:CM14)),CS14,AVERAGE(BV14:CM14))</f>
        <v>2151.3888888888887</v>
      </c>
      <c r="CO14" s="206"/>
      <c r="CP14" s="206"/>
      <c r="CQ14" s="8">
        <f t="shared" si="8"/>
        <v>75</v>
      </c>
      <c r="CR14" s="8">
        <f t="shared" si="9"/>
        <v>7500</v>
      </c>
      <c r="CS14" s="8">
        <f t="shared" si="10"/>
        <v>1467.42</v>
      </c>
      <c r="CT14">
        <f t="shared" si="11"/>
        <v>896.58417316228451</v>
      </c>
      <c r="CU14" s="143" t="e">
        <f t="shared" si="12"/>
        <v>#DIV/0!</v>
      </c>
      <c r="CV14" s="143">
        <f t="shared" si="13"/>
        <v>200</v>
      </c>
      <c r="CX14" s="7">
        <f t="shared" si="14"/>
        <v>200</v>
      </c>
      <c r="CY14" s="7">
        <f t="shared" si="15"/>
        <v>355.25</v>
      </c>
      <c r="CZ14" s="7">
        <f t="shared" si="16"/>
        <v>397.40000000000003</v>
      </c>
      <c r="DA14" s="7">
        <f t="shared" si="17"/>
        <v>400</v>
      </c>
      <c r="DB14" s="7">
        <f t="shared" si="18"/>
        <v>765</v>
      </c>
      <c r="DC14" s="7">
        <f t="shared" si="19"/>
        <v>824.8</v>
      </c>
      <c r="DD14" s="7">
        <f t="shared" si="20"/>
        <v>1162.5000000000005</v>
      </c>
      <c r="DE14" s="7">
        <f t="shared" si="21"/>
        <v>1500</v>
      </c>
      <c r="DF14" s="7">
        <f t="shared" si="22"/>
        <v>3500</v>
      </c>
      <c r="DH14" s="7">
        <f t="shared" si="23"/>
        <v>181.8</v>
      </c>
      <c r="DI14" s="7">
        <f t="shared" si="24"/>
        <v>204</v>
      </c>
      <c r="DJ14" s="7">
        <f t="shared" si="25"/>
        <v>232.00000000000003</v>
      </c>
      <c r="DK14" s="7">
        <f t="shared" si="26"/>
        <v>260</v>
      </c>
      <c r="DL14" s="7">
        <f t="shared" si="27"/>
        <v>368.5</v>
      </c>
      <c r="DM14" s="7">
        <f t="shared" si="28"/>
        <v>499.60000000000008</v>
      </c>
      <c r="DN14" s="7">
        <f t="shared" si="29"/>
        <v>696.64999999999986</v>
      </c>
      <c r="DO14" s="7">
        <f t="shared" si="30"/>
        <v>1153.75</v>
      </c>
      <c r="DP14" s="7">
        <f t="shared" si="31"/>
        <v>1724.25</v>
      </c>
    </row>
    <row r="15" spans="1:133" s="7" customFormat="1" ht="25.5" hidden="1" customHeight="1" x14ac:dyDescent="0.25">
      <c r="A15" s="92" t="str">
        <f t="shared" si="32"/>
        <v>CO-JdF [16]</v>
      </c>
      <c r="B15" s="92" t="str">
        <f t="shared" si="33"/>
        <v>Juan de Fuca-Pachena</v>
      </c>
      <c r="C15" s="93" t="str">
        <f t="shared" si="1"/>
        <v>FALLS CREEK_Coho</v>
      </c>
      <c r="D15" s="128" t="s">
        <v>598</v>
      </c>
      <c r="E15" s="128" t="s">
        <v>598</v>
      </c>
      <c r="F15" s="64">
        <v>20</v>
      </c>
      <c r="G15" s="72" t="s">
        <v>29</v>
      </c>
      <c r="H15" s="65" t="s">
        <v>93</v>
      </c>
      <c r="I15" s="119"/>
      <c r="J15" s="119"/>
      <c r="K15" s="64">
        <v>4</v>
      </c>
      <c r="L15" s="52">
        <v>7</v>
      </c>
      <c r="M15" s="52">
        <v>7</v>
      </c>
      <c r="N15" s="52">
        <f t="shared" si="2"/>
        <v>41.531282274890799</v>
      </c>
      <c r="O15" s="52">
        <f t="shared" si="3"/>
        <v>203</v>
      </c>
      <c r="P15" s="52">
        <f t="shared" si="4"/>
        <v>32.207930878486493</v>
      </c>
      <c r="Q15" s="66"/>
      <c r="R15" s="37"/>
      <c r="S15" s="74"/>
      <c r="T15" s="81" t="e">
        <f t="shared" si="6"/>
        <v>#DIV/0!</v>
      </c>
      <c r="U15" s="81">
        <f t="shared" si="7"/>
        <v>8</v>
      </c>
      <c r="V15" s="52" t="s">
        <v>102</v>
      </c>
      <c r="W15" s="198" t="s">
        <v>102</v>
      </c>
      <c r="X15" s="52"/>
      <c r="Y15" s="198" t="s">
        <v>102</v>
      </c>
      <c r="Z15" s="52" t="s">
        <v>102</v>
      </c>
      <c r="AA15" s="52" t="s">
        <v>102</v>
      </c>
      <c r="AB15" s="52" t="s">
        <v>102</v>
      </c>
      <c r="AC15" s="52" t="s">
        <v>102</v>
      </c>
      <c r="AD15" s="52" t="s">
        <v>102</v>
      </c>
      <c r="AE15" s="53">
        <v>14</v>
      </c>
      <c r="AF15" s="144" t="s">
        <v>102</v>
      </c>
      <c r="AG15" s="144">
        <v>2</v>
      </c>
      <c r="AH15" s="52">
        <v>193</v>
      </c>
      <c r="AI15" s="52" t="s">
        <v>262</v>
      </c>
      <c r="AJ15" s="52" t="s">
        <v>262</v>
      </c>
      <c r="AK15" s="153" t="s">
        <v>102</v>
      </c>
      <c r="AL15" s="155" t="s">
        <v>102</v>
      </c>
      <c r="AM15" s="52" t="s">
        <v>102</v>
      </c>
      <c r="AN15" s="52" t="s">
        <v>102</v>
      </c>
      <c r="AO15" s="53">
        <v>11</v>
      </c>
      <c r="AP15" s="53">
        <v>93</v>
      </c>
      <c r="AQ15" s="53">
        <v>203</v>
      </c>
      <c r="AR15" s="52">
        <v>77</v>
      </c>
      <c r="AS15" s="52">
        <v>17</v>
      </c>
      <c r="AT15" s="52">
        <v>98</v>
      </c>
      <c r="AU15" s="52" t="s">
        <v>102</v>
      </c>
      <c r="AV15" s="52" t="s">
        <v>102</v>
      </c>
      <c r="AW15" s="53">
        <v>8</v>
      </c>
      <c r="AX15" s="51" t="s">
        <v>264</v>
      </c>
      <c r="AY15" s="53" t="s">
        <v>262</v>
      </c>
      <c r="AZ15" s="53">
        <v>7</v>
      </c>
      <c r="BA15" s="53" t="s">
        <v>102</v>
      </c>
      <c r="BB15" s="53" t="s">
        <v>102</v>
      </c>
      <c r="BC15" s="53" t="s">
        <v>102</v>
      </c>
      <c r="BD15" s="53" t="s">
        <v>102</v>
      </c>
      <c r="BE15" s="53" t="s">
        <v>102</v>
      </c>
      <c r="BF15" s="53" t="s">
        <v>102</v>
      </c>
      <c r="BG15" s="53" t="s">
        <v>102</v>
      </c>
      <c r="BH15" s="53" t="s">
        <v>102</v>
      </c>
      <c r="BI15" s="53" t="s">
        <v>102</v>
      </c>
      <c r="BJ15" s="53" t="s">
        <v>102</v>
      </c>
      <c r="BK15" s="53">
        <v>25</v>
      </c>
      <c r="BL15" s="53" t="s">
        <v>102</v>
      </c>
      <c r="BM15" s="53" t="s">
        <v>102</v>
      </c>
      <c r="BN15" s="53" t="s">
        <v>102</v>
      </c>
      <c r="BO15" s="53" t="s">
        <v>102</v>
      </c>
      <c r="BP15" s="53" t="s">
        <v>102</v>
      </c>
      <c r="BQ15" s="53" t="s">
        <v>102</v>
      </c>
      <c r="BR15" s="53" t="s">
        <v>102</v>
      </c>
      <c r="BS15" s="53" t="s">
        <v>102</v>
      </c>
      <c r="BT15" s="53" t="s">
        <v>102</v>
      </c>
      <c r="BU15" s="53" t="s">
        <v>102</v>
      </c>
      <c r="BV15" s="53" t="s">
        <v>102</v>
      </c>
      <c r="BW15" s="53" t="s">
        <v>102</v>
      </c>
      <c r="BX15" s="53" t="s">
        <v>102</v>
      </c>
      <c r="BY15" s="53" t="s">
        <v>102</v>
      </c>
      <c r="BZ15" s="53" t="s">
        <v>102</v>
      </c>
      <c r="CA15" s="53" t="s">
        <v>102</v>
      </c>
      <c r="CB15" s="53" t="s">
        <v>102</v>
      </c>
      <c r="CC15" s="53" t="s">
        <v>102</v>
      </c>
      <c r="CD15" s="53" t="s">
        <v>102</v>
      </c>
      <c r="CE15" s="53" t="s">
        <v>102</v>
      </c>
      <c r="CF15" s="53" t="s">
        <v>102</v>
      </c>
      <c r="CG15" s="53" t="s">
        <v>102</v>
      </c>
      <c r="CH15" s="53" t="s">
        <v>102</v>
      </c>
      <c r="CI15" s="53" t="s">
        <v>102</v>
      </c>
      <c r="CJ15" s="53" t="s">
        <v>102</v>
      </c>
      <c r="CK15" s="53" t="s">
        <v>102</v>
      </c>
      <c r="CL15" s="53" t="s">
        <v>102</v>
      </c>
      <c r="CM15" s="53" t="s">
        <v>102</v>
      </c>
      <c r="CN15" s="206">
        <f>IF(ISERROR(AVERAGE(BV15:CM15)),CS15,AVERAGE(BV15:CM15))</f>
        <v>62.333333333333336</v>
      </c>
      <c r="CO15" s="206"/>
      <c r="CP15" s="206"/>
      <c r="CQ15" s="8">
        <f t="shared" si="8"/>
        <v>2</v>
      </c>
      <c r="CR15" s="8">
        <f t="shared" si="9"/>
        <v>203</v>
      </c>
      <c r="CS15" s="8">
        <f t="shared" si="10"/>
        <v>62.333333333333336</v>
      </c>
      <c r="CT15">
        <f t="shared" si="11"/>
        <v>27.671438136441566</v>
      </c>
      <c r="CU15" s="143" t="e">
        <f t="shared" si="12"/>
        <v>#DIV/0!</v>
      </c>
      <c r="CV15" s="143">
        <f t="shared" si="13"/>
        <v>8</v>
      </c>
      <c r="CX15" s="7">
        <f t="shared" si="14"/>
        <v>4.75</v>
      </c>
      <c r="CY15" s="7">
        <f t="shared" si="15"/>
        <v>7.65</v>
      </c>
      <c r="CZ15" s="7">
        <f t="shared" si="16"/>
        <v>8.6000000000000014</v>
      </c>
      <c r="DA15" s="7">
        <f t="shared" si="17"/>
        <v>10.25</v>
      </c>
      <c r="DB15" s="7">
        <f t="shared" si="18"/>
        <v>21</v>
      </c>
      <c r="DC15" s="7">
        <f t="shared" si="19"/>
        <v>56.199999999999982</v>
      </c>
      <c r="DD15" s="7">
        <f t="shared" si="20"/>
        <v>79.400000000000006</v>
      </c>
      <c r="DE15" s="7">
        <f t="shared" si="21"/>
        <v>94.25</v>
      </c>
      <c r="DF15" s="7">
        <f t="shared" si="22"/>
        <v>131.24999999999997</v>
      </c>
      <c r="DH15" s="7">
        <f t="shared" si="23"/>
        <v>4.6999999999999993</v>
      </c>
      <c r="DI15" s="7">
        <f t="shared" si="24"/>
        <v>9.0499999999999989</v>
      </c>
      <c r="DJ15" s="7">
        <f t="shared" si="25"/>
        <v>10.399999999999999</v>
      </c>
      <c r="DK15" s="7">
        <f t="shared" si="26"/>
        <v>11.75</v>
      </c>
      <c r="DL15" s="7">
        <f t="shared" si="27"/>
        <v>47</v>
      </c>
      <c r="DM15" s="7">
        <f t="shared" si="28"/>
        <v>83.399999999999991</v>
      </c>
      <c r="DN15" s="7">
        <f t="shared" si="29"/>
        <v>90.600000000000009</v>
      </c>
      <c r="DO15" s="7">
        <f t="shared" si="30"/>
        <v>96.75</v>
      </c>
      <c r="DP15" s="7">
        <f t="shared" si="31"/>
        <v>159.74999999999986</v>
      </c>
    </row>
    <row r="16" spans="1:133" s="7" customFormat="1" ht="25.5" customHeight="1" x14ac:dyDescent="0.25">
      <c r="A16" s="92" t="str">
        <f t="shared" si="32"/>
        <v>CK-PSJ [30]</v>
      </c>
      <c r="B16" s="92" t="str">
        <f t="shared" si="33"/>
        <v>Port San Juan</v>
      </c>
      <c r="C16" s="93" t="str">
        <f t="shared" si="1"/>
        <v>GORDON RIVER_Chinook</v>
      </c>
      <c r="D16" s="128" t="s">
        <v>598</v>
      </c>
      <c r="E16" s="128" t="s">
        <v>598</v>
      </c>
      <c r="F16" s="64">
        <v>20</v>
      </c>
      <c r="G16" s="72" t="s">
        <v>36</v>
      </c>
      <c r="H16" s="67" t="s">
        <v>97</v>
      </c>
      <c r="I16" s="119"/>
      <c r="J16" s="119"/>
      <c r="K16" s="64">
        <v>3</v>
      </c>
      <c r="L16" s="52">
        <v>8</v>
      </c>
      <c r="M16" s="52">
        <v>8</v>
      </c>
      <c r="N16" s="52">
        <f t="shared" si="2"/>
        <v>46.023071315103437</v>
      </c>
      <c r="O16" s="52">
        <f t="shared" si="3"/>
        <v>3500</v>
      </c>
      <c r="P16" s="52">
        <f t="shared" si="4"/>
        <v>77.627093425005967</v>
      </c>
      <c r="Q16" s="66" t="s">
        <v>270</v>
      </c>
      <c r="R16" s="37"/>
      <c r="S16" s="74" t="s">
        <v>1</v>
      </c>
      <c r="T16" s="81">
        <f t="shared" si="6"/>
        <v>84.5</v>
      </c>
      <c r="U16" s="81">
        <f t="shared" si="7"/>
        <v>64.333333333333329</v>
      </c>
      <c r="V16" s="233">
        <v>46</v>
      </c>
      <c r="W16" s="52" t="s">
        <v>102</v>
      </c>
      <c r="X16" s="230" t="s">
        <v>263</v>
      </c>
      <c r="Y16" s="52">
        <v>123</v>
      </c>
      <c r="Z16" s="52" t="s">
        <v>102</v>
      </c>
      <c r="AA16" s="52" t="s">
        <v>102</v>
      </c>
      <c r="AB16" s="52" t="s">
        <v>102</v>
      </c>
      <c r="AC16" s="52" t="s">
        <v>262</v>
      </c>
      <c r="AD16" s="52" t="s">
        <v>263</v>
      </c>
      <c r="AE16" s="53">
        <v>24</v>
      </c>
      <c r="AF16" s="52" t="s">
        <v>102</v>
      </c>
      <c r="AG16" s="52" t="s">
        <v>102</v>
      </c>
      <c r="AH16" s="52" t="s">
        <v>102</v>
      </c>
      <c r="AI16" s="52">
        <v>5</v>
      </c>
      <c r="AJ16" s="52">
        <v>2</v>
      </c>
      <c r="AK16" s="52" t="s">
        <v>102</v>
      </c>
      <c r="AL16" s="155" t="s">
        <v>102</v>
      </c>
      <c r="AM16" s="52" t="s">
        <v>102</v>
      </c>
      <c r="AN16" s="52" t="s">
        <v>102</v>
      </c>
      <c r="AO16" s="52" t="s">
        <v>102</v>
      </c>
      <c r="AP16" s="53">
        <v>239</v>
      </c>
      <c r="AQ16" s="53">
        <v>20</v>
      </c>
      <c r="AR16" s="52">
        <v>13</v>
      </c>
      <c r="AS16" s="52">
        <v>50</v>
      </c>
      <c r="AT16" s="52">
        <v>224</v>
      </c>
      <c r="AU16" s="52">
        <v>120</v>
      </c>
      <c r="AV16" s="52">
        <v>94</v>
      </c>
      <c r="AW16" s="53">
        <v>59</v>
      </c>
      <c r="AX16" s="51">
        <v>9</v>
      </c>
      <c r="AY16" s="53">
        <v>12</v>
      </c>
      <c r="AZ16" s="53">
        <v>30</v>
      </c>
      <c r="BA16" s="53">
        <v>24</v>
      </c>
      <c r="BB16" s="53">
        <v>27</v>
      </c>
      <c r="BC16" s="53">
        <v>30</v>
      </c>
      <c r="BD16" s="53">
        <v>85</v>
      </c>
      <c r="BE16" s="53">
        <v>6</v>
      </c>
      <c r="BF16" s="53">
        <v>75</v>
      </c>
      <c r="BG16" s="53">
        <v>8</v>
      </c>
      <c r="BH16" s="53">
        <v>150</v>
      </c>
      <c r="BI16" s="53">
        <v>75</v>
      </c>
      <c r="BJ16" s="53">
        <v>75</v>
      </c>
      <c r="BK16" s="53">
        <v>75</v>
      </c>
      <c r="BL16" s="53">
        <v>20</v>
      </c>
      <c r="BM16" s="53">
        <v>25</v>
      </c>
      <c r="BN16" s="53">
        <v>50</v>
      </c>
      <c r="BO16" s="53">
        <v>25</v>
      </c>
      <c r="BP16" s="53" t="s">
        <v>262</v>
      </c>
      <c r="BQ16" s="53">
        <v>25</v>
      </c>
      <c r="BR16" s="53">
        <v>200</v>
      </c>
      <c r="BS16" s="53">
        <v>400</v>
      </c>
      <c r="BT16" s="53">
        <v>3500</v>
      </c>
      <c r="BU16" s="53">
        <v>750</v>
      </c>
      <c r="BV16" s="53">
        <v>750</v>
      </c>
      <c r="BW16" s="53">
        <v>200</v>
      </c>
      <c r="BX16" s="53">
        <v>400</v>
      </c>
      <c r="BY16" s="53">
        <v>750</v>
      </c>
      <c r="BZ16" s="53">
        <v>75</v>
      </c>
      <c r="CA16" s="53">
        <v>200</v>
      </c>
      <c r="CB16" s="53">
        <v>200</v>
      </c>
      <c r="CC16" s="53">
        <v>750</v>
      </c>
      <c r="CD16" s="53">
        <v>200</v>
      </c>
      <c r="CE16" s="53">
        <v>75</v>
      </c>
      <c r="CF16" s="53">
        <v>200</v>
      </c>
      <c r="CG16" s="53">
        <v>75</v>
      </c>
      <c r="CH16" s="53">
        <v>200</v>
      </c>
      <c r="CI16" s="53">
        <v>25</v>
      </c>
      <c r="CJ16" s="53">
        <v>25</v>
      </c>
      <c r="CK16" s="53">
        <v>75</v>
      </c>
      <c r="CL16" s="53">
        <v>200</v>
      </c>
      <c r="CM16" s="53">
        <v>200</v>
      </c>
      <c r="CN16" s="206">
        <f>IF(ISERROR(AVERAGE(BV16:CM16)),CS16,AVERAGE(BV16:CM16))</f>
        <v>255.55555555555554</v>
      </c>
      <c r="CO16" s="206"/>
      <c r="CP16" s="206"/>
      <c r="CQ16" s="8">
        <f t="shared" si="8"/>
        <v>2</v>
      </c>
      <c r="CR16" s="8">
        <f t="shared" si="9"/>
        <v>3500</v>
      </c>
      <c r="CS16" s="8">
        <f t="shared" si="10"/>
        <v>209.16666666666666</v>
      </c>
      <c r="CT16">
        <f t="shared" si="11"/>
        <v>72.112317493596137</v>
      </c>
      <c r="CU16" s="143">
        <f t="shared" si="12"/>
        <v>84.5</v>
      </c>
      <c r="CV16" s="143">
        <f t="shared" si="13"/>
        <v>64.333333333333329</v>
      </c>
      <c r="CX16" s="7">
        <f t="shared" si="14"/>
        <v>7.3000000000000007</v>
      </c>
      <c r="CY16" s="7">
        <f t="shared" si="15"/>
        <v>20</v>
      </c>
      <c r="CZ16" s="7">
        <f t="shared" si="16"/>
        <v>24.6</v>
      </c>
      <c r="DA16" s="7">
        <f t="shared" si="17"/>
        <v>25</v>
      </c>
      <c r="DB16" s="7">
        <f t="shared" si="18"/>
        <v>75</v>
      </c>
      <c r="DC16" s="7">
        <f t="shared" si="19"/>
        <v>92.199999999999974</v>
      </c>
      <c r="DD16" s="7">
        <f t="shared" si="20"/>
        <v>135.15000000000009</v>
      </c>
      <c r="DE16" s="7">
        <f t="shared" si="21"/>
        <v>200</v>
      </c>
      <c r="DF16" s="7">
        <f t="shared" si="22"/>
        <v>224.74999999999994</v>
      </c>
      <c r="DH16" s="7">
        <f t="shared" si="23"/>
        <v>3.8000000000000003</v>
      </c>
      <c r="DI16" s="7">
        <f t="shared" si="24"/>
        <v>11.399999999999999</v>
      </c>
      <c r="DJ16" s="7">
        <f t="shared" si="25"/>
        <v>15.800000000000002</v>
      </c>
      <c r="DK16" s="7">
        <f t="shared" si="26"/>
        <v>20</v>
      </c>
      <c r="DL16" s="7">
        <f t="shared" si="27"/>
        <v>50</v>
      </c>
      <c r="DM16" s="7">
        <f t="shared" si="28"/>
        <v>65.999999999999972</v>
      </c>
      <c r="DN16" s="7">
        <f t="shared" si="29"/>
        <v>87.000000000000028</v>
      </c>
      <c r="DO16" s="7">
        <f t="shared" si="30"/>
        <v>120</v>
      </c>
      <c r="DP16" s="7">
        <f t="shared" si="31"/>
        <v>143.19999999999993</v>
      </c>
    </row>
    <row r="17" spans="1:120" s="7" customFormat="1" ht="25.5" hidden="1" customHeight="1" x14ac:dyDescent="0.25">
      <c r="A17" s="92" t="str">
        <f t="shared" si="32"/>
        <v>CM-SWVI [10]</v>
      </c>
      <c r="B17" s="92" t="str">
        <f t="shared" si="33"/>
        <v>Southwest Vancouver Island</v>
      </c>
      <c r="C17" s="93" t="str">
        <f t="shared" si="1"/>
        <v>GORDON RIVER_Chum</v>
      </c>
      <c r="D17" s="128" t="s">
        <v>598</v>
      </c>
      <c r="E17" s="128" t="s">
        <v>598</v>
      </c>
      <c r="F17" s="64">
        <v>20</v>
      </c>
      <c r="G17" s="72" t="s">
        <v>36</v>
      </c>
      <c r="H17" s="67" t="s">
        <v>96</v>
      </c>
      <c r="I17" s="119"/>
      <c r="J17" s="119"/>
      <c r="K17" s="64">
        <v>3</v>
      </c>
      <c r="L17" s="52">
        <v>8</v>
      </c>
      <c r="M17" s="52">
        <v>8</v>
      </c>
      <c r="N17" s="52">
        <f t="shared" si="2"/>
        <v>180.11256686426844</v>
      </c>
      <c r="O17" s="52">
        <f t="shared" si="3"/>
        <v>6000</v>
      </c>
      <c r="P17" s="52">
        <f t="shared" si="4"/>
        <v>258.5451027598279</v>
      </c>
      <c r="Q17" s="66" t="s">
        <v>270</v>
      </c>
      <c r="R17" s="37"/>
      <c r="S17" s="74"/>
      <c r="T17" s="81">
        <f t="shared" si="6"/>
        <v>190</v>
      </c>
      <c r="U17" s="81">
        <f t="shared" si="7"/>
        <v>173.8</v>
      </c>
      <c r="V17" s="233">
        <v>210</v>
      </c>
      <c r="W17" s="52" t="s">
        <v>102</v>
      </c>
      <c r="X17" s="52">
        <v>161</v>
      </c>
      <c r="Y17" s="52">
        <v>199</v>
      </c>
      <c r="Z17" s="52" t="s">
        <v>102</v>
      </c>
      <c r="AA17" s="52" t="s">
        <v>102</v>
      </c>
      <c r="AB17" s="52" t="s">
        <v>102</v>
      </c>
      <c r="AC17" s="52" t="s">
        <v>262</v>
      </c>
      <c r="AD17" s="52">
        <v>178</v>
      </c>
      <c r="AE17" s="53">
        <v>121</v>
      </c>
      <c r="AF17" s="144" t="s">
        <v>102</v>
      </c>
      <c r="AG17" s="52" t="s">
        <v>102</v>
      </c>
      <c r="AH17" s="52" t="s">
        <v>102</v>
      </c>
      <c r="AI17" s="53">
        <v>354</v>
      </c>
      <c r="AJ17" s="52">
        <v>48</v>
      </c>
      <c r="AK17" s="52" t="s">
        <v>102</v>
      </c>
      <c r="AL17" s="155" t="s">
        <v>102</v>
      </c>
      <c r="AM17" s="52" t="s">
        <v>102</v>
      </c>
      <c r="AN17" s="52" t="s">
        <v>102</v>
      </c>
      <c r="AO17" s="52" t="s">
        <v>102</v>
      </c>
      <c r="AP17" s="53">
        <v>59</v>
      </c>
      <c r="AQ17" s="53">
        <v>305</v>
      </c>
      <c r="AR17" s="52">
        <v>72</v>
      </c>
      <c r="AS17" s="52">
        <v>750</v>
      </c>
      <c r="AT17" s="52">
        <v>1494</v>
      </c>
      <c r="AU17" s="52">
        <v>581</v>
      </c>
      <c r="AV17" s="52">
        <v>379</v>
      </c>
      <c r="AW17" s="53">
        <v>13</v>
      </c>
      <c r="AX17" s="51">
        <v>20</v>
      </c>
      <c r="AY17" s="53">
        <v>1100</v>
      </c>
      <c r="AZ17" s="53">
        <v>280</v>
      </c>
      <c r="BA17" s="53">
        <v>3</v>
      </c>
      <c r="BB17" s="53">
        <v>3</v>
      </c>
      <c r="BC17" s="53">
        <v>50</v>
      </c>
      <c r="BD17" s="53">
        <v>1500</v>
      </c>
      <c r="BE17" s="53">
        <v>2000</v>
      </c>
      <c r="BF17" s="53">
        <v>6000</v>
      </c>
      <c r="BG17" s="53">
        <v>3500</v>
      </c>
      <c r="BH17" s="53">
        <v>200</v>
      </c>
      <c r="BI17" s="53">
        <v>75</v>
      </c>
      <c r="BJ17" s="53">
        <v>75</v>
      </c>
      <c r="BK17" s="53">
        <v>75</v>
      </c>
      <c r="BL17" s="53">
        <v>50</v>
      </c>
      <c r="BM17" s="53">
        <v>75</v>
      </c>
      <c r="BN17" s="53">
        <v>150</v>
      </c>
      <c r="BO17" s="53">
        <v>200</v>
      </c>
      <c r="BP17" s="53">
        <v>200</v>
      </c>
      <c r="BQ17" s="53">
        <v>200</v>
      </c>
      <c r="BR17" s="53">
        <v>750</v>
      </c>
      <c r="BS17" s="53">
        <v>75</v>
      </c>
      <c r="BT17" s="53" t="s">
        <v>262</v>
      </c>
      <c r="BU17" s="53" t="s">
        <v>262</v>
      </c>
      <c r="BV17" s="53">
        <v>1500</v>
      </c>
      <c r="BW17" s="53">
        <v>200</v>
      </c>
      <c r="BX17" s="53">
        <v>1500</v>
      </c>
      <c r="BY17" s="53" t="s">
        <v>264</v>
      </c>
      <c r="BZ17" s="53">
        <v>750</v>
      </c>
      <c r="CA17" s="53">
        <v>1500</v>
      </c>
      <c r="CB17" s="53">
        <v>200</v>
      </c>
      <c r="CC17" s="53">
        <v>750</v>
      </c>
      <c r="CD17" s="53">
        <v>3500</v>
      </c>
      <c r="CE17" s="53">
        <v>1500</v>
      </c>
      <c r="CF17" s="53">
        <v>1500</v>
      </c>
      <c r="CG17" s="53">
        <v>750</v>
      </c>
      <c r="CH17" s="53">
        <v>1500</v>
      </c>
      <c r="CI17" s="53">
        <v>75</v>
      </c>
      <c r="CJ17" s="53">
        <v>200</v>
      </c>
      <c r="CK17" s="53">
        <v>75</v>
      </c>
      <c r="CL17" s="53">
        <v>1500</v>
      </c>
      <c r="CM17" s="53">
        <v>75</v>
      </c>
      <c r="CN17" s="206">
        <f>IF(ISERROR(AVERAGE(BV17:CM17)),CS17,AVERAGE(BV17:CM17))</f>
        <v>1004.4117647058823</v>
      </c>
      <c r="CO17" s="206"/>
      <c r="CP17" s="206"/>
      <c r="CQ17" s="8">
        <f t="shared" si="8"/>
        <v>3</v>
      </c>
      <c r="CR17" s="8">
        <f t="shared" si="9"/>
        <v>6000</v>
      </c>
      <c r="CS17" s="8">
        <f t="shared" si="10"/>
        <v>714.44444444444446</v>
      </c>
      <c r="CT17">
        <f t="shared" si="11"/>
        <v>250.24625882028013</v>
      </c>
      <c r="CU17" s="143">
        <f t="shared" si="12"/>
        <v>190</v>
      </c>
      <c r="CV17" s="143">
        <f t="shared" si="13"/>
        <v>173.8</v>
      </c>
      <c r="CX17" s="7">
        <f t="shared" si="14"/>
        <v>17.550000000000004</v>
      </c>
      <c r="CY17" s="7">
        <f t="shared" si="15"/>
        <v>71.349999999999994</v>
      </c>
      <c r="CZ17" s="7">
        <f t="shared" si="16"/>
        <v>75</v>
      </c>
      <c r="DA17" s="7">
        <f t="shared" si="17"/>
        <v>75</v>
      </c>
      <c r="DB17" s="7">
        <f t="shared" si="18"/>
        <v>200</v>
      </c>
      <c r="DC17" s="7">
        <f t="shared" si="19"/>
        <v>344.19999999999987</v>
      </c>
      <c r="DD17" s="7">
        <f t="shared" si="20"/>
        <v>657.05000000000052</v>
      </c>
      <c r="DE17" s="7">
        <f t="shared" si="21"/>
        <v>1012.5</v>
      </c>
      <c r="DF17" s="7">
        <f t="shared" si="22"/>
        <v>1500</v>
      </c>
      <c r="DH17" s="7">
        <f t="shared" si="23"/>
        <v>37.500000000000007</v>
      </c>
      <c r="DI17" s="7">
        <f t="shared" si="24"/>
        <v>60.300000000000004</v>
      </c>
      <c r="DJ17" s="7">
        <f t="shared" si="25"/>
        <v>69.400000000000006</v>
      </c>
      <c r="DK17" s="7">
        <f t="shared" si="26"/>
        <v>96.5</v>
      </c>
      <c r="DL17" s="7">
        <f t="shared" si="27"/>
        <v>199</v>
      </c>
      <c r="DM17" s="7">
        <f t="shared" si="28"/>
        <v>248.00000000000003</v>
      </c>
      <c r="DN17" s="7">
        <f t="shared" si="29"/>
        <v>309.89999999999998</v>
      </c>
      <c r="DO17" s="7">
        <f t="shared" si="30"/>
        <v>366.5</v>
      </c>
      <c r="DP17" s="7">
        <f t="shared" si="31"/>
        <v>560.80000000000007</v>
      </c>
    </row>
    <row r="18" spans="1:120" s="7" customFormat="1" ht="25.5" hidden="1" customHeight="1" x14ac:dyDescent="0.25">
      <c r="A18" s="92" t="str">
        <f t="shared" si="32"/>
        <v>CO-JdF [16]</v>
      </c>
      <c r="B18" s="92" t="str">
        <f t="shared" si="33"/>
        <v>Juan de Fuca-Pachena</v>
      </c>
      <c r="C18" s="93" t="str">
        <f t="shared" si="1"/>
        <v>GORDON RIVER_Coho</v>
      </c>
      <c r="D18" s="128" t="s">
        <v>598</v>
      </c>
      <c r="E18" s="128" t="s">
        <v>598</v>
      </c>
      <c r="F18" s="64">
        <v>20</v>
      </c>
      <c r="G18" s="72" t="s">
        <v>36</v>
      </c>
      <c r="H18" s="67" t="s">
        <v>93</v>
      </c>
      <c r="I18" s="119"/>
      <c r="J18" s="119"/>
      <c r="K18" s="64">
        <v>3</v>
      </c>
      <c r="L18" s="52">
        <v>8</v>
      </c>
      <c r="M18" s="52">
        <v>8</v>
      </c>
      <c r="N18" s="52">
        <f t="shared" si="2"/>
        <v>324.98644346001453</v>
      </c>
      <c r="O18" s="52">
        <f t="shared" si="3"/>
        <v>7500</v>
      </c>
      <c r="P18" s="52">
        <f t="shared" si="4"/>
        <v>544.73443360416218</v>
      </c>
      <c r="Q18" s="66" t="s">
        <v>270</v>
      </c>
      <c r="R18" s="37"/>
      <c r="S18" s="74"/>
      <c r="T18" s="81">
        <f t="shared" si="6"/>
        <v>719.66666666666663</v>
      </c>
      <c r="U18" s="81">
        <f t="shared" si="7"/>
        <v>683.2</v>
      </c>
      <c r="V18" s="233">
        <v>838</v>
      </c>
      <c r="W18" s="52" t="s">
        <v>102</v>
      </c>
      <c r="X18" s="52">
        <v>411</v>
      </c>
      <c r="Y18" s="52">
        <v>910</v>
      </c>
      <c r="Z18" s="52" t="s">
        <v>102</v>
      </c>
      <c r="AA18" s="52" t="s">
        <v>102</v>
      </c>
      <c r="AB18" s="52" t="s">
        <v>102</v>
      </c>
      <c r="AC18" s="52" t="s">
        <v>263</v>
      </c>
      <c r="AD18" s="52">
        <v>232</v>
      </c>
      <c r="AE18" s="53">
        <v>1025</v>
      </c>
      <c r="AF18" s="144" t="s">
        <v>102</v>
      </c>
      <c r="AG18" s="52" t="s">
        <v>102</v>
      </c>
      <c r="AH18" s="52" t="s">
        <v>102</v>
      </c>
      <c r="AI18" s="53">
        <v>1033</v>
      </c>
      <c r="AJ18" s="52">
        <v>166</v>
      </c>
      <c r="AK18" s="52" t="s">
        <v>102</v>
      </c>
      <c r="AL18" s="155" t="s">
        <v>102</v>
      </c>
      <c r="AM18" s="52" t="s">
        <v>102</v>
      </c>
      <c r="AN18" s="52" t="s">
        <v>102</v>
      </c>
      <c r="AO18" s="52" t="s">
        <v>102</v>
      </c>
      <c r="AP18" s="53">
        <v>280</v>
      </c>
      <c r="AQ18" s="53">
        <v>784</v>
      </c>
      <c r="AR18" s="52">
        <v>427</v>
      </c>
      <c r="AS18" s="52">
        <v>1790</v>
      </c>
      <c r="AT18" s="52">
        <v>668</v>
      </c>
      <c r="AU18" s="52">
        <v>283</v>
      </c>
      <c r="AV18" s="52">
        <v>480</v>
      </c>
      <c r="AW18" s="53">
        <v>16</v>
      </c>
      <c r="AX18" s="51">
        <v>55</v>
      </c>
      <c r="AY18" s="53">
        <v>250</v>
      </c>
      <c r="AZ18" s="53">
        <v>167</v>
      </c>
      <c r="BA18" s="53">
        <v>38</v>
      </c>
      <c r="BB18" s="53" t="s">
        <v>264</v>
      </c>
      <c r="BC18" s="53" t="s">
        <v>264</v>
      </c>
      <c r="BD18" s="53">
        <v>180</v>
      </c>
      <c r="BE18" s="53">
        <v>1600</v>
      </c>
      <c r="BF18" s="53">
        <v>800</v>
      </c>
      <c r="BG18" s="53">
        <v>12</v>
      </c>
      <c r="BH18" s="53">
        <v>1000</v>
      </c>
      <c r="BI18" s="53">
        <v>200</v>
      </c>
      <c r="BJ18" s="53">
        <v>200</v>
      </c>
      <c r="BK18" s="53">
        <v>750</v>
      </c>
      <c r="BL18" s="53">
        <v>1000</v>
      </c>
      <c r="BM18" s="53">
        <v>25</v>
      </c>
      <c r="BN18" s="53">
        <v>300</v>
      </c>
      <c r="BO18" s="53">
        <v>200</v>
      </c>
      <c r="BP18" s="53">
        <v>75</v>
      </c>
      <c r="BQ18" s="53">
        <v>25</v>
      </c>
      <c r="BR18" s="53">
        <v>1500</v>
      </c>
      <c r="BS18" s="53">
        <v>3500</v>
      </c>
      <c r="BT18" s="53">
        <v>1500</v>
      </c>
      <c r="BU18" s="53">
        <v>750</v>
      </c>
      <c r="BV18" s="53">
        <v>3500</v>
      </c>
      <c r="BW18" s="53">
        <v>400</v>
      </c>
      <c r="BX18" s="53">
        <v>750</v>
      </c>
      <c r="BY18" s="53">
        <v>1500</v>
      </c>
      <c r="BZ18" s="53">
        <v>1500</v>
      </c>
      <c r="CA18" s="53">
        <v>7500</v>
      </c>
      <c r="CB18" s="53">
        <v>3500</v>
      </c>
      <c r="CC18" s="53">
        <v>3500</v>
      </c>
      <c r="CD18" s="53">
        <v>3500</v>
      </c>
      <c r="CE18" s="53">
        <v>1500</v>
      </c>
      <c r="CF18" s="53">
        <v>7500</v>
      </c>
      <c r="CG18" s="53">
        <v>750</v>
      </c>
      <c r="CH18" s="53">
        <v>1500</v>
      </c>
      <c r="CI18" s="53">
        <v>750</v>
      </c>
      <c r="CJ18" s="53">
        <v>7500</v>
      </c>
      <c r="CK18" s="53">
        <v>400</v>
      </c>
      <c r="CL18" s="53">
        <v>1500</v>
      </c>
      <c r="CM18" s="53">
        <v>750</v>
      </c>
      <c r="CN18" s="206"/>
      <c r="CO18" s="206"/>
      <c r="CP18" s="206"/>
      <c r="CQ18" s="8">
        <f t="shared" si="8"/>
        <v>12</v>
      </c>
      <c r="CR18" s="8">
        <f t="shared" si="9"/>
        <v>7500</v>
      </c>
      <c r="CS18" s="8">
        <f t="shared" si="10"/>
        <v>1295.8181818181818</v>
      </c>
      <c r="CT18">
        <f t="shared" si="11"/>
        <v>555.54354942314865</v>
      </c>
      <c r="CU18" s="143">
        <f t="shared" si="12"/>
        <v>719.66666666666663</v>
      </c>
      <c r="CV18" s="143">
        <f t="shared" si="13"/>
        <v>683.2</v>
      </c>
      <c r="CX18" s="7">
        <f t="shared" si="14"/>
        <v>25</v>
      </c>
      <c r="CY18" s="7">
        <f t="shared" si="15"/>
        <v>168.29999999999998</v>
      </c>
      <c r="CZ18" s="7">
        <f t="shared" si="16"/>
        <v>200</v>
      </c>
      <c r="DA18" s="7">
        <f t="shared" si="17"/>
        <v>241</v>
      </c>
      <c r="DB18" s="7">
        <f t="shared" si="18"/>
        <v>750</v>
      </c>
      <c r="DC18" s="7">
        <f t="shared" si="19"/>
        <v>866.8</v>
      </c>
      <c r="DD18" s="7">
        <f t="shared" si="20"/>
        <v>1002.5</v>
      </c>
      <c r="DE18" s="7">
        <f t="shared" si="21"/>
        <v>1500</v>
      </c>
      <c r="DF18" s="7">
        <f t="shared" si="22"/>
        <v>1770.9999999999998</v>
      </c>
      <c r="DH18" s="7">
        <f t="shared" si="23"/>
        <v>121.00000000000003</v>
      </c>
      <c r="DI18" s="7">
        <f t="shared" si="24"/>
        <v>236.8</v>
      </c>
      <c r="DJ18" s="7">
        <f t="shared" si="25"/>
        <v>270.40000000000003</v>
      </c>
      <c r="DK18" s="7">
        <f t="shared" si="26"/>
        <v>281.5</v>
      </c>
      <c r="DL18" s="7">
        <f t="shared" si="27"/>
        <v>480</v>
      </c>
      <c r="DM18" s="7">
        <f t="shared" si="28"/>
        <v>714.40000000000009</v>
      </c>
      <c r="DN18" s="7">
        <f t="shared" si="29"/>
        <v>789.4</v>
      </c>
      <c r="DO18" s="7">
        <f t="shared" si="30"/>
        <v>874</v>
      </c>
      <c r="DP18" s="7">
        <f t="shared" si="31"/>
        <v>1013.5</v>
      </c>
    </row>
    <row r="19" spans="1:120" s="7" customFormat="1" ht="25.5" hidden="1" customHeight="1" x14ac:dyDescent="0.25">
      <c r="A19" s="92" t="str">
        <f t="shared" si="32"/>
        <v>Pkodd-WVI [6]</v>
      </c>
      <c r="B19" s="92" t="str">
        <f t="shared" si="33"/>
        <v>West Vancouver Island</v>
      </c>
      <c r="C19" s="93" t="str">
        <f t="shared" si="1"/>
        <v>GORDON RIVER_Pink</v>
      </c>
      <c r="D19" s="128" t="s">
        <v>598</v>
      </c>
      <c r="E19" s="128" t="s">
        <v>598</v>
      </c>
      <c r="F19" s="64">
        <v>20</v>
      </c>
      <c r="G19" s="72" t="s">
        <v>36</v>
      </c>
      <c r="H19" s="67" t="s">
        <v>95</v>
      </c>
      <c r="I19" s="119"/>
      <c r="J19" s="119"/>
      <c r="K19" s="64">
        <v>3</v>
      </c>
      <c r="L19" s="52">
        <v>8</v>
      </c>
      <c r="M19" s="52">
        <v>6</v>
      </c>
      <c r="N19" s="52">
        <f t="shared" si="2"/>
        <v>10.703122558969438</v>
      </c>
      <c r="O19" s="52">
        <f t="shared" si="3"/>
        <v>1500</v>
      </c>
      <c r="P19" s="52">
        <f t="shared" si="4"/>
        <v>79.74701035072512</v>
      </c>
      <c r="Q19" s="66" t="s">
        <v>270</v>
      </c>
      <c r="R19" s="37"/>
      <c r="S19" s="74"/>
      <c r="T19" s="81" t="e">
        <f t="shared" si="6"/>
        <v>#DIV/0!</v>
      </c>
      <c r="U19" s="81" t="e">
        <f t="shared" si="7"/>
        <v>#DIV/0!</v>
      </c>
      <c r="V19" s="232" t="s">
        <v>262</v>
      </c>
      <c r="W19" s="52" t="s">
        <v>102</v>
      </c>
      <c r="X19" s="230" t="s">
        <v>262</v>
      </c>
      <c r="Y19" s="230" t="s">
        <v>262</v>
      </c>
      <c r="Z19" s="52" t="s">
        <v>102</v>
      </c>
      <c r="AA19" s="52" t="s">
        <v>102</v>
      </c>
      <c r="AB19" s="52" t="s">
        <v>102</v>
      </c>
      <c r="AC19" s="144" t="s">
        <v>102</v>
      </c>
      <c r="AD19" s="52" t="s">
        <v>262</v>
      </c>
      <c r="AE19" s="53" t="s">
        <v>262</v>
      </c>
      <c r="AF19" s="144" t="s">
        <v>102</v>
      </c>
      <c r="AG19" s="52" t="s">
        <v>102</v>
      </c>
      <c r="AH19" s="52" t="s">
        <v>102</v>
      </c>
      <c r="AI19" s="53">
        <v>140</v>
      </c>
      <c r="AJ19" s="52" t="s">
        <v>262</v>
      </c>
      <c r="AK19" s="52" t="s">
        <v>102</v>
      </c>
      <c r="AL19" s="155" t="s">
        <v>102</v>
      </c>
      <c r="AM19" s="52" t="s">
        <v>102</v>
      </c>
      <c r="AN19" s="52" t="s">
        <v>102</v>
      </c>
      <c r="AO19" s="52" t="s">
        <v>102</v>
      </c>
      <c r="AP19" s="53">
        <v>20</v>
      </c>
      <c r="AQ19" s="53">
        <v>18</v>
      </c>
      <c r="AR19" s="52">
        <v>12</v>
      </c>
      <c r="AS19" s="52">
        <v>3</v>
      </c>
      <c r="AT19" s="52">
        <v>58</v>
      </c>
      <c r="AU19" s="52">
        <v>2</v>
      </c>
      <c r="AV19" s="52" t="s">
        <v>262</v>
      </c>
      <c r="AW19" s="53" t="s">
        <v>262</v>
      </c>
      <c r="AX19" s="51" t="s">
        <v>264</v>
      </c>
      <c r="AY19" s="53" t="s">
        <v>264</v>
      </c>
      <c r="AZ19" s="53" t="s">
        <v>264</v>
      </c>
      <c r="BA19" s="53" t="s">
        <v>264</v>
      </c>
      <c r="BB19" s="53" t="s">
        <v>264</v>
      </c>
      <c r="BC19" s="53" t="s">
        <v>264</v>
      </c>
      <c r="BD19" s="53" t="s">
        <v>264</v>
      </c>
      <c r="BE19" s="53" t="s">
        <v>264</v>
      </c>
      <c r="BF19" s="53" t="s">
        <v>264</v>
      </c>
      <c r="BG19" s="53" t="s">
        <v>262</v>
      </c>
      <c r="BH19" s="53" t="s">
        <v>264</v>
      </c>
      <c r="BI19" s="53" t="s">
        <v>264</v>
      </c>
      <c r="BJ19" s="53" t="s">
        <v>264</v>
      </c>
      <c r="BK19" s="53" t="s">
        <v>264</v>
      </c>
      <c r="BL19" s="53">
        <v>100</v>
      </c>
      <c r="BM19" s="53">
        <v>25</v>
      </c>
      <c r="BN19" s="53" t="s">
        <v>264</v>
      </c>
      <c r="BO19" s="53" t="s">
        <v>264</v>
      </c>
      <c r="BP19" s="53" t="s">
        <v>262</v>
      </c>
      <c r="BQ19" s="53" t="s">
        <v>264</v>
      </c>
      <c r="BR19" s="53" t="s">
        <v>264</v>
      </c>
      <c r="BS19" s="53" t="s">
        <v>264</v>
      </c>
      <c r="BT19" s="53" t="s">
        <v>264</v>
      </c>
      <c r="BU19" s="53" t="s">
        <v>264</v>
      </c>
      <c r="BV19" s="53" t="s">
        <v>264</v>
      </c>
      <c r="BW19" s="53" t="s">
        <v>264</v>
      </c>
      <c r="BX19" s="53" t="s">
        <v>264</v>
      </c>
      <c r="BY19" s="53">
        <v>400</v>
      </c>
      <c r="BZ19" s="53" t="s">
        <v>264</v>
      </c>
      <c r="CA19" s="53" t="s">
        <v>264</v>
      </c>
      <c r="CB19" s="53">
        <v>25</v>
      </c>
      <c r="CC19" s="53" t="s">
        <v>264</v>
      </c>
      <c r="CD19" s="53">
        <v>750</v>
      </c>
      <c r="CE19" s="53" t="s">
        <v>264</v>
      </c>
      <c r="CF19" s="53">
        <v>750</v>
      </c>
      <c r="CG19" s="53" t="s">
        <v>262</v>
      </c>
      <c r="CH19" s="53">
        <v>750</v>
      </c>
      <c r="CI19" s="53" t="s">
        <v>264</v>
      </c>
      <c r="CJ19" s="53">
        <v>1500</v>
      </c>
      <c r="CK19" s="53">
        <v>75</v>
      </c>
      <c r="CL19" s="53">
        <v>1500</v>
      </c>
      <c r="CM19" s="53" t="s">
        <v>264</v>
      </c>
      <c r="CN19" s="206"/>
      <c r="CO19" s="206"/>
      <c r="CP19" s="206"/>
      <c r="CQ19" s="8">
        <f t="shared" si="8"/>
        <v>2</v>
      </c>
      <c r="CR19" s="8">
        <f t="shared" si="9"/>
        <v>1500</v>
      </c>
      <c r="CS19" s="8">
        <f t="shared" si="10"/>
        <v>360.47058823529414</v>
      </c>
      <c r="CT19">
        <f t="shared" si="11"/>
        <v>82.431211498299106</v>
      </c>
      <c r="CU19" s="143" t="e">
        <f t="shared" si="12"/>
        <v>#DIV/0!</v>
      </c>
      <c r="CV19" s="143" t="e">
        <f t="shared" si="13"/>
        <v>#DIV/0!</v>
      </c>
      <c r="CX19" s="7">
        <f t="shared" si="14"/>
        <v>2.8</v>
      </c>
      <c r="CY19" s="7">
        <f t="shared" si="15"/>
        <v>14.399999999999999</v>
      </c>
      <c r="CZ19" s="7">
        <f t="shared" si="16"/>
        <v>18.399999999999999</v>
      </c>
      <c r="DA19" s="7">
        <f t="shared" si="17"/>
        <v>20</v>
      </c>
      <c r="DB19" s="7">
        <f t="shared" si="18"/>
        <v>75</v>
      </c>
      <c r="DC19" s="7">
        <f t="shared" si="19"/>
        <v>123.99999999999999</v>
      </c>
      <c r="DD19" s="7">
        <f t="shared" si="20"/>
        <v>244.00000000000009</v>
      </c>
      <c r="DE19" s="7">
        <f t="shared" si="21"/>
        <v>750</v>
      </c>
      <c r="DF19" s="7">
        <f t="shared" si="22"/>
        <v>750</v>
      </c>
      <c r="DH19" s="7">
        <f t="shared" si="23"/>
        <v>2.2999999999999998</v>
      </c>
      <c r="DI19" s="7">
        <f t="shared" si="24"/>
        <v>2.9</v>
      </c>
      <c r="DJ19" s="7">
        <f t="shared" si="25"/>
        <v>4.8000000000000016</v>
      </c>
      <c r="DK19" s="7">
        <f t="shared" si="26"/>
        <v>7.5</v>
      </c>
      <c r="DL19" s="7">
        <f t="shared" si="27"/>
        <v>18</v>
      </c>
      <c r="DM19" s="7">
        <f t="shared" si="28"/>
        <v>19.2</v>
      </c>
      <c r="DN19" s="7">
        <f t="shared" si="29"/>
        <v>19.8</v>
      </c>
      <c r="DO19" s="7">
        <f t="shared" si="30"/>
        <v>39</v>
      </c>
      <c r="DP19" s="7">
        <f t="shared" si="31"/>
        <v>66.199999999999974</v>
      </c>
    </row>
    <row r="20" spans="1:120" s="7" customFormat="1" ht="25.5" hidden="1" customHeight="1" x14ac:dyDescent="0.25">
      <c r="A20" s="92" t="str">
        <f t="shared" si="32"/>
        <v>SK-WVI [R10]</v>
      </c>
      <c r="B20" s="92" t="str">
        <f t="shared" si="33"/>
        <v>West Vancouver Island</v>
      </c>
      <c r="C20" s="93" t="str">
        <f t="shared" si="1"/>
        <v>GORDON RIVER_Sockeye</v>
      </c>
      <c r="D20" s="128" t="s">
        <v>598</v>
      </c>
      <c r="E20" s="128" t="s">
        <v>598</v>
      </c>
      <c r="F20" s="64">
        <v>20</v>
      </c>
      <c r="G20" s="72" t="s">
        <v>36</v>
      </c>
      <c r="H20" s="67" t="s">
        <v>91</v>
      </c>
      <c r="I20" s="119"/>
      <c r="J20" s="119"/>
      <c r="K20" s="64">
        <v>3</v>
      </c>
      <c r="L20" s="52">
        <v>8</v>
      </c>
      <c r="M20" s="52">
        <v>6</v>
      </c>
      <c r="N20" s="52">
        <f t="shared" si="2"/>
        <v>6.8957505481350641</v>
      </c>
      <c r="O20" s="52">
        <f t="shared" si="3"/>
        <v>380</v>
      </c>
      <c r="P20" s="52">
        <f t="shared" si="4"/>
        <v>20.25401505336789</v>
      </c>
      <c r="Q20" s="66" t="s">
        <v>270</v>
      </c>
      <c r="R20" s="37"/>
      <c r="S20" s="74"/>
      <c r="T20" s="81">
        <f t="shared" si="6"/>
        <v>18</v>
      </c>
      <c r="U20" s="81">
        <f t="shared" si="7"/>
        <v>18</v>
      </c>
      <c r="V20" s="233">
        <v>34</v>
      </c>
      <c r="W20" s="52" t="s">
        <v>102</v>
      </c>
      <c r="X20" s="52">
        <v>3</v>
      </c>
      <c r="Y20" s="52">
        <v>17</v>
      </c>
      <c r="Z20" s="52" t="s">
        <v>102</v>
      </c>
      <c r="AA20" s="52" t="s">
        <v>102</v>
      </c>
      <c r="AB20" s="52" t="s">
        <v>102</v>
      </c>
      <c r="AC20" s="52" t="s">
        <v>263</v>
      </c>
      <c r="AD20" s="52" t="s">
        <v>263</v>
      </c>
      <c r="AE20" s="53" t="s">
        <v>263</v>
      </c>
      <c r="AF20" s="144" t="s">
        <v>102</v>
      </c>
      <c r="AG20" s="52" t="s">
        <v>102</v>
      </c>
      <c r="AH20" s="52" t="s">
        <v>102</v>
      </c>
      <c r="AI20" s="53">
        <v>70</v>
      </c>
      <c r="AJ20" s="52" t="s">
        <v>262</v>
      </c>
      <c r="AK20" s="52" t="s">
        <v>102</v>
      </c>
      <c r="AL20" s="155" t="s">
        <v>102</v>
      </c>
      <c r="AM20" s="52" t="s">
        <v>102</v>
      </c>
      <c r="AN20" s="52" t="s">
        <v>102</v>
      </c>
      <c r="AO20" s="52" t="s">
        <v>102</v>
      </c>
      <c r="AP20" s="53">
        <v>8</v>
      </c>
      <c r="AQ20" s="53" t="s">
        <v>262</v>
      </c>
      <c r="AR20" s="52">
        <v>1</v>
      </c>
      <c r="AS20" s="52">
        <v>1</v>
      </c>
      <c r="AT20" s="52">
        <v>56</v>
      </c>
      <c r="AU20" s="52">
        <v>15</v>
      </c>
      <c r="AV20" s="52">
        <v>16</v>
      </c>
      <c r="AW20" s="53" t="s">
        <v>262</v>
      </c>
      <c r="AX20" s="51">
        <v>90</v>
      </c>
      <c r="AY20" s="53">
        <v>70</v>
      </c>
      <c r="AZ20" s="53">
        <v>50</v>
      </c>
      <c r="BA20" s="53" t="s">
        <v>262</v>
      </c>
      <c r="BB20" s="53">
        <v>380</v>
      </c>
      <c r="BC20" s="53" t="s">
        <v>264</v>
      </c>
      <c r="BD20" s="53">
        <v>25</v>
      </c>
      <c r="BE20" s="53">
        <v>300</v>
      </c>
      <c r="BF20" s="53" t="s">
        <v>264</v>
      </c>
      <c r="BG20" s="53" t="s">
        <v>262</v>
      </c>
      <c r="BH20" s="53" t="s">
        <v>264</v>
      </c>
      <c r="BI20" s="53" t="s">
        <v>264</v>
      </c>
      <c r="BJ20" s="53" t="s">
        <v>264</v>
      </c>
      <c r="BK20" s="53" t="s">
        <v>264</v>
      </c>
      <c r="BL20" s="53" t="s">
        <v>264</v>
      </c>
      <c r="BM20" s="53" t="s">
        <v>262</v>
      </c>
      <c r="BN20" s="53" t="s">
        <v>264</v>
      </c>
      <c r="BO20" s="53" t="s">
        <v>264</v>
      </c>
      <c r="BP20" s="53" t="s">
        <v>264</v>
      </c>
      <c r="BQ20" s="53" t="s">
        <v>264</v>
      </c>
      <c r="BR20" s="53" t="s">
        <v>264</v>
      </c>
      <c r="BS20" s="53" t="s">
        <v>264</v>
      </c>
      <c r="BT20" s="53" t="s">
        <v>264</v>
      </c>
      <c r="BU20" s="53" t="s">
        <v>264</v>
      </c>
      <c r="BV20" s="53" t="s">
        <v>264</v>
      </c>
      <c r="BW20" s="53" t="s">
        <v>264</v>
      </c>
      <c r="BX20" s="53" t="s">
        <v>264</v>
      </c>
      <c r="BY20" s="53" t="s">
        <v>264</v>
      </c>
      <c r="BZ20" s="53" t="s">
        <v>264</v>
      </c>
      <c r="CA20" s="53" t="s">
        <v>264</v>
      </c>
      <c r="CB20" s="53" t="s">
        <v>264</v>
      </c>
      <c r="CC20" s="53" t="s">
        <v>264</v>
      </c>
      <c r="CD20" s="53">
        <v>1</v>
      </c>
      <c r="CE20" s="53" t="s">
        <v>264</v>
      </c>
      <c r="CF20" s="53" t="s">
        <v>264</v>
      </c>
      <c r="CG20" s="53" t="s">
        <v>264</v>
      </c>
      <c r="CH20" s="53" t="s">
        <v>264</v>
      </c>
      <c r="CI20" s="53" t="s">
        <v>264</v>
      </c>
      <c r="CJ20" s="53" t="s">
        <v>264</v>
      </c>
      <c r="CK20" s="53" t="s">
        <v>264</v>
      </c>
      <c r="CL20" s="53" t="s">
        <v>264</v>
      </c>
      <c r="CM20" s="53" t="s">
        <v>264</v>
      </c>
      <c r="CN20" s="206"/>
      <c r="CO20" s="206"/>
      <c r="CP20" s="206"/>
      <c r="CQ20" s="8">
        <f t="shared" si="8"/>
        <v>1</v>
      </c>
      <c r="CR20" s="8">
        <f t="shared" si="9"/>
        <v>380</v>
      </c>
      <c r="CS20" s="8">
        <f t="shared" si="10"/>
        <v>66.882352941176464</v>
      </c>
      <c r="CT20">
        <f t="shared" si="11"/>
        <v>19.868460793387261</v>
      </c>
      <c r="CU20" s="143">
        <f t="shared" si="12"/>
        <v>18</v>
      </c>
      <c r="CV20" s="143">
        <f t="shared" si="13"/>
        <v>18</v>
      </c>
      <c r="CX20" s="7">
        <f t="shared" si="14"/>
        <v>1</v>
      </c>
      <c r="CY20" s="7">
        <f t="shared" si="15"/>
        <v>1.7999999999999998</v>
      </c>
      <c r="CZ20" s="7">
        <f t="shared" si="16"/>
        <v>4.0000000000000009</v>
      </c>
      <c r="DA20" s="7">
        <f t="shared" si="17"/>
        <v>8</v>
      </c>
      <c r="DB20" s="7">
        <f t="shared" si="18"/>
        <v>25</v>
      </c>
      <c r="DC20" s="7">
        <f t="shared" si="19"/>
        <v>43.599999999999994</v>
      </c>
      <c r="DD20" s="7">
        <f t="shared" si="20"/>
        <v>52.400000000000006</v>
      </c>
      <c r="DE20" s="7">
        <f t="shared" si="21"/>
        <v>70</v>
      </c>
      <c r="DF20" s="7">
        <f t="shared" si="22"/>
        <v>82</v>
      </c>
      <c r="DH20" s="7">
        <f t="shared" si="23"/>
        <v>1</v>
      </c>
      <c r="DI20" s="7">
        <f t="shared" si="24"/>
        <v>1.6999999999999993</v>
      </c>
      <c r="DJ20" s="7">
        <f t="shared" si="25"/>
        <v>2.5999999999999996</v>
      </c>
      <c r="DK20" s="7">
        <f t="shared" si="26"/>
        <v>4.25</v>
      </c>
      <c r="DL20" s="7">
        <f t="shared" si="27"/>
        <v>15.5</v>
      </c>
      <c r="DM20" s="7">
        <f t="shared" si="28"/>
        <v>16.399999999999999</v>
      </c>
      <c r="DN20" s="7">
        <f t="shared" si="29"/>
        <v>16.850000000000001</v>
      </c>
      <c r="DO20" s="7">
        <f t="shared" si="30"/>
        <v>29.75</v>
      </c>
      <c r="DP20" s="7">
        <f t="shared" si="31"/>
        <v>48.299999999999969</v>
      </c>
    </row>
    <row r="21" spans="1:120" s="7" customFormat="1" ht="25.5" customHeight="1" x14ac:dyDescent="0.25">
      <c r="A21" s="92" t="str">
        <f t="shared" si="32"/>
        <v>CK-PSJ [30]</v>
      </c>
      <c r="B21" s="92" t="str">
        <f t="shared" si="33"/>
        <v>Port San Juan</v>
      </c>
      <c r="C21" s="93" t="str">
        <f t="shared" si="1"/>
        <v>HARRIS CREEK_Chinook</v>
      </c>
      <c r="D21" s="128" t="s">
        <v>598</v>
      </c>
      <c r="E21" s="128" t="s">
        <v>598</v>
      </c>
      <c r="F21" s="64">
        <v>20</v>
      </c>
      <c r="G21" s="72" t="s">
        <v>33</v>
      </c>
      <c r="H21" s="65" t="s">
        <v>97</v>
      </c>
      <c r="I21" s="119"/>
      <c r="J21" s="119"/>
      <c r="K21" s="64">
        <v>3</v>
      </c>
      <c r="L21" s="52">
        <v>9</v>
      </c>
      <c r="M21" s="52">
        <v>6</v>
      </c>
      <c r="N21" s="52">
        <f t="shared" si="2"/>
        <v>10.785016926716574</v>
      </c>
      <c r="O21" s="52">
        <f t="shared" si="3"/>
        <v>100</v>
      </c>
      <c r="P21" s="52">
        <f t="shared" si="4"/>
        <v>17.23604452219482</v>
      </c>
      <c r="Q21" s="66"/>
      <c r="R21" s="37"/>
      <c r="S21" s="74"/>
      <c r="T21" s="81">
        <f t="shared" si="6"/>
        <v>244</v>
      </c>
      <c r="U21" s="81">
        <f t="shared" si="7"/>
        <v>89.25</v>
      </c>
      <c r="V21" s="232" t="s">
        <v>262</v>
      </c>
      <c r="W21" s="198" t="s">
        <v>102</v>
      </c>
      <c r="X21" s="52">
        <v>297</v>
      </c>
      <c r="Y21" s="52">
        <v>191</v>
      </c>
      <c r="Z21" s="52">
        <v>30</v>
      </c>
      <c r="AA21" s="52">
        <v>40</v>
      </c>
      <c r="AB21" s="52">
        <v>4</v>
      </c>
      <c r="AC21" s="52" t="s">
        <v>263</v>
      </c>
      <c r="AD21" s="52" t="s">
        <v>263</v>
      </c>
      <c r="AE21" s="53">
        <v>76</v>
      </c>
      <c r="AF21" s="144">
        <v>49</v>
      </c>
      <c r="AG21" s="144">
        <v>27</v>
      </c>
      <c r="AH21" s="52" t="s">
        <v>102</v>
      </c>
      <c r="AI21" s="53">
        <v>43</v>
      </c>
      <c r="AJ21" s="53">
        <v>10</v>
      </c>
      <c r="AK21" s="52" t="s">
        <v>262</v>
      </c>
      <c r="AL21" s="220" t="s">
        <v>262</v>
      </c>
      <c r="AM21" s="52">
        <v>2</v>
      </c>
      <c r="AN21" s="54"/>
      <c r="AO21" s="53">
        <v>31</v>
      </c>
      <c r="AP21" s="53" t="s">
        <v>262</v>
      </c>
      <c r="AQ21" s="53">
        <v>5</v>
      </c>
      <c r="AR21" s="53" t="s">
        <v>262</v>
      </c>
      <c r="AS21" s="52" t="s">
        <v>102</v>
      </c>
      <c r="AT21" s="52">
        <v>73</v>
      </c>
      <c r="AU21" s="52">
        <v>15</v>
      </c>
      <c r="AV21" s="52" t="s">
        <v>262</v>
      </c>
      <c r="AW21" s="53">
        <v>5</v>
      </c>
      <c r="AX21" s="51" t="s">
        <v>264</v>
      </c>
      <c r="AY21" s="53" t="s">
        <v>262</v>
      </c>
      <c r="AZ21" s="53">
        <v>47</v>
      </c>
      <c r="BA21" s="53" t="s">
        <v>102</v>
      </c>
      <c r="BB21" s="53" t="s">
        <v>102</v>
      </c>
      <c r="BC21" s="53" t="s">
        <v>102</v>
      </c>
      <c r="BD21" s="53" t="s">
        <v>102</v>
      </c>
      <c r="BE21" s="53" t="s">
        <v>102</v>
      </c>
      <c r="BF21" s="53" t="s">
        <v>102</v>
      </c>
      <c r="BG21" s="53" t="s">
        <v>102</v>
      </c>
      <c r="BH21" s="53">
        <v>100</v>
      </c>
      <c r="BI21" s="53" t="s">
        <v>102</v>
      </c>
      <c r="BJ21" s="53" t="s">
        <v>102</v>
      </c>
      <c r="BK21" s="53">
        <v>25</v>
      </c>
      <c r="BL21" s="53">
        <v>20</v>
      </c>
      <c r="BM21" s="53" t="s">
        <v>102</v>
      </c>
      <c r="BN21" s="53" t="s">
        <v>102</v>
      </c>
      <c r="BO21" s="53" t="s">
        <v>102</v>
      </c>
      <c r="BP21" s="53" t="s">
        <v>102</v>
      </c>
      <c r="BQ21" s="53" t="s">
        <v>102</v>
      </c>
      <c r="BR21" s="53" t="s">
        <v>102</v>
      </c>
      <c r="BS21" s="53" t="s">
        <v>102</v>
      </c>
      <c r="BT21" s="53" t="s">
        <v>102</v>
      </c>
      <c r="BU21" s="53" t="s">
        <v>102</v>
      </c>
      <c r="BV21" s="53" t="s">
        <v>102</v>
      </c>
      <c r="BW21" s="53" t="s">
        <v>102</v>
      </c>
      <c r="BX21" s="53" t="s">
        <v>102</v>
      </c>
      <c r="BY21" s="53" t="s">
        <v>102</v>
      </c>
      <c r="BZ21" s="53" t="s">
        <v>102</v>
      </c>
      <c r="CA21" s="53" t="s">
        <v>102</v>
      </c>
      <c r="CB21" s="53" t="s">
        <v>102</v>
      </c>
      <c r="CC21" s="53" t="s">
        <v>102</v>
      </c>
      <c r="CD21" s="53" t="s">
        <v>102</v>
      </c>
      <c r="CE21" s="53" t="s">
        <v>102</v>
      </c>
      <c r="CF21" s="53" t="s">
        <v>102</v>
      </c>
      <c r="CG21" s="53" t="s">
        <v>102</v>
      </c>
      <c r="CH21" s="53" t="s">
        <v>102</v>
      </c>
      <c r="CI21" s="53" t="s">
        <v>102</v>
      </c>
      <c r="CJ21" s="53" t="s">
        <v>102</v>
      </c>
      <c r="CK21" s="53" t="s">
        <v>102</v>
      </c>
      <c r="CL21" s="53" t="s">
        <v>102</v>
      </c>
      <c r="CM21" s="53" t="s">
        <v>102</v>
      </c>
      <c r="CN21" s="206"/>
      <c r="CO21" s="206"/>
      <c r="CP21" s="206"/>
      <c r="CQ21" s="8">
        <f t="shared" si="8"/>
        <v>2</v>
      </c>
      <c r="CR21" s="8">
        <f t="shared" si="9"/>
        <v>297</v>
      </c>
      <c r="CS21" s="8">
        <f t="shared" si="10"/>
        <v>54.5</v>
      </c>
      <c r="CT21">
        <f t="shared" si="11"/>
        <v>27.138405744143924</v>
      </c>
      <c r="CU21" s="143">
        <f t="shared" si="12"/>
        <v>172.66666666666666</v>
      </c>
      <c r="CV21" s="143">
        <f t="shared" si="13"/>
        <v>89.25</v>
      </c>
      <c r="CX21" s="7">
        <f t="shared" si="14"/>
        <v>3.9000000000000004</v>
      </c>
      <c r="CY21" s="7">
        <f t="shared" si="15"/>
        <v>5</v>
      </c>
      <c r="CZ21" s="7">
        <f t="shared" si="16"/>
        <v>9.0000000000000036</v>
      </c>
      <c r="DA21" s="7">
        <f t="shared" si="17"/>
        <v>13.75</v>
      </c>
      <c r="DB21" s="7">
        <f t="shared" si="18"/>
        <v>30.5</v>
      </c>
      <c r="DC21" s="7">
        <f t="shared" si="19"/>
        <v>41.2</v>
      </c>
      <c r="DD21" s="7">
        <f t="shared" si="20"/>
        <v>44.4</v>
      </c>
      <c r="DE21" s="7">
        <f t="shared" si="21"/>
        <v>55</v>
      </c>
      <c r="DF21" s="7">
        <f t="shared" si="22"/>
        <v>79.599999999999966</v>
      </c>
      <c r="DH21" s="7">
        <f t="shared" si="23"/>
        <v>3.5</v>
      </c>
      <c r="DI21" s="7">
        <f t="shared" si="24"/>
        <v>5</v>
      </c>
      <c r="DJ21" s="7">
        <f t="shared" si="25"/>
        <v>5</v>
      </c>
      <c r="DK21" s="7">
        <f t="shared" si="26"/>
        <v>8.75</v>
      </c>
      <c r="DL21" s="7">
        <f t="shared" si="27"/>
        <v>30.5</v>
      </c>
      <c r="DM21" s="7">
        <f t="shared" si="28"/>
        <v>40</v>
      </c>
      <c r="DN21" s="7">
        <f t="shared" si="29"/>
        <v>42.25</v>
      </c>
      <c r="DO21" s="7">
        <f t="shared" si="30"/>
        <v>55</v>
      </c>
      <c r="DP21" s="7">
        <f t="shared" si="31"/>
        <v>75.25</v>
      </c>
    </row>
    <row r="22" spans="1:120" s="7" customFormat="1" ht="25.5" hidden="1" customHeight="1" x14ac:dyDescent="0.25">
      <c r="A22" s="92" t="str">
        <f t="shared" si="32"/>
        <v>CM-SWVI [10]</v>
      </c>
      <c r="B22" s="92" t="str">
        <f t="shared" si="33"/>
        <v>Southwest Vancouver Island</v>
      </c>
      <c r="C22" s="93" t="str">
        <f t="shared" si="1"/>
        <v>HARRIS CREEK_Chum</v>
      </c>
      <c r="D22" s="128" t="s">
        <v>598</v>
      </c>
      <c r="E22" s="128" t="s">
        <v>598</v>
      </c>
      <c r="F22" s="64">
        <v>20</v>
      </c>
      <c r="G22" s="72" t="s">
        <v>33</v>
      </c>
      <c r="H22" s="65" t="s">
        <v>96</v>
      </c>
      <c r="I22" s="119"/>
      <c r="J22" s="119"/>
      <c r="K22" s="64">
        <v>3</v>
      </c>
      <c r="L22" s="52">
        <v>9</v>
      </c>
      <c r="M22" s="52">
        <v>5</v>
      </c>
      <c r="N22" s="52">
        <f t="shared" si="2"/>
        <v>3.9650184739538727</v>
      </c>
      <c r="O22" s="52">
        <f t="shared" si="3"/>
        <v>35</v>
      </c>
      <c r="P22" s="52">
        <f t="shared" si="4"/>
        <v>3.9650184739538727</v>
      </c>
      <c r="Q22" s="66"/>
      <c r="R22" s="37"/>
      <c r="S22" s="74"/>
      <c r="T22" s="81">
        <f t="shared" si="6"/>
        <v>4</v>
      </c>
      <c r="U22" s="81">
        <f t="shared" si="7"/>
        <v>14.8</v>
      </c>
      <c r="V22" s="233">
        <v>4</v>
      </c>
      <c r="W22" s="198" t="s">
        <v>102</v>
      </c>
      <c r="X22" s="230" t="s">
        <v>262</v>
      </c>
      <c r="Y22" s="230" t="s">
        <v>263</v>
      </c>
      <c r="Z22" s="52" t="s">
        <v>262</v>
      </c>
      <c r="AA22" s="52">
        <v>39</v>
      </c>
      <c r="AB22" s="52">
        <v>4</v>
      </c>
      <c r="AC22" s="52">
        <v>24</v>
      </c>
      <c r="AD22" s="52" t="s">
        <v>262</v>
      </c>
      <c r="AE22" s="53" t="s">
        <v>262</v>
      </c>
      <c r="AF22" s="144" t="s">
        <v>262</v>
      </c>
      <c r="AG22" s="144">
        <v>3</v>
      </c>
      <c r="AH22" s="52" t="s">
        <v>102</v>
      </c>
      <c r="AI22" s="68">
        <v>1</v>
      </c>
      <c r="AJ22" s="68" t="s">
        <v>262</v>
      </c>
      <c r="AK22" s="52" t="s">
        <v>262</v>
      </c>
      <c r="AL22" s="220" t="s">
        <v>262</v>
      </c>
      <c r="AM22" s="52">
        <v>35</v>
      </c>
      <c r="AN22" s="54"/>
      <c r="AO22" s="53">
        <v>1</v>
      </c>
      <c r="AP22" s="53">
        <v>2</v>
      </c>
      <c r="AQ22" s="53">
        <v>2</v>
      </c>
      <c r="AR22" s="53" t="s">
        <v>262</v>
      </c>
      <c r="AS22" s="52" t="s">
        <v>102</v>
      </c>
      <c r="AT22" s="52" t="s">
        <v>262</v>
      </c>
      <c r="AU22" s="52" t="s">
        <v>262</v>
      </c>
      <c r="AV22" s="52">
        <v>7</v>
      </c>
      <c r="AW22" s="53" t="s">
        <v>262</v>
      </c>
      <c r="AX22" s="51" t="s">
        <v>264</v>
      </c>
      <c r="AY22" s="53" t="s">
        <v>264</v>
      </c>
      <c r="AZ22" s="53" t="s">
        <v>264</v>
      </c>
      <c r="BA22" s="53" t="s">
        <v>102</v>
      </c>
      <c r="BB22" s="53" t="s">
        <v>102</v>
      </c>
      <c r="BC22" s="53" t="s">
        <v>102</v>
      </c>
      <c r="BD22" s="53" t="s">
        <v>102</v>
      </c>
      <c r="BE22" s="53" t="s">
        <v>102</v>
      </c>
      <c r="BF22" s="53" t="s">
        <v>102</v>
      </c>
      <c r="BG22" s="53" t="s">
        <v>102</v>
      </c>
      <c r="BH22" s="53" t="s">
        <v>264</v>
      </c>
      <c r="BI22" s="53" t="s">
        <v>102</v>
      </c>
      <c r="BJ22" s="53" t="s">
        <v>102</v>
      </c>
      <c r="BK22" s="53" t="s">
        <v>264</v>
      </c>
      <c r="BL22" s="53" t="s">
        <v>264</v>
      </c>
      <c r="BM22" s="53" t="s">
        <v>102</v>
      </c>
      <c r="BN22" s="53" t="s">
        <v>102</v>
      </c>
      <c r="BO22" s="53" t="s">
        <v>102</v>
      </c>
      <c r="BP22" s="53" t="s">
        <v>102</v>
      </c>
      <c r="BQ22" s="53" t="s">
        <v>102</v>
      </c>
      <c r="BR22" s="53" t="s">
        <v>102</v>
      </c>
      <c r="BS22" s="53" t="s">
        <v>102</v>
      </c>
      <c r="BT22" s="53" t="s">
        <v>102</v>
      </c>
      <c r="BU22" s="53" t="s">
        <v>102</v>
      </c>
      <c r="BV22" s="53" t="s">
        <v>102</v>
      </c>
      <c r="BW22" s="53" t="s">
        <v>102</v>
      </c>
      <c r="BX22" s="53" t="s">
        <v>102</v>
      </c>
      <c r="BY22" s="53" t="s">
        <v>102</v>
      </c>
      <c r="BZ22" s="53" t="s">
        <v>102</v>
      </c>
      <c r="CA22" s="53" t="s">
        <v>102</v>
      </c>
      <c r="CB22" s="53" t="s">
        <v>102</v>
      </c>
      <c r="CC22" s="53" t="s">
        <v>102</v>
      </c>
      <c r="CD22" s="53" t="s">
        <v>102</v>
      </c>
      <c r="CE22" s="53" t="s">
        <v>102</v>
      </c>
      <c r="CF22" s="53" t="s">
        <v>102</v>
      </c>
      <c r="CG22" s="53" t="s">
        <v>102</v>
      </c>
      <c r="CH22" s="53" t="s">
        <v>102</v>
      </c>
      <c r="CI22" s="53" t="s">
        <v>102</v>
      </c>
      <c r="CJ22" s="53" t="s">
        <v>102</v>
      </c>
      <c r="CK22" s="53" t="s">
        <v>102</v>
      </c>
      <c r="CL22" s="53" t="s">
        <v>102</v>
      </c>
      <c r="CM22" s="53" t="s">
        <v>102</v>
      </c>
      <c r="CN22" s="206"/>
      <c r="CO22" s="206"/>
      <c r="CP22" s="206"/>
      <c r="CQ22" s="8">
        <f t="shared" si="8"/>
        <v>1</v>
      </c>
      <c r="CR22" s="8">
        <f t="shared" si="9"/>
        <v>39</v>
      </c>
      <c r="CS22" s="8">
        <f t="shared" si="10"/>
        <v>11.090909090909092</v>
      </c>
      <c r="CT22">
        <f t="shared" si="11"/>
        <v>4.953198605495734</v>
      </c>
      <c r="CU22" s="143">
        <f t="shared" si="12"/>
        <v>4</v>
      </c>
      <c r="CV22" s="143">
        <f t="shared" si="13"/>
        <v>14.8</v>
      </c>
      <c r="CX22" s="7">
        <f t="shared" si="14"/>
        <v>1</v>
      </c>
      <c r="CY22" s="7">
        <f t="shared" si="15"/>
        <v>1.5</v>
      </c>
      <c r="CZ22" s="7">
        <f t="shared" si="16"/>
        <v>2</v>
      </c>
      <c r="DA22" s="7">
        <f t="shared" si="17"/>
        <v>2</v>
      </c>
      <c r="DB22" s="7">
        <f t="shared" si="18"/>
        <v>4</v>
      </c>
      <c r="DC22" s="7">
        <f t="shared" si="19"/>
        <v>4</v>
      </c>
      <c r="DD22" s="7">
        <f t="shared" si="20"/>
        <v>5.5</v>
      </c>
      <c r="DE22" s="7">
        <f t="shared" si="21"/>
        <v>15.5</v>
      </c>
      <c r="DF22" s="7">
        <f t="shared" si="22"/>
        <v>29.5</v>
      </c>
      <c r="DH22" s="7">
        <f t="shared" si="23"/>
        <v>1</v>
      </c>
      <c r="DI22" s="7">
        <f t="shared" si="24"/>
        <v>1.5</v>
      </c>
      <c r="DJ22" s="7">
        <f t="shared" si="25"/>
        <v>2</v>
      </c>
      <c r="DK22" s="7">
        <f t="shared" si="26"/>
        <v>2</v>
      </c>
      <c r="DL22" s="7">
        <f t="shared" si="27"/>
        <v>4</v>
      </c>
      <c r="DM22" s="7">
        <f t="shared" si="28"/>
        <v>4</v>
      </c>
      <c r="DN22" s="7">
        <f t="shared" si="29"/>
        <v>5.5</v>
      </c>
      <c r="DO22" s="7">
        <f t="shared" si="30"/>
        <v>15.5</v>
      </c>
      <c r="DP22" s="7">
        <f t="shared" si="31"/>
        <v>29.5</v>
      </c>
    </row>
    <row r="23" spans="1:120" s="7" customFormat="1" ht="25.5" hidden="1" customHeight="1" x14ac:dyDescent="0.25">
      <c r="A23" s="92" t="str">
        <f t="shared" si="32"/>
        <v>CO-JdF [16]</v>
      </c>
      <c r="B23" s="92" t="str">
        <f t="shared" si="33"/>
        <v>Juan de Fuca-Pachena</v>
      </c>
      <c r="C23" s="93" t="str">
        <f t="shared" si="1"/>
        <v>HARRIS CREEK_Coho</v>
      </c>
      <c r="D23" s="128" t="s">
        <v>598</v>
      </c>
      <c r="E23" s="128" t="s">
        <v>598</v>
      </c>
      <c r="F23" s="64">
        <v>20</v>
      </c>
      <c r="G23" s="72" t="s">
        <v>33</v>
      </c>
      <c r="H23" s="65" t="s">
        <v>93</v>
      </c>
      <c r="I23" s="119"/>
      <c r="J23" s="119"/>
      <c r="K23" s="64">
        <v>3</v>
      </c>
      <c r="L23" s="52">
        <v>9</v>
      </c>
      <c r="M23" s="52">
        <v>8</v>
      </c>
      <c r="N23" s="52">
        <f t="shared" si="2"/>
        <v>1001.1381419924729</v>
      </c>
      <c r="O23" s="52">
        <f t="shared" si="3"/>
        <v>10418</v>
      </c>
      <c r="P23" s="52">
        <f t="shared" si="4"/>
        <v>815.56305128866427</v>
      </c>
      <c r="Q23" s="66"/>
      <c r="R23" s="37"/>
      <c r="S23" s="74" t="s">
        <v>285</v>
      </c>
      <c r="T23" s="81">
        <f t="shared" si="6"/>
        <v>970.33333333333337</v>
      </c>
      <c r="U23" s="81">
        <f t="shared" si="7"/>
        <v>1102</v>
      </c>
      <c r="V23" s="233">
        <v>1662</v>
      </c>
      <c r="W23" s="198" t="s">
        <v>102</v>
      </c>
      <c r="X23" s="52">
        <v>567</v>
      </c>
      <c r="Y23" s="52">
        <v>682</v>
      </c>
      <c r="Z23" s="52">
        <v>783</v>
      </c>
      <c r="AA23" s="52">
        <v>660</v>
      </c>
      <c r="AB23" s="52">
        <v>137</v>
      </c>
      <c r="AC23" s="52">
        <v>1217</v>
      </c>
      <c r="AD23" s="52" t="s">
        <v>263</v>
      </c>
      <c r="AE23" s="53">
        <v>799</v>
      </c>
      <c r="AF23" s="144">
        <v>1729</v>
      </c>
      <c r="AG23" s="144">
        <v>2784</v>
      </c>
      <c r="AH23" s="52" t="s">
        <v>102</v>
      </c>
      <c r="AI23" s="53">
        <v>3409</v>
      </c>
      <c r="AJ23" s="53">
        <v>1976</v>
      </c>
      <c r="AK23" s="52">
        <v>757</v>
      </c>
      <c r="AL23" s="89">
        <v>104</v>
      </c>
      <c r="AM23" s="52">
        <v>888</v>
      </c>
      <c r="AN23" s="54"/>
      <c r="AO23" s="53">
        <v>2963</v>
      </c>
      <c r="AP23" s="53">
        <v>2308</v>
      </c>
      <c r="AQ23" s="53">
        <v>10418</v>
      </c>
      <c r="AR23" s="52" t="s">
        <v>263</v>
      </c>
      <c r="AS23" s="52" t="s">
        <v>102</v>
      </c>
      <c r="AT23" s="52">
        <v>4197</v>
      </c>
      <c r="AU23" s="52">
        <v>170</v>
      </c>
      <c r="AV23" s="52">
        <v>200</v>
      </c>
      <c r="AW23" s="53">
        <v>721</v>
      </c>
      <c r="AX23" s="51">
        <v>24</v>
      </c>
      <c r="AY23" s="53">
        <v>550</v>
      </c>
      <c r="AZ23" s="53">
        <v>487</v>
      </c>
      <c r="BA23" s="53" t="s">
        <v>102</v>
      </c>
      <c r="BB23" s="53" t="s">
        <v>102</v>
      </c>
      <c r="BC23" s="53" t="s">
        <v>102</v>
      </c>
      <c r="BD23" s="53" t="s">
        <v>102</v>
      </c>
      <c r="BE23" s="53" t="s">
        <v>102</v>
      </c>
      <c r="BF23" s="53" t="s">
        <v>102</v>
      </c>
      <c r="BG23" s="53" t="s">
        <v>102</v>
      </c>
      <c r="BH23" s="53">
        <v>8000</v>
      </c>
      <c r="BI23" s="53" t="s">
        <v>102</v>
      </c>
      <c r="BJ23" s="53" t="s">
        <v>102</v>
      </c>
      <c r="BK23" s="53">
        <v>750</v>
      </c>
      <c r="BL23" s="53">
        <v>800</v>
      </c>
      <c r="BM23" s="53" t="s">
        <v>102</v>
      </c>
      <c r="BN23" s="53" t="s">
        <v>102</v>
      </c>
      <c r="BO23" s="53" t="s">
        <v>102</v>
      </c>
      <c r="BP23" s="53" t="s">
        <v>102</v>
      </c>
      <c r="BQ23" s="53" t="s">
        <v>102</v>
      </c>
      <c r="BR23" s="53" t="s">
        <v>102</v>
      </c>
      <c r="BS23" s="53" t="s">
        <v>102</v>
      </c>
      <c r="BT23" s="53" t="s">
        <v>102</v>
      </c>
      <c r="BU23" s="53" t="s">
        <v>102</v>
      </c>
      <c r="BV23" s="53" t="s">
        <v>102</v>
      </c>
      <c r="BW23" s="53" t="s">
        <v>102</v>
      </c>
      <c r="BX23" s="53" t="s">
        <v>102</v>
      </c>
      <c r="BY23" s="53" t="s">
        <v>102</v>
      </c>
      <c r="BZ23" s="53" t="s">
        <v>102</v>
      </c>
      <c r="CA23" s="53" t="s">
        <v>102</v>
      </c>
      <c r="CB23" s="53" t="s">
        <v>102</v>
      </c>
      <c r="CC23" s="53" t="s">
        <v>102</v>
      </c>
      <c r="CD23" s="53" t="s">
        <v>102</v>
      </c>
      <c r="CE23" s="53" t="s">
        <v>102</v>
      </c>
      <c r="CF23" s="53" t="s">
        <v>102</v>
      </c>
      <c r="CG23" s="53" t="s">
        <v>102</v>
      </c>
      <c r="CH23" s="53" t="s">
        <v>102</v>
      </c>
      <c r="CI23" s="53" t="s">
        <v>102</v>
      </c>
      <c r="CJ23" s="53" t="s">
        <v>102</v>
      </c>
      <c r="CK23" s="53" t="s">
        <v>102</v>
      </c>
      <c r="CL23" s="53" t="s">
        <v>102</v>
      </c>
      <c r="CM23" s="53" t="s">
        <v>102</v>
      </c>
      <c r="CN23" s="206"/>
      <c r="CO23" s="206"/>
      <c r="CP23" s="206"/>
      <c r="CQ23" s="8">
        <f t="shared" si="8"/>
        <v>24</v>
      </c>
      <c r="CR23" s="8">
        <f t="shared" si="9"/>
        <v>10418</v>
      </c>
      <c r="CS23" s="8">
        <f t="shared" si="10"/>
        <v>1776.5</v>
      </c>
      <c r="CT23">
        <f t="shared" si="11"/>
        <v>873.52658231659314</v>
      </c>
      <c r="CU23" s="143">
        <f t="shared" si="12"/>
        <v>923.5</v>
      </c>
      <c r="CV23" s="143">
        <f t="shared" si="13"/>
        <v>1102</v>
      </c>
      <c r="CX23" s="7">
        <f t="shared" si="14"/>
        <v>115.55</v>
      </c>
      <c r="CY23" s="7">
        <f t="shared" si="15"/>
        <v>214.34999999999994</v>
      </c>
      <c r="CZ23" s="7">
        <f t="shared" si="16"/>
        <v>512.20000000000005</v>
      </c>
      <c r="DA23" s="7">
        <f t="shared" si="17"/>
        <v>562.75</v>
      </c>
      <c r="DB23" s="7">
        <f t="shared" si="18"/>
        <v>791</v>
      </c>
      <c r="DC23" s="7">
        <f t="shared" si="19"/>
        <v>953.79999999999973</v>
      </c>
      <c r="DD23" s="7">
        <f t="shared" si="20"/>
        <v>1461.7500000000002</v>
      </c>
      <c r="DE23" s="7">
        <f t="shared" si="21"/>
        <v>2059</v>
      </c>
      <c r="DF23" s="7">
        <f t="shared" si="22"/>
        <v>2954.0499999999997</v>
      </c>
      <c r="DH23" s="7">
        <f t="shared" si="23"/>
        <v>138.65</v>
      </c>
      <c r="DI23" s="7">
        <f t="shared" si="24"/>
        <v>255.05000000000013</v>
      </c>
      <c r="DJ23" s="7">
        <f t="shared" si="25"/>
        <v>585.6</v>
      </c>
      <c r="DK23" s="7">
        <f t="shared" si="26"/>
        <v>665.5</v>
      </c>
      <c r="DL23" s="7">
        <f t="shared" si="27"/>
        <v>843.5</v>
      </c>
      <c r="DM23" s="7">
        <f t="shared" si="28"/>
        <v>1483.9999999999998</v>
      </c>
      <c r="DN23" s="7">
        <f t="shared" si="29"/>
        <v>1705.55</v>
      </c>
      <c r="DO23" s="7">
        <f t="shared" si="30"/>
        <v>2225</v>
      </c>
      <c r="DP23" s="7">
        <f t="shared" si="31"/>
        <v>2936.1499999999996</v>
      </c>
    </row>
    <row r="24" spans="1:120" s="7" customFormat="1" ht="25.5" hidden="1" customHeight="1" x14ac:dyDescent="0.25">
      <c r="A24" s="92" t="str">
        <f t="shared" si="32"/>
        <v>CM-SWVI [10]</v>
      </c>
      <c r="B24" s="92" t="str">
        <f t="shared" si="33"/>
        <v>Southwest Vancouver Island</v>
      </c>
      <c r="C24" s="93" t="str">
        <f t="shared" si="1"/>
        <v>HEMMINGSEN CREEK_Chum</v>
      </c>
      <c r="D24" s="128" t="s">
        <v>598</v>
      </c>
      <c r="E24" s="128" t="s">
        <v>598</v>
      </c>
      <c r="F24" s="64">
        <v>20</v>
      </c>
      <c r="G24" s="72" t="s">
        <v>34</v>
      </c>
      <c r="H24" s="65" t="s">
        <v>96</v>
      </c>
      <c r="I24" s="119"/>
      <c r="J24" s="119"/>
      <c r="K24" s="64">
        <v>5</v>
      </c>
      <c r="L24" s="52">
        <v>1</v>
      </c>
      <c r="M24" s="52">
        <v>0</v>
      </c>
      <c r="N24" s="52" t="e">
        <f t="shared" si="2"/>
        <v>#NUM!</v>
      </c>
      <c r="O24" s="52">
        <f t="shared" si="3"/>
        <v>0</v>
      </c>
      <c r="P24" s="52" t="e">
        <f t="shared" si="4"/>
        <v>#NUM!</v>
      </c>
      <c r="Q24" s="66"/>
      <c r="R24" s="37"/>
      <c r="S24" s="74" t="s">
        <v>283</v>
      </c>
      <c r="T24" s="81" t="e">
        <f t="shared" si="6"/>
        <v>#DIV/0!</v>
      </c>
      <c r="U24" s="81" t="e">
        <f t="shared" si="7"/>
        <v>#DIV/0!</v>
      </c>
      <c r="V24" s="52" t="s">
        <v>102</v>
      </c>
      <c r="W24" s="198" t="s">
        <v>102</v>
      </c>
      <c r="X24" s="198" t="s">
        <v>102</v>
      </c>
      <c r="Y24" s="198" t="s">
        <v>102</v>
      </c>
      <c r="Z24" s="52" t="s">
        <v>102</v>
      </c>
      <c r="AA24" s="52" t="s">
        <v>102</v>
      </c>
      <c r="AB24" s="52" t="s">
        <v>102</v>
      </c>
      <c r="AC24" s="52" t="s">
        <v>102</v>
      </c>
      <c r="AD24" s="52" t="s">
        <v>102</v>
      </c>
      <c r="AE24" s="144" t="s">
        <v>102</v>
      </c>
      <c r="AF24" s="144" t="s">
        <v>102</v>
      </c>
      <c r="AG24" s="52" t="s">
        <v>102</v>
      </c>
      <c r="AH24" s="52" t="s">
        <v>102</v>
      </c>
      <c r="AI24" s="52" t="s">
        <v>102</v>
      </c>
      <c r="AJ24" s="52" t="s">
        <v>102</v>
      </c>
      <c r="AK24" s="52" t="s">
        <v>102</v>
      </c>
      <c r="AL24" s="52" t="s">
        <v>102</v>
      </c>
      <c r="AM24" s="52" t="s">
        <v>102</v>
      </c>
      <c r="AN24" s="52" t="s">
        <v>102</v>
      </c>
      <c r="AO24" s="52" t="s">
        <v>102</v>
      </c>
      <c r="AP24" s="52" t="s">
        <v>102</v>
      </c>
      <c r="AQ24" s="53" t="s">
        <v>102</v>
      </c>
      <c r="AR24" s="53" t="s">
        <v>102</v>
      </c>
      <c r="AS24" s="52" t="s">
        <v>102</v>
      </c>
      <c r="AT24" s="52" t="s">
        <v>262</v>
      </c>
      <c r="AU24" s="52" t="s">
        <v>102</v>
      </c>
      <c r="AV24" s="52" t="s">
        <v>102</v>
      </c>
      <c r="AW24" s="53" t="s">
        <v>102</v>
      </c>
      <c r="AX24" s="51" t="s">
        <v>264</v>
      </c>
      <c r="AY24" s="53" t="s">
        <v>102</v>
      </c>
      <c r="AZ24" s="53" t="s">
        <v>264</v>
      </c>
      <c r="BA24" s="53" t="s">
        <v>102</v>
      </c>
      <c r="BB24" s="53" t="s">
        <v>102</v>
      </c>
      <c r="BC24" s="53" t="s">
        <v>102</v>
      </c>
      <c r="BD24" s="53" t="s">
        <v>102</v>
      </c>
      <c r="BE24" s="53" t="s">
        <v>102</v>
      </c>
      <c r="BF24" s="53" t="s">
        <v>102</v>
      </c>
      <c r="BG24" s="53" t="s">
        <v>102</v>
      </c>
      <c r="BH24" s="53" t="s">
        <v>264</v>
      </c>
      <c r="BI24" s="53" t="s">
        <v>102</v>
      </c>
      <c r="BJ24" s="53" t="s">
        <v>102</v>
      </c>
      <c r="BK24" s="53" t="s">
        <v>264</v>
      </c>
      <c r="BL24" s="53" t="s">
        <v>264</v>
      </c>
      <c r="BM24" s="53" t="s">
        <v>102</v>
      </c>
      <c r="BN24" s="53" t="s">
        <v>102</v>
      </c>
      <c r="BO24" s="53" t="s">
        <v>102</v>
      </c>
      <c r="BP24" s="53" t="s">
        <v>102</v>
      </c>
      <c r="BQ24" s="53" t="s">
        <v>102</v>
      </c>
      <c r="BR24" s="53" t="s">
        <v>102</v>
      </c>
      <c r="BS24" s="53" t="s">
        <v>102</v>
      </c>
      <c r="BT24" s="53" t="s">
        <v>102</v>
      </c>
      <c r="BU24" s="53" t="s">
        <v>102</v>
      </c>
      <c r="BV24" s="53" t="s">
        <v>102</v>
      </c>
      <c r="BW24" s="53" t="s">
        <v>102</v>
      </c>
      <c r="BX24" s="53" t="s">
        <v>102</v>
      </c>
      <c r="BY24" s="53" t="s">
        <v>102</v>
      </c>
      <c r="BZ24" s="53" t="s">
        <v>102</v>
      </c>
      <c r="CA24" s="53" t="s">
        <v>102</v>
      </c>
      <c r="CB24" s="53" t="s">
        <v>102</v>
      </c>
      <c r="CC24" s="53" t="s">
        <v>102</v>
      </c>
      <c r="CD24" s="53" t="s">
        <v>102</v>
      </c>
      <c r="CE24" s="53" t="s">
        <v>102</v>
      </c>
      <c r="CF24" s="53" t="s">
        <v>102</v>
      </c>
      <c r="CG24" s="53" t="s">
        <v>102</v>
      </c>
      <c r="CH24" s="53" t="s">
        <v>102</v>
      </c>
      <c r="CI24" s="53" t="s">
        <v>102</v>
      </c>
      <c r="CJ24" s="53" t="s">
        <v>102</v>
      </c>
      <c r="CK24" s="53" t="s">
        <v>102</v>
      </c>
      <c r="CL24" s="53" t="s">
        <v>102</v>
      </c>
      <c r="CM24" s="53" t="s">
        <v>102</v>
      </c>
      <c r="CN24" s="206"/>
      <c r="CO24" s="206"/>
      <c r="CP24" s="206"/>
      <c r="CQ24" s="8">
        <f t="shared" si="8"/>
        <v>0</v>
      </c>
      <c r="CR24" s="8">
        <f t="shared" si="9"/>
        <v>0</v>
      </c>
      <c r="CS24" s="8" t="e">
        <f t="shared" si="10"/>
        <v>#DIV/0!</v>
      </c>
      <c r="CT24" t="e">
        <f t="shared" si="11"/>
        <v>#NUM!</v>
      </c>
      <c r="CU24" s="143" t="e">
        <f t="shared" si="12"/>
        <v>#DIV/0!</v>
      </c>
      <c r="CV24" s="143" t="e">
        <f t="shared" si="13"/>
        <v>#DIV/0!</v>
      </c>
      <c r="CX24" s="7" t="e">
        <f t="shared" si="14"/>
        <v>#NUM!</v>
      </c>
      <c r="CY24" s="7" t="e">
        <f t="shared" si="15"/>
        <v>#NUM!</v>
      </c>
      <c r="CZ24" s="7" t="e">
        <f t="shared" si="16"/>
        <v>#NUM!</v>
      </c>
      <c r="DA24" s="7" t="e">
        <f t="shared" si="17"/>
        <v>#NUM!</v>
      </c>
      <c r="DB24" s="7" t="e">
        <f t="shared" si="18"/>
        <v>#NUM!</v>
      </c>
      <c r="DC24" s="7" t="e">
        <f t="shared" si="19"/>
        <v>#NUM!</v>
      </c>
      <c r="DD24" s="7" t="e">
        <f t="shared" si="20"/>
        <v>#NUM!</v>
      </c>
      <c r="DE24" s="7" t="e">
        <f t="shared" si="21"/>
        <v>#NUM!</v>
      </c>
      <c r="DF24" s="7" t="e">
        <f t="shared" si="22"/>
        <v>#NUM!</v>
      </c>
      <c r="DH24" s="7" t="e">
        <f t="shared" si="23"/>
        <v>#NUM!</v>
      </c>
      <c r="DI24" s="7" t="e">
        <f t="shared" si="24"/>
        <v>#NUM!</v>
      </c>
      <c r="DJ24" s="7" t="e">
        <f t="shared" si="25"/>
        <v>#NUM!</v>
      </c>
      <c r="DK24" s="7" t="e">
        <f t="shared" si="26"/>
        <v>#NUM!</v>
      </c>
      <c r="DL24" s="7" t="e">
        <f t="shared" si="27"/>
        <v>#NUM!</v>
      </c>
      <c r="DM24" s="7" t="e">
        <f t="shared" si="28"/>
        <v>#NUM!</v>
      </c>
      <c r="DN24" s="7" t="e">
        <f t="shared" si="29"/>
        <v>#NUM!</v>
      </c>
      <c r="DO24" s="7" t="e">
        <f t="shared" si="30"/>
        <v>#NUM!</v>
      </c>
      <c r="DP24" s="7" t="e">
        <f t="shared" si="31"/>
        <v>#NUM!</v>
      </c>
    </row>
    <row r="25" spans="1:120" s="7" customFormat="1" ht="25.5" hidden="1" customHeight="1" x14ac:dyDescent="0.25">
      <c r="A25" s="92" t="str">
        <f t="shared" si="32"/>
        <v>CO-JdF [16]</v>
      </c>
      <c r="B25" s="92" t="str">
        <f t="shared" si="33"/>
        <v>Juan de Fuca-Pachena</v>
      </c>
      <c r="C25" s="93" t="str">
        <f t="shared" si="1"/>
        <v>HEMMINGSEN CREEK_Coho</v>
      </c>
      <c r="D25" s="128" t="s">
        <v>598</v>
      </c>
      <c r="E25" s="128" t="s">
        <v>598</v>
      </c>
      <c r="F25" s="64">
        <v>20</v>
      </c>
      <c r="G25" s="72" t="s">
        <v>34</v>
      </c>
      <c r="H25" s="65" t="s">
        <v>93</v>
      </c>
      <c r="I25" s="119"/>
      <c r="J25" s="119"/>
      <c r="K25" s="64">
        <v>5</v>
      </c>
      <c r="L25" s="52">
        <v>1</v>
      </c>
      <c r="M25" s="52">
        <v>1</v>
      </c>
      <c r="N25" s="52">
        <f t="shared" si="2"/>
        <v>356</v>
      </c>
      <c r="O25" s="52">
        <f t="shared" si="3"/>
        <v>3500</v>
      </c>
      <c r="P25" s="52">
        <f t="shared" si="4"/>
        <v>718.42568642984759</v>
      </c>
      <c r="Q25" s="66"/>
      <c r="R25" s="37"/>
      <c r="S25" s="74" t="s">
        <v>282</v>
      </c>
      <c r="T25" s="81" t="e">
        <f t="shared" si="6"/>
        <v>#DIV/0!</v>
      </c>
      <c r="U25" s="81" t="e">
        <f t="shared" si="7"/>
        <v>#DIV/0!</v>
      </c>
      <c r="V25" s="52" t="s">
        <v>102</v>
      </c>
      <c r="W25" s="198" t="s">
        <v>102</v>
      </c>
      <c r="X25" s="52"/>
      <c r="Y25" s="198" t="s">
        <v>102</v>
      </c>
      <c r="Z25" s="52" t="s">
        <v>102</v>
      </c>
      <c r="AA25" s="52" t="s">
        <v>102</v>
      </c>
      <c r="AB25" s="52" t="s">
        <v>102</v>
      </c>
      <c r="AC25" s="52" t="s">
        <v>102</v>
      </c>
      <c r="AD25" s="52" t="s">
        <v>102</v>
      </c>
      <c r="AE25" s="144" t="s">
        <v>102</v>
      </c>
      <c r="AF25" s="144" t="s">
        <v>102</v>
      </c>
      <c r="AG25" s="52" t="s">
        <v>102</v>
      </c>
      <c r="AH25" s="52" t="s">
        <v>102</v>
      </c>
      <c r="AI25" s="52" t="s">
        <v>102</v>
      </c>
      <c r="AJ25" s="52" t="s">
        <v>102</v>
      </c>
      <c r="AK25" s="52" t="s">
        <v>102</v>
      </c>
      <c r="AL25" s="52" t="s">
        <v>102</v>
      </c>
      <c r="AM25" s="52" t="s">
        <v>102</v>
      </c>
      <c r="AN25" s="52" t="s">
        <v>102</v>
      </c>
      <c r="AO25" s="52" t="s">
        <v>102</v>
      </c>
      <c r="AP25" s="52" t="s">
        <v>102</v>
      </c>
      <c r="AQ25" s="53" t="s">
        <v>102</v>
      </c>
      <c r="AR25" s="53" t="s">
        <v>102</v>
      </c>
      <c r="AS25" s="52" t="s">
        <v>102</v>
      </c>
      <c r="AT25" s="52">
        <v>356</v>
      </c>
      <c r="AU25" s="52" t="s">
        <v>102</v>
      </c>
      <c r="AV25" s="52" t="s">
        <v>102</v>
      </c>
      <c r="AW25" s="53" t="s">
        <v>102</v>
      </c>
      <c r="AX25" s="51" t="s">
        <v>264</v>
      </c>
      <c r="AY25" s="53" t="s">
        <v>102</v>
      </c>
      <c r="AZ25" s="53">
        <v>64</v>
      </c>
      <c r="BA25" s="53" t="s">
        <v>102</v>
      </c>
      <c r="BB25" s="53" t="s">
        <v>102</v>
      </c>
      <c r="BC25" s="53" t="s">
        <v>102</v>
      </c>
      <c r="BD25" s="53" t="s">
        <v>102</v>
      </c>
      <c r="BE25" s="53" t="s">
        <v>102</v>
      </c>
      <c r="BF25" s="53" t="s">
        <v>102</v>
      </c>
      <c r="BG25" s="53" t="s">
        <v>102</v>
      </c>
      <c r="BH25" s="53">
        <v>2000</v>
      </c>
      <c r="BI25" s="53" t="s">
        <v>102</v>
      </c>
      <c r="BJ25" s="53" t="s">
        <v>102</v>
      </c>
      <c r="BK25" s="53">
        <v>3500</v>
      </c>
      <c r="BL25" s="53">
        <v>1200</v>
      </c>
      <c r="BM25" s="53" t="s">
        <v>102</v>
      </c>
      <c r="BN25" s="53" t="s">
        <v>102</v>
      </c>
      <c r="BO25" s="53" t="s">
        <v>102</v>
      </c>
      <c r="BP25" s="53" t="s">
        <v>102</v>
      </c>
      <c r="BQ25" s="53" t="s">
        <v>102</v>
      </c>
      <c r="BR25" s="53" t="s">
        <v>102</v>
      </c>
      <c r="BS25" s="53" t="s">
        <v>102</v>
      </c>
      <c r="BT25" s="53" t="s">
        <v>102</v>
      </c>
      <c r="BU25" s="53" t="s">
        <v>102</v>
      </c>
      <c r="BV25" s="53" t="s">
        <v>102</v>
      </c>
      <c r="BW25" s="53" t="s">
        <v>102</v>
      </c>
      <c r="BX25" s="53" t="s">
        <v>102</v>
      </c>
      <c r="BY25" s="53" t="s">
        <v>102</v>
      </c>
      <c r="BZ25" s="53" t="s">
        <v>102</v>
      </c>
      <c r="CA25" s="53" t="s">
        <v>102</v>
      </c>
      <c r="CB25" s="53" t="s">
        <v>102</v>
      </c>
      <c r="CC25" s="53" t="s">
        <v>102</v>
      </c>
      <c r="CD25" s="53" t="s">
        <v>102</v>
      </c>
      <c r="CE25" s="53" t="s">
        <v>102</v>
      </c>
      <c r="CF25" s="53" t="s">
        <v>102</v>
      </c>
      <c r="CG25" s="53" t="s">
        <v>102</v>
      </c>
      <c r="CH25" s="53" t="s">
        <v>102</v>
      </c>
      <c r="CI25" s="53" t="s">
        <v>102</v>
      </c>
      <c r="CJ25" s="53" t="s">
        <v>102</v>
      </c>
      <c r="CK25" s="53" t="s">
        <v>102</v>
      </c>
      <c r="CL25" s="53" t="s">
        <v>102</v>
      </c>
      <c r="CM25" s="53" t="s">
        <v>102</v>
      </c>
      <c r="CN25" s="206"/>
      <c r="CO25" s="206"/>
      <c r="CP25" s="206"/>
      <c r="CQ25" s="8">
        <f t="shared" si="8"/>
        <v>64</v>
      </c>
      <c r="CR25" s="8">
        <f t="shared" si="9"/>
        <v>3500</v>
      </c>
      <c r="CS25" s="8">
        <f t="shared" si="10"/>
        <v>1424</v>
      </c>
      <c r="CT25">
        <f t="shared" si="11"/>
        <v>718.42568642984759</v>
      </c>
      <c r="CU25" s="143" t="e">
        <f t="shared" si="12"/>
        <v>#DIV/0!</v>
      </c>
      <c r="CV25" s="143" t="e">
        <f t="shared" si="13"/>
        <v>#DIV/0!</v>
      </c>
      <c r="CX25" s="7">
        <f t="shared" si="14"/>
        <v>122.39999999999998</v>
      </c>
      <c r="CY25" s="7">
        <f t="shared" si="15"/>
        <v>239.20000000000002</v>
      </c>
      <c r="CZ25" s="7">
        <f t="shared" si="16"/>
        <v>297.60000000000002</v>
      </c>
      <c r="DA25" s="7">
        <f t="shared" si="17"/>
        <v>356</v>
      </c>
      <c r="DB25" s="7">
        <f t="shared" si="18"/>
        <v>1200</v>
      </c>
      <c r="DC25" s="7">
        <f t="shared" si="19"/>
        <v>1520</v>
      </c>
      <c r="DD25" s="7">
        <f t="shared" si="20"/>
        <v>1680</v>
      </c>
      <c r="DE25" s="7">
        <f t="shared" si="21"/>
        <v>2000</v>
      </c>
      <c r="DF25" s="7">
        <f t="shared" si="22"/>
        <v>2600.0000000000005</v>
      </c>
      <c r="DH25" s="7">
        <f t="shared" si="23"/>
        <v>356</v>
      </c>
      <c r="DI25" s="7">
        <f t="shared" si="24"/>
        <v>356</v>
      </c>
      <c r="DJ25" s="7">
        <f t="shared" si="25"/>
        <v>356</v>
      </c>
      <c r="DK25" s="7">
        <f t="shared" si="26"/>
        <v>356</v>
      </c>
      <c r="DL25" s="7">
        <f t="shared" si="27"/>
        <v>356</v>
      </c>
      <c r="DM25" s="7">
        <f t="shared" si="28"/>
        <v>356</v>
      </c>
      <c r="DN25" s="7">
        <f t="shared" si="29"/>
        <v>356</v>
      </c>
      <c r="DO25" s="7">
        <f t="shared" si="30"/>
        <v>356</v>
      </c>
      <c r="DP25" s="7">
        <f t="shared" si="31"/>
        <v>356</v>
      </c>
    </row>
    <row r="26" spans="1:120" s="7" customFormat="1" ht="25.5" customHeight="1" x14ac:dyDescent="0.25">
      <c r="A26" s="92" t="str">
        <f t="shared" si="32"/>
        <v>CK-PSJ [30]</v>
      </c>
      <c r="B26" s="92" t="str">
        <f t="shared" si="33"/>
        <v>Port San Juan</v>
      </c>
      <c r="C26" s="93" t="str">
        <f t="shared" si="1"/>
        <v>LENS CREEK_Chinook</v>
      </c>
      <c r="D26" s="128" t="s">
        <v>598</v>
      </c>
      <c r="E26" s="128" t="s">
        <v>598</v>
      </c>
      <c r="F26" s="64">
        <v>20</v>
      </c>
      <c r="G26" s="72" t="s">
        <v>35</v>
      </c>
      <c r="H26" s="65" t="s">
        <v>97</v>
      </c>
      <c r="I26" s="119"/>
      <c r="J26" s="119"/>
      <c r="K26" s="64">
        <v>4</v>
      </c>
      <c r="L26" s="52">
        <v>7</v>
      </c>
      <c r="M26" s="52">
        <v>4</v>
      </c>
      <c r="N26" s="52" t="e">
        <f t="shared" si="2"/>
        <v>#NUM!</v>
      </c>
      <c r="O26" s="52">
        <f t="shared" si="3"/>
        <v>0</v>
      </c>
      <c r="P26" s="52" t="e">
        <f t="shared" si="4"/>
        <v>#NUM!</v>
      </c>
      <c r="Q26" s="66"/>
      <c r="R26" s="39"/>
      <c r="S26" s="74" t="s">
        <v>288</v>
      </c>
      <c r="T26" s="81">
        <f t="shared" si="6"/>
        <v>10.5</v>
      </c>
      <c r="U26" s="81">
        <f t="shared" si="7"/>
        <v>38</v>
      </c>
      <c r="V26" s="233">
        <v>1</v>
      </c>
      <c r="W26" s="198" t="s">
        <v>102</v>
      </c>
      <c r="X26" s="52">
        <v>20</v>
      </c>
      <c r="Y26" s="230" t="s">
        <v>263</v>
      </c>
      <c r="Z26" s="52">
        <v>9</v>
      </c>
      <c r="AA26" s="52">
        <v>104</v>
      </c>
      <c r="AB26" s="52">
        <v>3</v>
      </c>
      <c r="AC26" s="52">
        <v>20</v>
      </c>
      <c r="AD26" s="52" t="s">
        <v>263</v>
      </c>
      <c r="AE26" s="144">
        <v>103</v>
      </c>
      <c r="AF26" s="144">
        <v>44</v>
      </c>
      <c r="AG26" s="144"/>
      <c r="AH26" s="52"/>
      <c r="AI26" s="52"/>
      <c r="AJ26" s="52"/>
      <c r="AK26" s="52"/>
      <c r="AL26" s="89"/>
      <c r="AM26" s="52"/>
      <c r="AN26" s="52"/>
      <c r="AO26" s="53"/>
      <c r="AP26" s="53"/>
      <c r="AQ26" s="53"/>
      <c r="AR26" s="53"/>
      <c r="AS26" s="52"/>
      <c r="AT26" s="52"/>
      <c r="AU26" s="53"/>
      <c r="AV26" s="52"/>
      <c r="AW26" s="53"/>
      <c r="AX26" s="51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206"/>
      <c r="CO26" s="206"/>
      <c r="CP26" s="206"/>
      <c r="CQ26" s="8">
        <f t="shared" si="8"/>
        <v>1</v>
      </c>
      <c r="CR26" s="8">
        <f t="shared" si="9"/>
        <v>104</v>
      </c>
      <c r="CS26" s="8">
        <f t="shared" si="10"/>
        <v>38</v>
      </c>
      <c r="CT26">
        <f t="shared" si="11"/>
        <v>16.343436293473399</v>
      </c>
      <c r="CU26" s="143">
        <f t="shared" si="12"/>
        <v>10</v>
      </c>
      <c r="CV26" s="143">
        <f t="shared" si="13"/>
        <v>38</v>
      </c>
      <c r="CX26" s="7">
        <f t="shared" si="14"/>
        <v>1.7000000000000002</v>
      </c>
      <c r="CY26" s="7">
        <f t="shared" si="15"/>
        <v>3.2999999999999989</v>
      </c>
      <c r="CZ26" s="7">
        <f t="shared" si="16"/>
        <v>5.4000000000000021</v>
      </c>
      <c r="DA26" s="7">
        <f t="shared" si="17"/>
        <v>7.5</v>
      </c>
      <c r="DB26" s="7">
        <f t="shared" si="18"/>
        <v>20</v>
      </c>
      <c r="DC26" s="7">
        <f t="shared" si="19"/>
        <v>24.800000000000004</v>
      </c>
      <c r="DD26" s="7">
        <f t="shared" si="20"/>
        <v>33.199999999999996</v>
      </c>
      <c r="DE26" s="7">
        <f t="shared" si="21"/>
        <v>58.75</v>
      </c>
      <c r="DF26" s="7">
        <f t="shared" si="22"/>
        <v>100.05000000000001</v>
      </c>
      <c r="DH26" s="7">
        <f t="shared" si="23"/>
        <v>1.7000000000000002</v>
      </c>
      <c r="DI26" s="7">
        <f t="shared" si="24"/>
        <v>3.2999999999999989</v>
      </c>
      <c r="DJ26" s="7">
        <f t="shared" si="25"/>
        <v>5.4000000000000021</v>
      </c>
      <c r="DK26" s="7">
        <f t="shared" si="26"/>
        <v>7.5</v>
      </c>
      <c r="DL26" s="7">
        <f t="shared" si="27"/>
        <v>20</v>
      </c>
      <c r="DM26" s="7">
        <f t="shared" si="28"/>
        <v>24.800000000000004</v>
      </c>
      <c r="DN26" s="7">
        <f t="shared" si="29"/>
        <v>33.199999999999996</v>
      </c>
      <c r="DO26" s="7">
        <f t="shared" si="30"/>
        <v>58.75</v>
      </c>
      <c r="DP26" s="7">
        <f t="shared" si="31"/>
        <v>100.05000000000001</v>
      </c>
    </row>
    <row r="27" spans="1:120" s="7" customFormat="1" ht="25.5" hidden="1" customHeight="1" x14ac:dyDescent="0.25">
      <c r="A27" s="92" t="str">
        <f t="shared" si="32"/>
        <v>CM-SWVI [10]</v>
      </c>
      <c r="B27" s="92" t="str">
        <f t="shared" si="33"/>
        <v>Southwest Vancouver Island</v>
      </c>
      <c r="C27" s="93" t="str">
        <f t="shared" si="1"/>
        <v>LENS CREEK_Chum</v>
      </c>
      <c r="D27" s="128" t="s">
        <v>598</v>
      </c>
      <c r="E27" s="128" t="s">
        <v>598</v>
      </c>
      <c r="F27" s="64">
        <v>20</v>
      </c>
      <c r="G27" s="72" t="s">
        <v>35</v>
      </c>
      <c r="H27" s="65" t="s">
        <v>96</v>
      </c>
      <c r="I27" s="119"/>
      <c r="J27" s="119"/>
      <c r="K27" s="64">
        <v>4</v>
      </c>
      <c r="L27" s="52">
        <v>7</v>
      </c>
      <c r="M27" s="52">
        <v>4</v>
      </c>
      <c r="N27" s="52">
        <f t="shared" si="2"/>
        <v>13.231503906544029</v>
      </c>
      <c r="O27" s="52">
        <f t="shared" si="3"/>
        <v>70</v>
      </c>
      <c r="P27" s="52">
        <f t="shared" si="4"/>
        <v>11.831760830496329</v>
      </c>
      <c r="Q27" s="66"/>
      <c r="R27" s="39"/>
      <c r="S27" s="74" t="s">
        <v>288</v>
      </c>
      <c r="T27" s="81">
        <f t="shared" si="6"/>
        <v>16</v>
      </c>
      <c r="U27" s="81">
        <f t="shared" si="7"/>
        <v>11.6</v>
      </c>
      <c r="V27" s="233">
        <v>28</v>
      </c>
      <c r="W27" s="198" t="s">
        <v>102</v>
      </c>
      <c r="X27" s="52">
        <v>4</v>
      </c>
      <c r="Y27" s="230" t="s">
        <v>263</v>
      </c>
      <c r="Z27" s="52" t="s">
        <v>262</v>
      </c>
      <c r="AA27" s="52" t="s">
        <v>263</v>
      </c>
      <c r="AB27" s="52">
        <v>8</v>
      </c>
      <c r="AC27" s="52" t="s">
        <v>262</v>
      </c>
      <c r="AD27" s="52" t="s">
        <v>262</v>
      </c>
      <c r="AE27" s="144" t="s">
        <v>262</v>
      </c>
      <c r="AF27" s="144">
        <v>6</v>
      </c>
      <c r="AG27" s="144">
        <v>12</v>
      </c>
      <c r="AH27" s="52" t="s">
        <v>262</v>
      </c>
      <c r="AI27" s="53">
        <v>18</v>
      </c>
      <c r="AJ27" s="53">
        <v>35</v>
      </c>
      <c r="AK27" s="52">
        <v>1</v>
      </c>
      <c r="AL27" s="89" t="s">
        <v>262</v>
      </c>
      <c r="AM27" s="52">
        <v>21</v>
      </c>
      <c r="AN27" s="52" t="s">
        <v>102</v>
      </c>
      <c r="AO27" s="53">
        <v>23</v>
      </c>
      <c r="AP27" s="53">
        <v>12</v>
      </c>
      <c r="AQ27" s="53">
        <v>5</v>
      </c>
      <c r="AR27" s="53" t="s">
        <v>102</v>
      </c>
      <c r="AS27" s="52" t="s">
        <v>102</v>
      </c>
      <c r="AT27" s="52" t="s">
        <v>262</v>
      </c>
      <c r="AU27" s="53" t="s">
        <v>262</v>
      </c>
      <c r="AV27" s="52" t="s">
        <v>102</v>
      </c>
      <c r="AW27" s="53">
        <v>70</v>
      </c>
      <c r="AX27" s="51">
        <v>2</v>
      </c>
      <c r="AY27" s="53" t="s">
        <v>262</v>
      </c>
      <c r="AZ27" s="53">
        <v>32</v>
      </c>
      <c r="BA27" s="53" t="s">
        <v>102</v>
      </c>
      <c r="BB27" s="53" t="s">
        <v>102</v>
      </c>
      <c r="BC27" s="53" t="s">
        <v>102</v>
      </c>
      <c r="BD27" s="53" t="s">
        <v>102</v>
      </c>
      <c r="BE27" s="53" t="s">
        <v>102</v>
      </c>
      <c r="BF27" s="53" t="s">
        <v>102</v>
      </c>
      <c r="BG27" s="53" t="s">
        <v>102</v>
      </c>
      <c r="BH27" s="53" t="s">
        <v>102</v>
      </c>
      <c r="BI27" s="53" t="s">
        <v>102</v>
      </c>
      <c r="BJ27" s="53" t="s">
        <v>102</v>
      </c>
      <c r="BK27" s="53" t="s">
        <v>264</v>
      </c>
      <c r="BL27" s="53" t="s">
        <v>102</v>
      </c>
      <c r="BM27" s="53" t="s">
        <v>102</v>
      </c>
      <c r="BN27" s="53" t="s">
        <v>102</v>
      </c>
      <c r="BO27" s="53" t="s">
        <v>102</v>
      </c>
      <c r="BP27" s="53" t="s">
        <v>102</v>
      </c>
      <c r="BQ27" s="53" t="s">
        <v>102</v>
      </c>
      <c r="BR27" s="53" t="s">
        <v>102</v>
      </c>
      <c r="BS27" s="53" t="s">
        <v>102</v>
      </c>
      <c r="BT27" s="53" t="s">
        <v>102</v>
      </c>
      <c r="BU27" s="53" t="s">
        <v>102</v>
      </c>
      <c r="BV27" s="53" t="s">
        <v>102</v>
      </c>
      <c r="BW27" s="53" t="s">
        <v>102</v>
      </c>
      <c r="BX27" s="53" t="s">
        <v>102</v>
      </c>
      <c r="BY27" s="53" t="s">
        <v>102</v>
      </c>
      <c r="BZ27" s="53" t="s">
        <v>102</v>
      </c>
      <c r="CA27" s="53" t="s">
        <v>102</v>
      </c>
      <c r="CB27" s="53" t="s">
        <v>102</v>
      </c>
      <c r="CC27" s="53" t="s">
        <v>102</v>
      </c>
      <c r="CD27" s="53" t="s">
        <v>102</v>
      </c>
      <c r="CE27" s="53" t="s">
        <v>102</v>
      </c>
      <c r="CF27" s="53" t="s">
        <v>102</v>
      </c>
      <c r="CG27" s="53" t="s">
        <v>102</v>
      </c>
      <c r="CH27" s="53" t="s">
        <v>102</v>
      </c>
      <c r="CI27" s="53" t="s">
        <v>102</v>
      </c>
      <c r="CJ27" s="53" t="s">
        <v>102</v>
      </c>
      <c r="CK27" s="53" t="s">
        <v>102</v>
      </c>
      <c r="CL27" s="53" t="s">
        <v>102</v>
      </c>
      <c r="CM27" s="53" t="s">
        <v>102</v>
      </c>
      <c r="CN27" s="206"/>
      <c r="CO27" s="206"/>
      <c r="CP27" s="206"/>
      <c r="CQ27" s="8">
        <f t="shared" si="8"/>
        <v>1</v>
      </c>
      <c r="CR27" s="8">
        <f t="shared" si="9"/>
        <v>70</v>
      </c>
      <c r="CS27" s="8">
        <f t="shared" si="10"/>
        <v>18.466666666666665</v>
      </c>
      <c r="CT27">
        <f t="shared" si="11"/>
        <v>11.172674936857614</v>
      </c>
      <c r="CU27" s="143">
        <f t="shared" si="12"/>
        <v>16</v>
      </c>
      <c r="CV27" s="143">
        <f t="shared" si="13"/>
        <v>11.6</v>
      </c>
      <c r="CX27" s="7">
        <f t="shared" si="14"/>
        <v>1.7000000000000002</v>
      </c>
      <c r="CY27" s="7">
        <f t="shared" si="15"/>
        <v>4.0999999999999996</v>
      </c>
      <c r="CZ27" s="7">
        <f t="shared" si="16"/>
        <v>4.8000000000000007</v>
      </c>
      <c r="DA27" s="7">
        <f t="shared" si="17"/>
        <v>5.5</v>
      </c>
      <c r="DB27" s="7">
        <f t="shared" si="18"/>
        <v>12</v>
      </c>
      <c r="DC27" s="7">
        <f t="shared" si="19"/>
        <v>19.200000000000003</v>
      </c>
      <c r="DD27" s="7">
        <f t="shared" si="20"/>
        <v>21.2</v>
      </c>
      <c r="DE27" s="7">
        <f t="shared" si="21"/>
        <v>25.5</v>
      </c>
      <c r="DF27" s="7">
        <f t="shared" si="22"/>
        <v>31.6</v>
      </c>
      <c r="DH27" s="7">
        <f t="shared" si="23"/>
        <v>2.8000000000000003</v>
      </c>
      <c r="DI27" s="7">
        <f t="shared" si="24"/>
        <v>4.8</v>
      </c>
      <c r="DJ27" s="7">
        <f t="shared" si="25"/>
        <v>5.4</v>
      </c>
      <c r="DK27" s="7">
        <f t="shared" si="26"/>
        <v>6</v>
      </c>
      <c r="DL27" s="7">
        <f t="shared" si="27"/>
        <v>12</v>
      </c>
      <c r="DM27" s="7">
        <f t="shared" si="28"/>
        <v>18.599999999999998</v>
      </c>
      <c r="DN27" s="7">
        <f t="shared" si="29"/>
        <v>20.400000000000002</v>
      </c>
      <c r="DO27" s="7">
        <f t="shared" si="30"/>
        <v>23</v>
      </c>
      <c r="DP27" s="7">
        <f t="shared" si="31"/>
        <v>29.399999999999995</v>
      </c>
    </row>
    <row r="28" spans="1:120" s="7" customFormat="1" ht="25.5" hidden="1" customHeight="1" x14ac:dyDescent="0.25">
      <c r="A28" s="92" t="str">
        <f t="shared" si="32"/>
        <v>CO-JdF [16]</v>
      </c>
      <c r="B28" s="92" t="str">
        <f t="shared" si="33"/>
        <v>Juan de Fuca-Pachena</v>
      </c>
      <c r="C28" s="93" t="str">
        <f t="shared" si="1"/>
        <v>LENS CREEK_Coho</v>
      </c>
      <c r="D28" s="128" t="s">
        <v>598</v>
      </c>
      <c r="E28" s="128" t="s">
        <v>598</v>
      </c>
      <c r="F28" s="64">
        <v>20</v>
      </c>
      <c r="G28" s="72" t="s">
        <v>35</v>
      </c>
      <c r="H28" s="65" t="s">
        <v>93</v>
      </c>
      <c r="I28" s="119"/>
      <c r="J28" s="119"/>
      <c r="K28" s="64">
        <v>4</v>
      </c>
      <c r="L28" s="52">
        <v>7</v>
      </c>
      <c r="M28" s="52">
        <v>6</v>
      </c>
      <c r="N28" s="52">
        <f t="shared" si="2"/>
        <v>415.15163861621767</v>
      </c>
      <c r="O28" s="52">
        <f t="shared" si="3"/>
        <v>1591</v>
      </c>
      <c r="P28" s="52">
        <f t="shared" si="4"/>
        <v>329.86494018859366</v>
      </c>
      <c r="Q28" s="66"/>
      <c r="R28" s="39"/>
      <c r="S28" s="74"/>
      <c r="T28" s="81">
        <f t="shared" si="6"/>
        <v>645.66666666666663</v>
      </c>
      <c r="U28" s="81">
        <f t="shared" si="7"/>
        <v>682.9</v>
      </c>
      <c r="V28" s="233">
        <v>837</v>
      </c>
      <c r="W28" s="198" t="s">
        <v>102</v>
      </c>
      <c r="X28" s="52">
        <v>521</v>
      </c>
      <c r="Y28" s="52">
        <v>579</v>
      </c>
      <c r="Z28" s="52">
        <v>62</v>
      </c>
      <c r="AA28" s="52">
        <v>460</v>
      </c>
      <c r="AB28" s="52">
        <v>688</v>
      </c>
      <c r="AC28" s="52">
        <v>413</v>
      </c>
      <c r="AD28" s="52" t="s">
        <v>263</v>
      </c>
      <c r="AE28" s="144">
        <v>444</v>
      </c>
      <c r="AF28" s="144">
        <v>1580</v>
      </c>
      <c r="AG28" s="144">
        <v>1245</v>
      </c>
      <c r="AH28" s="53">
        <v>1720</v>
      </c>
      <c r="AI28" s="53">
        <v>1506</v>
      </c>
      <c r="AJ28" s="53">
        <v>220</v>
      </c>
      <c r="AK28" s="52">
        <v>471</v>
      </c>
      <c r="AL28" s="200">
        <v>25</v>
      </c>
      <c r="AM28" s="52">
        <v>241</v>
      </c>
      <c r="AN28" s="52" t="s">
        <v>102</v>
      </c>
      <c r="AO28" s="53">
        <v>1197</v>
      </c>
      <c r="AP28" s="53">
        <v>1437</v>
      </c>
      <c r="AQ28" s="53">
        <v>1591</v>
      </c>
      <c r="AR28" s="53" t="s">
        <v>102</v>
      </c>
      <c r="AS28" s="52" t="s">
        <v>102</v>
      </c>
      <c r="AT28" s="52">
        <v>1305</v>
      </c>
      <c r="AU28" s="52">
        <v>87</v>
      </c>
      <c r="AV28" s="52" t="s">
        <v>102</v>
      </c>
      <c r="AW28" s="53">
        <v>784</v>
      </c>
      <c r="AX28" s="51" t="s">
        <v>264</v>
      </c>
      <c r="AY28" s="53">
        <v>75</v>
      </c>
      <c r="AZ28" s="53">
        <v>120</v>
      </c>
      <c r="BA28" s="53" t="s">
        <v>102</v>
      </c>
      <c r="BB28" s="53" t="s">
        <v>102</v>
      </c>
      <c r="BC28" s="53" t="s">
        <v>102</v>
      </c>
      <c r="BD28" s="53" t="s">
        <v>102</v>
      </c>
      <c r="BE28" s="53" t="s">
        <v>102</v>
      </c>
      <c r="BF28" s="53" t="s">
        <v>102</v>
      </c>
      <c r="BG28" s="53" t="s">
        <v>102</v>
      </c>
      <c r="BH28" s="53" t="s">
        <v>102</v>
      </c>
      <c r="BI28" s="53" t="s">
        <v>102</v>
      </c>
      <c r="BJ28" s="53" t="s">
        <v>102</v>
      </c>
      <c r="BK28" s="53">
        <v>400</v>
      </c>
      <c r="BL28" s="53" t="s">
        <v>102</v>
      </c>
      <c r="BM28" s="53" t="s">
        <v>102</v>
      </c>
      <c r="BN28" s="53" t="s">
        <v>102</v>
      </c>
      <c r="BO28" s="53" t="s">
        <v>102</v>
      </c>
      <c r="BP28" s="53" t="s">
        <v>102</v>
      </c>
      <c r="BQ28" s="53" t="s">
        <v>102</v>
      </c>
      <c r="BR28" s="53" t="s">
        <v>102</v>
      </c>
      <c r="BS28" s="53" t="s">
        <v>102</v>
      </c>
      <c r="BT28" s="53" t="s">
        <v>102</v>
      </c>
      <c r="BU28" s="53" t="s">
        <v>102</v>
      </c>
      <c r="BV28" s="53" t="s">
        <v>102</v>
      </c>
      <c r="BW28" s="53" t="s">
        <v>102</v>
      </c>
      <c r="BX28" s="53" t="s">
        <v>102</v>
      </c>
      <c r="BY28" s="53" t="s">
        <v>102</v>
      </c>
      <c r="BZ28" s="53" t="s">
        <v>102</v>
      </c>
      <c r="CA28" s="53" t="s">
        <v>102</v>
      </c>
      <c r="CB28" s="53" t="s">
        <v>102</v>
      </c>
      <c r="CC28" s="53" t="s">
        <v>102</v>
      </c>
      <c r="CD28" s="53" t="s">
        <v>102</v>
      </c>
      <c r="CE28" s="53" t="s">
        <v>102</v>
      </c>
      <c r="CF28" s="53" t="s">
        <v>102</v>
      </c>
      <c r="CG28" s="53" t="s">
        <v>102</v>
      </c>
      <c r="CH28" s="53" t="s">
        <v>102</v>
      </c>
      <c r="CI28" s="53" t="s">
        <v>102</v>
      </c>
      <c r="CJ28" s="53" t="s">
        <v>102</v>
      </c>
      <c r="CK28" s="53" t="s">
        <v>102</v>
      </c>
      <c r="CL28" s="53" t="s">
        <v>102</v>
      </c>
      <c r="CM28" s="53" t="s">
        <v>102</v>
      </c>
      <c r="CN28" s="206"/>
      <c r="CO28" s="206"/>
      <c r="CP28" s="206"/>
      <c r="CQ28" s="8">
        <f t="shared" si="8"/>
        <v>25</v>
      </c>
      <c r="CR28" s="8">
        <f t="shared" si="9"/>
        <v>1720</v>
      </c>
      <c r="CS28" s="8">
        <f t="shared" si="10"/>
        <v>720.32</v>
      </c>
      <c r="CT28">
        <f t="shared" si="11"/>
        <v>453.05873280316672</v>
      </c>
      <c r="CU28" s="143">
        <f t="shared" si="12"/>
        <v>499.75</v>
      </c>
      <c r="CV28" s="143">
        <f t="shared" si="13"/>
        <v>682.9</v>
      </c>
      <c r="CX28" s="7">
        <f t="shared" si="14"/>
        <v>64.600000000000009</v>
      </c>
      <c r="CY28" s="7">
        <f t="shared" si="15"/>
        <v>106.79999999999998</v>
      </c>
      <c r="CZ28" s="7">
        <f t="shared" si="16"/>
        <v>200.00000000000006</v>
      </c>
      <c r="DA28" s="7">
        <f t="shared" si="17"/>
        <v>241</v>
      </c>
      <c r="DB28" s="7">
        <f t="shared" si="18"/>
        <v>521</v>
      </c>
      <c r="DC28" s="7">
        <f t="shared" si="19"/>
        <v>726.39999999999986</v>
      </c>
      <c r="DD28" s="7">
        <f t="shared" si="20"/>
        <v>815.80000000000007</v>
      </c>
      <c r="DE28" s="7">
        <f t="shared" si="21"/>
        <v>1245</v>
      </c>
      <c r="DF28" s="7">
        <f t="shared" si="22"/>
        <v>1464.6</v>
      </c>
      <c r="DH28" s="7">
        <f t="shared" si="23"/>
        <v>63.249999999999993</v>
      </c>
      <c r="DI28" s="7">
        <f t="shared" si="24"/>
        <v>223.15</v>
      </c>
      <c r="DJ28" s="7">
        <f t="shared" si="25"/>
        <v>275.40000000000003</v>
      </c>
      <c r="DK28" s="7">
        <f t="shared" si="26"/>
        <v>420.75</v>
      </c>
      <c r="DL28" s="7">
        <f t="shared" si="27"/>
        <v>633.5</v>
      </c>
      <c r="DM28" s="7">
        <f t="shared" si="28"/>
        <v>815.8</v>
      </c>
      <c r="DN28" s="7">
        <f t="shared" si="29"/>
        <v>1071</v>
      </c>
      <c r="DO28" s="7">
        <f t="shared" si="30"/>
        <v>1290</v>
      </c>
      <c r="DP28" s="7">
        <f t="shared" si="31"/>
        <v>1495.6499999999999</v>
      </c>
    </row>
    <row r="29" spans="1:120" s="7" customFormat="1" ht="25.5" hidden="1" customHeight="1" x14ac:dyDescent="0.25">
      <c r="A29" s="92" t="str">
        <f t="shared" si="32"/>
        <v>CM-SWVI [10]</v>
      </c>
      <c r="B29" s="92" t="str">
        <f t="shared" si="33"/>
        <v>Southwest Vancouver Island</v>
      </c>
      <c r="C29" s="93" t="str">
        <f t="shared" si="1"/>
        <v>MOSQUITO CREEK_Chum</v>
      </c>
      <c r="D29" s="128" t="s">
        <v>598</v>
      </c>
      <c r="E29" s="128" t="s">
        <v>598</v>
      </c>
      <c r="F29" s="64">
        <v>20</v>
      </c>
      <c r="G29" s="72" t="s">
        <v>30</v>
      </c>
      <c r="H29" s="65" t="s">
        <v>96</v>
      </c>
      <c r="I29" s="119"/>
      <c r="J29" s="119"/>
      <c r="K29" s="64">
        <v>4</v>
      </c>
      <c r="L29" s="52">
        <v>5</v>
      </c>
      <c r="M29" s="52">
        <v>0</v>
      </c>
      <c r="N29" s="52" t="e">
        <f t="shared" si="2"/>
        <v>#NUM!</v>
      </c>
      <c r="O29" s="52">
        <f t="shared" si="3"/>
        <v>0</v>
      </c>
      <c r="P29" s="52" t="e">
        <f t="shared" si="4"/>
        <v>#NUM!</v>
      </c>
      <c r="Q29" s="66"/>
      <c r="R29" s="39"/>
      <c r="S29" s="74" t="s">
        <v>289</v>
      </c>
      <c r="T29" s="81" t="e">
        <f t="shared" si="6"/>
        <v>#DIV/0!</v>
      </c>
      <c r="U29" s="81" t="e">
        <f t="shared" si="7"/>
        <v>#DIV/0!</v>
      </c>
      <c r="V29" s="52" t="s">
        <v>102</v>
      </c>
      <c r="W29" s="198" t="s">
        <v>102</v>
      </c>
      <c r="X29" s="198" t="s">
        <v>102</v>
      </c>
      <c r="Y29" s="198" t="s">
        <v>102</v>
      </c>
      <c r="Z29" s="52" t="s">
        <v>102</v>
      </c>
      <c r="AA29" s="52" t="s">
        <v>102</v>
      </c>
      <c r="AB29" s="52" t="s">
        <v>102</v>
      </c>
      <c r="AC29" s="52" t="s">
        <v>102</v>
      </c>
      <c r="AD29" s="52" t="s">
        <v>102</v>
      </c>
      <c r="AE29" s="144" t="s">
        <v>102</v>
      </c>
      <c r="AF29" s="144" t="s">
        <v>102</v>
      </c>
      <c r="AG29" s="53" t="s">
        <v>262</v>
      </c>
      <c r="AH29" s="52" t="s">
        <v>102</v>
      </c>
      <c r="AI29" s="52" t="s">
        <v>262</v>
      </c>
      <c r="AJ29" s="52" t="s">
        <v>262</v>
      </c>
      <c r="AK29" s="52" t="s">
        <v>102</v>
      </c>
      <c r="AL29" s="52" t="s">
        <v>102</v>
      </c>
      <c r="AM29" s="52" t="s">
        <v>102</v>
      </c>
      <c r="AN29" s="54"/>
      <c r="AO29" s="54"/>
      <c r="AP29" s="53" t="s">
        <v>262</v>
      </c>
      <c r="AQ29" s="53" t="s">
        <v>262</v>
      </c>
      <c r="AR29" s="52" t="s">
        <v>262</v>
      </c>
      <c r="AS29" s="52" t="s">
        <v>102</v>
      </c>
      <c r="AT29" s="52" t="s">
        <v>262</v>
      </c>
      <c r="AU29" s="53" t="s">
        <v>262</v>
      </c>
      <c r="AV29" s="52" t="s">
        <v>102</v>
      </c>
      <c r="AW29" s="53" t="s">
        <v>102</v>
      </c>
      <c r="AX29" s="51" t="s">
        <v>264</v>
      </c>
      <c r="AY29" s="53" t="s">
        <v>264</v>
      </c>
      <c r="AZ29" s="53" t="s">
        <v>264</v>
      </c>
      <c r="BA29" s="53" t="s">
        <v>102</v>
      </c>
      <c r="BB29" s="53" t="s">
        <v>102</v>
      </c>
      <c r="BC29" s="53" t="s">
        <v>102</v>
      </c>
      <c r="BD29" s="53" t="s">
        <v>102</v>
      </c>
      <c r="BE29" s="53" t="s">
        <v>102</v>
      </c>
      <c r="BF29" s="53" t="s">
        <v>102</v>
      </c>
      <c r="BG29" s="53" t="s">
        <v>102</v>
      </c>
      <c r="BH29" s="53" t="s">
        <v>102</v>
      </c>
      <c r="BI29" s="53" t="s">
        <v>102</v>
      </c>
      <c r="BJ29" s="53" t="s">
        <v>102</v>
      </c>
      <c r="BK29" s="53" t="s">
        <v>264</v>
      </c>
      <c r="BL29" s="53" t="s">
        <v>102</v>
      </c>
      <c r="BM29" s="53" t="s">
        <v>102</v>
      </c>
      <c r="BN29" s="53" t="s">
        <v>102</v>
      </c>
      <c r="BO29" s="53" t="s">
        <v>102</v>
      </c>
      <c r="BP29" s="53" t="s">
        <v>102</v>
      </c>
      <c r="BQ29" s="53" t="s">
        <v>102</v>
      </c>
      <c r="BR29" s="53" t="s">
        <v>102</v>
      </c>
      <c r="BS29" s="53" t="s">
        <v>102</v>
      </c>
      <c r="BT29" s="53" t="s">
        <v>102</v>
      </c>
      <c r="BU29" s="53" t="s">
        <v>102</v>
      </c>
      <c r="BV29" s="53" t="s">
        <v>102</v>
      </c>
      <c r="BW29" s="53" t="s">
        <v>102</v>
      </c>
      <c r="BX29" s="53" t="s">
        <v>102</v>
      </c>
      <c r="BY29" s="53" t="s">
        <v>102</v>
      </c>
      <c r="BZ29" s="53" t="s">
        <v>102</v>
      </c>
      <c r="CA29" s="53" t="s">
        <v>102</v>
      </c>
      <c r="CB29" s="53" t="s">
        <v>102</v>
      </c>
      <c r="CC29" s="53" t="s">
        <v>102</v>
      </c>
      <c r="CD29" s="53" t="s">
        <v>102</v>
      </c>
      <c r="CE29" s="53" t="s">
        <v>102</v>
      </c>
      <c r="CF29" s="53" t="s">
        <v>102</v>
      </c>
      <c r="CG29" s="53" t="s">
        <v>102</v>
      </c>
      <c r="CH29" s="53" t="s">
        <v>102</v>
      </c>
      <c r="CI29" s="53" t="s">
        <v>102</v>
      </c>
      <c r="CJ29" s="53" t="s">
        <v>102</v>
      </c>
      <c r="CK29" s="53" t="s">
        <v>102</v>
      </c>
      <c r="CL29" s="53" t="s">
        <v>102</v>
      </c>
      <c r="CM29" s="53" t="s">
        <v>102</v>
      </c>
      <c r="CN29" s="206"/>
      <c r="CO29" s="206"/>
      <c r="CP29" s="206"/>
      <c r="CQ29" s="8">
        <f t="shared" si="8"/>
        <v>0</v>
      </c>
      <c r="CR29" s="8">
        <f t="shared" si="9"/>
        <v>0</v>
      </c>
      <c r="CS29" s="8" t="e">
        <f t="shared" si="10"/>
        <v>#DIV/0!</v>
      </c>
      <c r="CT29" t="e">
        <f t="shared" si="11"/>
        <v>#NUM!</v>
      </c>
      <c r="CU29" s="143" t="e">
        <f t="shared" si="12"/>
        <v>#DIV/0!</v>
      </c>
      <c r="CV29" s="143" t="e">
        <f t="shared" si="13"/>
        <v>#DIV/0!</v>
      </c>
      <c r="CX29" s="7" t="e">
        <f t="shared" si="14"/>
        <v>#NUM!</v>
      </c>
      <c r="CY29" s="7" t="e">
        <f t="shared" si="15"/>
        <v>#NUM!</v>
      </c>
      <c r="CZ29" s="7" t="e">
        <f t="shared" si="16"/>
        <v>#NUM!</v>
      </c>
      <c r="DA29" s="7" t="e">
        <f t="shared" si="17"/>
        <v>#NUM!</v>
      </c>
      <c r="DB29" s="7" t="e">
        <f t="shared" si="18"/>
        <v>#NUM!</v>
      </c>
      <c r="DC29" s="7" t="e">
        <f t="shared" si="19"/>
        <v>#NUM!</v>
      </c>
      <c r="DD29" s="7" t="e">
        <f t="shared" si="20"/>
        <v>#NUM!</v>
      </c>
      <c r="DE29" s="7" t="e">
        <f t="shared" si="21"/>
        <v>#NUM!</v>
      </c>
      <c r="DF29" s="7" t="e">
        <f t="shared" si="22"/>
        <v>#NUM!</v>
      </c>
      <c r="DH29" s="7" t="e">
        <f t="shared" si="23"/>
        <v>#NUM!</v>
      </c>
      <c r="DI29" s="7" t="e">
        <f t="shared" si="24"/>
        <v>#NUM!</v>
      </c>
      <c r="DJ29" s="7" t="e">
        <f t="shared" si="25"/>
        <v>#NUM!</v>
      </c>
      <c r="DK29" s="7" t="e">
        <f t="shared" si="26"/>
        <v>#NUM!</v>
      </c>
      <c r="DL29" s="7" t="e">
        <f t="shared" si="27"/>
        <v>#NUM!</v>
      </c>
      <c r="DM29" s="7" t="e">
        <f t="shared" si="28"/>
        <v>#NUM!</v>
      </c>
      <c r="DN29" s="7" t="e">
        <f t="shared" si="29"/>
        <v>#NUM!</v>
      </c>
      <c r="DO29" s="7" t="e">
        <f t="shared" si="30"/>
        <v>#NUM!</v>
      </c>
      <c r="DP29" s="7" t="e">
        <f t="shared" si="31"/>
        <v>#NUM!</v>
      </c>
    </row>
    <row r="30" spans="1:120" s="7" customFormat="1" ht="25.5" hidden="1" customHeight="1" x14ac:dyDescent="0.25">
      <c r="A30" s="92" t="str">
        <f t="shared" si="32"/>
        <v>CO-JdF [16]</v>
      </c>
      <c r="B30" s="92" t="str">
        <f t="shared" si="33"/>
        <v>Juan de Fuca-Pachena</v>
      </c>
      <c r="C30" s="93" t="str">
        <f t="shared" si="1"/>
        <v>MOSQUITO CREEK_Coho</v>
      </c>
      <c r="D30" s="128" t="s">
        <v>598</v>
      </c>
      <c r="E30" s="128" t="s">
        <v>598</v>
      </c>
      <c r="F30" s="64">
        <v>20</v>
      </c>
      <c r="G30" s="72" t="s">
        <v>30</v>
      </c>
      <c r="H30" s="65" t="s">
        <v>93</v>
      </c>
      <c r="I30" s="119"/>
      <c r="J30" s="119"/>
      <c r="K30" s="64">
        <v>4</v>
      </c>
      <c r="L30" s="52">
        <v>5</v>
      </c>
      <c r="M30" s="52">
        <v>5</v>
      </c>
      <c r="N30" s="52">
        <f t="shared" si="2"/>
        <v>204.80007875526533</v>
      </c>
      <c r="O30" s="52">
        <f t="shared" si="3"/>
        <v>879</v>
      </c>
      <c r="P30" s="52">
        <f t="shared" si="4"/>
        <v>177.42139802857486</v>
      </c>
      <c r="Q30" s="66"/>
      <c r="R30" s="39"/>
      <c r="S30" s="74"/>
      <c r="T30" s="81" t="e">
        <f t="shared" si="6"/>
        <v>#DIV/0!</v>
      </c>
      <c r="U30" s="81">
        <f t="shared" si="7"/>
        <v>62</v>
      </c>
      <c r="V30" s="52" t="s">
        <v>102</v>
      </c>
      <c r="W30" s="198" t="s">
        <v>102</v>
      </c>
      <c r="X30" s="198" t="s">
        <v>102</v>
      </c>
      <c r="Y30" s="198" t="s">
        <v>102</v>
      </c>
      <c r="Z30" s="52" t="s">
        <v>102</v>
      </c>
      <c r="AA30" s="52" t="s">
        <v>102</v>
      </c>
      <c r="AB30" s="52" t="s">
        <v>102</v>
      </c>
      <c r="AC30" s="52" t="s">
        <v>102</v>
      </c>
      <c r="AD30" s="52" t="s">
        <v>102</v>
      </c>
      <c r="AE30" s="144" t="s">
        <v>102</v>
      </c>
      <c r="AF30" s="144" t="s">
        <v>102</v>
      </c>
      <c r="AG30" s="144">
        <v>62</v>
      </c>
      <c r="AH30" s="52" t="s">
        <v>102</v>
      </c>
      <c r="AI30" s="53">
        <v>545</v>
      </c>
      <c r="AJ30" s="53">
        <v>27</v>
      </c>
      <c r="AK30" s="52" t="s">
        <v>102</v>
      </c>
      <c r="AL30" s="52" t="s">
        <v>102</v>
      </c>
      <c r="AM30" s="52" t="s">
        <v>102</v>
      </c>
      <c r="AN30" s="54"/>
      <c r="AO30" s="54"/>
      <c r="AP30" s="53">
        <v>817</v>
      </c>
      <c r="AQ30" s="53">
        <v>879</v>
      </c>
      <c r="AR30" s="52">
        <v>407</v>
      </c>
      <c r="AS30" s="52" t="s">
        <v>102</v>
      </c>
      <c r="AT30" s="52">
        <v>374</v>
      </c>
      <c r="AU30" s="52">
        <v>25</v>
      </c>
      <c r="AV30" s="52" t="s">
        <v>102</v>
      </c>
      <c r="AW30" s="53" t="s">
        <v>102</v>
      </c>
      <c r="AX30" s="51" t="s">
        <v>264</v>
      </c>
      <c r="AY30" s="53" t="s">
        <v>262</v>
      </c>
      <c r="AZ30" s="53" t="s">
        <v>31</v>
      </c>
      <c r="BA30" s="53" t="s">
        <v>102</v>
      </c>
      <c r="BB30" s="53" t="s">
        <v>102</v>
      </c>
      <c r="BC30" s="53" t="s">
        <v>102</v>
      </c>
      <c r="BD30" s="53" t="s">
        <v>102</v>
      </c>
      <c r="BE30" s="53" t="s">
        <v>102</v>
      </c>
      <c r="BF30" s="53" t="s">
        <v>102</v>
      </c>
      <c r="BG30" s="53" t="s">
        <v>102</v>
      </c>
      <c r="BH30" s="53" t="s">
        <v>102</v>
      </c>
      <c r="BI30" s="53" t="s">
        <v>102</v>
      </c>
      <c r="BJ30" s="53" t="s">
        <v>102</v>
      </c>
      <c r="BK30" s="53">
        <v>75</v>
      </c>
      <c r="BL30" s="53" t="s">
        <v>102</v>
      </c>
      <c r="BM30" s="53" t="s">
        <v>102</v>
      </c>
      <c r="BN30" s="53" t="s">
        <v>102</v>
      </c>
      <c r="BO30" s="53" t="s">
        <v>102</v>
      </c>
      <c r="BP30" s="53" t="s">
        <v>102</v>
      </c>
      <c r="BQ30" s="53" t="s">
        <v>102</v>
      </c>
      <c r="BR30" s="53" t="s">
        <v>102</v>
      </c>
      <c r="BS30" s="53" t="s">
        <v>102</v>
      </c>
      <c r="BT30" s="53" t="s">
        <v>102</v>
      </c>
      <c r="BU30" s="53" t="s">
        <v>102</v>
      </c>
      <c r="BV30" s="53" t="s">
        <v>102</v>
      </c>
      <c r="BW30" s="53" t="s">
        <v>102</v>
      </c>
      <c r="BX30" s="53" t="s">
        <v>102</v>
      </c>
      <c r="BY30" s="53" t="s">
        <v>102</v>
      </c>
      <c r="BZ30" s="53" t="s">
        <v>102</v>
      </c>
      <c r="CA30" s="53" t="s">
        <v>102</v>
      </c>
      <c r="CB30" s="53" t="s">
        <v>102</v>
      </c>
      <c r="CC30" s="53" t="s">
        <v>102</v>
      </c>
      <c r="CD30" s="53" t="s">
        <v>102</v>
      </c>
      <c r="CE30" s="53" t="s">
        <v>102</v>
      </c>
      <c r="CF30" s="53" t="s">
        <v>102</v>
      </c>
      <c r="CG30" s="53" t="s">
        <v>102</v>
      </c>
      <c r="CH30" s="53" t="s">
        <v>102</v>
      </c>
      <c r="CI30" s="53" t="s">
        <v>102</v>
      </c>
      <c r="CJ30" s="53" t="s">
        <v>102</v>
      </c>
      <c r="CK30" s="53" t="s">
        <v>102</v>
      </c>
      <c r="CL30" s="53" t="s">
        <v>102</v>
      </c>
      <c r="CM30" s="53" t="s">
        <v>102</v>
      </c>
      <c r="CN30" s="206"/>
      <c r="CO30" s="206"/>
      <c r="CP30" s="206"/>
      <c r="CQ30" s="8">
        <f t="shared" si="8"/>
        <v>25</v>
      </c>
      <c r="CR30" s="8">
        <f t="shared" si="9"/>
        <v>879</v>
      </c>
      <c r="CS30" s="8">
        <f t="shared" si="10"/>
        <v>356.77777777777777</v>
      </c>
      <c r="CT30">
        <f t="shared" si="11"/>
        <v>178.82390506919185</v>
      </c>
      <c r="CU30" s="143" t="e">
        <f t="shared" si="12"/>
        <v>#DIV/0!</v>
      </c>
      <c r="CV30" s="143">
        <f t="shared" si="13"/>
        <v>62</v>
      </c>
      <c r="CX30" s="7">
        <f t="shared" si="14"/>
        <v>25.8</v>
      </c>
      <c r="CY30" s="7">
        <f t="shared" si="15"/>
        <v>34.000000000000007</v>
      </c>
      <c r="CZ30" s="7">
        <f t="shared" si="16"/>
        <v>48</v>
      </c>
      <c r="DA30" s="7">
        <f t="shared" si="17"/>
        <v>62</v>
      </c>
      <c r="DB30" s="7">
        <f t="shared" si="18"/>
        <v>374</v>
      </c>
      <c r="DC30" s="7">
        <f t="shared" si="19"/>
        <v>400.4</v>
      </c>
      <c r="DD30" s="7">
        <f t="shared" si="20"/>
        <v>434.6</v>
      </c>
      <c r="DE30" s="7">
        <f t="shared" si="21"/>
        <v>545</v>
      </c>
      <c r="DF30" s="7">
        <f t="shared" si="22"/>
        <v>762.59999999999991</v>
      </c>
      <c r="DH30" s="7">
        <f t="shared" si="23"/>
        <v>25.7</v>
      </c>
      <c r="DI30" s="7">
        <f t="shared" si="24"/>
        <v>28.749999999999993</v>
      </c>
      <c r="DJ30" s="7">
        <f t="shared" si="25"/>
        <v>41.000000000000014</v>
      </c>
      <c r="DK30" s="7">
        <f t="shared" si="26"/>
        <v>53.25</v>
      </c>
      <c r="DL30" s="7">
        <f t="shared" si="27"/>
        <v>390.5</v>
      </c>
      <c r="DM30" s="7">
        <f t="shared" si="28"/>
        <v>434.6</v>
      </c>
      <c r="DN30" s="7">
        <f t="shared" si="29"/>
        <v>482.9</v>
      </c>
      <c r="DO30" s="7">
        <f t="shared" si="30"/>
        <v>613</v>
      </c>
      <c r="DP30" s="7">
        <f t="shared" si="31"/>
        <v>803.40000000000009</v>
      </c>
    </row>
    <row r="31" spans="1:120" s="7" customFormat="1" ht="25.5" hidden="1" customHeight="1" x14ac:dyDescent="0.25">
      <c r="A31" s="92" t="str">
        <f t="shared" si="32"/>
        <v>CM-SWVI [10]</v>
      </c>
      <c r="B31" s="92" t="str">
        <f t="shared" si="33"/>
        <v>Southwest Vancouver Island</v>
      </c>
      <c r="C31" s="93" t="str">
        <f t="shared" si="1"/>
        <v>MUIR CREEK_Chum</v>
      </c>
      <c r="D31" s="128" t="s">
        <v>598</v>
      </c>
      <c r="E31" s="128" t="s">
        <v>598</v>
      </c>
      <c r="F31" s="64">
        <v>20</v>
      </c>
      <c r="G31" s="72" t="s">
        <v>26</v>
      </c>
      <c r="H31" s="65" t="s">
        <v>96</v>
      </c>
      <c r="I31" s="119"/>
      <c r="J31" s="119"/>
      <c r="K31" s="64">
        <v>3</v>
      </c>
      <c r="L31" s="52">
        <v>9</v>
      </c>
      <c r="M31" s="52">
        <v>8</v>
      </c>
      <c r="N31" s="52">
        <f t="shared" si="2"/>
        <v>583.94987389836706</v>
      </c>
      <c r="O31" s="52">
        <f t="shared" si="3"/>
        <v>4585</v>
      </c>
      <c r="P31" s="52">
        <f t="shared" si="4"/>
        <v>348.31530287073588</v>
      </c>
      <c r="Q31" s="66"/>
      <c r="R31" s="37"/>
      <c r="S31" s="74"/>
      <c r="T31" s="81" t="e">
        <f t="shared" si="6"/>
        <v>#DIV/0!</v>
      </c>
      <c r="U31" s="81" t="e">
        <f t="shared" si="7"/>
        <v>#DIV/0!</v>
      </c>
      <c r="V31" s="52" t="s">
        <v>102</v>
      </c>
      <c r="W31" s="198" t="s">
        <v>102</v>
      </c>
      <c r="X31" s="198" t="s">
        <v>102</v>
      </c>
      <c r="Y31" s="198" t="s">
        <v>102</v>
      </c>
      <c r="Z31" s="52" t="s">
        <v>102</v>
      </c>
      <c r="AA31" s="52" t="s">
        <v>102</v>
      </c>
      <c r="AB31" s="52" t="s">
        <v>102</v>
      </c>
      <c r="AC31" s="52" t="s">
        <v>102</v>
      </c>
      <c r="AD31" s="52" t="s">
        <v>102</v>
      </c>
      <c r="AE31" s="144" t="s">
        <v>102</v>
      </c>
      <c r="AF31" s="144" t="s">
        <v>102</v>
      </c>
      <c r="AG31" s="52" t="s">
        <v>102</v>
      </c>
      <c r="AH31" s="52" t="s">
        <v>102</v>
      </c>
      <c r="AI31" s="52" t="s">
        <v>102</v>
      </c>
      <c r="AJ31" s="52" t="s">
        <v>102</v>
      </c>
      <c r="AK31" s="52" t="s">
        <v>102</v>
      </c>
      <c r="AL31" s="89" t="s">
        <v>102</v>
      </c>
      <c r="AM31" s="52" t="s">
        <v>102</v>
      </c>
      <c r="AN31" s="52" t="s">
        <v>102</v>
      </c>
      <c r="AO31" s="53" t="s">
        <v>263</v>
      </c>
      <c r="AP31" s="53">
        <v>4585</v>
      </c>
      <c r="AQ31" s="53">
        <v>3028</v>
      </c>
      <c r="AR31" s="52">
        <v>12</v>
      </c>
      <c r="AS31" s="52">
        <v>500</v>
      </c>
      <c r="AT31" s="52" t="s">
        <v>262</v>
      </c>
      <c r="AU31" s="52">
        <v>1700</v>
      </c>
      <c r="AV31" s="52">
        <v>280</v>
      </c>
      <c r="AW31" s="53" t="s">
        <v>263</v>
      </c>
      <c r="AX31" s="51">
        <v>500</v>
      </c>
      <c r="AY31" s="53">
        <v>1000</v>
      </c>
      <c r="AZ31" s="53">
        <v>800</v>
      </c>
      <c r="BA31" s="53">
        <v>350</v>
      </c>
      <c r="BB31" s="53">
        <v>300</v>
      </c>
      <c r="BC31" s="53">
        <v>300</v>
      </c>
      <c r="BD31" s="53">
        <v>2400</v>
      </c>
      <c r="BE31" s="53">
        <v>900</v>
      </c>
      <c r="BF31" s="53">
        <v>1900</v>
      </c>
      <c r="BG31" s="53">
        <v>2000</v>
      </c>
      <c r="BH31" s="53">
        <v>150</v>
      </c>
      <c r="BI31" s="53">
        <v>40</v>
      </c>
      <c r="BJ31" s="53">
        <v>420</v>
      </c>
      <c r="BK31" s="53">
        <v>200</v>
      </c>
      <c r="BL31" s="53">
        <v>1830</v>
      </c>
      <c r="BM31" s="53">
        <v>80</v>
      </c>
      <c r="BN31" s="53">
        <v>350</v>
      </c>
      <c r="BO31" s="53">
        <v>200</v>
      </c>
      <c r="BP31" s="53">
        <v>400</v>
      </c>
      <c r="BQ31" s="53">
        <v>200</v>
      </c>
      <c r="BR31" s="53">
        <v>400</v>
      </c>
      <c r="BS31" s="53">
        <v>750</v>
      </c>
      <c r="BT31" s="53">
        <v>200</v>
      </c>
      <c r="BU31" s="53">
        <v>75</v>
      </c>
      <c r="BV31" s="53">
        <v>25</v>
      </c>
      <c r="BW31" s="53">
        <v>750</v>
      </c>
      <c r="BX31" s="53">
        <v>750</v>
      </c>
      <c r="BY31" s="53">
        <v>400</v>
      </c>
      <c r="BZ31" s="53">
        <v>25</v>
      </c>
      <c r="CA31" s="53">
        <v>3500</v>
      </c>
      <c r="CB31" s="53">
        <v>750</v>
      </c>
      <c r="CC31" s="53">
        <v>200</v>
      </c>
      <c r="CD31" s="53">
        <v>200</v>
      </c>
      <c r="CE31" s="53">
        <v>75</v>
      </c>
      <c r="CF31" s="53">
        <v>25</v>
      </c>
      <c r="CG31" s="53">
        <v>400</v>
      </c>
      <c r="CH31" s="53">
        <v>400</v>
      </c>
      <c r="CI31" s="53">
        <v>25</v>
      </c>
      <c r="CJ31" s="53">
        <v>25</v>
      </c>
      <c r="CK31" s="53">
        <v>400</v>
      </c>
      <c r="CL31" s="53">
        <v>3500</v>
      </c>
      <c r="CM31" s="53">
        <v>3500</v>
      </c>
      <c r="CN31" s="206"/>
      <c r="CO31" s="206"/>
      <c r="CP31" s="206"/>
      <c r="CQ31" s="8">
        <f t="shared" si="8"/>
        <v>12</v>
      </c>
      <c r="CR31" s="8">
        <f t="shared" si="9"/>
        <v>4585</v>
      </c>
      <c r="CS31" s="8">
        <f t="shared" si="10"/>
        <v>850</v>
      </c>
      <c r="CT31">
        <f t="shared" si="11"/>
        <v>348.31530287073588</v>
      </c>
      <c r="CU31" s="143" t="e">
        <f t="shared" si="12"/>
        <v>#DIV/0!</v>
      </c>
      <c r="CV31" s="143" t="e">
        <f t="shared" si="13"/>
        <v>#DIV/0!</v>
      </c>
      <c r="CX31" s="7">
        <f t="shared" si="14"/>
        <v>25</v>
      </c>
      <c r="CY31" s="7">
        <f t="shared" si="15"/>
        <v>75</v>
      </c>
      <c r="CZ31" s="7">
        <f t="shared" si="16"/>
        <v>108.00000000000003</v>
      </c>
      <c r="DA31" s="7">
        <f t="shared" si="17"/>
        <v>200</v>
      </c>
      <c r="DB31" s="7">
        <f t="shared" si="18"/>
        <v>400</v>
      </c>
      <c r="DC31" s="7">
        <f t="shared" si="19"/>
        <v>435.99999999999994</v>
      </c>
      <c r="DD31" s="7">
        <f t="shared" si="20"/>
        <v>637.50000000000023</v>
      </c>
      <c r="DE31" s="7">
        <f t="shared" si="21"/>
        <v>825</v>
      </c>
      <c r="DF31" s="7">
        <f t="shared" si="22"/>
        <v>1896.4999999999998</v>
      </c>
      <c r="DH31" s="7">
        <f t="shared" si="23"/>
        <v>79</v>
      </c>
      <c r="DI31" s="7">
        <f t="shared" si="24"/>
        <v>213</v>
      </c>
      <c r="DJ31" s="7">
        <f t="shared" si="25"/>
        <v>280</v>
      </c>
      <c r="DK31" s="7">
        <f t="shared" si="26"/>
        <v>335</v>
      </c>
      <c r="DL31" s="7">
        <f t="shared" si="27"/>
        <v>1100</v>
      </c>
      <c r="DM31" s="7">
        <f t="shared" si="28"/>
        <v>1700</v>
      </c>
      <c r="DN31" s="7">
        <f t="shared" si="29"/>
        <v>2032</v>
      </c>
      <c r="DO31" s="7">
        <f t="shared" si="30"/>
        <v>2696</v>
      </c>
      <c r="DP31" s="7">
        <f t="shared" si="31"/>
        <v>3417.25</v>
      </c>
    </row>
    <row r="32" spans="1:120" s="7" customFormat="1" ht="25.5" hidden="1" customHeight="1" x14ac:dyDescent="0.25">
      <c r="A32" s="92" t="str">
        <f t="shared" si="32"/>
        <v>CO-EVI+GStr [13]</v>
      </c>
      <c r="B32" s="92" t="str">
        <f t="shared" si="33"/>
        <v>Georgia Strait-E Vancouver Island</v>
      </c>
      <c r="C32" s="93" t="str">
        <f t="shared" si="1"/>
        <v>MUIR CREEK_Coho</v>
      </c>
      <c r="D32" s="128" t="s">
        <v>598</v>
      </c>
      <c r="E32" s="128" t="s">
        <v>598</v>
      </c>
      <c r="F32" s="64">
        <v>20</v>
      </c>
      <c r="G32" s="72" t="s">
        <v>26</v>
      </c>
      <c r="H32" s="65" t="s">
        <v>93</v>
      </c>
      <c r="I32" s="119"/>
      <c r="J32" s="119"/>
      <c r="K32" s="64">
        <v>3</v>
      </c>
      <c r="L32" s="52">
        <v>9</v>
      </c>
      <c r="M32" s="52">
        <v>9</v>
      </c>
      <c r="N32" s="52">
        <f t="shared" si="2"/>
        <v>256.27105965317509</v>
      </c>
      <c r="O32" s="52">
        <f t="shared" si="3"/>
        <v>1540</v>
      </c>
      <c r="P32" s="52">
        <f t="shared" si="4"/>
        <v>38.236133377386949</v>
      </c>
      <c r="Q32" s="66"/>
      <c r="R32" s="37"/>
      <c r="S32" s="74"/>
      <c r="T32" s="81" t="e">
        <f t="shared" si="6"/>
        <v>#DIV/0!</v>
      </c>
      <c r="U32" s="81" t="e">
        <f t="shared" si="7"/>
        <v>#DIV/0!</v>
      </c>
      <c r="V32" s="52" t="s">
        <v>102</v>
      </c>
      <c r="W32" s="198" t="s">
        <v>102</v>
      </c>
      <c r="X32" s="198" t="s">
        <v>102</v>
      </c>
      <c r="Y32" s="198" t="s">
        <v>102</v>
      </c>
      <c r="Z32" s="52" t="s">
        <v>102</v>
      </c>
      <c r="AA32" s="52" t="s">
        <v>102</v>
      </c>
      <c r="AB32" s="52" t="s">
        <v>102</v>
      </c>
      <c r="AC32" s="52" t="s">
        <v>102</v>
      </c>
      <c r="AD32" s="52" t="s">
        <v>102</v>
      </c>
      <c r="AE32" s="144" t="s">
        <v>102</v>
      </c>
      <c r="AF32" s="144" t="s">
        <v>102</v>
      </c>
      <c r="AG32" s="52" t="s">
        <v>102</v>
      </c>
      <c r="AH32" s="52" t="s">
        <v>102</v>
      </c>
      <c r="AI32" s="52" t="s">
        <v>102</v>
      </c>
      <c r="AJ32" s="52" t="s">
        <v>102</v>
      </c>
      <c r="AK32" s="52" t="s">
        <v>102</v>
      </c>
      <c r="AL32" s="89" t="s">
        <v>102</v>
      </c>
      <c r="AM32" s="52" t="s">
        <v>102</v>
      </c>
      <c r="AN32" s="52" t="s">
        <v>102</v>
      </c>
      <c r="AO32" s="53">
        <v>439</v>
      </c>
      <c r="AP32" s="53">
        <v>521</v>
      </c>
      <c r="AQ32" s="53">
        <v>1540</v>
      </c>
      <c r="AR32" s="52">
        <v>858</v>
      </c>
      <c r="AS32" s="52">
        <v>845</v>
      </c>
      <c r="AT32" s="52">
        <v>775</v>
      </c>
      <c r="AU32" s="52">
        <v>94</v>
      </c>
      <c r="AV32" s="52">
        <v>1</v>
      </c>
      <c r="AW32" s="53" t="s">
        <v>263</v>
      </c>
      <c r="AX32" s="51">
        <v>1</v>
      </c>
      <c r="AY32" s="53">
        <v>30</v>
      </c>
      <c r="AZ32" s="53">
        <v>1</v>
      </c>
      <c r="BA32" s="53">
        <v>5</v>
      </c>
      <c r="BB32" s="53" t="s">
        <v>264</v>
      </c>
      <c r="BC32" s="53">
        <v>2</v>
      </c>
      <c r="BD32" s="53">
        <v>10</v>
      </c>
      <c r="BE32" s="53">
        <v>10</v>
      </c>
      <c r="BF32" s="53">
        <v>16</v>
      </c>
      <c r="BG32" s="53" t="s">
        <v>264</v>
      </c>
      <c r="BH32" s="53" t="s">
        <v>262</v>
      </c>
      <c r="BI32" s="53" t="s">
        <v>262</v>
      </c>
      <c r="BJ32" s="53">
        <v>10</v>
      </c>
      <c r="BK32" s="53">
        <v>6</v>
      </c>
      <c r="BL32" s="53" t="s">
        <v>15</v>
      </c>
      <c r="BM32" s="53">
        <v>30</v>
      </c>
      <c r="BN32" s="53">
        <v>100</v>
      </c>
      <c r="BO32" s="53">
        <v>75</v>
      </c>
      <c r="BP32" s="53">
        <v>75</v>
      </c>
      <c r="BQ32" s="53">
        <v>75</v>
      </c>
      <c r="BR32" s="53">
        <v>25</v>
      </c>
      <c r="BS32" s="53">
        <v>25</v>
      </c>
      <c r="BT32" s="53" t="s">
        <v>262</v>
      </c>
      <c r="BU32" s="53" t="s">
        <v>262</v>
      </c>
      <c r="BV32" s="53">
        <v>24</v>
      </c>
      <c r="BW32" s="53" t="s">
        <v>262</v>
      </c>
      <c r="BX32" s="53">
        <v>25</v>
      </c>
      <c r="BY32" s="53">
        <v>25</v>
      </c>
      <c r="BZ32" s="53">
        <v>25</v>
      </c>
      <c r="CA32" s="53">
        <v>75</v>
      </c>
      <c r="CB32" s="53">
        <v>200</v>
      </c>
      <c r="CC32" s="53">
        <v>25</v>
      </c>
      <c r="CD32" s="53">
        <v>25</v>
      </c>
      <c r="CE32" s="53">
        <v>25</v>
      </c>
      <c r="CF32" s="53">
        <v>25</v>
      </c>
      <c r="CG32" s="53">
        <v>25</v>
      </c>
      <c r="CH32" s="53">
        <v>200</v>
      </c>
      <c r="CI32" s="53">
        <v>25</v>
      </c>
      <c r="CJ32" s="53">
        <v>25</v>
      </c>
      <c r="CK32" s="53">
        <v>25</v>
      </c>
      <c r="CL32" s="53">
        <v>200</v>
      </c>
      <c r="CM32" s="53">
        <v>200</v>
      </c>
      <c r="CN32" s="206"/>
      <c r="CO32" s="206"/>
      <c r="CP32" s="206"/>
      <c r="CQ32" s="8">
        <f t="shared" si="8"/>
        <v>1</v>
      </c>
      <c r="CR32" s="8">
        <f t="shared" si="9"/>
        <v>1540</v>
      </c>
      <c r="CS32" s="8">
        <f t="shared" si="10"/>
        <v>160.54761904761904</v>
      </c>
      <c r="CT32">
        <f t="shared" si="11"/>
        <v>38.236133377386949</v>
      </c>
      <c r="CU32" s="143" t="e">
        <f t="shared" si="12"/>
        <v>#DIV/0!</v>
      </c>
      <c r="CV32" s="143" t="e">
        <f t="shared" si="13"/>
        <v>#DIV/0!</v>
      </c>
      <c r="CX32" s="7">
        <f t="shared" si="14"/>
        <v>1.0500000000000003</v>
      </c>
      <c r="CY32" s="7">
        <f t="shared" si="15"/>
        <v>10</v>
      </c>
      <c r="CZ32" s="7">
        <f t="shared" si="16"/>
        <v>11.200000000000006</v>
      </c>
      <c r="DA32" s="7">
        <f t="shared" si="17"/>
        <v>24.25</v>
      </c>
      <c r="DB32" s="7">
        <f t="shared" si="18"/>
        <v>25</v>
      </c>
      <c r="DC32" s="7">
        <f t="shared" si="19"/>
        <v>30</v>
      </c>
      <c r="DD32" s="7">
        <f t="shared" si="20"/>
        <v>75</v>
      </c>
      <c r="DE32" s="7">
        <f t="shared" si="21"/>
        <v>98.5</v>
      </c>
      <c r="DF32" s="7">
        <f t="shared" si="22"/>
        <v>200</v>
      </c>
      <c r="DH32" s="7">
        <f t="shared" si="23"/>
        <v>33.550000000000011</v>
      </c>
      <c r="DI32" s="7">
        <f t="shared" si="24"/>
        <v>111.24999999999994</v>
      </c>
      <c r="DJ32" s="7">
        <f t="shared" si="25"/>
        <v>232.00000000000011</v>
      </c>
      <c r="DK32" s="7">
        <f t="shared" si="26"/>
        <v>352.75</v>
      </c>
      <c r="DL32" s="7">
        <f t="shared" si="27"/>
        <v>648</v>
      </c>
      <c r="DM32" s="7">
        <f t="shared" si="28"/>
        <v>789</v>
      </c>
      <c r="DN32" s="7">
        <f t="shared" si="29"/>
        <v>813.5</v>
      </c>
      <c r="DO32" s="7">
        <f t="shared" si="30"/>
        <v>848.25</v>
      </c>
      <c r="DP32" s="7">
        <f t="shared" si="31"/>
        <v>857.35</v>
      </c>
    </row>
    <row r="33" spans="1:120" s="7" customFormat="1" ht="25.5" customHeight="1" x14ac:dyDescent="0.25">
      <c r="A33" s="92" t="str">
        <f t="shared" si="32"/>
        <v>CK-PSJ [30]</v>
      </c>
      <c r="B33" s="92" t="str">
        <f t="shared" si="33"/>
        <v>Port San Juan</v>
      </c>
      <c r="C33" s="93" t="str">
        <f t="shared" si="1"/>
        <v>RENFREW CREEK_Chinook</v>
      </c>
      <c r="D33" s="128" t="s">
        <v>598</v>
      </c>
      <c r="E33" s="128" t="s">
        <v>598</v>
      </c>
      <c r="F33" s="64">
        <v>20</v>
      </c>
      <c r="G33" s="72" t="s">
        <v>32</v>
      </c>
      <c r="H33" s="65" t="s">
        <v>97</v>
      </c>
      <c r="I33" s="119"/>
      <c r="J33" s="119"/>
      <c r="K33" s="64">
        <v>4</v>
      </c>
      <c r="L33" s="52">
        <v>7</v>
      </c>
      <c r="M33" s="52">
        <v>3</v>
      </c>
      <c r="N33" s="52">
        <f t="shared" si="2"/>
        <v>7.9527072876705072</v>
      </c>
      <c r="O33" s="52">
        <f t="shared" si="3"/>
        <v>32</v>
      </c>
      <c r="P33" s="52">
        <f t="shared" si="4"/>
        <v>7.5169601575301268</v>
      </c>
      <c r="Q33" s="66"/>
      <c r="R33" s="39"/>
      <c r="S33" s="74" t="s">
        <v>290</v>
      </c>
      <c r="T33" s="81">
        <f t="shared" si="6"/>
        <v>57</v>
      </c>
      <c r="U33" s="81">
        <f t="shared" si="7"/>
        <v>29.75</v>
      </c>
      <c r="V33" s="233">
        <v>1</v>
      </c>
      <c r="W33" s="198" t="s">
        <v>102</v>
      </c>
      <c r="X33" s="52">
        <v>8</v>
      </c>
      <c r="Y33" s="52">
        <v>162</v>
      </c>
      <c r="Z33" s="52">
        <v>18</v>
      </c>
      <c r="AA33" s="52">
        <v>23</v>
      </c>
      <c r="AB33" s="52" t="s">
        <v>262</v>
      </c>
      <c r="AC33" s="52">
        <v>11</v>
      </c>
      <c r="AD33" s="52" t="s">
        <v>263</v>
      </c>
      <c r="AE33" s="144">
        <v>13</v>
      </c>
      <c r="AF33" s="52" t="s">
        <v>102</v>
      </c>
      <c r="AG33" s="144">
        <v>2</v>
      </c>
      <c r="AH33" s="52" t="s">
        <v>262</v>
      </c>
      <c r="AI33" s="53">
        <v>5</v>
      </c>
      <c r="AJ33" s="52" t="s">
        <v>262</v>
      </c>
      <c r="AK33" s="52">
        <v>1</v>
      </c>
      <c r="AL33" s="89" t="s">
        <v>262</v>
      </c>
      <c r="AM33" s="52">
        <v>25</v>
      </c>
      <c r="AN33" s="54"/>
      <c r="AO33" s="52" t="s">
        <v>262</v>
      </c>
      <c r="AP33" s="54"/>
      <c r="AQ33" s="53" t="s">
        <v>262</v>
      </c>
      <c r="AR33" s="53" t="s">
        <v>102</v>
      </c>
      <c r="AS33" s="52" t="s">
        <v>262</v>
      </c>
      <c r="AT33" s="52">
        <v>5</v>
      </c>
      <c r="AU33" s="52">
        <v>32</v>
      </c>
      <c r="AV33" s="52" t="s">
        <v>102</v>
      </c>
      <c r="AW33" s="53" t="s">
        <v>262</v>
      </c>
      <c r="AX33" s="51" t="s">
        <v>264</v>
      </c>
      <c r="AY33" s="53" t="s">
        <v>264</v>
      </c>
      <c r="AZ33" s="53" t="s">
        <v>264</v>
      </c>
      <c r="BA33" s="53" t="s">
        <v>102</v>
      </c>
      <c r="BB33" s="53">
        <v>6</v>
      </c>
      <c r="BC33" s="53" t="s">
        <v>102</v>
      </c>
      <c r="BD33" s="53" t="s">
        <v>102</v>
      </c>
      <c r="BE33" s="53" t="s">
        <v>102</v>
      </c>
      <c r="BF33" s="53" t="s">
        <v>102</v>
      </c>
      <c r="BG33" s="53" t="s">
        <v>102</v>
      </c>
      <c r="BH33" s="53" t="s">
        <v>264</v>
      </c>
      <c r="BI33" s="53" t="s">
        <v>102</v>
      </c>
      <c r="BJ33" s="53" t="s">
        <v>102</v>
      </c>
      <c r="BK33" s="53" t="s">
        <v>264</v>
      </c>
      <c r="BL33" s="53" t="s">
        <v>264</v>
      </c>
      <c r="BM33" s="53" t="s">
        <v>102</v>
      </c>
      <c r="BN33" s="53" t="s">
        <v>102</v>
      </c>
      <c r="BO33" s="53" t="s">
        <v>102</v>
      </c>
      <c r="BP33" s="53" t="s">
        <v>102</v>
      </c>
      <c r="BQ33" s="53" t="s">
        <v>102</v>
      </c>
      <c r="BR33" s="53" t="s">
        <v>102</v>
      </c>
      <c r="BS33" s="53" t="s">
        <v>102</v>
      </c>
      <c r="BT33" s="53" t="s">
        <v>102</v>
      </c>
      <c r="BU33" s="53" t="s">
        <v>102</v>
      </c>
      <c r="BV33" s="53" t="s">
        <v>102</v>
      </c>
      <c r="BW33" s="53" t="s">
        <v>102</v>
      </c>
      <c r="BX33" s="53" t="s">
        <v>102</v>
      </c>
      <c r="BY33" s="53" t="s">
        <v>102</v>
      </c>
      <c r="BZ33" s="53" t="s">
        <v>102</v>
      </c>
      <c r="CA33" s="53" t="s">
        <v>102</v>
      </c>
      <c r="CB33" s="53" t="s">
        <v>102</v>
      </c>
      <c r="CC33" s="53" t="s">
        <v>102</v>
      </c>
      <c r="CD33" s="53" t="s">
        <v>102</v>
      </c>
      <c r="CE33" s="53" t="s">
        <v>102</v>
      </c>
      <c r="CF33" s="53" t="s">
        <v>102</v>
      </c>
      <c r="CG33" s="53" t="s">
        <v>102</v>
      </c>
      <c r="CH33" s="53" t="s">
        <v>102</v>
      </c>
      <c r="CI33" s="53" t="s">
        <v>102</v>
      </c>
      <c r="CJ33" s="53" t="s">
        <v>102</v>
      </c>
      <c r="CK33" s="53" t="s">
        <v>102</v>
      </c>
      <c r="CL33" s="53" t="s">
        <v>102</v>
      </c>
      <c r="CM33" s="53" t="s">
        <v>102</v>
      </c>
      <c r="CN33" s="206"/>
      <c r="CO33" s="206"/>
      <c r="CP33" s="206"/>
      <c r="CQ33" s="8">
        <f t="shared" si="8"/>
        <v>1</v>
      </c>
      <c r="CR33" s="8">
        <f t="shared" si="9"/>
        <v>162</v>
      </c>
      <c r="CS33" s="8">
        <f t="shared" si="10"/>
        <v>22.285714285714285</v>
      </c>
      <c r="CT33">
        <f t="shared" si="11"/>
        <v>8.8615746749970441</v>
      </c>
      <c r="CU33" s="143">
        <f t="shared" si="12"/>
        <v>47.25</v>
      </c>
      <c r="CV33" s="143">
        <f t="shared" si="13"/>
        <v>29.75</v>
      </c>
      <c r="CX33" s="7">
        <f t="shared" si="14"/>
        <v>1</v>
      </c>
      <c r="CY33" s="7">
        <f t="shared" si="15"/>
        <v>1.9500000000000002</v>
      </c>
      <c r="CZ33" s="7">
        <f t="shared" si="16"/>
        <v>3.8000000000000003</v>
      </c>
      <c r="DA33" s="7">
        <f t="shared" si="17"/>
        <v>5</v>
      </c>
      <c r="DB33" s="7">
        <f t="shared" si="18"/>
        <v>9.5</v>
      </c>
      <c r="DC33" s="7">
        <f t="shared" si="19"/>
        <v>12.600000000000001</v>
      </c>
      <c r="DD33" s="7">
        <f t="shared" si="20"/>
        <v>15.250000000000005</v>
      </c>
      <c r="DE33" s="7">
        <f t="shared" si="21"/>
        <v>21.75</v>
      </c>
      <c r="DF33" s="7">
        <f t="shared" si="22"/>
        <v>25.349999999999994</v>
      </c>
      <c r="DH33" s="7">
        <f t="shared" si="23"/>
        <v>1</v>
      </c>
      <c r="DI33" s="7">
        <f t="shared" si="24"/>
        <v>1.7999999999999998</v>
      </c>
      <c r="DJ33" s="7">
        <f t="shared" si="25"/>
        <v>3.2000000000000011</v>
      </c>
      <c r="DK33" s="7">
        <f t="shared" si="26"/>
        <v>5</v>
      </c>
      <c r="DL33" s="7">
        <f t="shared" si="27"/>
        <v>11</v>
      </c>
      <c r="DM33" s="7">
        <f t="shared" si="28"/>
        <v>13.999999999999996</v>
      </c>
      <c r="DN33" s="7">
        <f t="shared" si="29"/>
        <v>17.000000000000004</v>
      </c>
      <c r="DO33" s="7">
        <f t="shared" si="30"/>
        <v>23</v>
      </c>
      <c r="DP33" s="7">
        <f t="shared" si="31"/>
        <v>26.399999999999995</v>
      </c>
    </row>
    <row r="34" spans="1:120" s="7" customFormat="1" ht="25.5" hidden="1" customHeight="1" x14ac:dyDescent="0.25">
      <c r="A34" s="92" t="str">
        <f t="shared" si="32"/>
        <v>CM-SWVI [10]</v>
      </c>
      <c r="B34" s="92" t="str">
        <f t="shared" si="33"/>
        <v>Southwest Vancouver Island</v>
      </c>
      <c r="C34" s="93" t="str">
        <f t="shared" si="1"/>
        <v>RENFREW CREEK_Chum</v>
      </c>
      <c r="D34" s="128" t="s">
        <v>598</v>
      </c>
      <c r="E34" s="128" t="s">
        <v>598</v>
      </c>
      <c r="F34" s="64">
        <v>20</v>
      </c>
      <c r="G34" s="72" t="s">
        <v>32</v>
      </c>
      <c r="H34" s="65" t="s">
        <v>96</v>
      </c>
      <c r="I34" s="119"/>
      <c r="J34" s="119"/>
      <c r="K34" s="64">
        <v>4</v>
      </c>
      <c r="L34" s="52">
        <v>7</v>
      </c>
      <c r="M34" s="52">
        <v>5</v>
      </c>
      <c r="N34" s="52">
        <f t="shared" si="2"/>
        <v>101.05976652406397</v>
      </c>
      <c r="O34" s="52">
        <f t="shared" si="3"/>
        <v>800</v>
      </c>
      <c r="P34" s="52">
        <f t="shared" si="4"/>
        <v>54.513771936707037</v>
      </c>
      <c r="Q34" s="66"/>
      <c r="R34" s="39"/>
      <c r="S34" s="74" t="s">
        <v>290</v>
      </c>
      <c r="T34" s="81">
        <f t="shared" si="6"/>
        <v>139</v>
      </c>
      <c r="U34" s="81">
        <f t="shared" si="7"/>
        <v>288.625</v>
      </c>
      <c r="V34" s="233">
        <v>150</v>
      </c>
      <c r="W34" s="198" t="s">
        <v>102</v>
      </c>
      <c r="X34" s="52">
        <v>128</v>
      </c>
      <c r="Y34" s="230" t="s">
        <v>262</v>
      </c>
      <c r="Z34" s="52">
        <v>137</v>
      </c>
      <c r="AA34" s="52">
        <v>218</v>
      </c>
      <c r="AB34" s="52">
        <v>29</v>
      </c>
      <c r="AC34" s="52">
        <v>27</v>
      </c>
      <c r="AD34" s="52">
        <v>788</v>
      </c>
      <c r="AE34" s="144" t="s">
        <v>263</v>
      </c>
      <c r="AF34" s="144" t="s">
        <v>102</v>
      </c>
      <c r="AG34" s="144">
        <v>832</v>
      </c>
      <c r="AH34" s="52">
        <v>183</v>
      </c>
      <c r="AI34" s="53">
        <v>303</v>
      </c>
      <c r="AJ34" s="52" t="s">
        <v>262</v>
      </c>
      <c r="AK34" s="52">
        <v>108</v>
      </c>
      <c r="AL34" s="89">
        <v>13</v>
      </c>
      <c r="AM34" s="52">
        <v>103</v>
      </c>
      <c r="AN34" s="54"/>
      <c r="AO34" s="53">
        <v>161</v>
      </c>
      <c r="AP34" s="54"/>
      <c r="AQ34" s="53" t="s">
        <v>262</v>
      </c>
      <c r="AR34" s="53" t="s">
        <v>102</v>
      </c>
      <c r="AS34" s="52">
        <v>68</v>
      </c>
      <c r="AT34" s="52">
        <v>85</v>
      </c>
      <c r="AU34" s="52">
        <v>800</v>
      </c>
      <c r="AV34" s="52" t="s">
        <v>102</v>
      </c>
      <c r="AW34" s="53" t="s">
        <v>262</v>
      </c>
      <c r="AX34" s="51">
        <v>5</v>
      </c>
      <c r="AY34" s="53">
        <v>30</v>
      </c>
      <c r="AZ34" s="53">
        <v>26</v>
      </c>
      <c r="BA34" s="53" t="s">
        <v>102</v>
      </c>
      <c r="BB34" s="53">
        <v>26</v>
      </c>
      <c r="BC34" s="53" t="s">
        <v>102</v>
      </c>
      <c r="BD34" s="53" t="s">
        <v>102</v>
      </c>
      <c r="BE34" s="53" t="s">
        <v>102</v>
      </c>
      <c r="BF34" s="53" t="s">
        <v>102</v>
      </c>
      <c r="BG34" s="53" t="s">
        <v>102</v>
      </c>
      <c r="BH34" s="53">
        <v>150</v>
      </c>
      <c r="BI34" s="53" t="s">
        <v>102</v>
      </c>
      <c r="BJ34" s="53" t="s">
        <v>102</v>
      </c>
      <c r="BK34" s="53">
        <v>25</v>
      </c>
      <c r="BL34" s="53">
        <v>50</v>
      </c>
      <c r="BM34" s="53" t="s">
        <v>102</v>
      </c>
      <c r="BN34" s="53" t="s">
        <v>102</v>
      </c>
      <c r="BO34" s="53" t="s">
        <v>102</v>
      </c>
      <c r="BP34" s="53" t="s">
        <v>102</v>
      </c>
      <c r="BQ34" s="53" t="s">
        <v>102</v>
      </c>
      <c r="BR34" s="53" t="s">
        <v>102</v>
      </c>
      <c r="BS34" s="53" t="s">
        <v>102</v>
      </c>
      <c r="BT34" s="53" t="s">
        <v>102</v>
      </c>
      <c r="BU34" s="53" t="s">
        <v>102</v>
      </c>
      <c r="BV34" s="53" t="s">
        <v>102</v>
      </c>
      <c r="BW34" s="53" t="s">
        <v>102</v>
      </c>
      <c r="BX34" s="53" t="s">
        <v>102</v>
      </c>
      <c r="BY34" s="53" t="s">
        <v>102</v>
      </c>
      <c r="BZ34" s="53" t="s">
        <v>102</v>
      </c>
      <c r="CA34" s="53" t="s">
        <v>102</v>
      </c>
      <c r="CB34" s="53" t="s">
        <v>102</v>
      </c>
      <c r="CC34" s="53" t="s">
        <v>102</v>
      </c>
      <c r="CD34" s="53" t="s">
        <v>102</v>
      </c>
      <c r="CE34" s="53" t="s">
        <v>102</v>
      </c>
      <c r="CF34" s="53" t="s">
        <v>102</v>
      </c>
      <c r="CG34" s="53" t="s">
        <v>102</v>
      </c>
      <c r="CH34" s="53" t="s">
        <v>102</v>
      </c>
      <c r="CI34" s="53" t="s">
        <v>102</v>
      </c>
      <c r="CJ34" s="53" t="s">
        <v>102</v>
      </c>
      <c r="CK34" s="53" t="s">
        <v>102</v>
      </c>
      <c r="CL34" s="53" t="s">
        <v>102</v>
      </c>
      <c r="CM34" s="53" t="s">
        <v>102</v>
      </c>
      <c r="CN34" s="206">
        <f>IF(ISERROR(AVERAGE(BV34:CM34)),CS34,AVERAGE(BV34:CM34))</f>
        <v>185.20833333333334</v>
      </c>
      <c r="CO34" s="206"/>
      <c r="CP34" s="206"/>
      <c r="CQ34" s="8">
        <f t="shared" si="8"/>
        <v>5</v>
      </c>
      <c r="CR34" s="8">
        <f t="shared" si="9"/>
        <v>832</v>
      </c>
      <c r="CS34" s="8">
        <f t="shared" si="10"/>
        <v>185.20833333333334</v>
      </c>
      <c r="CT34">
        <f t="shared" si="11"/>
        <v>86.794979970708923</v>
      </c>
      <c r="CU34" s="143">
        <f t="shared" si="12"/>
        <v>138.33333333333334</v>
      </c>
      <c r="CV34" s="143">
        <f t="shared" si="13"/>
        <v>288.625</v>
      </c>
      <c r="CX34" s="7">
        <f t="shared" si="14"/>
        <v>14.800000000000004</v>
      </c>
      <c r="CY34" s="7">
        <f t="shared" si="15"/>
        <v>26</v>
      </c>
      <c r="CZ34" s="7">
        <f t="shared" si="16"/>
        <v>26.6</v>
      </c>
      <c r="DA34" s="7">
        <f t="shared" si="17"/>
        <v>28.5</v>
      </c>
      <c r="DB34" s="7">
        <f t="shared" si="18"/>
        <v>105.5</v>
      </c>
      <c r="DC34" s="7">
        <f t="shared" si="19"/>
        <v>135.19999999999999</v>
      </c>
      <c r="DD34" s="7">
        <f t="shared" si="20"/>
        <v>149.35000000000002</v>
      </c>
      <c r="DE34" s="7">
        <f t="shared" si="21"/>
        <v>166.5</v>
      </c>
      <c r="DF34" s="7">
        <f t="shared" si="22"/>
        <v>264.75000000000006</v>
      </c>
      <c r="DH34" s="7">
        <f t="shared" si="23"/>
        <v>24.200000000000003</v>
      </c>
      <c r="DI34" s="7">
        <f t="shared" si="24"/>
        <v>44.599999999999994</v>
      </c>
      <c r="DJ34" s="7">
        <f t="shared" si="25"/>
        <v>71.400000000000006</v>
      </c>
      <c r="DK34" s="7">
        <f t="shared" si="26"/>
        <v>85</v>
      </c>
      <c r="DL34" s="7">
        <f t="shared" si="27"/>
        <v>137</v>
      </c>
      <c r="DM34" s="7">
        <f t="shared" si="28"/>
        <v>156.6</v>
      </c>
      <c r="DN34" s="7">
        <f t="shared" si="29"/>
        <v>169.8</v>
      </c>
      <c r="DO34" s="7">
        <f t="shared" si="30"/>
        <v>218</v>
      </c>
      <c r="DP34" s="7">
        <f t="shared" si="31"/>
        <v>593.99999999999977</v>
      </c>
    </row>
    <row r="35" spans="1:120" s="7" customFormat="1" ht="25.5" hidden="1" customHeight="1" x14ac:dyDescent="0.25">
      <c r="A35" s="92" t="str">
        <f t="shared" si="32"/>
        <v>CO-JdF [16]</v>
      </c>
      <c r="B35" s="92" t="str">
        <f t="shared" si="33"/>
        <v>Juan de Fuca-Pachena</v>
      </c>
      <c r="C35" s="93" t="str">
        <f t="shared" si="1"/>
        <v>RENFREW CREEK_Coho</v>
      </c>
      <c r="D35" s="128" t="s">
        <v>598</v>
      </c>
      <c r="E35" s="128" t="s">
        <v>598</v>
      </c>
      <c r="F35" s="64">
        <v>20</v>
      </c>
      <c r="G35" s="72" t="s">
        <v>32</v>
      </c>
      <c r="H35" s="65" t="s">
        <v>93</v>
      </c>
      <c r="I35" s="119"/>
      <c r="J35" s="119"/>
      <c r="K35" s="64">
        <v>4</v>
      </c>
      <c r="L35" s="52">
        <v>7</v>
      </c>
      <c r="M35" s="52">
        <v>7</v>
      </c>
      <c r="N35" s="52">
        <f t="shared" si="2"/>
        <v>769.6149965762844</v>
      </c>
      <c r="O35" s="52">
        <f t="shared" si="3"/>
        <v>6000</v>
      </c>
      <c r="P35" s="52">
        <f t="shared" si="4"/>
        <v>446.82328490414602</v>
      </c>
      <c r="Q35" s="66"/>
      <c r="R35" s="39"/>
      <c r="S35" s="74"/>
      <c r="T35" s="81">
        <f t="shared" si="6"/>
        <v>554.66666666666663</v>
      </c>
      <c r="U35" s="81">
        <f t="shared" si="7"/>
        <v>733.3</v>
      </c>
      <c r="V35" s="233">
        <v>1281</v>
      </c>
      <c r="W35" s="198" t="s">
        <v>102</v>
      </c>
      <c r="X35" s="52">
        <v>363</v>
      </c>
      <c r="Y35" s="52">
        <v>20</v>
      </c>
      <c r="Z35" s="52">
        <v>776</v>
      </c>
      <c r="AA35" s="52">
        <v>552</v>
      </c>
      <c r="AB35" s="52">
        <v>287</v>
      </c>
      <c r="AC35" s="52">
        <v>569</v>
      </c>
      <c r="AD35" s="52">
        <v>1142</v>
      </c>
      <c r="AE35" s="144">
        <v>202</v>
      </c>
      <c r="AF35" s="144" t="s">
        <v>102</v>
      </c>
      <c r="AG35" s="144">
        <v>2141</v>
      </c>
      <c r="AH35" s="53">
        <v>1033</v>
      </c>
      <c r="AI35" s="53">
        <v>1660</v>
      </c>
      <c r="AJ35" s="52">
        <v>285</v>
      </c>
      <c r="AK35" s="52">
        <v>901</v>
      </c>
      <c r="AL35" s="89">
        <v>116</v>
      </c>
      <c r="AM35" s="52">
        <v>543</v>
      </c>
      <c r="AN35" s="54"/>
      <c r="AO35" s="53">
        <v>1982</v>
      </c>
      <c r="AP35" s="54"/>
      <c r="AQ35" s="53">
        <v>6000</v>
      </c>
      <c r="AR35" s="53" t="s">
        <v>102</v>
      </c>
      <c r="AS35" s="52">
        <v>2984</v>
      </c>
      <c r="AT35" s="52">
        <v>1166</v>
      </c>
      <c r="AU35" s="52">
        <v>482</v>
      </c>
      <c r="AV35" s="52" t="s">
        <v>102</v>
      </c>
      <c r="AW35" s="53">
        <v>226</v>
      </c>
      <c r="AX35" s="51">
        <v>140</v>
      </c>
      <c r="AY35" s="53">
        <v>286</v>
      </c>
      <c r="AZ35" s="53">
        <v>500</v>
      </c>
      <c r="BA35" s="53" t="s">
        <v>102</v>
      </c>
      <c r="BB35" s="53">
        <v>687</v>
      </c>
      <c r="BC35" s="53" t="s">
        <v>102</v>
      </c>
      <c r="BD35" s="53" t="s">
        <v>102</v>
      </c>
      <c r="BE35" s="53" t="s">
        <v>102</v>
      </c>
      <c r="BF35" s="53" t="s">
        <v>102</v>
      </c>
      <c r="BG35" s="53" t="s">
        <v>102</v>
      </c>
      <c r="BH35" s="53">
        <v>300</v>
      </c>
      <c r="BI35" s="53" t="s">
        <v>102</v>
      </c>
      <c r="BJ35" s="53" t="s">
        <v>102</v>
      </c>
      <c r="BK35" s="53">
        <v>75</v>
      </c>
      <c r="BL35" s="53">
        <v>50</v>
      </c>
      <c r="BM35" s="53" t="s">
        <v>102</v>
      </c>
      <c r="BN35" s="53" t="s">
        <v>102</v>
      </c>
      <c r="BO35" s="53" t="s">
        <v>102</v>
      </c>
      <c r="BP35" s="53" t="s">
        <v>102</v>
      </c>
      <c r="BQ35" s="53" t="s">
        <v>102</v>
      </c>
      <c r="BR35" s="53" t="s">
        <v>102</v>
      </c>
      <c r="BS35" s="53" t="s">
        <v>102</v>
      </c>
      <c r="BT35" s="53" t="s">
        <v>102</v>
      </c>
      <c r="BU35" s="53" t="s">
        <v>102</v>
      </c>
      <c r="BV35" s="53" t="s">
        <v>102</v>
      </c>
      <c r="BW35" s="53" t="s">
        <v>102</v>
      </c>
      <c r="BX35" s="53" t="s">
        <v>102</v>
      </c>
      <c r="BY35" s="53" t="s">
        <v>102</v>
      </c>
      <c r="BZ35" s="53" t="s">
        <v>102</v>
      </c>
      <c r="CA35" s="53" t="s">
        <v>102</v>
      </c>
      <c r="CB35" s="53" t="s">
        <v>102</v>
      </c>
      <c r="CC35" s="53" t="s">
        <v>102</v>
      </c>
      <c r="CD35" s="53" t="s">
        <v>102</v>
      </c>
      <c r="CE35" s="53" t="s">
        <v>102</v>
      </c>
      <c r="CF35" s="53" t="s">
        <v>102</v>
      </c>
      <c r="CG35" s="53" t="s">
        <v>102</v>
      </c>
      <c r="CH35" s="53" t="s">
        <v>102</v>
      </c>
      <c r="CI35" s="53" t="s">
        <v>102</v>
      </c>
      <c r="CJ35" s="53" t="s">
        <v>102</v>
      </c>
      <c r="CK35" s="53" t="s">
        <v>102</v>
      </c>
      <c r="CL35" s="53" t="s">
        <v>102</v>
      </c>
      <c r="CM35" s="53" t="s">
        <v>102</v>
      </c>
      <c r="CN35" s="206"/>
      <c r="CO35" s="206"/>
      <c r="CP35" s="206"/>
      <c r="CQ35" s="8">
        <f t="shared" si="8"/>
        <v>20</v>
      </c>
      <c r="CR35" s="8">
        <f t="shared" si="9"/>
        <v>6000</v>
      </c>
      <c r="CS35" s="8">
        <f t="shared" si="10"/>
        <v>922.37931034482756</v>
      </c>
      <c r="CT35">
        <f t="shared" si="11"/>
        <v>481.4288714012618</v>
      </c>
      <c r="CU35" s="143">
        <f t="shared" si="12"/>
        <v>610</v>
      </c>
      <c r="CV35" s="143">
        <f t="shared" si="13"/>
        <v>733.3</v>
      </c>
      <c r="CX35" s="7">
        <f t="shared" si="14"/>
        <v>60.000000000000007</v>
      </c>
      <c r="CY35" s="7">
        <f t="shared" si="15"/>
        <v>152.4</v>
      </c>
      <c r="CZ35" s="7">
        <f t="shared" si="16"/>
        <v>216.4</v>
      </c>
      <c r="DA35" s="7">
        <f t="shared" si="17"/>
        <v>285</v>
      </c>
      <c r="DB35" s="7">
        <f t="shared" si="18"/>
        <v>543</v>
      </c>
      <c r="DC35" s="7">
        <f t="shared" si="19"/>
        <v>663.40000000000009</v>
      </c>
      <c r="DD35" s="7">
        <f t="shared" si="20"/>
        <v>800.99999999999989</v>
      </c>
      <c r="DE35" s="7">
        <f t="shared" si="21"/>
        <v>1142</v>
      </c>
      <c r="DF35" s="7">
        <f t="shared" si="22"/>
        <v>1584.2000000000003</v>
      </c>
      <c r="DH35" s="7">
        <f t="shared" si="23"/>
        <v>120.29999999999998</v>
      </c>
      <c r="DI35" s="7">
        <f t="shared" si="24"/>
        <v>234.85000000000002</v>
      </c>
      <c r="DJ35" s="7">
        <f t="shared" si="25"/>
        <v>285.39999999999998</v>
      </c>
      <c r="DK35" s="7">
        <f t="shared" si="26"/>
        <v>306</v>
      </c>
      <c r="DL35" s="7">
        <f t="shared" si="27"/>
        <v>672.5</v>
      </c>
      <c r="DM35" s="7">
        <f t="shared" si="28"/>
        <v>980.19999999999993</v>
      </c>
      <c r="DN35" s="7">
        <f t="shared" si="29"/>
        <v>1103.8500000000001</v>
      </c>
      <c r="DO35" s="7">
        <f t="shared" si="30"/>
        <v>1252.25</v>
      </c>
      <c r="DP35" s="7">
        <f t="shared" si="31"/>
        <v>1933.6999999999994</v>
      </c>
    </row>
    <row r="36" spans="1:120" s="7" customFormat="1" ht="25.5" hidden="1" customHeight="1" x14ac:dyDescent="0.25">
      <c r="A36" s="92" t="str">
        <f t="shared" si="32"/>
        <v>SK-WVI [R10]</v>
      </c>
      <c r="B36" s="92" t="str">
        <f t="shared" si="33"/>
        <v>West Vancouver Island</v>
      </c>
      <c r="C36" s="93" t="str">
        <f t="shared" si="1"/>
        <v>RENFREW CREEK_Sockeye</v>
      </c>
      <c r="D36" s="128" t="s">
        <v>598</v>
      </c>
      <c r="E36" s="128" t="s">
        <v>598</v>
      </c>
      <c r="F36" s="64">
        <v>20</v>
      </c>
      <c r="G36" s="72" t="s">
        <v>32</v>
      </c>
      <c r="H36" s="65" t="s">
        <v>91</v>
      </c>
      <c r="I36" s="119"/>
      <c r="J36" s="119"/>
      <c r="K36" s="64">
        <v>4</v>
      </c>
      <c r="L36" s="52">
        <v>7</v>
      </c>
      <c r="M36" s="52">
        <v>3</v>
      </c>
      <c r="N36" s="52">
        <f t="shared" si="2"/>
        <v>14.728097377492999</v>
      </c>
      <c r="O36" s="52">
        <f t="shared" si="3"/>
        <v>200</v>
      </c>
      <c r="P36" s="52">
        <f t="shared" si="4"/>
        <v>36.622476163003924</v>
      </c>
      <c r="Q36" s="66"/>
      <c r="R36" s="39"/>
      <c r="S36" s="74" t="s">
        <v>290</v>
      </c>
      <c r="T36" s="81">
        <f t="shared" si="6"/>
        <v>33</v>
      </c>
      <c r="U36" s="81">
        <f t="shared" si="7"/>
        <v>27.2</v>
      </c>
      <c r="V36" s="233">
        <v>54</v>
      </c>
      <c r="W36" s="198" t="s">
        <v>102</v>
      </c>
      <c r="X36" s="52">
        <v>12</v>
      </c>
      <c r="Y36" s="52"/>
      <c r="Z36" s="52" t="s">
        <v>263</v>
      </c>
      <c r="AA36" s="52">
        <v>6</v>
      </c>
      <c r="AB36" s="52" t="s">
        <v>263</v>
      </c>
      <c r="AC36" s="52">
        <v>50</v>
      </c>
      <c r="AD36" s="52" t="s">
        <v>263</v>
      </c>
      <c r="AE36" s="144" t="s">
        <v>263</v>
      </c>
      <c r="AF36" s="144" t="s">
        <v>102</v>
      </c>
      <c r="AG36" s="144">
        <v>14</v>
      </c>
      <c r="AH36" s="53">
        <v>75</v>
      </c>
      <c r="AI36" s="68">
        <v>10</v>
      </c>
      <c r="AJ36" s="52" t="s">
        <v>262</v>
      </c>
      <c r="AK36" s="52">
        <v>10</v>
      </c>
      <c r="AL36" s="89">
        <v>1</v>
      </c>
      <c r="AM36" s="52">
        <v>28</v>
      </c>
      <c r="AN36" s="54"/>
      <c r="AO36" s="53">
        <v>25</v>
      </c>
      <c r="AP36" s="54"/>
      <c r="AQ36" s="53" t="s">
        <v>262</v>
      </c>
      <c r="AR36" s="53" t="s">
        <v>102</v>
      </c>
      <c r="AS36" s="52" t="s">
        <v>262</v>
      </c>
      <c r="AT36" s="52">
        <v>99</v>
      </c>
      <c r="AU36" s="52" t="s">
        <v>262</v>
      </c>
      <c r="AV36" s="52" t="s">
        <v>102</v>
      </c>
      <c r="AW36" s="53" t="s">
        <v>262</v>
      </c>
      <c r="AX36" s="51" t="s">
        <v>264</v>
      </c>
      <c r="AY36" s="53" t="s">
        <v>264</v>
      </c>
      <c r="AZ36" s="53" t="s">
        <v>264</v>
      </c>
      <c r="BA36" s="53" t="s">
        <v>102</v>
      </c>
      <c r="BB36" s="53">
        <v>57</v>
      </c>
      <c r="BC36" s="53" t="s">
        <v>102</v>
      </c>
      <c r="BD36" s="53" t="s">
        <v>102</v>
      </c>
      <c r="BE36" s="53" t="s">
        <v>102</v>
      </c>
      <c r="BF36" s="53" t="s">
        <v>102</v>
      </c>
      <c r="BG36" s="53" t="s">
        <v>102</v>
      </c>
      <c r="BH36" s="53">
        <v>200</v>
      </c>
      <c r="BI36" s="53" t="s">
        <v>102</v>
      </c>
      <c r="BJ36" s="53" t="s">
        <v>102</v>
      </c>
      <c r="BK36" s="53">
        <v>75</v>
      </c>
      <c r="BL36" s="53">
        <v>200</v>
      </c>
      <c r="BM36" s="53" t="s">
        <v>102</v>
      </c>
      <c r="BN36" s="53" t="s">
        <v>102</v>
      </c>
      <c r="BO36" s="53" t="s">
        <v>102</v>
      </c>
      <c r="BP36" s="53" t="s">
        <v>102</v>
      </c>
      <c r="BQ36" s="53" t="s">
        <v>102</v>
      </c>
      <c r="BR36" s="53" t="s">
        <v>102</v>
      </c>
      <c r="BS36" s="53" t="s">
        <v>102</v>
      </c>
      <c r="BT36" s="53" t="s">
        <v>102</v>
      </c>
      <c r="BU36" s="53" t="s">
        <v>102</v>
      </c>
      <c r="BV36" s="53" t="s">
        <v>102</v>
      </c>
      <c r="BW36" s="53" t="s">
        <v>102</v>
      </c>
      <c r="BX36" s="53" t="s">
        <v>102</v>
      </c>
      <c r="BY36" s="53" t="s">
        <v>102</v>
      </c>
      <c r="BZ36" s="53" t="s">
        <v>102</v>
      </c>
      <c r="CA36" s="53" t="s">
        <v>102</v>
      </c>
      <c r="CB36" s="53" t="s">
        <v>102</v>
      </c>
      <c r="CC36" s="53" t="s">
        <v>102</v>
      </c>
      <c r="CD36" s="53" t="s">
        <v>102</v>
      </c>
      <c r="CE36" s="53" t="s">
        <v>102</v>
      </c>
      <c r="CF36" s="53" t="s">
        <v>102</v>
      </c>
      <c r="CG36" s="53" t="s">
        <v>102</v>
      </c>
      <c r="CH36" s="53" t="s">
        <v>102</v>
      </c>
      <c r="CI36" s="53" t="s">
        <v>102</v>
      </c>
      <c r="CJ36" s="53" t="s">
        <v>102</v>
      </c>
      <c r="CK36" s="53" t="s">
        <v>102</v>
      </c>
      <c r="CL36" s="53" t="s">
        <v>102</v>
      </c>
      <c r="CM36" s="53" t="s">
        <v>102</v>
      </c>
      <c r="CN36" s="206"/>
      <c r="CO36" s="206"/>
      <c r="CP36" s="206"/>
      <c r="CQ36" s="8">
        <f t="shared" si="8"/>
        <v>1</v>
      </c>
      <c r="CR36" s="8">
        <f t="shared" si="9"/>
        <v>200</v>
      </c>
      <c r="CS36" s="8">
        <f t="shared" si="10"/>
        <v>57.25</v>
      </c>
      <c r="CT36">
        <f t="shared" si="11"/>
        <v>28.938494364293657</v>
      </c>
      <c r="CU36" s="143">
        <f t="shared" si="12"/>
        <v>33</v>
      </c>
      <c r="CV36" s="143">
        <f t="shared" si="13"/>
        <v>27.2</v>
      </c>
      <c r="CX36" s="7">
        <f t="shared" si="14"/>
        <v>4.75</v>
      </c>
      <c r="CY36" s="7">
        <f t="shared" si="15"/>
        <v>10</v>
      </c>
      <c r="CZ36" s="7">
        <f t="shared" si="16"/>
        <v>10</v>
      </c>
      <c r="DA36" s="7">
        <f t="shared" si="17"/>
        <v>11.5</v>
      </c>
      <c r="DB36" s="7">
        <f t="shared" si="18"/>
        <v>39</v>
      </c>
      <c r="DC36" s="7">
        <f t="shared" si="19"/>
        <v>54</v>
      </c>
      <c r="DD36" s="7">
        <f t="shared" si="20"/>
        <v>56.25</v>
      </c>
      <c r="DE36" s="7">
        <f t="shared" si="21"/>
        <v>75</v>
      </c>
      <c r="DF36" s="7">
        <f t="shared" si="22"/>
        <v>93</v>
      </c>
      <c r="DH36" s="7">
        <f t="shared" si="23"/>
        <v>3.75</v>
      </c>
      <c r="DI36" s="7">
        <f t="shared" si="24"/>
        <v>8.6</v>
      </c>
      <c r="DJ36" s="7">
        <f t="shared" si="25"/>
        <v>10</v>
      </c>
      <c r="DK36" s="7">
        <f t="shared" si="26"/>
        <v>10</v>
      </c>
      <c r="DL36" s="7">
        <f t="shared" si="27"/>
        <v>19.5</v>
      </c>
      <c r="DM36" s="7">
        <f t="shared" si="28"/>
        <v>26.799999999999997</v>
      </c>
      <c r="DN36" s="7">
        <f t="shared" si="29"/>
        <v>31.300000000000008</v>
      </c>
      <c r="DO36" s="7">
        <f t="shared" si="30"/>
        <v>51</v>
      </c>
      <c r="DP36" s="7">
        <f t="shared" si="31"/>
        <v>61.349999999999994</v>
      </c>
    </row>
    <row r="37" spans="1:120" s="7" customFormat="1" ht="25.5" customHeight="1" x14ac:dyDescent="0.25">
      <c r="A37" s="92" t="str">
        <f t="shared" si="32"/>
        <v>CK-PSJ [30]</v>
      </c>
      <c r="B37" s="92" t="str">
        <f t="shared" si="33"/>
        <v>Port San Juan</v>
      </c>
      <c r="C37" s="93" t="str">
        <f t="shared" si="1"/>
        <v>SAN JUAN RIVER_Chinook</v>
      </c>
      <c r="D37" s="128" t="s">
        <v>598</v>
      </c>
      <c r="E37" s="128" t="s">
        <v>599</v>
      </c>
      <c r="F37" s="64">
        <v>20</v>
      </c>
      <c r="G37" s="72" t="s">
        <v>27</v>
      </c>
      <c r="H37" s="65" t="s">
        <v>97</v>
      </c>
      <c r="I37" s="119"/>
      <c r="J37" s="119"/>
      <c r="K37" s="64">
        <v>3</v>
      </c>
      <c r="L37" s="52">
        <v>11</v>
      </c>
      <c r="M37" s="52">
        <v>11</v>
      </c>
      <c r="N37" s="52">
        <f t="shared" si="2"/>
        <v>982.79195222047758</v>
      </c>
      <c r="O37" s="52">
        <f t="shared" si="3"/>
        <v>7500</v>
      </c>
      <c r="P37" s="52">
        <f t="shared" si="4"/>
        <v>572.88757710423306</v>
      </c>
      <c r="Q37" s="66" t="s">
        <v>268</v>
      </c>
      <c r="R37" s="37"/>
      <c r="S37" s="74" t="s">
        <v>0</v>
      </c>
      <c r="T37" s="81">
        <f t="shared" si="6"/>
        <v>832.5</v>
      </c>
      <c r="U37" s="81">
        <f t="shared" si="7"/>
        <v>1172.25</v>
      </c>
      <c r="V37" s="233">
        <v>494</v>
      </c>
      <c r="W37" s="198">
        <v>794</v>
      </c>
      <c r="X37" s="52">
        <v>799</v>
      </c>
      <c r="Y37" s="177">
        <v>1243</v>
      </c>
      <c r="Z37" s="177">
        <v>580</v>
      </c>
      <c r="AA37" s="177">
        <v>1156</v>
      </c>
      <c r="AB37" s="52">
        <v>899</v>
      </c>
      <c r="AC37" s="52">
        <v>2061</v>
      </c>
      <c r="AD37" s="52">
        <v>4007</v>
      </c>
      <c r="AE37" s="144">
        <v>874</v>
      </c>
      <c r="AF37" s="144">
        <v>860</v>
      </c>
      <c r="AG37" s="144">
        <v>300</v>
      </c>
      <c r="AH37" s="53">
        <v>832</v>
      </c>
      <c r="AI37" s="53">
        <v>2870</v>
      </c>
      <c r="AJ37" s="53">
        <v>900</v>
      </c>
      <c r="AK37" s="52">
        <v>1500</v>
      </c>
      <c r="AL37" s="89">
        <v>3712</v>
      </c>
      <c r="AM37" s="52">
        <v>900</v>
      </c>
      <c r="AN37" s="123">
        <v>3500</v>
      </c>
      <c r="AO37" s="53">
        <v>1000</v>
      </c>
      <c r="AP37" s="53">
        <v>582</v>
      </c>
      <c r="AQ37" s="53">
        <v>357</v>
      </c>
      <c r="AR37" s="52">
        <v>250</v>
      </c>
      <c r="AS37" s="52">
        <v>1054</v>
      </c>
      <c r="AT37" s="52">
        <v>3840</v>
      </c>
      <c r="AU37" s="52">
        <v>827</v>
      </c>
      <c r="AV37" s="52">
        <v>760</v>
      </c>
      <c r="AW37" s="53">
        <v>376</v>
      </c>
      <c r="AX37" s="51">
        <v>600</v>
      </c>
      <c r="AY37" s="53">
        <v>1300</v>
      </c>
      <c r="AZ37" s="53">
        <v>500</v>
      </c>
      <c r="BA37" s="53">
        <v>450</v>
      </c>
      <c r="BB37" s="53">
        <v>500</v>
      </c>
      <c r="BC37" s="53">
        <v>300</v>
      </c>
      <c r="BD37" s="53">
        <v>1500</v>
      </c>
      <c r="BE37" s="53">
        <v>600</v>
      </c>
      <c r="BF37" s="53">
        <v>487</v>
      </c>
      <c r="BG37" s="53">
        <v>150</v>
      </c>
      <c r="BH37" s="53">
        <v>1200</v>
      </c>
      <c r="BI37" s="53">
        <v>775</v>
      </c>
      <c r="BJ37" s="53">
        <v>775</v>
      </c>
      <c r="BK37" s="53">
        <v>750</v>
      </c>
      <c r="BL37" s="53">
        <v>500</v>
      </c>
      <c r="BM37" s="53">
        <v>400</v>
      </c>
      <c r="BN37" s="53">
        <v>50</v>
      </c>
      <c r="BO37" s="53">
        <v>75</v>
      </c>
      <c r="BP37" s="53">
        <v>75</v>
      </c>
      <c r="BQ37" s="53">
        <v>200</v>
      </c>
      <c r="BR37" s="53">
        <v>750</v>
      </c>
      <c r="BS37" s="53">
        <v>3500</v>
      </c>
      <c r="BT37" s="53">
        <v>3500</v>
      </c>
      <c r="BU37" s="53">
        <v>400</v>
      </c>
      <c r="BV37" s="53">
        <v>7500</v>
      </c>
      <c r="BW37" s="53">
        <v>400</v>
      </c>
      <c r="BX37" s="53">
        <v>750</v>
      </c>
      <c r="BY37" s="53">
        <v>400</v>
      </c>
      <c r="BZ37" s="53">
        <v>1500</v>
      </c>
      <c r="CA37" s="53">
        <v>750</v>
      </c>
      <c r="CB37" s="53">
        <v>1500</v>
      </c>
      <c r="CC37" s="53">
        <v>400</v>
      </c>
      <c r="CD37" s="53">
        <v>400</v>
      </c>
      <c r="CE37" s="53">
        <v>400</v>
      </c>
      <c r="CF37" s="53">
        <v>1500</v>
      </c>
      <c r="CG37" s="53">
        <v>200</v>
      </c>
      <c r="CH37" s="53">
        <v>200</v>
      </c>
      <c r="CI37" s="53">
        <v>200</v>
      </c>
      <c r="CJ37" s="53">
        <v>25</v>
      </c>
      <c r="CK37" s="53">
        <v>200</v>
      </c>
      <c r="CL37" s="53">
        <v>400</v>
      </c>
      <c r="CM37" s="53">
        <v>400</v>
      </c>
      <c r="CN37" s="206"/>
      <c r="CO37" s="206"/>
      <c r="CP37" s="206"/>
      <c r="CQ37" s="8">
        <f t="shared" si="8"/>
        <v>25</v>
      </c>
      <c r="CR37" s="8">
        <f t="shared" si="9"/>
        <v>7500</v>
      </c>
      <c r="CS37" s="8">
        <f t="shared" si="10"/>
        <v>1054.1285714285714</v>
      </c>
      <c r="CT37">
        <f t="shared" si="11"/>
        <v>640.80118099508093</v>
      </c>
      <c r="CU37" s="143">
        <f t="shared" si="12"/>
        <v>782</v>
      </c>
      <c r="CV37" s="143">
        <f t="shared" si="13"/>
        <v>1172.25</v>
      </c>
      <c r="CX37" s="7">
        <f t="shared" si="14"/>
        <v>108.75000000000001</v>
      </c>
      <c r="CY37" s="7">
        <f t="shared" si="15"/>
        <v>267.5</v>
      </c>
      <c r="CZ37" s="7">
        <f t="shared" si="16"/>
        <v>372.2</v>
      </c>
      <c r="DA37" s="7">
        <f t="shared" si="17"/>
        <v>400</v>
      </c>
      <c r="DB37" s="7">
        <f t="shared" si="18"/>
        <v>750</v>
      </c>
      <c r="DC37" s="7">
        <f t="shared" si="19"/>
        <v>796</v>
      </c>
      <c r="DD37" s="7">
        <f t="shared" si="20"/>
        <v>855.80000000000007</v>
      </c>
      <c r="DE37" s="7">
        <f t="shared" si="21"/>
        <v>1130.5</v>
      </c>
      <c r="DF37" s="7">
        <f t="shared" si="22"/>
        <v>1500</v>
      </c>
      <c r="DH37" s="7">
        <f t="shared" si="23"/>
        <v>319.95</v>
      </c>
      <c r="DI37" s="7">
        <f t="shared" si="24"/>
        <v>498.3</v>
      </c>
      <c r="DJ37" s="7">
        <f t="shared" si="25"/>
        <v>580.79999999999995</v>
      </c>
      <c r="DK37" s="7">
        <f t="shared" si="26"/>
        <v>715.5</v>
      </c>
      <c r="DL37" s="7">
        <f t="shared" si="27"/>
        <v>886.5</v>
      </c>
      <c r="DM37" s="7">
        <f t="shared" si="28"/>
        <v>919.99999999999989</v>
      </c>
      <c r="DN37" s="7">
        <f t="shared" si="29"/>
        <v>1029.7</v>
      </c>
      <c r="DO37" s="7">
        <f t="shared" si="30"/>
        <v>1307.25</v>
      </c>
      <c r="DP37" s="7">
        <f t="shared" si="31"/>
        <v>2829.5499999999993</v>
      </c>
    </row>
    <row r="38" spans="1:120" s="7" customFormat="1" ht="25.5" hidden="1" customHeight="1" x14ac:dyDescent="0.25">
      <c r="A38" s="92" t="str">
        <f t="shared" si="32"/>
        <v>CM-SWVI [10]</v>
      </c>
      <c r="B38" s="92" t="str">
        <f t="shared" si="33"/>
        <v>Southwest Vancouver Island</v>
      </c>
      <c r="C38" s="93" t="str">
        <f t="shared" si="1"/>
        <v>SAN JUAN RIVER_Chum</v>
      </c>
      <c r="D38" s="128" t="s">
        <v>598</v>
      </c>
      <c r="E38" s="128" t="s">
        <v>598</v>
      </c>
      <c r="F38" s="64">
        <v>20</v>
      </c>
      <c r="G38" s="72" t="s">
        <v>27</v>
      </c>
      <c r="H38" s="65" t="s">
        <v>96</v>
      </c>
      <c r="I38" s="119"/>
      <c r="J38" s="119"/>
      <c r="K38" s="64">
        <v>3</v>
      </c>
      <c r="L38" s="52">
        <v>11</v>
      </c>
      <c r="M38" s="52">
        <v>10</v>
      </c>
      <c r="N38" s="52">
        <f t="shared" si="2"/>
        <v>189.45349555511493</v>
      </c>
      <c r="O38" s="52">
        <f t="shared" si="3"/>
        <v>10500</v>
      </c>
      <c r="P38" s="52">
        <f t="shared" si="4"/>
        <v>393.59007904125036</v>
      </c>
      <c r="Q38" s="66" t="s">
        <v>268</v>
      </c>
      <c r="R38" s="37"/>
      <c r="S38" s="74" t="s">
        <v>284</v>
      </c>
      <c r="T38" s="81">
        <f t="shared" si="6"/>
        <v>100.66666666666667</v>
      </c>
      <c r="U38" s="81">
        <f t="shared" si="7"/>
        <v>676</v>
      </c>
      <c r="V38" s="233">
        <v>150</v>
      </c>
      <c r="W38" s="198" t="s">
        <v>263</v>
      </c>
      <c r="X38" s="52">
        <v>23</v>
      </c>
      <c r="Y38" s="52">
        <v>129</v>
      </c>
      <c r="Z38" s="52">
        <v>31</v>
      </c>
      <c r="AA38" s="52">
        <v>550</v>
      </c>
      <c r="AB38" s="52">
        <v>593</v>
      </c>
      <c r="AC38" s="52">
        <v>593</v>
      </c>
      <c r="AD38" s="52">
        <v>83</v>
      </c>
      <c r="AE38" s="144">
        <v>62</v>
      </c>
      <c r="AF38" s="144">
        <v>966</v>
      </c>
      <c r="AG38" s="144">
        <v>4256</v>
      </c>
      <c r="AH38" s="52">
        <v>400</v>
      </c>
      <c r="AI38" s="53">
        <v>435</v>
      </c>
      <c r="AJ38" s="53">
        <v>96</v>
      </c>
      <c r="AK38" s="52">
        <v>1276</v>
      </c>
      <c r="AL38" s="89">
        <v>278</v>
      </c>
      <c r="AM38" s="52">
        <v>1516</v>
      </c>
      <c r="AN38" s="54"/>
      <c r="AO38" s="53">
        <v>102</v>
      </c>
      <c r="AP38" s="53">
        <v>9</v>
      </c>
      <c r="AQ38" s="53">
        <v>241</v>
      </c>
      <c r="AR38" s="52" t="s">
        <v>262</v>
      </c>
      <c r="AS38" s="52">
        <v>200</v>
      </c>
      <c r="AT38" s="52">
        <v>500</v>
      </c>
      <c r="AU38" s="52">
        <v>1500</v>
      </c>
      <c r="AV38" s="52">
        <v>26</v>
      </c>
      <c r="AW38" s="53">
        <v>48</v>
      </c>
      <c r="AX38" s="51">
        <v>15</v>
      </c>
      <c r="AY38" s="53">
        <v>1000</v>
      </c>
      <c r="AZ38" s="53">
        <v>220</v>
      </c>
      <c r="BA38" s="53">
        <v>1000</v>
      </c>
      <c r="BB38" s="53">
        <v>1000</v>
      </c>
      <c r="BC38" s="53">
        <v>300</v>
      </c>
      <c r="BD38" s="53">
        <v>1000</v>
      </c>
      <c r="BE38" s="53">
        <v>2000</v>
      </c>
      <c r="BF38" s="53">
        <v>10500</v>
      </c>
      <c r="BG38" s="53">
        <v>300</v>
      </c>
      <c r="BH38" s="53">
        <v>500</v>
      </c>
      <c r="BI38" s="53">
        <v>200</v>
      </c>
      <c r="BJ38" s="53" t="s">
        <v>28</v>
      </c>
      <c r="BK38" s="53">
        <v>200</v>
      </c>
      <c r="BL38" s="53">
        <v>100</v>
      </c>
      <c r="BM38" s="53">
        <v>25</v>
      </c>
      <c r="BN38" s="53">
        <v>25</v>
      </c>
      <c r="BO38" s="53">
        <v>25</v>
      </c>
      <c r="BP38" s="53" t="s">
        <v>262</v>
      </c>
      <c r="BQ38" s="53">
        <v>200</v>
      </c>
      <c r="BR38" s="53" t="s">
        <v>262</v>
      </c>
      <c r="BS38" s="53">
        <v>200</v>
      </c>
      <c r="BT38" s="53">
        <v>3500</v>
      </c>
      <c r="BU38" s="53" t="s">
        <v>262</v>
      </c>
      <c r="BV38" s="53">
        <v>7500</v>
      </c>
      <c r="BW38" s="53">
        <v>200</v>
      </c>
      <c r="BX38" s="53">
        <v>3500</v>
      </c>
      <c r="BY38" s="53">
        <v>750</v>
      </c>
      <c r="BZ38" s="53">
        <v>400</v>
      </c>
      <c r="CA38" s="53">
        <v>1500</v>
      </c>
      <c r="CB38" s="53">
        <v>1500</v>
      </c>
      <c r="CC38" s="53">
        <v>400</v>
      </c>
      <c r="CD38" s="53">
        <v>1500</v>
      </c>
      <c r="CE38" s="53">
        <v>400</v>
      </c>
      <c r="CF38" s="53">
        <v>1500</v>
      </c>
      <c r="CG38" s="53">
        <v>750</v>
      </c>
      <c r="CH38" s="53">
        <v>1500</v>
      </c>
      <c r="CI38" s="53">
        <v>750</v>
      </c>
      <c r="CJ38" s="53">
        <v>200</v>
      </c>
      <c r="CK38" s="53">
        <v>400</v>
      </c>
      <c r="CL38" s="53">
        <v>1500</v>
      </c>
      <c r="CM38" s="53">
        <v>750</v>
      </c>
      <c r="CN38" s="206"/>
      <c r="CO38" s="206"/>
      <c r="CP38" s="206"/>
      <c r="CQ38" s="8">
        <f t="shared" si="8"/>
        <v>9</v>
      </c>
      <c r="CR38" s="8">
        <f t="shared" si="9"/>
        <v>10500</v>
      </c>
      <c r="CS38" s="8">
        <f t="shared" si="10"/>
        <v>974.17460317460313</v>
      </c>
      <c r="CT38">
        <f t="shared" si="11"/>
        <v>356.04030682906318</v>
      </c>
      <c r="CU38" s="143">
        <f t="shared" si="12"/>
        <v>83.25</v>
      </c>
      <c r="CV38" s="143">
        <f t="shared" si="13"/>
        <v>676</v>
      </c>
      <c r="CX38" s="7">
        <f t="shared" si="14"/>
        <v>25</v>
      </c>
      <c r="CY38" s="7">
        <f t="shared" si="15"/>
        <v>68.299999999999983</v>
      </c>
      <c r="CZ38" s="7">
        <f t="shared" si="16"/>
        <v>100.8</v>
      </c>
      <c r="DA38" s="7">
        <f t="shared" si="17"/>
        <v>175</v>
      </c>
      <c r="DB38" s="7">
        <f t="shared" si="18"/>
        <v>400</v>
      </c>
      <c r="DC38" s="7">
        <f t="shared" si="19"/>
        <v>593</v>
      </c>
      <c r="DD38" s="7">
        <f t="shared" si="20"/>
        <v>750</v>
      </c>
      <c r="DE38" s="7">
        <f t="shared" si="21"/>
        <v>1000</v>
      </c>
      <c r="DF38" s="7">
        <f t="shared" si="22"/>
        <v>1500</v>
      </c>
      <c r="DH38" s="7">
        <f t="shared" si="23"/>
        <v>23.6</v>
      </c>
      <c r="DI38" s="7">
        <f t="shared" si="24"/>
        <v>41.199999999999996</v>
      </c>
      <c r="DJ38" s="7">
        <f t="shared" si="25"/>
        <v>59.20000000000001</v>
      </c>
      <c r="DK38" s="7">
        <f t="shared" si="26"/>
        <v>83</v>
      </c>
      <c r="DL38" s="7">
        <f t="shared" si="27"/>
        <v>241</v>
      </c>
      <c r="DM38" s="7">
        <f t="shared" si="28"/>
        <v>413.99999999999994</v>
      </c>
      <c r="DN38" s="7">
        <f t="shared" si="29"/>
        <v>474.00000000000011</v>
      </c>
      <c r="DO38" s="7">
        <f t="shared" si="30"/>
        <v>593</v>
      </c>
      <c r="DP38" s="7">
        <f t="shared" si="31"/>
        <v>1089.9999999999995</v>
      </c>
    </row>
    <row r="39" spans="1:120" s="7" customFormat="1" ht="25.5" hidden="1" customHeight="1" x14ac:dyDescent="0.25">
      <c r="A39" s="92" t="str">
        <f t="shared" si="32"/>
        <v>CO-JdF [16]</v>
      </c>
      <c r="B39" s="92" t="str">
        <f t="shared" si="33"/>
        <v>Juan de Fuca-Pachena</v>
      </c>
      <c r="C39" s="93" t="str">
        <f t="shared" si="1"/>
        <v>SAN JUAN RIVER_Coho</v>
      </c>
      <c r="D39" s="128" t="s">
        <v>598</v>
      </c>
      <c r="E39" s="128" t="s">
        <v>598</v>
      </c>
      <c r="F39" s="64">
        <v>20</v>
      </c>
      <c r="G39" s="72" t="s">
        <v>27</v>
      </c>
      <c r="H39" s="65" t="s">
        <v>93</v>
      </c>
      <c r="I39" s="119"/>
      <c r="J39" s="119"/>
      <c r="K39" s="64">
        <v>3</v>
      </c>
      <c r="L39" s="52">
        <v>11</v>
      </c>
      <c r="M39" s="52">
        <v>11</v>
      </c>
      <c r="N39" s="52">
        <f t="shared" si="2"/>
        <v>8607.7541385375698</v>
      </c>
      <c r="O39" s="52">
        <f t="shared" si="3"/>
        <v>75000</v>
      </c>
      <c r="P39" s="52">
        <f t="shared" si="4"/>
        <v>6645.6938878152505</v>
      </c>
      <c r="Q39" s="66" t="s">
        <v>268</v>
      </c>
      <c r="R39" s="37"/>
      <c r="S39" s="74" t="s">
        <v>284</v>
      </c>
      <c r="T39" s="81">
        <f t="shared" si="6"/>
        <v>2263.5</v>
      </c>
      <c r="U39" s="81">
        <f t="shared" si="7"/>
        <v>4498.833333333333</v>
      </c>
      <c r="V39" s="233">
        <v>891</v>
      </c>
      <c r="W39" s="198">
        <v>3000</v>
      </c>
      <c r="X39" s="52">
        <v>3370</v>
      </c>
      <c r="Y39" s="52">
        <v>1793</v>
      </c>
      <c r="Z39" s="52">
        <v>6229</v>
      </c>
      <c r="AA39" s="52">
        <v>1176</v>
      </c>
      <c r="AB39" s="52">
        <v>1136</v>
      </c>
      <c r="AC39" s="52">
        <v>2770</v>
      </c>
      <c r="AD39" s="52">
        <v>7048</v>
      </c>
      <c r="AE39" s="144">
        <v>7569</v>
      </c>
      <c r="AF39" s="144">
        <v>6173</v>
      </c>
      <c r="AG39" s="144">
        <v>12831</v>
      </c>
      <c r="AH39" s="53">
        <v>7400</v>
      </c>
      <c r="AI39" s="53">
        <v>9625</v>
      </c>
      <c r="AJ39" s="53">
        <v>1809</v>
      </c>
      <c r="AK39" s="52">
        <v>2169</v>
      </c>
      <c r="AL39" s="89">
        <v>367</v>
      </c>
      <c r="AM39" s="52">
        <v>5000</v>
      </c>
      <c r="AN39" s="123">
        <v>4880</v>
      </c>
      <c r="AO39" s="53">
        <v>20000</v>
      </c>
      <c r="AP39" s="53">
        <v>9641</v>
      </c>
      <c r="AQ39" s="53">
        <v>40000</v>
      </c>
      <c r="AR39" s="52">
        <v>15000</v>
      </c>
      <c r="AS39" s="52">
        <v>35000</v>
      </c>
      <c r="AT39" s="52">
        <v>49959</v>
      </c>
      <c r="AU39" s="52">
        <v>4665</v>
      </c>
      <c r="AV39" s="52">
        <v>18919</v>
      </c>
      <c r="AW39" s="53">
        <v>19542</v>
      </c>
      <c r="AX39" s="51">
        <v>356</v>
      </c>
      <c r="AY39" s="53">
        <v>936</v>
      </c>
      <c r="AZ39" s="53">
        <v>1130</v>
      </c>
      <c r="BA39" s="53">
        <v>3000</v>
      </c>
      <c r="BB39" s="53">
        <v>5000</v>
      </c>
      <c r="BC39" s="53">
        <v>5000</v>
      </c>
      <c r="BD39" s="53">
        <v>15000</v>
      </c>
      <c r="BE39" s="53">
        <v>12000</v>
      </c>
      <c r="BF39" s="53">
        <v>16000</v>
      </c>
      <c r="BG39" s="53">
        <v>500</v>
      </c>
      <c r="BH39" s="53">
        <v>9000</v>
      </c>
      <c r="BI39" s="53">
        <v>7500</v>
      </c>
      <c r="BJ39" s="53">
        <v>8400</v>
      </c>
      <c r="BK39" s="53">
        <v>3500</v>
      </c>
      <c r="BL39" s="53">
        <v>3000</v>
      </c>
      <c r="BM39" s="53">
        <v>3500</v>
      </c>
      <c r="BN39" s="53">
        <v>2850</v>
      </c>
      <c r="BO39" s="53">
        <v>400</v>
      </c>
      <c r="BP39" s="53">
        <v>750</v>
      </c>
      <c r="BQ39" s="53">
        <v>1500</v>
      </c>
      <c r="BR39" s="53">
        <v>7500</v>
      </c>
      <c r="BS39" s="53">
        <v>15000</v>
      </c>
      <c r="BT39" s="53">
        <v>15000</v>
      </c>
      <c r="BU39" s="53">
        <v>7500</v>
      </c>
      <c r="BV39" s="53">
        <v>75000</v>
      </c>
      <c r="BW39" s="53">
        <v>15000</v>
      </c>
      <c r="BX39" s="53">
        <v>15000</v>
      </c>
      <c r="BY39" s="53">
        <v>35000</v>
      </c>
      <c r="BZ39" s="53">
        <v>15000</v>
      </c>
      <c r="CA39" s="53">
        <v>15000</v>
      </c>
      <c r="CB39" s="53">
        <v>75000</v>
      </c>
      <c r="CC39" s="53">
        <v>7500</v>
      </c>
      <c r="CD39" s="53">
        <v>15000</v>
      </c>
      <c r="CE39" s="53">
        <v>35000</v>
      </c>
      <c r="CF39" s="53">
        <v>15000</v>
      </c>
      <c r="CG39" s="53">
        <v>7500</v>
      </c>
      <c r="CH39" s="53">
        <v>15000</v>
      </c>
      <c r="CI39" s="53">
        <v>7500</v>
      </c>
      <c r="CJ39" s="53">
        <v>7500</v>
      </c>
      <c r="CK39" s="53">
        <v>3500</v>
      </c>
      <c r="CL39" s="53">
        <v>3500</v>
      </c>
      <c r="CM39" s="53">
        <v>1500</v>
      </c>
      <c r="CN39" s="206"/>
      <c r="CO39" s="206"/>
      <c r="CP39" s="206"/>
      <c r="CQ39" s="8">
        <f t="shared" si="8"/>
        <v>356</v>
      </c>
      <c r="CR39" s="8">
        <f t="shared" si="9"/>
        <v>75000</v>
      </c>
      <c r="CS39" s="8">
        <f t="shared" si="10"/>
        <v>11511.2</v>
      </c>
      <c r="CT39">
        <f t="shared" si="11"/>
        <v>5929.5741285295162</v>
      </c>
      <c r="CU39" s="143">
        <f t="shared" si="12"/>
        <v>3056.6</v>
      </c>
      <c r="CV39" s="143">
        <f t="shared" si="13"/>
        <v>4498.833333333333</v>
      </c>
      <c r="CX39" s="7">
        <f t="shared" si="14"/>
        <v>612.5</v>
      </c>
      <c r="CY39" s="7">
        <f t="shared" si="15"/>
        <v>1500</v>
      </c>
      <c r="CZ39" s="7">
        <f t="shared" si="16"/>
        <v>2097</v>
      </c>
      <c r="DA39" s="7">
        <f t="shared" si="17"/>
        <v>3000</v>
      </c>
      <c r="DB39" s="7">
        <f t="shared" si="18"/>
        <v>7500</v>
      </c>
      <c r="DC39" s="7">
        <f t="shared" si="19"/>
        <v>7901.3999999999987</v>
      </c>
      <c r="DD39" s="7">
        <f t="shared" si="20"/>
        <v>9638.6</v>
      </c>
      <c r="DE39" s="7">
        <f t="shared" si="21"/>
        <v>15000</v>
      </c>
      <c r="DF39" s="7">
        <f t="shared" si="22"/>
        <v>15649.999999999998</v>
      </c>
      <c r="DH39" s="7">
        <f t="shared" si="23"/>
        <v>976.75</v>
      </c>
      <c r="DI39" s="7">
        <f t="shared" si="24"/>
        <v>1793.8</v>
      </c>
      <c r="DJ39" s="7">
        <f t="shared" si="25"/>
        <v>1953</v>
      </c>
      <c r="DK39" s="7">
        <f t="shared" si="26"/>
        <v>2619.75</v>
      </c>
      <c r="DL39" s="7">
        <f t="shared" si="27"/>
        <v>6201</v>
      </c>
      <c r="DM39" s="7">
        <f t="shared" si="28"/>
        <v>7433.8</v>
      </c>
      <c r="DN39" s="7">
        <f t="shared" si="29"/>
        <v>8699.8000000000011</v>
      </c>
      <c r="DO39" s="7">
        <f t="shared" si="30"/>
        <v>13373.25</v>
      </c>
      <c r="DP39" s="7">
        <f t="shared" si="31"/>
        <v>19510.849999999999</v>
      </c>
    </row>
    <row r="40" spans="1:120" s="7" customFormat="1" ht="25.5" hidden="1" customHeight="1" x14ac:dyDescent="0.25">
      <c r="A40" s="92" t="str">
        <f t="shared" si="32"/>
        <v>Pkodd-WVI [6]</v>
      </c>
      <c r="B40" s="92" t="str">
        <f t="shared" si="33"/>
        <v>West Vancouver Island</v>
      </c>
      <c r="C40" s="93" t="str">
        <f t="shared" si="1"/>
        <v>SAN JUAN RIVER_Pink</v>
      </c>
      <c r="D40" s="128" t="s">
        <v>598</v>
      </c>
      <c r="E40" s="128" t="s">
        <v>598</v>
      </c>
      <c r="F40" s="64">
        <v>20</v>
      </c>
      <c r="G40" s="72" t="s">
        <v>27</v>
      </c>
      <c r="H40" s="65" t="s">
        <v>95</v>
      </c>
      <c r="I40" s="119"/>
      <c r="J40" s="119"/>
      <c r="K40" s="64">
        <v>3</v>
      </c>
      <c r="L40" s="52">
        <v>11</v>
      </c>
      <c r="M40" s="52">
        <v>7</v>
      </c>
      <c r="N40" s="52">
        <f t="shared" si="2"/>
        <v>10.009965173999948</v>
      </c>
      <c r="O40" s="52">
        <f t="shared" si="3"/>
        <v>1500</v>
      </c>
      <c r="P40" s="52">
        <f t="shared" si="4"/>
        <v>65.164992806393002</v>
      </c>
      <c r="Q40" s="66" t="s">
        <v>268</v>
      </c>
      <c r="R40" s="37"/>
      <c r="S40" s="74" t="s">
        <v>284</v>
      </c>
      <c r="T40" s="81" t="e">
        <f t="shared" si="6"/>
        <v>#DIV/0!</v>
      </c>
      <c r="U40" s="81">
        <f t="shared" si="7"/>
        <v>43.666666666666664</v>
      </c>
      <c r="V40" s="232" t="s">
        <v>262</v>
      </c>
      <c r="W40" s="198" t="s">
        <v>262</v>
      </c>
      <c r="X40" s="230" t="s">
        <v>263</v>
      </c>
      <c r="Y40" s="52" t="s">
        <v>263</v>
      </c>
      <c r="Z40" s="52" t="s">
        <v>263</v>
      </c>
      <c r="AA40" s="52">
        <v>13</v>
      </c>
      <c r="AB40" s="52" t="s">
        <v>263</v>
      </c>
      <c r="AC40" s="52">
        <v>191</v>
      </c>
      <c r="AD40" s="52">
        <v>8</v>
      </c>
      <c r="AE40" s="144">
        <v>4</v>
      </c>
      <c r="AF40" s="144">
        <v>34</v>
      </c>
      <c r="AG40" s="144">
        <v>12</v>
      </c>
      <c r="AH40" s="53">
        <v>1</v>
      </c>
      <c r="AI40" s="53">
        <v>11</v>
      </c>
      <c r="AJ40" s="53" t="s">
        <v>262</v>
      </c>
      <c r="AK40" s="52" t="s">
        <v>262</v>
      </c>
      <c r="AL40" s="89">
        <v>2</v>
      </c>
      <c r="AM40" s="52" t="s">
        <v>262</v>
      </c>
      <c r="AN40" s="54"/>
      <c r="AO40" s="52" t="s">
        <v>262</v>
      </c>
      <c r="AP40" s="53">
        <v>2</v>
      </c>
      <c r="AQ40" s="53">
        <v>21</v>
      </c>
      <c r="AR40" s="52">
        <v>100</v>
      </c>
      <c r="AS40" s="52">
        <v>15</v>
      </c>
      <c r="AT40" s="52">
        <v>100</v>
      </c>
      <c r="AU40" s="52">
        <v>8</v>
      </c>
      <c r="AV40" s="52" t="s">
        <v>262</v>
      </c>
      <c r="AW40" s="53">
        <v>1</v>
      </c>
      <c r="AX40" s="51">
        <v>5</v>
      </c>
      <c r="AY40" s="53" t="s">
        <v>264</v>
      </c>
      <c r="AZ40" s="53">
        <v>6</v>
      </c>
      <c r="BA40" s="53" t="s">
        <v>264</v>
      </c>
      <c r="BB40" s="53">
        <v>300</v>
      </c>
      <c r="BC40" s="53" t="s">
        <v>262</v>
      </c>
      <c r="BD40" s="53">
        <v>80</v>
      </c>
      <c r="BE40" s="53" t="s">
        <v>262</v>
      </c>
      <c r="BF40" s="53">
        <v>100</v>
      </c>
      <c r="BG40" s="53" t="s">
        <v>262</v>
      </c>
      <c r="BH40" s="53">
        <v>200</v>
      </c>
      <c r="BI40" s="53">
        <v>200</v>
      </c>
      <c r="BJ40" s="53">
        <v>200</v>
      </c>
      <c r="BK40" s="53">
        <v>75</v>
      </c>
      <c r="BL40" s="53">
        <v>200</v>
      </c>
      <c r="BM40" s="53">
        <v>25</v>
      </c>
      <c r="BN40" s="53" t="s">
        <v>264</v>
      </c>
      <c r="BO40" s="53" t="s">
        <v>264</v>
      </c>
      <c r="BP40" s="53">
        <v>75</v>
      </c>
      <c r="BQ40" s="53" t="s">
        <v>262</v>
      </c>
      <c r="BR40" s="53">
        <v>75</v>
      </c>
      <c r="BS40" s="53" t="s">
        <v>264</v>
      </c>
      <c r="BT40" s="53" t="s">
        <v>264</v>
      </c>
      <c r="BU40" s="53" t="s">
        <v>264</v>
      </c>
      <c r="BV40" s="53" t="s">
        <v>264</v>
      </c>
      <c r="BW40" s="53" t="s">
        <v>264</v>
      </c>
      <c r="BX40" s="53" t="s">
        <v>264</v>
      </c>
      <c r="BY40" s="53">
        <v>750</v>
      </c>
      <c r="BZ40" s="53" t="s">
        <v>264</v>
      </c>
      <c r="CA40" s="53" t="s">
        <v>264</v>
      </c>
      <c r="CB40" s="53">
        <v>25</v>
      </c>
      <c r="CC40" s="53" t="s">
        <v>264</v>
      </c>
      <c r="CD40" s="53">
        <v>400</v>
      </c>
      <c r="CE40" s="53" t="s">
        <v>262</v>
      </c>
      <c r="CF40" s="53">
        <v>400</v>
      </c>
      <c r="CG40" s="53" t="s">
        <v>262</v>
      </c>
      <c r="CH40" s="53">
        <v>750</v>
      </c>
      <c r="CI40" s="53" t="s">
        <v>262</v>
      </c>
      <c r="CJ40" s="53">
        <v>1500</v>
      </c>
      <c r="CK40" s="53" t="s">
        <v>264</v>
      </c>
      <c r="CL40" s="53">
        <v>1500</v>
      </c>
      <c r="CM40" s="53" t="s">
        <v>264</v>
      </c>
      <c r="CN40" s="206"/>
      <c r="CO40" s="206"/>
      <c r="CP40" s="206"/>
      <c r="CQ40" s="8">
        <f t="shared" si="8"/>
        <v>1</v>
      </c>
      <c r="CR40" s="8">
        <f t="shared" si="9"/>
        <v>1500</v>
      </c>
      <c r="CS40" s="8">
        <f t="shared" si="10"/>
        <v>205.25</v>
      </c>
      <c r="CT40">
        <f t="shared" si="11"/>
        <v>44.510307460177152</v>
      </c>
      <c r="CU40" s="143" t="e">
        <f t="shared" si="12"/>
        <v>#DIV/0!</v>
      </c>
      <c r="CV40" s="143">
        <f t="shared" si="13"/>
        <v>43.666666666666664</v>
      </c>
      <c r="CX40" s="7">
        <f t="shared" si="14"/>
        <v>1.75</v>
      </c>
      <c r="CY40" s="7">
        <f t="shared" si="15"/>
        <v>5.25</v>
      </c>
      <c r="CZ40" s="7">
        <f t="shared" si="16"/>
        <v>8</v>
      </c>
      <c r="DA40" s="7">
        <f t="shared" si="17"/>
        <v>10.25</v>
      </c>
      <c r="DB40" s="7">
        <f t="shared" si="18"/>
        <v>75</v>
      </c>
      <c r="DC40" s="7">
        <f t="shared" si="19"/>
        <v>100</v>
      </c>
      <c r="DD40" s="7">
        <f t="shared" si="20"/>
        <v>100</v>
      </c>
      <c r="DE40" s="7">
        <f t="shared" si="21"/>
        <v>200</v>
      </c>
      <c r="DF40" s="7">
        <f t="shared" si="22"/>
        <v>375</v>
      </c>
      <c r="DH40" s="7">
        <f t="shared" si="23"/>
        <v>1</v>
      </c>
      <c r="DI40" s="7">
        <f t="shared" si="24"/>
        <v>2</v>
      </c>
      <c r="DJ40" s="7">
        <f t="shared" si="25"/>
        <v>2</v>
      </c>
      <c r="DK40" s="7">
        <f t="shared" si="26"/>
        <v>3.5</v>
      </c>
      <c r="DL40" s="7">
        <f t="shared" si="27"/>
        <v>11.5</v>
      </c>
      <c r="DM40" s="7">
        <f t="shared" si="28"/>
        <v>13</v>
      </c>
      <c r="DN40" s="7">
        <f t="shared" si="29"/>
        <v>14.5</v>
      </c>
      <c r="DO40" s="7">
        <f t="shared" si="30"/>
        <v>24.25</v>
      </c>
      <c r="DP40" s="7">
        <f t="shared" si="31"/>
        <v>83.5</v>
      </c>
    </row>
    <row r="41" spans="1:120" s="7" customFormat="1" ht="25.5" hidden="1" customHeight="1" x14ac:dyDescent="0.25">
      <c r="A41" s="92" t="str">
        <f t="shared" si="32"/>
        <v>SK-WVI [R10]</v>
      </c>
      <c r="B41" s="92" t="str">
        <f t="shared" si="33"/>
        <v>West Vancouver Island</v>
      </c>
      <c r="C41" s="93" t="str">
        <f t="shared" si="1"/>
        <v>SAN JUAN RIVER_Sockeye</v>
      </c>
      <c r="D41" s="128" t="s">
        <v>598</v>
      </c>
      <c r="E41" s="128" t="s">
        <v>598</v>
      </c>
      <c r="F41" s="64">
        <v>20</v>
      </c>
      <c r="G41" s="72" t="s">
        <v>27</v>
      </c>
      <c r="H41" s="65" t="s">
        <v>91</v>
      </c>
      <c r="I41" s="119"/>
      <c r="J41" s="119"/>
      <c r="K41" s="64">
        <v>3</v>
      </c>
      <c r="L41" s="52">
        <v>11</v>
      </c>
      <c r="M41" s="52">
        <v>8</v>
      </c>
      <c r="N41" s="52">
        <f t="shared" si="2"/>
        <v>11.883454561470112</v>
      </c>
      <c r="O41" s="52">
        <f t="shared" si="3"/>
        <v>3500</v>
      </c>
      <c r="P41" s="52">
        <f t="shared" si="4"/>
        <v>87.250146902151798</v>
      </c>
      <c r="Q41" s="66" t="s">
        <v>268</v>
      </c>
      <c r="R41" s="37"/>
      <c r="S41" s="74" t="s">
        <v>284</v>
      </c>
      <c r="T41" s="81">
        <f t="shared" si="6"/>
        <v>9</v>
      </c>
      <c r="U41" s="81">
        <f t="shared" si="7"/>
        <v>151.66666666666666</v>
      </c>
      <c r="V41" s="233">
        <v>9</v>
      </c>
      <c r="W41" s="198" t="s">
        <v>263</v>
      </c>
      <c r="X41" s="230" t="s">
        <v>262</v>
      </c>
      <c r="Y41" s="52" t="s">
        <v>263</v>
      </c>
      <c r="Z41" s="52">
        <v>13</v>
      </c>
      <c r="AA41" s="52">
        <v>43</v>
      </c>
      <c r="AB41" s="52">
        <v>6</v>
      </c>
      <c r="AC41" s="52">
        <v>1267</v>
      </c>
      <c r="AD41" s="52">
        <v>21</v>
      </c>
      <c r="AE41" s="144">
        <v>3</v>
      </c>
      <c r="AF41" s="144">
        <v>2</v>
      </c>
      <c r="AG41" s="144">
        <v>1</v>
      </c>
      <c r="AH41" s="53">
        <v>17</v>
      </c>
      <c r="AI41" s="53">
        <v>7</v>
      </c>
      <c r="AJ41" s="53" t="s">
        <v>262</v>
      </c>
      <c r="AK41" s="52">
        <v>4</v>
      </c>
      <c r="AL41" s="89">
        <v>5</v>
      </c>
      <c r="AM41" s="52">
        <v>5</v>
      </c>
      <c r="AN41" s="54"/>
      <c r="AO41" s="53">
        <v>4</v>
      </c>
      <c r="AP41" s="53">
        <v>6</v>
      </c>
      <c r="AQ41" s="53" t="s">
        <v>262</v>
      </c>
      <c r="AR41" s="52">
        <v>100</v>
      </c>
      <c r="AS41" s="52">
        <v>15</v>
      </c>
      <c r="AT41" s="52">
        <v>300</v>
      </c>
      <c r="AU41" s="52">
        <v>26</v>
      </c>
      <c r="AV41" s="52">
        <v>2</v>
      </c>
      <c r="AW41" s="53" t="s">
        <v>262</v>
      </c>
      <c r="AX41" s="51">
        <v>37</v>
      </c>
      <c r="AY41" s="53" t="s">
        <v>264</v>
      </c>
      <c r="AZ41" s="53">
        <v>100</v>
      </c>
      <c r="BA41" s="53" t="s">
        <v>264</v>
      </c>
      <c r="BB41" s="53">
        <v>100</v>
      </c>
      <c r="BC41" s="53">
        <v>150</v>
      </c>
      <c r="BD41" s="53">
        <v>250</v>
      </c>
      <c r="BE41" s="53" t="s">
        <v>262</v>
      </c>
      <c r="BF41" s="53">
        <v>100</v>
      </c>
      <c r="BG41" s="53" t="s">
        <v>262</v>
      </c>
      <c r="BH41" s="53" t="s">
        <v>264</v>
      </c>
      <c r="BI41" s="53">
        <v>400</v>
      </c>
      <c r="BJ41" s="53">
        <v>400</v>
      </c>
      <c r="BK41" s="53" t="s">
        <v>262</v>
      </c>
      <c r="BL41" s="53" t="s">
        <v>264</v>
      </c>
      <c r="BM41" s="53" t="s">
        <v>264</v>
      </c>
      <c r="BN41" s="53">
        <v>200</v>
      </c>
      <c r="BO41" s="53">
        <v>200</v>
      </c>
      <c r="BP41" s="53">
        <v>75</v>
      </c>
      <c r="BQ41" s="53">
        <v>75</v>
      </c>
      <c r="BR41" s="53">
        <v>75</v>
      </c>
      <c r="BS41" s="53" t="s">
        <v>262</v>
      </c>
      <c r="BT41" s="53">
        <v>1500</v>
      </c>
      <c r="BU41" s="53">
        <v>25</v>
      </c>
      <c r="BV41" s="53">
        <v>3500</v>
      </c>
      <c r="BW41" s="53">
        <v>200</v>
      </c>
      <c r="BX41" s="53">
        <v>1500</v>
      </c>
      <c r="BY41" s="53">
        <v>1500</v>
      </c>
      <c r="BZ41" s="53">
        <v>1500</v>
      </c>
      <c r="CA41" s="53">
        <v>1500</v>
      </c>
      <c r="CB41" s="53">
        <v>25</v>
      </c>
      <c r="CC41" s="53">
        <v>25</v>
      </c>
      <c r="CD41" s="53">
        <v>75</v>
      </c>
      <c r="CE41" s="53">
        <v>75</v>
      </c>
      <c r="CF41" s="53">
        <v>75</v>
      </c>
      <c r="CG41" s="53" t="s">
        <v>264</v>
      </c>
      <c r="CH41" s="53" t="s">
        <v>264</v>
      </c>
      <c r="CI41" s="53" t="s">
        <v>264</v>
      </c>
      <c r="CJ41" s="53" t="s">
        <v>264</v>
      </c>
      <c r="CK41" s="53" t="s">
        <v>264</v>
      </c>
      <c r="CL41" s="53" t="s">
        <v>264</v>
      </c>
      <c r="CM41" s="53" t="s">
        <v>264</v>
      </c>
      <c r="CN41" s="206"/>
      <c r="CO41" s="206"/>
      <c r="CP41" s="206"/>
      <c r="CQ41" s="8">
        <f t="shared" si="8"/>
        <v>1</v>
      </c>
      <c r="CR41" s="8">
        <f t="shared" si="9"/>
        <v>3500</v>
      </c>
      <c r="CS41" s="8">
        <f t="shared" si="10"/>
        <v>330.17021276595744</v>
      </c>
      <c r="CT41">
        <f t="shared" si="11"/>
        <v>54.541256956467265</v>
      </c>
      <c r="CU41" s="143">
        <f t="shared" si="12"/>
        <v>11</v>
      </c>
      <c r="CV41" s="143">
        <f t="shared" si="13"/>
        <v>151.66666666666666</v>
      </c>
      <c r="CX41" s="7">
        <f t="shared" si="14"/>
        <v>2.3000000000000003</v>
      </c>
      <c r="CY41" s="7">
        <f t="shared" si="15"/>
        <v>5</v>
      </c>
      <c r="CZ41" s="7">
        <f t="shared" si="16"/>
        <v>6.2000000000000011</v>
      </c>
      <c r="DA41" s="7">
        <f t="shared" si="17"/>
        <v>11</v>
      </c>
      <c r="DB41" s="7">
        <f t="shared" si="18"/>
        <v>75</v>
      </c>
      <c r="DC41" s="7">
        <f t="shared" si="19"/>
        <v>89.999999999999943</v>
      </c>
      <c r="DD41" s="7">
        <f t="shared" si="20"/>
        <v>100</v>
      </c>
      <c r="DE41" s="7">
        <f t="shared" si="21"/>
        <v>200</v>
      </c>
      <c r="DF41" s="7">
        <f t="shared" si="22"/>
        <v>486.70000000000124</v>
      </c>
      <c r="DH41" s="7">
        <f t="shared" si="23"/>
        <v>2</v>
      </c>
      <c r="DI41" s="7">
        <f t="shared" si="24"/>
        <v>3</v>
      </c>
      <c r="DJ41" s="7">
        <f t="shared" si="25"/>
        <v>4</v>
      </c>
      <c r="DK41" s="7">
        <f t="shared" si="26"/>
        <v>4</v>
      </c>
      <c r="DL41" s="7">
        <f t="shared" si="27"/>
        <v>7</v>
      </c>
      <c r="DM41" s="7">
        <f t="shared" si="28"/>
        <v>13</v>
      </c>
      <c r="DN41" s="7">
        <f t="shared" si="29"/>
        <v>15</v>
      </c>
      <c r="DO41" s="7">
        <f t="shared" si="30"/>
        <v>21</v>
      </c>
      <c r="DP41" s="7">
        <f t="shared" si="31"/>
        <v>43</v>
      </c>
    </row>
    <row r="42" spans="1:120" s="7" customFormat="1" ht="25.5" customHeight="1" x14ac:dyDescent="0.25">
      <c r="A42" s="92" t="str">
        <f t="shared" si="32"/>
        <v>CK-SWVI [31]</v>
      </c>
      <c r="B42" s="92" t="str">
        <f t="shared" si="33"/>
        <v>Southwest Vancouver Island</v>
      </c>
      <c r="C42" s="93" t="str">
        <f t="shared" si="1"/>
        <v>CARMANAH CREEK_Chinook</v>
      </c>
      <c r="D42" s="128" t="s">
        <v>598</v>
      </c>
      <c r="E42" s="128" t="s">
        <v>598</v>
      </c>
      <c r="F42" s="64">
        <v>21</v>
      </c>
      <c r="G42" s="72" t="s">
        <v>90</v>
      </c>
      <c r="H42" s="65" t="s">
        <v>97</v>
      </c>
      <c r="I42" s="119"/>
      <c r="J42" s="119"/>
      <c r="K42" s="64">
        <v>5</v>
      </c>
      <c r="L42" s="52">
        <v>0</v>
      </c>
      <c r="M42" s="52">
        <v>0</v>
      </c>
      <c r="N42" s="52" t="e">
        <f t="shared" si="2"/>
        <v>#NUM!</v>
      </c>
      <c r="O42" s="52">
        <f t="shared" si="3"/>
        <v>0</v>
      </c>
      <c r="P42" s="52" t="e">
        <f t="shared" si="4"/>
        <v>#NUM!</v>
      </c>
      <c r="Q42" s="66"/>
      <c r="R42" s="37"/>
      <c r="S42" s="74" t="s">
        <v>293</v>
      </c>
      <c r="T42" s="81" t="e">
        <f t="shared" si="6"/>
        <v>#DIV/0!</v>
      </c>
      <c r="U42" s="81" t="e">
        <f t="shared" si="7"/>
        <v>#DIV/0!</v>
      </c>
      <c r="V42" s="52" t="s">
        <v>102</v>
      </c>
      <c r="W42" s="198" t="s">
        <v>102</v>
      </c>
      <c r="X42" s="198" t="s">
        <v>102</v>
      </c>
      <c r="Y42" s="198" t="s">
        <v>102</v>
      </c>
      <c r="Z42" s="52" t="s">
        <v>102</v>
      </c>
      <c r="AA42" s="52" t="s">
        <v>102</v>
      </c>
      <c r="AB42" s="52" t="s">
        <v>102</v>
      </c>
      <c r="AC42" s="52" t="s">
        <v>102</v>
      </c>
      <c r="AD42" s="52" t="s">
        <v>102</v>
      </c>
      <c r="AE42" s="52" t="s">
        <v>102</v>
      </c>
      <c r="AF42" s="52" t="s">
        <v>102</v>
      </c>
      <c r="AG42" s="52" t="s">
        <v>102</v>
      </c>
      <c r="AH42" s="52" t="s">
        <v>102</v>
      </c>
      <c r="AI42" s="52" t="s">
        <v>102</v>
      </c>
      <c r="AJ42" s="52" t="s">
        <v>102</v>
      </c>
      <c r="AK42" s="52" t="s">
        <v>102</v>
      </c>
      <c r="AL42" s="52" t="s">
        <v>102</v>
      </c>
      <c r="AM42" s="52" t="s">
        <v>102</v>
      </c>
      <c r="AN42" s="52" t="s">
        <v>102</v>
      </c>
      <c r="AO42" s="53" t="s">
        <v>102</v>
      </c>
      <c r="AP42" s="53" t="s">
        <v>102</v>
      </c>
      <c r="AQ42" s="53" t="s">
        <v>102</v>
      </c>
      <c r="AR42" s="53" t="s">
        <v>102</v>
      </c>
      <c r="AS42" s="52" t="s">
        <v>102</v>
      </c>
      <c r="AT42" s="52" t="s">
        <v>102</v>
      </c>
      <c r="AU42" s="52" t="s">
        <v>102</v>
      </c>
      <c r="AV42" s="52" t="s">
        <v>102</v>
      </c>
      <c r="AW42" s="52" t="s">
        <v>102</v>
      </c>
      <c r="AX42" s="51" t="s">
        <v>102</v>
      </c>
      <c r="AY42" s="53" t="s">
        <v>262</v>
      </c>
      <c r="AZ42" s="53" t="s">
        <v>102</v>
      </c>
      <c r="BA42" s="53" t="s">
        <v>102</v>
      </c>
      <c r="BB42" s="53" t="s">
        <v>264</v>
      </c>
      <c r="BC42" s="53" t="s">
        <v>264</v>
      </c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206"/>
      <c r="CO42" s="206"/>
      <c r="CP42" s="206"/>
      <c r="CQ42" s="8">
        <f t="shared" si="8"/>
        <v>0</v>
      </c>
      <c r="CR42" s="8">
        <f t="shared" si="9"/>
        <v>0</v>
      </c>
      <c r="CS42" s="8" t="e">
        <f t="shared" si="10"/>
        <v>#DIV/0!</v>
      </c>
      <c r="CT42" t="e">
        <f t="shared" si="11"/>
        <v>#NUM!</v>
      </c>
      <c r="CU42" s="143" t="e">
        <f t="shared" si="12"/>
        <v>#DIV/0!</v>
      </c>
      <c r="CV42" s="143" t="e">
        <f t="shared" si="13"/>
        <v>#DIV/0!</v>
      </c>
      <c r="CX42" s="7" t="e">
        <f t="shared" si="14"/>
        <v>#NUM!</v>
      </c>
      <c r="CY42" s="7" t="e">
        <f t="shared" si="15"/>
        <v>#NUM!</v>
      </c>
      <c r="CZ42" s="7" t="e">
        <f t="shared" si="16"/>
        <v>#NUM!</v>
      </c>
      <c r="DA42" s="7" t="e">
        <f t="shared" si="17"/>
        <v>#NUM!</v>
      </c>
      <c r="DB42" s="7" t="e">
        <f t="shared" si="18"/>
        <v>#NUM!</v>
      </c>
      <c r="DC42" s="7" t="e">
        <f t="shared" si="19"/>
        <v>#NUM!</v>
      </c>
      <c r="DD42" s="7" t="e">
        <f t="shared" si="20"/>
        <v>#NUM!</v>
      </c>
      <c r="DE42" s="7" t="e">
        <f t="shared" si="21"/>
        <v>#NUM!</v>
      </c>
      <c r="DF42" s="7" t="e">
        <f t="shared" si="22"/>
        <v>#NUM!</v>
      </c>
      <c r="DH42" s="7" t="e">
        <f t="shared" si="23"/>
        <v>#NUM!</v>
      </c>
      <c r="DI42" s="7" t="e">
        <f t="shared" si="24"/>
        <v>#NUM!</v>
      </c>
      <c r="DJ42" s="7" t="e">
        <f t="shared" si="25"/>
        <v>#NUM!</v>
      </c>
      <c r="DK42" s="7" t="e">
        <f t="shared" si="26"/>
        <v>#NUM!</v>
      </c>
      <c r="DL42" s="7" t="e">
        <f t="shared" si="27"/>
        <v>#NUM!</v>
      </c>
      <c r="DM42" s="7" t="e">
        <f t="shared" si="28"/>
        <v>#NUM!</v>
      </c>
      <c r="DN42" s="7" t="e">
        <f t="shared" si="29"/>
        <v>#NUM!</v>
      </c>
      <c r="DO42" s="7" t="e">
        <f t="shared" si="30"/>
        <v>#NUM!</v>
      </c>
      <c r="DP42" s="7" t="e">
        <f t="shared" si="31"/>
        <v>#NUM!</v>
      </c>
    </row>
    <row r="43" spans="1:120" s="7" customFormat="1" ht="25.5" hidden="1" customHeight="1" x14ac:dyDescent="0.25">
      <c r="A43" s="92" t="str">
        <f t="shared" si="32"/>
        <v>CM-SWVI [10]</v>
      </c>
      <c r="B43" s="92" t="str">
        <f t="shared" si="33"/>
        <v>Southwest Vancouver Island</v>
      </c>
      <c r="C43" s="93" t="str">
        <f t="shared" si="1"/>
        <v>CARMANAH CREEK_Chum</v>
      </c>
      <c r="D43" s="128" t="s">
        <v>598</v>
      </c>
      <c r="E43" s="128" t="s">
        <v>598</v>
      </c>
      <c r="F43" s="64">
        <v>21</v>
      </c>
      <c r="G43" s="72" t="s">
        <v>90</v>
      </c>
      <c r="H43" s="65" t="s">
        <v>96</v>
      </c>
      <c r="I43" s="119"/>
      <c r="J43" s="119"/>
      <c r="K43" s="64">
        <v>5</v>
      </c>
      <c r="L43" s="52">
        <v>0</v>
      </c>
      <c r="M43" s="52">
        <v>0</v>
      </c>
      <c r="N43" s="52" t="e">
        <f t="shared" si="2"/>
        <v>#NUM!</v>
      </c>
      <c r="O43" s="52">
        <f t="shared" si="3"/>
        <v>0</v>
      </c>
      <c r="P43" s="52" t="e">
        <f t="shared" si="4"/>
        <v>#NUM!</v>
      </c>
      <c r="Q43" s="66"/>
      <c r="R43" s="37"/>
      <c r="S43" s="74" t="s">
        <v>293</v>
      </c>
      <c r="T43" s="81" t="e">
        <f t="shared" si="6"/>
        <v>#DIV/0!</v>
      </c>
      <c r="U43" s="81" t="e">
        <f t="shared" si="7"/>
        <v>#DIV/0!</v>
      </c>
      <c r="V43" s="52" t="s">
        <v>102</v>
      </c>
      <c r="W43" s="198" t="s">
        <v>102</v>
      </c>
      <c r="X43" s="52"/>
      <c r="Y43" s="198" t="s">
        <v>102</v>
      </c>
      <c r="Z43" s="52" t="s">
        <v>102</v>
      </c>
      <c r="AA43" s="52" t="s">
        <v>102</v>
      </c>
      <c r="AB43" s="52" t="s">
        <v>102</v>
      </c>
      <c r="AC43" s="52" t="s">
        <v>102</v>
      </c>
      <c r="AD43" s="52" t="s">
        <v>102</v>
      </c>
      <c r="AE43" s="52" t="s">
        <v>102</v>
      </c>
      <c r="AF43" s="52" t="s">
        <v>102</v>
      </c>
      <c r="AG43" s="52" t="s">
        <v>102</v>
      </c>
      <c r="AH43" s="52" t="s">
        <v>102</v>
      </c>
      <c r="AI43" s="52" t="s">
        <v>102</v>
      </c>
      <c r="AJ43" s="52" t="s">
        <v>102</v>
      </c>
      <c r="AK43" s="52" t="s">
        <v>102</v>
      </c>
      <c r="AL43" s="52" t="s">
        <v>102</v>
      </c>
      <c r="AM43" s="52" t="s">
        <v>102</v>
      </c>
      <c r="AN43" s="52" t="s">
        <v>102</v>
      </c>
      <c r="AO43" s="53" t="s">
        <v>102</v>
      </c>
      <c r="AP43" s="53" t="s">
        <v>102</v>
      </c>
      <c r="AQ43" s="53" t="s">
        <v>102</v>
      </c>
      <c r="AR43" s="53" t="s">
        <v>102</v>
      </c>
      <c r="AS43" s="52" t="s">
        <v>102</v>
      </c>
      <c r="AT43" s="52" t="s">
        <v>102</v>
      </c>
      <c r="AU43" s="52" t="s">
        <v>102</v>
      </c>
      <c r="AV43" s="52" t="s">
        <v>102</v>
      </c>
      <c r="AW43" s="52" t="s">
        <v>102</v>
      </c>
      <c r="AX43" s="51" t="s">
        <v>102</v>
      </c>
      <c r="AY43" s="53" t="s">
        <v>262</v>
      </c>
      <c r="AZ43" s="53" t="s">
        <v>102</v>
      </c>
      <c r="BA43" s="53" t="s">
        <v>102</v>
      </c>
      <c r="BB43" s="53" t="s">
        <v>264</v>
      </c>
      <c r="BC43" s="53" t="s">
        <v>262</v>
      </c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206"/>
      <c r="CO43" s="206"/>
      <c r="CP43" s="206"/>
      <c r="CQ43" s="8">
        <f t="shared" si="8"/>
        <v>0</v>
      </c>
      <c r="CR43" s="8">
        <f t="shared" si="9"/>
        <v>0</v>
      </c>
      <c r="CS43" s="8" t="e">
        <f t="shared" si="10"/>
        <v>#DIV/0!</v>
      </c>
      <c r="CT43" t="e">
        <f t="shared" si="11"/>
        <v>#NUM!</v>
      </c>
      <c r="CU43" s="143" t="e">
        <f t="shared" si="12"/>
        <v>#DIV/0!</v>
      </c>
      <c r="CV43" s="143" t="e">
        <f t="shared" si="13"/>
        <v>#DIV/0!</v>
      </c>
      <c r="CX43" s="7" t="e">
        <f t="shared" si="14"/>
        <v>#NUM!</v>
      </c>
      <c r="CY43" s="7" t="e">
        <f t="shared" si="15"/>
        <v>#NUM!</v>
      </c>
      <c r="CZ43" s="7" t="e">
        <f t="shared" si="16"/>
        <v>#NUM!</v>
      </c>
      <c r="DA43" s="7" t="e">
        <f t="shared" si="17"/>
        <v>#NUM!</v>
      </c>
      <c r="DB43" s="7" t="e">
        <f t="shared" si="18"/>
        <v>#NUM!</v>
      </c>
      <c r="DC43" s="7" t="e">
        <f t="shared" si="19"/>
        <v>#NUM!</v>
      </c>
      <c r="DD43" s="7" t="e">
        <f t="shared" si="20"/>
        <v>#NUM!</v>
      </c>
      <c r="DE43" s="7" t="e">
        <f t="shared" si="21"/>
        <v>#NUM!</v>
      </c>
      <c r="DF43" s="7" t="e">
        <f t="shared" si="22"/>
        <v>#NUM!</v>
      </c>
      <c r="DH43" s="7" t="e">
        <f t="shared" si="23"/>
        <v>#NUM!</v>
      </c>
      <c r="DI43" s="7" t="e">
        <f t="shared" si="24"/>
        <v>#NUM!</v>
      </c>
      <c r="DJ43" s="7" t="e">
        <f t="shared" si="25"/>
        <v>#NUM!</v>
      </c>
      <c r="DK43" s="7" t="e">
        <f t="shared" si="26"/>
        <v>#NUM!</v>
      </c>
      <c r="DL43" s="7" t="e">
        <f t="shared" si="27"/>
        <v>#NUM!</v>
      </c>
      <c r="DM43" s="7" t="e">
        <f t="shared" si="28"/>
        <v>#NUM!</v>
      </c>
      <c r="DN43" s="7" t="e">
        <f t="shared" si="29"/>
        <v>#NUM!</v>
      </c>
      <c r="DO43" s="7" t="e">
        <f t="shared" si="30"/>
        <v>#NUM!</v>
      </c>
      <c r="DP43" s="7" t="e">
        <f t="shared" si="31"/>
        <v>#NUM!</v>
      </c>
    </row>
    <row r="44" spans="1:120" s="7" customFormat="1" ht="25.5" hidden="1" customHeight="1" x14ac:dyDescent="0.25">
      <c r="A44" s="92" t="str">
        <f t="shared" si="32"/>
        <v>CO-JdF [16]</v>
      </c>
      <c r="B44" s="92" t="str">
        <f t="shared" si="33"/>
        <v>Juan de Fuca-Pachena</v>
      </c>
      <c r="C44" s="93" t="str">
        <f t="shared" si="1"/>
        <v>CARMANAH CREEK_Coho</v>
      </c>
      <c r="D44" s="128" t="s">
        <v>598</v>
      </c>
      <c r="E44" s="128" t="s">
        <v>598</v>
      </c>
      <c r="F44" s="64">
        <v>21</v>
      </c>
      <c r="G44" s="72" t="s">
        <v>90</v>
      </c>
      <c r="H44" s="65" t="s">
        <v>93</v>
      </c>
      <c r="I44" s="119"/>
      <c r="J44" s="119"/>
      <c r="K44" s="64">
        <v>5</v>
      </c>
      <c r="L44" s="52">
        <v>0</v>
      </c>
      <c r="M44" s="52">
        <v>0</v>
      </c>
      <c r="N44" s="52" t="e">
        <f t="shared" si="2"/>
        <v>#NUM!</v>
      </c>
      <c r="O44" s="52">
        <f t="shared" si="3"/>
        <v>0</v>
      </c>
      <c r="P44" s="52" t="e">
        <f t="shared" si="4"/>
        <v>#NUM!</v>
      </c>
      <c r="Q44" s="66"/>
      <c r="R44" s="37"/>
      <c r="S44" s="74" t="s">
        <v>293</v>
      </c>
      <c r="T44" s="81" t="e">
        <f t="shared" si="6"/>
        <v>#DIV/0!</v>
      </c>
      <c r="U44" s="81" t="e">
        <f t="shared" si="7"/>
        <v>#DIV/0!</v>
      </c>
      <c r="V44" s="52" t="s">
        <v>102</v>
      </c>
      <c r="W44" s="198" t="s">
        <v>102</v>
      </c>
      <c r="X44" s="52"/>
      <c r="Y44" s="198" t="s">
        <v>102</v>
      </c>
      <c r="Z44" s="52" t="s">
        <v>102</v>
      </c>
      <c r="AA44" s="52" t="s">
        <v>102</v>
      </c>
      <c r="AB44" s="52" t="s">
        <v>102</v>
      </c>
      <c r="AC44" s="52" t="s">
        <v>102</v>
      </c>
      <c r="AD44" s="52" t="s">
        <v>102</v>
      </c>
      <c r="AE44" s="52" t="s">
        <v>102</v>
      </c>
      <c r="AF44" s="52" t="s">
        <v>102</v>
      </c>
      <c r="AG44" s="52" t="s">
        <v>102</v>
      </c>
      <c r="AH44" s="52" t="s">
        <v>102</v>
      </c>
      <c r="AI44" s="52" t="s">
        <v>102</v>
      </c>
      <c r="AJ44" s="52" t="s">
        <v>102</v>
      </c>
      <c r="AK44" s="52" t="s">
        <v>102</v>
      </c>
      <c r="AL44" s="52" t="s">
        <v>102</v>
      </c>
      <c r="AM44" s="52" t="s">
        <v>102</v>
      </c>
      <c r="AN44" s="52" t="s">
        <v>102</v>
      </c>
      <c r="AO44" s="52" t="s">
        <v>102</v>
      </c>
      <c r="AP44" s="53" t="s">
        <v>102</v>
      </c>
      <c r="AQ44" s="53" t="s">
        <v>102</v>
      </c>
      <c r="AR44" s="53" t="s">
        <v>102</v>
      </c>
      <c r="AS44" s="52" t="s">
        <v>102</v>
      </c>
      <c r="AT44" s="52" t="s">
        <v>102</v>
      </c>
      <c r="AU44" s="52" t="s">
        <v>102</v>
      </c>
      <c r="AV44" s="52" t="s">
        <v>102</v>
      </c>
      <c r="AW44" s="52" t="s">
        <v>102</v>
      </c>
      <c r="AX44" s="51" t="s">
        <v>102</v>
      </c>
      <c r="AY44" s="53" t="s">
        <v>262</v>
      </c>
      <c r="AZ44" s="53" t="s">
        <v>102</v>
      </c>
      <c r="BA44" s="53" t="s">
        <v>102</v>
      </c>
      <c r="BB44" s="53" t="s">
        <v>264</v>
      </c>
      <c r="BC44" s="53" t="s">
        <v>262</v>
      </c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206"/>
      <c r="CO44" s="206"/>
      <c r="CP44" s="206"/>
      <c r="CQ44" s="8">
        <f t="shared" si="8"/>
        <v>0</v>
      </c>
      <c r="CR44" s="8">
        <f t="shared" si="9"/>
        <v>0</v>
      </c>
      <c r="CS44" s="8" t="e">
        <f t="shared" si="10"/>
        <v>#DIV/0!</v>
      </c>
      <c r="CT44" t="e">
        <f t="shared" si="11"/>
        <v>#NUM!</v>
      </c>
      <c r="CU44" s="143" t="e">
        <f t="shared" si="12"/>
        <v>#DIV/0!</v>
      </c>
      <c r="CV44" s="143" t="e">
        <f t="shared" si="13"/>
        <v>#DIV/0!</v>
      </c>
      <c r="CX44" s="7" t="e">
        <f t="shared" si="14"/>
        <v>#NUM!</v>
      </c>
      <c r="CY44" s="7" t="e">
        <f t="shared" si="15"/>
        <v>#NUM!</v>
      </c>
      <c r="CZ44" s="7" t="e">
        <f t="shared" si="16"/>
        <v>#NUM!</v>
      </c>
      <c r="DA44" s="7" t="e">
        <f t="shared" si="17"/>
        <v>#NUM!</v>
      </c>
      <c r="DB44" s="7" t="e">
        <f t="shared" si="18"/>
        <v>#NUM!</v>
      </c>
      <c r="DC44" s="7" t="e">
        <f t="shared" si="19"/>
        <v>#NUM!</v>
      </c>
      <c r="DD44" s="7" t="e">
        <f t="shared" si="20"/>
        <v>#NUM!</v>
      </c>
      <c r="DE44" s="7" t="e">
        <f t="shared" si="21"/>
        <v>#NUM!</v>
      </c>
      <c r="DF44" s="7" t="e">
        <f t="shared" si="22"/>
        <v>#NUM!</v>
      </c>
      <c r="DH44" s="7" t="e">
        <f t="shared" si="23"/>
        <v>#NUM!</v>
      </c>
      <c r="DI44" s="7" t="e">
        <f t="shared" si="24"/>
        <v>#NUM!</v>
      </c>
      <c r="DJ44" s="7" t="e">
        <f t="shared" si="25"/>
        <v>#NUM!</v>
      </c>
      <c r="DK44" s="7" t="e">
        <f t="shared" si="26"/>
        <v>#NUM!</v>
      </c>
      <c r="DL44" s="7" t="e">
        <f t="shared" si="27"/>
        <v>#NUM!</v>
      </c>
      <c r="DM44" s="7" t="e">
        <f t="shared" si="28"/>
        <v>#NUM!</v>
      </c>
      <c r="DN44" s="7" t="e">
        <f t="shared" si="29"/>
        <v>#NUM!</v>
      </c>
      <c r="DO44" s="7" t="e">
        <f t="shared" si="30"/>
        <v>#NUM!</v>
      </c>
      <c r="DP44" s="7" t="e">
        <f t="shared" si="31"/>
        <v>#NUM!</v>
      </c>
    </row>
    <row r="45" spans="1:120" s="7" customFormat="1" ht="25.5" hidden="1" customHeight="1" x14ac:dyDescent="0.25">
      <c r="A45" s="92" t="str">
        <f t="shared" si="32"/>
        <v>CM-SWVI [10]</v>
      </c>
      <c r="B45" s="92" t="str">
        <f t="shared" si="33"/>
        <v>Southwest Vancouver Island</v>
      </c>
      <c r="C45" s="93" t="str">
        <f t="shared" si="1"/>
        <v>CHEEWHAT RIVER_Chum</v>
      </c>
      <c r="D45" s="128" t="s">
        <v>598</v>
      </c>
      <c r="E45" s="128" t="s">
        <v>598</v>
      </c>
      <c r="F45" s="64">
        <v>21</v>
      </c>
      <c r="G45" s="72" t="s">
        <v>98</v>
      </c>
      <c r="H45" s="65" t="s">
        <v>96</v>
      </c>
      <c r="I45" s="119"/>
      <c r="J45" s="119"/>
      <c r="K45" s="64">
        <v>3</v>
      </c>
      <c r="L45" s="52">
        <v>1</v>
      </c>
      <c r="M45" s="52">
        <v>0</v>
      </c>
      <c r="N45" s="52" t="e">
        <f t="shared" si="2"/>
        <v>#NUM!</v>
      </c>
      <c r="O45" s="52">
        <f t="shared" si="3"/>
        <v>400</v>
      </c>
      <c r="P45" s="52">
        <f t="shared" si="4"/>
        <v>70.106193835807986</v>
      </c>
      <c r="Q45" s="66"/>
      <c r="R45" s="37"/>
      <c r="S45" s="74" t="s">
        <v>294</v>
      </c>
      <c r="T45" s="81" t="e">
        <f t="shared" si="6"/>
        <v>#DIV/0!</v>
      </c>
      <c r="U45" s="81" t="e">
        <f t="shared" si="7"/>
        <v>#DIV/0!</v>
      </c>
      <c r="V45" s="233"/>
      <c r="W45" s="198" t="s">
        <v>102</v>
      </c>
      <c r="X45" s="52"/>
      <c r="Y45" s="52"/>
      <c r="Z45" s="52" t="s">
        <v>263</v>
      </c>
      <c r="AA45" s="52" t="s">
        <v>102</v>
      </c>
      <c r="AB45" s="52" t="s">
        <v>102</v>
      </c>
      <c r="AC45" s="52" t="s">
        <v>262</v>
      </c>
      <c r="AD45" s="52" t="s">
        <v>102</v>
      </c>
      <c r="AE45" s="144" t="s">
        <v>262</v>
      </c>
      <c r="AF45" s="52" t="s">
        <v>102</v>
      </c>
      <c r="AG45" s="52" t="s">
        <v>102</v>
      </c>
      <c r="AH45" s="52" t="s">
        <v>102</v>
      </c>
      <c r="AI45" s="52" t="s">
        <v>102</v>
      </c>
      <c r="AJ45" s="52" t="s">
        <v>102</v>
      </c>
      <c r="AK45" s="52" t="s">
        <v>102</v>
      </c>
      <c r="AL45" s="52" t="s">
        <v>102</v>
      </c>
      <c r="AM45" s="52" t="s">
        <v>102</v>
      </c>
      <c r="AN45" s="52" t="s">
        <v>102</v>
      </c>
      <c r="AO45" s="52" t="s">
        <v>102</v>
      </c>
      <c r="AP45" s="53" t="s">
        <v>102</v>
      </c>
      <c r="AQ45" s="53" t="s">
        <v>102</v>
      </c>
      <c r="AR45" s="53" t="s">
        <v>262</v>
      </c>
      <c r="AS45" s="52" t="s">
        <v>102</v>
      </c>
      <c r="AT45" s="54"/>
      <c r="AU45" s="54"/>
      <c r="AV45" s="54"/>
      <c r="AW45" s="54"/>
      <c r="AX45" s="51" t="s">
        <v>102</v>
      </c>
      <c r="AY45" s="53" t="s">
        <v>102</v>
      </c>
      <c r="AZ45" s="53" t="s">
        <v>264</v>
      </c>
      <c r="BA45" s="53" t="s">
        <v>264</v>
      </c>
      <c r="BB45" s="53" t="s">
        <v>264</v>
      </c>
      <c r="BC45" s="53" t="s">
        <v>264</v>
      </c>
      <c r="BD45" s="53" t="s">
        <v>264</v>
      </c>
      <c r="BE45" s="53" t="s">
        <v>102</v>
      </c>
      <c r="BF45" s="53" t="s">
        <v>264</v>
      </c>
      <c r="BG45" s="53" t="s">
        <v>102</v>
      </c>
      <c r="BH45" s="53" t="s">
        <v>264</v>
      </c>
      <c r="BI45" s="53" t="s">
        <v>102</v>
      </c>
      <c r="BJ45" s="53" t="s">
        <v>264</v>
      </c>
      <c r="BK45" s="53" t="s">
        <v>102</v>
      </c>
      <c r="BL45" s="53" t="s">
        <v>102</v>
      </c>
      <c r="BM45" s="53" t="s">
        <v>262</v>
      </c>
      <c r="BN45" s="53" t="s">
        <v>264</v>
      </c>
      <c r="BO45" s="53">
        <v>50</v>
      </c>
      <c r="BP45" s="53">
        <v>75</v>
      </c>
      <c r="BQ45" s="53" t="s">
        <v>262</v>
      </c>
      <c r="BR45" s="53" t="s">
        <v>262</v>
      </c>
      <c r="BS45" s="53">
        <v>25</v>
      </c>
      <c r="BT45" s="53">
        <v>75</v>
      </c>
      <c r="BU45" s="53" t="s">
        <v>262</v>
      </c>
      <c r="BV45" s="53">
        <v>25</v>
      </c>
      <c r="BW45" s="53">
        <v>25</v>
      </c>
      <c r="BX45" s="53">
        <v>200</v>
      </c>
      <c r="BY45" s="53">
        <v>400</v>
      </c>
      <c r="BZ45" s="53">
        <v>75</v>
      </c>
      <c r="CA45" s="53">
        <v>75</v>
      </c>
      <c r="CB45" s="53">
        <v>200</v>
      </c>
      <c r="CC45" s="53">
        <v>25</v>
      </c>
      <c r="CD45" s="53">
        <v>25</v>
      </c>
      <c r="CE45" s="53">
        <v>200</v>
      </c>
      <c r="CF45" s="53">
        <v>75</v>
      </c>
      <c r="CG45" s="53">
        <v>75</v>
      </c>
      <c r="CH45" s="53">
        <v>75</v>
      </c>
      <c r="CI45" s="53">
        <v>75</v>
      </c>
      <c r="CJ45" s="53">
        <v>75</v>
      </c>
      <c r="CK45" s="53" t="s">
        <v>264</v>
      </c>
      <c r="CL45" s="53" t="s">
        <v>264</v>
      </c>
      <c r="CM45" s="53" t="s">
        <v>264</v>
      </c>
      <c r="CN45" s="206"/>
      <c r="CO45" s="206"/>
      <c r="CP45" s="206"/>
      <c r="CQ45" s="8">
        <f t="shared" si="8"/>
        <v>25</v>
      </c>
      <c r="CR45" s="8">
        <f t="shared" si="9"/>
        <v>400</v>
      </c>
      <c r="CS45" s="8">
        <f t="shared" si="10"/>
        <v>97.368421052631575</v>
      </c>
      <c r="CT45">
        <f t="shared" si="11"/>
        <v>70.106193835807986</v>
      </c>
      <c r="CU45" s="143" t="e">
        <f t="shared" si="12"/>
        <v>#DIV/0!</v>
      </c>
      <c r="CV45" s="143" t="e">
        <f t="shared" si="13"/>
        <v>#DIV/0!</v>
      </c>
      <c r="CX45" s="7">
        <f t="shared" si="14"/>
        <v>25</v>
      </c>
      <c r="CY45" s="7">
        <f t="shared" si="15"/>
        <v>25</v>
      </c>
      <c r="CZ45" s="7">
        <f t="shared" si="16"/>
        <v>25</v>
      </c>
      <c r="DA45" s="7">
        <f t="shared" si="17"/>
        <v>37.5</v>
      </c>
      <c r="DB45" s="7">
        <f t="shared" si="18"/>
        <v>75</v>
      </c>
      <c r="DC45" s="7">
        <f t="shared" si="19"/>
        <v>75</v>
      </c>
      <c r="DD45" s="7">
        <f t="shared" si="20"/>
        <v>75</v>
      </c>
      <c r="DE45" s="7">
        <f t="shared" si="21"/>
        <v>75</v>
      </c>
      <c r="DF45" s="7">
        <f t="shared" si="22"/>
        <v>200</v>
      </c>
      <c r="DH45" s="7" t="e">
        <f t="shared" si="23"/>
        <v>#NUM!</v>
      </c>
      <c r="DI45" s="7" t="e">
        <f t="shared" si="24"/>
        <v>#NUM!</v>
      </c>
      <c r="DJ45" s="7" t="e">
        <f t="shared" si="25"/>
        <v>#NUM!</v>
      </c>
      <c r="DK45" s="7" t="e">
        <f t="shared" si="26"/>
        <v>#NUM!</v>
      </c>
      <c r="DL45" s="7" t="e">
        <f t="shared" si="27"/>
        <v>#NUM!</v>
      </c>
      <c r="DM45" s="7" t="e">
        <f t="shared" si="28"/>
        <v>#NUM!</v>
      </c>
      <c r="DN45" s="7" t="e">
        <f t="shared" si="29"/>
        <v>#NUM!</v>
      </c>
      <c r="DO45" s="7" t="e">
        <f t="shared" si="30"/>
        <v>#NUM!</v>
      </c>
      <c r="DP45" s="7" t="e">
        <f t="shared" si="31"/>
        <v>#NUM!</v>
      </c>
    </row>
    <row r="46" spans="1:120" s="7" customFormat="1" ht="25.5" hidden="1" customHeight="1" x14ac:dyDescent="0.25">
      <c r="A46" s="92" t="str">
        <f t="shared" si="32"/>
        <v>CO-JdF [16]</v>
      </c>
      <c r="B46" s="92" t="str">
        <f t="shared" si="33"/>
        <v>Juan de Fuca-Pachena</v>
      </c>
      <c r="C46" s="93" t="str">
        <f t="shared" si="1"/>
        <v>CHEEWHAT RIVER_Coho</v>
      </c>
      <c r="D46" s="128" t="s">
        <v>598</v>
      </c>
      <c r="E46" s="128" t="s">
        <v>598</v>
      </c>
      <c r="F46" s="64">
        <v>21</v>
      </c>
      <c r="G46" s="72" t="s">
        <v>98</v>
      </c>
      <c r="H46" s="65" t="s">
        <v>93</v>
      </c>
      <c r="I46" s="119"/>
      <c r="J46" s="119"/>
      <c r="K46" s="64">
        <v>3</v>
      </c>
      <c r="L46" s="52">
        <v>1</v>
      </c>
      <c r="M46" s="52">
        <v>1</v>
      </c>
      <c r="N46" s="52" t="e">
        <f t="shared" si="2"/>
        <v>#NUM!</v>
      </c>
      <c r="O46" s="52">
        <f t="shared" si="3"/>
        <v>750</v>
      </c>
      <c r="P46" s="52">
        <f t="shared" si="4"/>
        <v>190.40133179354254</v>
      </c>
      <c r="Q46" s="66"/>
      <c r="R46" s="37"/>
      <c r="S46" s="74" t="s">
        <v>294</v>
      </c>
      <c r="T46" s="81" t="e">
        <f t="shared" si="6"/>
        <v>#DIV/0!</v>
      </c>
      <c r="U46" s="81">
        <f t="shared" si="7"/>
        <v>78</v>
      </c>
      <c r="V46" s="233"/>
      <c r="W46" s="198" t="s">
        <v>102</v>
      </c>
      <c r="X46" s="52"/>
      <c r="Y46" s="52"/>
      <c r="Z46" s="52">
        <v>78</v>
      </c>
      <c r="AA46" s="52" t="s">
        <v>102</v>
      </c>
      <c r="AB46" s="52" t="s">
        <v>102</v>
      </c>
      <c r="AC46" s="52" t="s">
        <v>262</v>
      </c>
      <c r="AD46" s="52" t="s">
        <v>102</v>
      </c>
      <c r="AE46" s="144" t="s">
        <v>262</v>
      </c>
      <c r="AF46" s="52" t="s">
        <v>102</v>
      </c>
      <c r="AG46" s="52" t="s">
        <v>102</v>
      </c>
      <c r="AH46" s="52" t="s">
        <v>102</v>
      </c>
      <c r="AI46" s="52" t="s">
        <v>102</v>
      </c>
      <c r="AJ46" s="52" t="s">
        <v>102</v>
      </c>
      <c r="AK46" s="52" t="s">
        <v>102</v>
      </c>
      <c r="AL46" s="52" t="s">
        <v>102</v>
      </c>
      <c r="AM46" s="52" t="s">
        <v>102</v>
      </c>
      <c r="AN46" s="52" t="s">
        <v>102</v>
      </c>
      <c r="AO46" s="52" t="s">
        <v>102</v>
      </c>
      <c r="AP46" s="53" t="s">
        <v>102</v>
      </c>
      <c r="AQ46" s="53" t="s">
        <v>102</v>
      </c>
      <c r="AR46" s="53" t="s">
        <v>263</v>
      </c>
      <c r="AS46" s="52" t="s">
        <v>102</v>
      </c>
      <c r="AT46" s="54"/>
      <c r="AU46" s="54"/>
      <c r="AV46" s="54"/>
      <c r="AW46" s="54"/>
      <c r="AX46" s="51" t="s">
        <v>102</v>
      </c>
      <c r="AY46" s="53" t="s">
        <v>102</v>
      </c>
      <c r="AZ46" s="53" t="s">
        <v>264</v>
      </c>
      <c r="BA46" s="53">
        <v>453</v>
      </c>
      <c r="BB46" s="53">
        <v>313</v>
      </c>
      <c r="BC46" s="53">
        <v>100</v>
      </c>
      <c r="BD46" s="53">
        <v>300</v>
      </c>
      <c r="BE46" s="53" t="s">
        <v>102</v>
      </c>
      <c r="BF46" s="53">
        <v>250</v>
      </c>
      <c r="BG46" s="53" t="s">
        <v>102</v>
      </c>
      <c r="BH46" s="53" t="s">
        <v>264</v>
      </c>
      <c r="BI46" s="53" t="s">
        <v>102</v>
      </c>
      <c r="BJ46" s="53" t="s">
        <v>264</v>
      </c>
      <c r="BK46" s="53" t="s">
        <v>102</v>
      </c>
      <c r="BL46" s="53" t="s">
        <v>102</v>
      </c>
      <c r="BM46" s="53">
        <v>80</v>
      </c>
      <c r="BN46" s="53">
        <v>70</v>
      </c>
      <c r="BO46" s="53">
        <v>80</v>
      </c>
      <c r="BP46" s="53">
        <v>90</v>
      </c>
      <c r="BQ46" s="53">
        <v>75</v>
      </c>
      <c r="BR46" s="53">
        <v>75</v>
      </c>
      <c r="BS46" s="53">
        <v>200</v>
      </c>
      <c r="BT46" s="53">
        <v>75</v>
      </c>
      <c r="BU46" s="53">
        <v>25</v>
      </c>
      <c r="BV46" s="53">
        <v>200</v>
      </c>
      <c r="BW46" s="53">
        <v>75</v>
      </c>
      <c r="BX46" s="53">
        <v>75</v>
      </c>
      <c r="BY46" s="53">
        <v>75</v>
      </c>
      <c r="BZ46" s="53">
        <v>400</v>
      </c>
      <c r="CA46" s="53">
        <v>400</v>
      </c>
      <c r="CB46" s="53">
        <v>400</v>
      </c>
      <c r="CC46" s="53">
        <v>75</v>
      </c>
      <c r="CD46" s="53">
        <v>400</v>
      </c>
      <c r="CE46" s="53">
        <v>400</v>
      </c>
      <c r="CF46" s="53">
        <v>75</v>
      </c>
      <c r="CG46" s="53">
        <v>750</v>
      </c>
      <c r="CH46" s="53">
        <v>400</v>
      </c>
      <c r="CI46" s="53">
        <v>400</v>
      </c>
      <c r="CJ46" s="53">
        <v>750</v>
      </c>
      <c r="CK46" s="53">
        <v>400</v>
      </c>
      <c r="CL46" s="53">
        <v>750</v>
      </c>
      <c r="CM46" s="53">
        <v>750</v>
      </c>
      <c r="CN46" s="206"/>
      <c r="CO46" s="206"/>
      <c r="CP46" s="206"/>
      <c r="CQ46" s="8">
        <f t="shared" si="8"/>
        <v>25</v>
      </c>
      <c r="CR46" s="8">
        <f t="shared" si="9"/>
        <v>750</v>
      </c>
      <c r="CS46" s="8">
        <f t="shared" si="10"/>
        <v>273.90909090909093</v>
      </c>
      <c r="CT46">
        <f t="shared" si="11"/>
        <v>185.32127238951904</v>
      </c>
      <c r="CU46" s="143">
        <f t="shared" si="12"/>
        <v>78</v>
      </c>
      <c r="CV46" s="143">
        <f t="shared" si="13"/>
        <v>78</v>
      </c>
      <c r="CX46" s="7">
        <f t="shared" si="14"/>
        <v>73</v>
      </c>
      <c r="CY46" s="7">
        <f t="shared" si="15"/>
        <v>75</v>
      </c>
      <c r="CZ46" s="7">
        <f t="shared" si="16"/>
        <v>75</v>
      </c>
      <c r="DA46" s="7">
        <f t="shared" si="17"/>
        <v>75</v>
      </c>
      <c r="DB46" s="7">
        <f t="shared" si="18"/>
        <v>200</v>
      </c>
      <c r="DC46" s="7">
        <f t="shared" si="19"/>
        <v>330.39999999999992</v>
      </c>
      <c r="DD46" s="7">
        <f t="shared" si="20"/>
        <v>400</v>
      </c>
      <c r="DE46" s="7">
        <f t="shared" si="21"/>
        <v>400</v>
      </c>
      <c r="DF46" s="7">
        <f t="shared" si="22"/>
        <v>410.59999999999997</v>
      </c>
      <c r="DH46" s="7">
        <f t="shared" si="23"/>
        <v>78</v>
      </c>
      <c r="DI46" s="7">
        <f t="shared" si="24"/>
        <v>78</v>
      </c>
      <c r="DJ46" s="7">
        <f t="shared" si="25"/>
        <v>78</v>
      </c>
      <c r="DK46" s="7">
        <f t="shared" si="26"/>
        <v>78</v>
      </c>
      <c r="DL46" s="7">
        <f t="shared" si="27"/>
        <v>78</v>
      </c>
      <c r="DM46" s="7">
        <f t="shared" si="28"/>
        <v>78</v>
      </c>
      <c r="DN46" s="7">
        <f t="shared" si="29"/>
        <v>78</v>
      </c>
      <c r="DO46" s="7">
        <f t="shared" si="30"/>
        <v>78</v>
      </c>
      <c r="DP46" s="7">
        <f t="shared" si="31"/>
        <v>78</v>
      </c>
    </row>
    <row r="47" spans="1:120" s="7" customFormat="1" ht="25.5" hidden="1" customHeight="1" x14ac:dyDescent="0.25">
      <c r="A47" s="92" t="str">
        <f t="shared" si="32"/>
        <v>SK-L-13-6</v>
      </c>
      <c r="B47" s="92" t="str">
        <f t="shared" si="33"/>
        <v>Cheewhat</v>
      </c>
      <c r="C47" s="93" t="str">
        <f t="shared" si="1"/>
        <v>CHEEWHAT RIVER_Sockeye</v>
      </c>
      <c r="D47" s="128" t="s">
        <v>598</v>
      </c>
      <c r="E47" s="128" t="s">
        <v>598</v>
      </c>
      <c r="F47" s="64">
        <v>21</v>
      </c>
      <c r="G47" s="72" t="s">
        <v>98</v>
      </c>
      <c r="H47" s="65" t="s">
        <v>91</v>
      </c>
      <c r="I47" s="119"/>
      <c r="J47" s="119"/>
      <c r="K47" s="64">
        <v>3</v>
      </c>
      <c r="L47" s="52">
        <v>1</v>
      </c>
      <c r="M47" s="52">
        <v>1</v>
      </c>
      <c r="N47" s="52">
        <f t="shared" si="2"/>
        <v>1000</v>
      </c>
      <c r="O47" s="52">
        <f t="shared" si="3"/>
        <v>5000</v>
      </c>
      <c r="P47" s="52">
        <f t="shared" si="4"/>
        <v>854.61499239281943</v>
      </c>
      <c r="Q47" s="66"/>
      <c r="R47" s="37"/>
      <c r="S47" s="74" t="s">
        <v>294</v>
      </c>
      <c r="T47" s="81" t="e">
        <f t="shared" si="6"/>
        <v>#DIV/0!</v>
      </c>
      <c r="U47" s="81">
        <f t="shared" si="7"/>
        <v>834</v>
      </c>
      <c r="V47" s="233"/>
      <c r="W47" s="198" t="s">
        <v>102</v>
      </c>
      <c r="X47" s="52"/>
      <c r="Y47" s="52"/>
      <c r="Z47" s="52">
        <v>834</v>
      </c>
      <c r="AA47" s="52" t="s">
        <v>102</v>
      </c>
      <c r="AB47" s="52" t="s">
        <v>102</v>
      </c>
      <c r="AC47" s="52" t="s">
        <v>263</v>
      </c>
      <c r="AD47" s="52" t="s">
        <v>102</v>
      </c>
      <c r="AE47" s="144" t="s">
        <v>263</v>
      </c>
      <c r="AF47" s="52" t="s">
        <v>102</v>
      </c>
      <c r="AG47" s="52" t="s">
        <v>102</v>
      </c>
      <c r="AH47" s="52" t="s">
        <v>102</v>
      </c>
      <c r="AI47" s="52" t="s">
        <v>102</v>
      </c>
      <c r="AJ47" s="52" t="s">
        <v>102</v>
      </c>
      <c r="AK47" s="52" t="s">
        <v>102</v>
      </c>
      <c r="AL47" s="52" t="s">
        <v>102</v>
      </c>
      <c r="AM47" s="52" t="s">
        <v>102</v>
      </c>
      <c r="AN47" s="52" t="s">
        <v>102</v>
      </c>
      <c r="AO47" s="52" t="s">
        <v>102</v>
      </c>
      <c r="AP47" s="53" t="s">
        <v>102</v>
      </c>
      <c r="AQ47" s="53" t="s">
        <v>102</v>
      </c>
      <c r="AR47" s="53">
        <v>1000</v>
      </c>
      <c r="AS47" s="52" t="s">
        <v>102</v>
      </c>
      <c r="AT47" s="54"/>
      <c r="AU47" s="54"/>
      <c r="AV47" s="54"/>
      <c r="AW47" s="54"/>
      <c r="AX47" s="51" t="s">
        <v>102</v>
      </c>
      <c r="AY47" s="53" t="s">
        <v>102</v>
      </c>
      <c r="AZ47" s="53">
        <v>1500</v>
      </c>
      <c r="BA47" s="53">
        <v>1100</v>
      </c>
      <c r="BB47" s="53">
        <v>2362</v>
      </c>
      <c r="BC47" s="53">
        <v>2000</v>
      </c>
      <c r="BD47" s="53">
        <v>4400</v>
      </c>
      <c r="BE47" s="53">
        <v>5000</v>
      </c>
      <c r="BF47" s="53">
        <v>2000</v>
      </c>
      <c r="BG47" s="53" t="s">
        <v>102</v>
      </c>
      <c r="BH47" s="53">
        <v>4000</v>
      </c>
      <c r="BI47" s="53" t="s">
        <v>102</v>
      </c>
      <c r="BJ47" s="53" t="s">
        <v>264</v>
      </c>
      <c r="BK47" s="53" t="s">
        <v>102</v>
      </c>
      <c r="BL47" s="53" t="s">
        <v>102</v>
      </c>
      <c r="BM47" s="53">
        <v>200</v>
      </c>
      <c r="BN47" s="53">
        <v>200</v>
      </c>
      <c r="BO47" s="53">
        <v>230</v>
      </c>
      <c r="BP47" s="53">
        <v>250</v>
      </c>
      <c r="BQ47" s="53">
        <v>200</v>
      </c>
      <c r="BR47" s="53">
        <v>500</v>
      </c>
      <c r="BS47" s="53">
        <v>75</v>
      </c>
      <c r="BT47" s="53">
        <v>750</v>
      </c>
      <c r="BU47" s="53">
        <v>75</v>
      </c>
      <c r="BV47" s="53">
        <v>400</v>
      </c>
      <c r="BW47" s="53">
        <v>75</v>
      </c>
      <c r="BX47" s="53">
        <v>200</v>
      </c>
      <c r="BY47" s="53">
        <v>1500</v>
      </c>
      <c r="BZ47" s="53">
        <v>1500</v>
      </c>
      <c r="CA47" s="53">
        <v>1500</v>
      </c>
      <c r="CB47" s="53">
        <v>1500</v>
      </c>
      <c r="CC47" s="53">
        <v>1500</v>
      </c>
      <c r="CD47" s="53">
        <v>1500</v>
      </c>
      <c r="CE47" s="53">
        <v>1500</v>
      </c>
      <c r="CF47" s="53">
        <v>1500</v>
      </c>
      <c r="CG47" s="53">
        <v>1500</v>
      </c>
      <c r="CH47" s="53">
        <v>1500</v>
      </c>
      <c r="CI47" s="53">
        <v>1500</v>
      </c>
      <c r="CJ47" s="53">
        <v>1500</v>
      </c>
      <c r="CK47" s="53">
        <v>1500</v>
      </c>
      <c r="CL47" s="53">
        <v>1500</v>
      </c>
      <c r="CM47" s="53">
        <v>1500</v>
      </c>
      <c r="CN47" s="206"/>
      <c r="CO47" s="206"/>
      <c r="CP47" s="206"/>
      <c r="CQ47" s="8">
        <f t="shared" si="8"/>
        <v>75</v>
      </c>
      <c r="CR47" s="8">
        <f t="shared" si="9"/>
        <v>5000</v>
      </c>
      <c r="CS47" s="8">
        <f t="shared" si="10"/>
        <v>1347.3243243243244</v>
      </c>
      <c r="CT47">
        <f t="shared" si="11"/>
        <v>854.05118651574821</v>
      </c>
      <c r="CU47" s="143">
        <f t="shared" si="12"/>
        <v>834</v>
      </c>
      <c r="CV47" s="143">
        <f t="shared" si="13"/>
        <v>834</v>
      </c>
      <c r="CX47" s="7">
        <f t="shared" si="14"/>
        <v>75</v>
      </c>
      <c r="CY47" s="7">
        <f t="shared" si="15"/>
        <v>200</v>
      </c>
      <c r="CZ47" s="7">
        <f t="shared" si="16"/>
        <v>234</v>
      </c>
      <c r="DA47" s="7">
        <f t="shared" si="17"/>
        <v>400</v>
      </c>
      <c r="DB47" s="7">
        <f t="shared" si="18"/>
        <v>1500</v>
      </c>
      <c r="DC47" s="7">
        <f t="shared" si="19"/>
        <v>1500</v>
      </c>
      <c r="DD47" s="7">
        <f t="shared" si="20"/>
        <v>1500</v>
      </c>
      <c r="DE47" s="7">
        <f t="shared" si="21"/>
        <v>1500</v>
      </c>
      <c r="DF47" s="7">
        <f t="shared" si="22"/>
        <v>1799.9999999999989</v>
      </c>
      <c r="DH47" s="7">
        <f t="shared" si="23"/>
        <v>842.3</v>
      </c>
      <c r="DI47" s="7">
        <f t="shared" si="24"/>
        <v>858.9</v>
      </c>
      <c r="DJ47" s="7">
        <f t="shared" si="25"/>
        <v>867.2</v>
      </c>
      <c r="DK47" s="7">
        <f t="shared" si="26"/>
        <v>875.5</v>
      </c>
      <c r="DL47" s="7">
        <f t="shared" si="27"/>
        <v>917</v>
      </c>
      <c r="DM47" s="7">
        <f t="shared" si="28"/>
        <v>933.6</v>
      </c>
      <c r="DN47" s="7">
        <f t="shared" si="29"/>
        <v>941.9</v>
      </c>
      <c r="DO47" s="7">
        <f t="shared" si="30"/>
        <v>958.5</v>
      </c>
      <c r="DP47" s="7">
        <f t="shared" si="31"/>
        <v>975.1</v>
      </c>
    </row>
    <row r="48" spans="1:120" s="7" customFormat="1" ht="25.5" customHeight="1" x14ac:dyDescent="0.25">
      <c r="A48" s="92" t="str">
        <f t="shared" si="32"/>
        <v>CK-SWVI [31]</v>
      </c>
      <c r="B48" s="92" t="str">
        <f t="shared" si="33"/>
        <v>Southwest Vancouver Island</v>
      </c>
      <c r="C48" s="93" t="str">
        <f t="shared" si="1"/>
        <v>KLANAWA RIVER_Chinook</v>
      </c>
      <c r="D48" s="128" t="s">
        <v>598</v>
      </c>
      <c r="E48" s="128" t="s">
        <v>598</v>
      </c>
      <c r="F48" s="64">
        <v>21</v>
      </c>
      <c r="G48" s="72" t="s">
        <v>100</v>
      </c>
      <c r="H48" s="65" t="s">
        <v>97</v>
      </c>
      <c r="I48" s="119"/>
      <c r="J48" s="119"/>
      <c r="K48" s="64">
        <v>4</v>
      </c>
      <c r="L48" s="52">
        <v>9</v>
      </c>
      <c r="M48" s="52">
        <v>5</v>
      </c>
      <c r="N48" s="52">
        <f t="shared" si="2"/>
        <v>2.4258048343234653</v>
      </c>
      <c r="O48" s="52">
        <f t="shared" si="3"/>
        <v>75</v>
      </c>
      <c r="P48" s="52">
        <f t="shared" si="4"/>
        <v>5.6725751451901054</v>
      </c>
      <c r="Q48" s="66"/>
      <c r="R48" s="37"/>
      <c r="S48" s="74" t="s">
        <v>286</v>
      </c>
      <c r="T48" s="81" t="e">
        <f t="shared" si="6"/>
        <v>#DIV/0!</v>
      </c>
      <c r="U48" s="81">
        <f t="shared" si="7"/>
        <v>8</v>
      </c>
      <c r="V48" s="232" t="s">
        <v>262</v>
      </c>
      <c r="W48" s="198" t="s">
        <v>102</v>
      </c>
      <c r="X48" s="198" t="s">
        <v>102</v>
      </c>
      <c r="Y48" s="198" t="s">
        <v>102</v>
      </c>
      <c r="Z48" s="52" t="s">
        <v>102</v>
      </c>
      <c r="AA48" s="52" t="s">
        <v>102</v>
      </c>
      <c r="AB48" s="52" t="s">
        <v>102</v>
      </c>
      <c r="AC48" s="52" t="s">
        <v>102</v>
      </c>
      <c r="AD48" s="52" t="s">
        <v>102</v>
      </c>
      <c r="AE48" s="52" t="s">
        <v>102</v>
      </c>
      <c r="AF48" s="52" t="s">
        <v>262</v>
      </c>
      <c r="AG48" s="144">
        <v>8</v>
      </c>
      <c r="AH48" s="52">
        <v>11</v>
      </c>
      <c r="AI48" s="52">
        <v>64</v>
      </c>
      <c r="AJ48" s="52">
        <v>6</v>
      </c>
      <c r="AK48" s="52" t="s">
        <v>262</v>
      </c>
      <c r="AL48" s="200">
        <v>1</v>
      </c>
      <c r="AM48" s="52">
        <v>7</v>
      </c>
      <c r="AN48" s="52">
        <v>1</v>
      </c>
      <c r="AO48" s="53">
        <v>2</v>
      </c>
      <c r="AP48" s="53" t="s">
        <v>262</v>
      </c>
      <c r="AQ48" s="53" t="s">
        <v>262</v>
      </c>
      <c r="AR48" s="53" t="s">
        <v>263</v>
      </c>
      <c r="AS48" s="52" t="s">
        <v>262</v>
      </c>
      <c r="AT48" s="52" t="s">
        <v>263</v>
      </c>
      <c r="AU48" s="52" t="s">
        <v>262</v>
      </c>
      <c r="AV48" s="52" t="s">
        <v>102</v>
      </c>
      <c r="AW48" s="52" t="s">
        <v>102</v>
      </c>
      <c r="AX48" s="51" t="s">
        <v>102</v>
      </c>
      <c r="AY48" s="53" t="s">
        <v>264</v>
      </c>
      <c r="AZ48" s="53" t="s">
        <v>102</v>
      </c>
      <c r="BA48" s="53" t="s">
        <v>264</v>
      </c>
      <c r="BB48" s="53" t="s">
        <v>264</v>
      </c>
      <c r="BC48" s="53" t="s">
        <v>264</v>
      </c>
      <c r="BD48" s="53" t="s">
        <v>102</v>
      </c>
      <c r="BE48" s="53" t="s">
        <v>102</v>
      </c>
      <c r="BF48" s="53" t="s">
        <v>102</v>
      </c>
      <c r="BG48" s="53" t="s">
        <v>102</v>
      </c>
      <c r="BH48" s="53" t="s">
        <v>264</v>
      </c>
      <c r="BI48" s="53" t="s">
        <v>102</v>
      </c>
      <c r="BJ48" s="53" t="s">
        <v>102</v>
      </c>
      <c r="BK48" s="53" t="s">
        <v>102</v>
      </c>
      <c r="BL48" s="53" t="s">
        <v>102</v>
      </c>
      <c r="BM48" s="53" t="s">
        <v>262</v>
      </c>
      <c r="BN48" s="53">
        <v>30</v>
      </c>
      <c r="BO48" s="53" t="s">
        <v>264</v>
      </c>
      <c r="BP48" s="53" t="s">
        <v>264</v>
      </c>
      <c r="BQ48" s="53">
        <v>75</v>
      </c>
      <c r="BR48" s="53" t="s">
        <v>264</v>
      </c>
      <c r="BS48" s="53" t="s">
        <v>264</v>
      </c>
      <c r="BT48" s="53" t="s">
        <v>264</v>
      </c>
      <c r="BU48" s="53" t="s">
        <v>264</v>
      </c>
      <c r="BV48" s="53" t="s">
        <v>264</v>
      </c>
      <c r="BW48" s="53" t="s">
        <v>262</v>
      </c>
      <c r="BX48" s="53" t="s">
        <v>264</v>
      </c>
      <c r="BY48" s="53" t="s">
        <v>264</v>
      </c>
      <c r="BZ48" s="53" t="s">
        <v>264</v>
      </c>
      <c r="CA48" s="53" t="s">
        <v>264</v>
      </c>
      <c r="CB48" s="53" t="s">
        <v>262</v>
      </c>
      <c r="CC48" s="53" t="s">
        <v>262</v>
      </c>
      <c r="CD48" s="53" t="s">
        <v>262</v>
      </c>
      <c r="CE48" s="53" t="s">
        <v>262</v>
      </c>
      <c r="CF48" s="53" t="s">
        <v>262</v>
      </c>
      <c r="CG48" s="53" t="s">
        <v>102</v>
      </c>
      <c r="CH48" s="53" t="s">
        <v>262</v>
      </c>
      <c r="CI48" s="53" t="s">
        <v>262</v>
      </c>
      <c r="CJ48" s="53" t="s">
        <v>264</v>
      </c>
      <c r="CK48" s="53" t="s">
        <v>262</v>
      </c>
      <c r="CL48" s="53" t="s">
        <v>262</v>
      </c>
      <c r="CM48" s="53" t="s">
        <v>102</v>
      </c>
      <c r="CN48" s="206"/>
      <c r="CO48" s="206"/>
      <c r="CP48" s="206"/>
      <c r="CQ48" s="8">
        <f t="shared" si="8"/>
        <v>1</v>
      </c>
      <c r="CR48" s="8">
        <f t="shared" si="9"/>
        <v>75</v>
      </c>
      <c r="CS48" s="8">
        <f t="shared" si="10"/>
        <v>20.5</v>
      </c>
      <c r="CT48">
        <f t="shared" si="11"/>
        <v>7.9930484420756542</v>
      </c>
      <c r="CU48" s="143" t="e">
        <f t="shared" si="12"/>
        <v>#DIV/0!</v>
      </c>
      <c r="CV48" s="143">
        <f t="shared" si="13"/>
        <v>8</v>
      </c>
      <c r="CX48" s="7">
        <f t="shared" si="14"/>
        <v>1</v>
      </c>
      <c r="CY48" s="7">
        <f t="shared" si="15"/>
        <v>1.3499999999999996</v>
      </c>
      <c r="CZ48" s="7">
        <f t="shared" si="16"/>
        <v>1.7999999999999998</v>
      </c>
      <c r="DA48" s="7">
        <f t="shared" si="17"/>
        <v>3</v>
      </c>
      <c r="DB48" s="7">
        <f t="shared" si="18"/>
        <v>7.5</v>
      </c>
      <c r="DC48" s="7">
        <f t="shared" si="19"/>
        <v>9.1999999999999993</v>
      </c>
      <c r="DD48" s="7">
        <f t="shared" si="20"/>
        <v>10.55</v>
      </c>
      <c r="DE48" s="7">
        <f t="shared" si="21"/>
        <v>25.25</v>
      </c>
      <c r="DF48" s="7">
        <f t="shared" si="22"/>
        <v>52.099999999999952</v>
      </c>
      <c r="DH48" s="7">
        <f t="shared" si="23"/>
        <v>1</v>
      </c>
      <c r="DI48" s="7">
        <f t="shared" si="24"/>
        <v>1.0499999999999998</v>
      </c>
      <c r="DJ48" s="7">
        <f t="shared" si="25"/>
        <v>1.4000000000000004</v>
      </c>
      <c r="DK48" s="7">
        <f t="shared" si="26"/>
        <v>1.75</v>
      </c>
      <c r="DL48" s="7">
        <f t="shared" si="27"/>
        <v>6.5</v>
      </c>
      <c r="DM48" s="7">
        <f t="shared" si="28"/>
        <v>7.2</v>
      </c>
      <c r="DN48" s="7">
        <f t="shared" si="29"/>
        <v>7.55</v>
      </c>
      <c r="DO48" s="7">
        <f t="shared" si="30"/>
        <v>8.75</v>
      </c>
      <c r="DP48" s="7">
        <f t="shared" si="31"/>
        <v>10.850000000000001</v>
      </c>
    </row>
    <row r="49" spans="1:120" s="7" customFormat="1" ht="25.5" hidden="1" customHeight="1" x14ac:dyDescent="0.25">
      <c r="A49" s="92" t="str">
        <f t="shared" si="32"/>
        <v>CM-SWVI [10]</v>
      </c>
      <c r="B49" s="92" t="str">
        <f t="shared" si="33"/>
        <v>Southwest Vancouver Island</v>
      </c>
      <c r="C49" s="93" t="str">
        <f t="shared" si="1"/>
        <v>KLANAWA RIVER_Chum</v>
      </c>
      <c r="D49" s="128" t="s">
        <v>598</v>
      </c>
      <c r="E49" s="128" t="s">
        <v>598</v>
      </c>
      <c r="F49" s="64">
        <v>21</v>
      </c>
      <c r="G49" s="72" t="s">
        <v>100</v>
      </c>
      <c r="H49" s="65" t="s">
        <v>96</v>
      </c>
      <c r="I49" s="119"/>
      <c r="J49" s="119"/>
      <c r="K49" s="64">
        <v>4</v>
      </c>
      <c r="L49" s="52">
        <v>9</v>
      </c>
      <c r="M49" s="52">
        <v>7</v>
      </c>
      <c r="N49" s="52">
        <f t="shared" si="2"/>
        <v>445.14377318898465</v>
      </c>
      <c r="O49" s="52">
        <f t="shared" si="3"/>
        <v>5030</v>
      </c>
      <c r="P49" s="52">
        <f t="shared" si="4"/>
        <v>384.01563406211199</v>
      </c>
      <c r="Q49" s="66"/>
      <c r="R49" s="37"/>
      <c r="S49" s="74" t="s">
        <v>286</v>
      </c>
      <c r="T49" s="81" t="e">
        <f t="shared" si="6"/>
        <v>#DIV/0!</v>
      </c>
      <c r="U49" s="81">
        <f t="shared" si="7"/>
        <v>655</v>
      </c>
      <c r="V49" s="232" t="s">
        <v>262</v>
      </c>
      <c r="W49" s="198" t="s">
        <v>102</v>
      </c>
      <c r="X49" s="52"/>
      <c r="Y49" s="198" t="s">
        <v>102</v>
      </c>
      <c r="Z49" s="52" t="s">
        <v>102</v>
      </c>
      <c r="AA49" s="52" t="s">
        <v>102</v>
      </c>
      <c r="AB49" s="52" t="s">
        <v>102</v>
      </c>
      <c r="AC49" s="52" t="s">
        <v>102</v>
      </c>
      <c r="AD49" s="52" t="s">
        <v>102</v>
      </c>
      <c r="AE49" s="52" t="s">
        <v>102</v>
      </c>
      <c r="AF49" s="52" t="s">
        <v>263</v>
      </c>
      <c r="AG49" s="144">
        <v>655</v>
      </c>
      <c r="AH49" s="52">
        <v>136</v>
      </c>
      <c r="AI49" s="52">
        <v>333</v>
      </c>
      <c r="AJ49" s="52">
        <v>223</v>
      </c>
      <c r="AK49" s="52">
        <v>1000</v>
      </c>
      <c r="AL49" s="89">
        <v>2016</v>
      </c>
      <c r="AM49" s="52">
        <v>5030</v>
      </c>
      <c r="AN49" s="52">
        <v>964</v>
      </c>
      <c r="AO49" s="53">
        <v>165</v>
      </c>
      <c r="AP49" s="206" t="s">
        <v>262</v>
      </c>
      <c r="AQ49" s="53">
        <v>36</v>
      </c>
      <c r="AR49" s="53">
        <v>250</v>
      </c>
      <c r="AS49" s="52" t="s">
        <v>262</v>
      </c>
      <c r="AT49" s="52">
        <v>212</v>
      </c>
      <c r="AU49" s="52" t="s">
        <v>263</v>
      </c>
      <c r="AV49" s="52" t="s">
        <v>102</v>
      </c>
      <c r="AW49" s="52" t="s">
        <v>102</v>
      </c>
      <c r="AX49" s="51" t="s">
        <v>102</v>
      </c>
      <c r="AY49" s="53" t="s">
        <v>262</v>
      </c>
      <c r="AZ49" s="53" t="s">
        <v>102</v>
      </c>
      <c r="BA49" s="53" t="s">
        <v>262</v>
      </c>
      <c r="BB49" s="53" t="s">
        <v>264</v>
      </c>
      <c r="BC49" s="53" t="s">
        <v>262</v>
      </c>
      <c r="BD49" s="53" t="s">
        <v>102</v>
      </c>
      <c r="BE49" s="53" t="s">
        <v>102</v>
      </c>
      <c r="BF49" s="53" t="s">
        <v>102</v>
      </c>
      <c r="BG49" s="53" t="s">
        <v>102</v>
      </c>
      <c r="BH49" s="53" t="s">
        <v>264</v>
      </c>
      <c r="BI49" s="53" t="s">
        <v>102</v>
      </c>
      <c r="BJ49" s="53" t="s">
        <v>102</v>
      </c>
      <c r="BK49" s="53" t="s">
        <v>102</v>
      </c>
      <c r="BL49" s="53" t="s">
        <v>102</v>
      </c>
      <c r="BM49" s="53">
        <v>50</v>
      </c>
      <c r="BN49" s="53" t="s">
        <v>262</v>
      </c>
      <c r="BO49" s="53" t="s">
        <v>262</v>
      </c>
      <c r="BP49" s="53">
        <v>45</v>
      </c>
      <c r="BQ49" s="53">
        <v>150</v>
      </c>
      <c r="BR49" s="53" t="s">
        <v>262</v>
      </c>
      <c r="BS49" s="53" t="s">
        <v>262</v>
      </c>
      <c r="BT49" s="53" t="s">
        <v>262</v>
      </c>
      <c r="BU49" s="53" t="s">
        <v>262</v>
      </c>
      <c r="BV49" s="53" t="s">
        <v>262</v>
      </c>
      <c r="BW49" s="53" t="s">
        <v>262</v>
      </c>
      <c r="BX49" s="53">
        <v>400</v>
      </c>
      <c r="BY49" s="53">
        <v>400</v>
      </c>
      <c r="BZ49" s="53">
        <v>400</v>
      </c>
      <c r="CA49" s="53" t="s">
        <v>262</v>
      </c>
      <c r="CB49" s="53">
        <v>400</v>
      </c>
      <c r="CC49" s="53" t="s">
        <v>262</v>
      </c>
      <c r="CD49" s="53">
        <v>400</v>
      </c>
      <c r="CE49" s="53">
        <v>750</v>
      </c>
      <c r="CF49" s="53">
        <v>200</v>
      </c>
      <c r="CG49" s="53" t="s">
        <v>102</v>
      </c>
      <c r="CH49" s="53" t="s">
        <v>262</v>
      </c>
      <c r="CI49" s="53" t="s">
        <v>262</v>
      </c>
      <c r="CJ49" s="53">
        <v>1500</v>
      </c>
      <c r="CK49" s="53" t="s">
        <v>262</v>
      </c>
      <c r="CL49" s="53">
        <v>3500</v>
      </c>
      <c r="CM49" s="53" t="s">
        <v>102</v>
      </c>
      <c r="CN49" s="206"/>
      <c r="CO49" s="206"/>
      <c r="CP49" s="206"/>
      <c r="CQ49" s="8">
        <f t="shared" si="8"/>
        <v>36</v>
      </c>
      <c r="CR49" s="8">
        <f t="shared" si="9"/>
        <v>5030</v>
      </c>
      <c r="CS49" s="8">
        <f t="shared" si="10"/>
        <v>800.625</v>
      </c>
      <c r="CT49">
        <f t="shared" si="11"/>
        <v>373.80747148855204</v>
      </c>
      <c r="CU49" s="143" t="e">
        <f t="shared" si="12"/>
        <v>#DIV/0!</v>
      </c>
      <c r="CV49" s="143">
        <f t="shared" si="13"/>
        <v>655</v>
      </c>
      <c r="CX49" s="7">
        <f t="shared" si="14"/>
        <v>45.75</v>
      </c>
      <c r="CY49" s="7">
        <f t="shared" si="15"/>
        <v>142.29999999999998</v>
      </c>
      <c r="CZ49" s="7">
        <f t="shared" si="16"/>
        <v>159</v>
      </c>
      <c r="DA49" s="7">
        <f t="shared" si="17"/>
        <v>191.25</v>
      </c>
      <c r="DB49" s="7">
        <f t="shared" si="18"/>
        <v>400</v>
      </c>
      <c r="DC49" s="7">
        <f t="shared" si="19"/>
        <v>400</v>
      </c>
      <c r="DD49" s="7">
        <f t="shared" si="20"/>
        <v>400</v>
      </c>
      <c r="DE49" s="7">
        <f t="shared" si="21"/>
        <v>803.5</v>
      </c>
      <c r="DF49" s="7">
        <f t="shared" si="22"/>
        <v>1275.0000000000005</v>
      </c>
      <c r="DH49" s="7">
        <f t="shared" si="23"/>
        <v>91</v>
      </c>
      <c r="DI49" s="7">
        <f t="shared" si="24"/>
        <v>154.85</v>
      </c>
      <c r="DJ49" s="7">
        <f t="shared" si="25"/>
        <v>174.4</v>
      </c>
      <c r="DK49" s="7">
        <f t="shared" si="26"/>
        <v>200.25</v>
      </c>
      <c r="DL49" s="7">
        <f t="shared" si="27"/>
        <v>291.5</v>
      </c>
      <c r="DM49" s="7">
        <f t="shared" si="28"/>
        <v>526.19999999999982</v>
      </c>
      <c r="DN49" s="7">
        <f t="shared" si="29"/>
        <v>701.35000000000014</v>
      </c>
      <c r="DO49" s="7">
        <f t="shared" si="30"/>
        <v>973</v>
      </c>
      <c r="DP49" s="7">
        <f t="shared" si="31"/>
        <v>1355.5999999999997</v>
      </c>
    </row>
    <row r="50" spans="1:120" s="7" customFormat="1" ht="25.5" hidden="1" customHeight="1" x14ac:dyDescent="0.25">
      <c r="A50" s="92" t="str">
        <f t="shared" si="32"/>
        <v>CO-JdF [16]</v>
      </c>
      <c r="B50" s="92" t="str">
        <f t="shared" si="33"/>
        <v>Juan de Fuca-Pachena</v>
      </c>
      <c r="C50" s="93" t="str">
        <f t="shared" si="1"/>
        <v>KLANAWA RIVER_Coho</v>
      </c>
      <c r="D50" s="128" t="s">
        <v>598</v>
      </c>
      <c r="E50" s="128" t="s">
        <v>598</v>
      </c>
      <c r="F50" s="64">
        <v>21</v>
      </c>
      <c r="G50" s="72" t="s">
        <v>100</v>
      </c>
      <c r="H50" s="65" t="s">
        <v>93</v>
      </c>
      <c r="I50" s="119"/>
      <c r="J50" s="119"/>
      <c r="K50" s="64">
        <v>4</v>
      </c>
      <c r="L50" s="52">
        <v>9</v>
      </c>
      <c r="M50" s="52">
        <v>9</v>
      </c>
      <c r="N50" s="52">
        <f t="shared" si="2"/>
        <v>268.84656415973461</v>
      </c>
      <c r="O50" s="52">
        <f t="shared" si="3"/>
        <v>1000</v>
      </c>
      <c r="P50" s="52">
        <f t="shared" si="4"/>
        <v>234.01289070407586</v>
      </c>
      <c r="Q50" s="66"/>
      <c r="R50" s="37"/>
      <c r="S50" s="74" t="s">
        <v>286</v>
      </c>
      <c r="T50" s="81">
        <f t="shared" si="6"/>
        <v>16</v>
      </c>
      <c r="U50" s="81">
        <f t="shared" si="7"/>
        <v>216</v>
      </c>
      <c r="V50" s="233">
        <v>16</v>
      </c>
      <c r="W50" s="198" t="s">
        <v>102</v>
      </c>
      <c r="X50" s="52"/>
      <c r="Y50" s="198" t="s">
        <v>102</v>
      </c>
      <c r="Z50" s="52" t="s">
        <v>102</v>
      </c>
      <c r="AA50" s="52" t="s">
        <v>102</v>
      </c>
      <c r="AB50" s="52" t="s">
        <v>102</v>
      </c>
      <c r="AC50" s="52" t="s">
        <v>102</v>
      </c>
      <c r="AD50" s="52" t="s">
        <v>102</v>
      </c>
      <c r="AE50" s="52" t="s">
        <v>102</v>
      </c>
      <c r="AF50" s="52" t="s">
        <v>263</v>
      </c>
      <c r="AG50" s="144">
        <v>416</v>
      </c>
      <c r="AH50" s="52">
        <v>236</v>
      </c>
      <c r="AI50" s="52">
        <v>956</v>
      </c>
      <c r="AJ50" s="52">
        <v>118</v>
      </c>
      <c r="AK50" s="52">
        <v>83</v>
      </c>
      <c r="AL50" s="89">
        <v>94</v>
      </c>
      <c r="AM50" s="52">
        <v>835</v>
      </c>
      <c r="AN50" s="52">
        <v>327</v>
      </c>
      <c r="AO50" s="53">
        <v>344</v>
      </c>
      <c r="AP50" s="92"/>
      <c r="AQ50" s="53">
        <v>322</v>
      </c>
      <c r="AR50" s="53">
        <v>1000</v>
      </c>
      <c r="AS50" s="52">
        <v>400</v>
      </c>
      <c r="AT50" s="52">
        <v>768</v>
      </c>
      <c r="AU50" s="52">
        <v>62</v>
      </c>
      <c r="AV50" s="52" t="s">
        <v>102</v>
      </c>
      <c r="AW50" s="52" t="s">
        <v>102</v>
      </c>
      <c r="AX50" s="51" t="s">
        <v>102</v>
      </c>
      <c r="AY50" s="53" t="s">
        <v>262</v>
      </c>
      <c r="AZ50" s="53" t="s">
        <v>102</v>
      </c>
      <c r="BA50" s="53" t="s">
        <v>262</v>
      </c>
      <c r="BB50" s="53" t="s">
        <v>264</v>
      </c>
      <c r="BC50" s="53" t="s">
        <v>264</v>
      </c>
      <c r="BD50" s="53" t="s">
        <v>102</v>
      </c>
      <c r="BE50" s="53" t="s">
        <v>102</v>
      </c>
      <c r="BF50" s="53" t="s">
        <v>102</v>
      </c>
      <c r="BG50" s="53" t="s">
        <v>102</v>
      </c>
      <c r="BH50" s="53" t="s">
        <v>264</v>
      </c>
      <c r="BI50" s="53" t="s">
        <v>102</v>
      </c>
      <c r="BJ50" s="53" t="s">
        <v>102</v>
      </c>
      <c r="BK50" s="53" t="s">
        <v>102</v>
      </c>
      <c r="BL50" s="53" t="s">
        <v>102</v>
      </c>
      <c r="BM50" s="53">
        <v>195</v>
      </c>
      <c r="BN50" s="53">
        <v>250</v>
      </c>
      <c r="BO50" s="53">
        <v>195</v>
      </c>
      <c r="BP50" s="53">
        <v>125</v>
      </c>
      <c r="BQ50" s="53">
        <v>200</v>
      </c>
      <c r="BR50" s="53">
        <v>200</v>
      </c>
      <c r="BS50" s="53">
        <v>75</v>
      </c>
      <c r="BT50" s="53">
        <v>25</v>
      </c>
      <c r="BU50" s="53">
        <v>25</v>
      </c>
      <c r="BV50" s="53">
        <v>200</v>
      </c>
      <c r="BW50" s="53">
        <v>400</v>
      </c>
      <c r="BX50" s="53">
        <v>750</v>
      </c>
      <c r="BY50" s="53">
        <v>200</v>
      </c>
      <c r="BZ50" s="53">
        <v>750</v>
      </c>
      <c r="CA50" s="53">
        <v>400</v>
      </c>
      <c r="CB50" s="53">
        <v>750</v>
      </c>
      <c r="CC50" s="53">
        <v>400</v>
      </c>
      <c r="CD50" s="53" t="s">
        <v>264</v>
      </c>
      <c r="CE50" s="53" t="s">
        <v>262</v>
      </c>
      <c r="CF50" s="53" t="s">
        <v>262</v>
      </c>
      <c r="CG50" s="53" t="s">
        <v>102</v>
      </c>
      <c r="CH50" s="53" t="s">
        <v>262</v>
      </c>
      <c r="CI50" s="53" t="s">
        <v>262</v>
      </c>
      <c r="CJ50" s="53" t="s">
        <v>264</v>
      </c>
      <c r="CK50" s="53" t="s">
        <v>262</v>
      </c>
      <c r="CL50" s="53">
        <v>400</v>
      </c>
      <c r="CM50" s="53" t="s">
        <v>102</v>
      </c>
      <c r="CN50" s="206"/>
      <c r="CO50" s="206"/>
      <c r="CP50" s="206"/>
      <c r="CQ50" s="8">
        <f t="shared" si="8"/>
        <v>16</v>
      </c>
      <c r="CR50" s="8">
        <f t="shared" si="9"/>
        <v>1000</v>
      </c>
      <c r="CS50" s="8">
        <f t="shared" si="10"/>
        <v>349</v>
      </c>
      <c r="CT50">
        <f t="shared" si="11"/>
        <v>229.15929677852705</v>
      </c>
      <c r="CU50" s="143">
        <f t="shared" si="12"/>
        <v>16</v>
      </c>
      <c r="CV50" s="143">
        <f t="shared" si="13"/>
        <v>216</v>
      </c>
      <c r="CX50" s="7">
        <f t="shared" si="14"/>
        <v>25</v>
      </c>
      <c r="CY50" s="7">
        <f t="shared" si="15"/>
        <v>81.400000000000006</v>
      </c>
      <c r="CZ50" s="7">
        <f t="shared" si="16"/>
        <v>103.60000000000001</v>
      </c>
      <c r="DA50" s="7">
        <f t="shared" si="17"/>
        <v>125</v>
      </c>
      <c r="DB50" s="7">
        <f t="shared" si="18"/>
        <v>250</v>
      </c>
      <c r="DC50" s="7">
        <f t="shared" si="19"/>
        <v>355.19999999999993</v>
      </c>
      <c r="DD50" s="7">
        <f t="shared" si="20"/>
        <v>400</v>
      </c>
      <c r="DE50" s="7">
        <f t="shared" si="21"/>
        <v>400</v>
      </c>
      <c r="DF50" s="7">
        <f t="shared" si="22"/>
        <v>750</v>
      </c>
      <c r="DH50" s="7">
        <f t="shared" si="23"/>
        <v>48.20000000000001</v>
      </c>
      <c r="DI50" s="7">
        <f t="shared" si="24"/>
        <v>84.1</v>
      </c>
      <c r="DJ50" s="7">
        <f t="shared" si="25"/>
        <v>91.8</v>
      </c>
      <c r="DK50" s="7">
        <f t="shared" si="26"/>
        <v>106</v>
      </c>
      <c r="DL50" s="7">
        <f t="shared" si="27"/>
        <v>327</v>
      </c>
      <c r="DM50" s="7">
        <f t="shared" si="28"/>
        <v>366.40000000000003</v>
      </c>
      <c r="DN50" s="7">
        <f t="shared" si="29"/>
        <v>401.6</v>
      </c>
      <c r="DO50" s="7">
        <f t="shared" si="30"/>
        <v>592</v>
      </c>
      <c r="DP50" s="7">
        <f t="shared" si="31"/>
        <v>828.30000000000007</v>
      </c>
    </row>
    <row r="51" spans="1:120" s="7" customFormat="1" ht="25.5" hidden="1" customHeight="1" x14ac:dyDescent="0.25">
      <c r="A51" s="92" t="str">
        <f t="shared" si="32"/>
        <v>SK-WVI [R10]</v>
      </c>
      <c r="B51" s="92" t="str">
        <f t="shared" si="33"/>
        <v>West Vancouver Island</v>
      </c>
      <c r="C51" s="93" t="str">
        <f t="shared" si="1"/>
        <v>KLANAWA RIVER_Sockeye</v>
      </c>
      <c r="D51" s="128" t="s">
        <v>598</v>
      </c>
      <c r="E51" s="128" t="s">
        <v>598</v>
      </c>
      <c r="F51" s="64">
        <v>21</v>
      </c>
      <c r="G51" s="72" t="s">
        <v>100</v>
      </c>
      <c r="H51" s="67" t="s">
        <v>91</v>
      </c>
      <c r="I51" s="119"/>
      <c r="J51" s="119"/>
      <c r="K51" s="64">
        <v>4</v>
      </c>
      <c r="L51" s="52">
        <v>9</v>
      </c>
      <c r="M51" s="52">
        <v>4</v>
      </c>
      <c r="N51" s="52">
        <f t="shared" si="2"/>
        <v>3.7224194364083982</v>
      </c>
      <c r="O51" s="52">
        <f t="shared" si="3"/>
        <v>16</v>
      </c>
      <c r="P51" s="52">
        <f t="shared" si="4"/>
        <v>3.7224194364083982</v>
      </c>
      <c r="Q51" s="66"/>
      <c r="R51" s="37"/>
      <c r="S51" s="75" t="s">
        <v>286</v>
      </c>
      <c r="T51" s="81" t="e">
        <f t="shared" si="6"/>
        <v>#DIV/0!</v>
      </c>
      <c r="U51" s="81" t="e">
        <f t="shared" si="7"/>
        <v>#DIV/0!</v>
      </c>
      <c r="V51" s="232" t="s">
        <v>262</v>
      </c>
      <c r="W51" s="198" t="s">
        <v>102</v>
      </c>
      <c r="X51" s="52"/>
      <c r="Y51" s="198" t="s">
        <v>102</v>
      </c>
      <c r="Z51" s="52" t="s">
        <v>102</v>
      </c>
      <c r="AA51" s="52" t="s">
        <v>102</v>
      </c>
      <c r="AB51" s="52" t="s">
        <v>102</v>
      </c>
      <c r="AC51" s="52" t="s">
        <v>102</v>
      </c>
      <c r="AD51" s="52" t="s">
        <v>102</v>
      </c>
      <c r="AE51" s="52" t="s">
        <v>102</v>
      </c>
      <c r="AF51" s="52" t="s">
        <v>262</v>
      </c>
      <c r="AG51" s="52" t="s">
        <v>262</v>
      </c>
      <c r="AH51" s="52" t="s">
        <v>262</v>
      </c>
      <c r="AI51" s="52">
        <v>90</v>
      </c>
      <c r="AJ51" s="52" t="s">
        <v>262</v>
      </c>
      <c r="AK51" s="52" t="s">
        <v>262</v>
      </c>
      <c r="AL51" s="200">
        <v>2</v>
      </c>
      <c r="AM51" s="53" t="s">
        <v>262</v>
      </c>
      <c r="AN51" s="52">
        <v>16</v>
      </c>
      <c r="AO51" s="53">
        <v>3</v>
      </c>
      <c r="AP51" s="53" t="s">
        <v>262</v>
      </c>
      <c r="AQ51" s="53">
        <v>2</v>
      </c>
      <c r="AR51" s="53" t="s">
        <v>263</v>
      </c>
      <c r="AS51" s="52" t="s">
        <v>262</v>
      </c>
      <c r="AT51" s="52" t="s">
        <v>262</v>
      </c>
      <c r="AU51" s="52" t="s">
        <v>262</v>
      </c>
      <c r="AV51" s="52" t="s">
        <v>102</v>
      </c>
      <c r="AW51" s="52" t="s">
        <v>102</v>
      </c>
      <c r="AX51" s="51" t="s">
        <v>102</v>
      </c>
      <c r="AY51" s="53" t="s">
        <v>264</v>
      </c>
      <c r="AZ51" s="53" t="s">
        <v>102</v>
      </c>
      <c r="BA51" s="53" t="s">
        <v>264</v>
      </c>
      <c r="BB51" s="53" t="s">
        <v>264</v>
      </c>
      <c r="BC51" s="53" t="s">
        <v>264</v>
      </c>
      <c r="BD51" s="53" t="s">
        <v>102</v>
      </c>
      <c r="BE51" s="53" t="s">
        <v>102</v>
      </c>
      <c r="BF51" s="53" t="s">
        <v>102</v>
      </c>
      <c r="BG51" s="53" t="s">
        <v>102</v>
      </c>
      <c r="BH51" s="53" t="s">
        <v>264</v>
      </c>
      <c r="BI51" s="53" t="s">
        <v>102</v>
      </c>
      <c r="BJ51" s="53" t="s">
        <v>102</v>
      </c>
      <c r="BK51" s="53" t="s">
        <v>102</v>
      </c>
      <c r="BL51" s="53" t="s">
        <v>102</v>
      </c>
      <c r="BM51" s="53" t="s">
        <v>264</v>
      </c>
      <c r="BN51" s="53" t="s">
        <v>264</v>
      </c>
      <c r="BO51" s="53" t="s">
        <v>264</v>
      </c>
      <c r="BP51" s="53" t="s">
        <v>264</v>
      </c>
      <c r="BQ51" s="53" t="s">
        <v>264</v>
      </c>
      <c r="BR51" s="53" t="s">
        <v>264</v>
      </c>
      <c r="BS51" s="53" t="s">
        <v>264</v>
      </c>
      <c r="BT51" s="53" t="s">
        <v>264</v>
      </c>
      <c r="BU51" s="53" t="s">
        <v>264</v>
      </c>
      <c r="BV51" s="53" t="s">
        <v>264</v>
      </c>
      <c r="BW51" s="53" t="s">
        <v>264</v>
      </c>
      <c r="BX51" s="53" t="s">
        <v>264</v>
      </c>
      <c r="BY51" s="53" t="s">
        <v>264</v>
      </c>
      <c r="BZ51" s="53" t="s">
        <v>264</v>
      </c>
      <c r="CA51" s="53" t="s">
        <v>264</v>
      </c>
      <c r="CB51" s="53" t="s">
        <v>264</v>
      </c>
      <c r="CC51" s="53" t="s">
        <v>264</v>
      </c>
      <c r="CD51" s="53" t="s">
        <v>264</v>
      </c>
      <c r="CE51" s="53" t="s">
        <v>264</v>
      </c>
      <c r="CF51" s="53" t="s">
        <v>264</v>
      </c>
      <c r="CG51" s="53" t="s">
        <v>102</v>
      </c>
      <c r="CH51" s="53" t="s">
        <v>264</v>
      </c>
      <c r="CI51" s="53" t="s">
        <v>262</v>
      </c>
      <c r="CJ51" s="53" t="s">
        <v>264</v>
      </c>
      <c r="CK51" s="53" t="s">
        <v>264</v>
      </c>
      <c r="CL51" s="53" t="s">
        <v>264</v>
      </c>
      <c r="CM51" s="53" t="s">
        <v>102</v>
      </c>
      <c r="CN51" s="206"/>
      <c r="CO51" s="206"/>
      <c r="CP51" s="206"/>
      <c r="CQ51" s="8">
        <f t="shared" si="8"/>
        <v>2</v>
      </c>
      <c r="CR51" s="8">
        <f t="shared" si="9"/>
        <v>90</v>
      </c>
      <c r="CS51" s="8">
        <f t="shared" si="10"/>
        <v>22.6</v>
      </c>
      <c r="CT51">
        <f t="shared" si="11"/>
        <v>7.0389640578710457</v>
      </c>
      <c r="CU51" s="143" t="e">
        <f t="shared" si="12"/>
        <v>#DIV/0!</v>
      </c>
      <c r="CV51" s="143" t="e">
        <f t="shared" si="13"/>
        <v>#DIV/0!</v>
      </c>
      <c r="CX51" s="7">
        <f t="shared" si="14"/>
        <v>2</v>
      </c>
      <c r="CY51" s="7">
        <f t="shared" si="15"/>
        <v>2</v>
      </c>
      <c r="CZ51" s="7">
        <f t="shared" si="16"/>
        <v>2</v>
      </c>
      <c r="DA51" s="7">
        <f t="shared" si="17"/>
        <v>2</v>
      </c>
      <c r="DB51" s="7">
        <f t="shared" si="18"/>
        <v>3</v>
      </c>
      <c r="DC51" s="7">
        <f t="shared" si="19"/>
        <v>8.1999999999999993</v>
      </c>
      <c r="DD51" s="7">
        <f t="shared" si="20"/>
        <v>10.8</v>
      </c>
      <c r="DE51" s="7">
        <f t="shared" si="21"/>
        <v>16</v>
      </c>
      <c r="DF51" s="7">
        <f t="shared" si="22"/>
        <v>45.600000000000023</v>
      </c>
      <c r="DH51" s="7">
        <f t="shared" si="23"/>
        <v>2</v>
      </c>
      <c r="DI51" s="7">
        <f t="shared" si="24"/>
        <v>2</v>
      </c>
      <c r="DJ51" s="7">
        <f t="shared" si="25"/>
        <v>2</v>
      </c>
      <c r="DK51" s="7">
        <f t="shared" si="26"/>
        <v>2</v>
      </c>
      <c r="DL51" s="7">
        <f t="shared" si="27"/>
        <v>3</v>
      </c>
      <c r="DM51" s="7">
        <f t="shared" si="28"/>
        <v>8.1999999999999993</v>
      </c>
      <c r="DN51" s="7">
        <f t="shared" si="29"/>
        <v>10.8</v>
      </c>
      <c r="DO51" s="7">
        <f t="shared" si="30"/>
        <v>16</v>
      </c>
      <c r="DP51" s="7">
        <f t="shared" si="31"/>
        <v>45.600000000000023</v>
      </c>
    </row>
    <row r="52" spans="1:120" s="7" customFormat="1" ht="25.5" customHeight="1" x14ac:dyDescent="0.25">
      <c r="A52" s="92" t="str">
        <f t="shared" si="32"/>
        <v>CK-SWVI [31]</v>
      </c>
      <c r="B52" s="92" t="str">
        <f t="shared" si="33"/>
        <v>Southwest Vancouver Island</v>
      </c>
      <c r="C52" s="93" t="str">
        <f t="shared" si="1"/>
        <v>CAMPUS CREEK_Chinook</v>
      </c>
      <c r="D52" s="128" t="s">
        <v>598</v>
      </c>
      <c r="E52" s="128" t="s">
        <v>598</v>
      </c>
      <c r="F52" s="64">
        <v>22</v>
      </c>
      <c r="G52" s="72" t="s">
        <v>106</v>
      </c>
      <c r="H52" s="67" t="s">
        <v>97</v>
      </c>
      <c r="I52" s="119"/>
      <c r="J52" s="119"/>
      <c r="K52" s="64">
        <v>4</v>
      </c>
      <c r="L52" s="52">
        <v>6</v>
      </c>
      <c r="M52" s="52">
        <v>1</v>
      </c>
      <c r="N52" s="52" t="e">
        <f t="shared" si="2"/>
        <v>#NUM!</v>
      </c>
      <c r="O52" s="52">
        <f t="shared" si="3"/>
        <v>1500</v>
      </c>
      <c r="P52" s="52">
        <f t="shared" si="4"/>
        <v>1500</v>
      </c>
      <c r="Q52" s="66"/>
      <c r="R52" s="39"/>
      <c r="S52" s="74" t="s">
        <v>325</v>
      </c>
      <c r="T52" s="81">
        <f t="shared" si="6"/>
        <v>72.333333333333329</v>
      </c>
      <c r="U52" s="81">
        <f t="shared" si="7"/>
        <v>72.333333333333329</v>
      </c>
      <c r="V52" s="233">
        <v>11</v>
      </c>
      <c r="W52" s="52">
        <v>204</v>
      </c>
      <c r="X52" s="52">
        <v>2</v>
      </c>
      <c r="Y52" s="52" t="s">
        <v>262</v>
      </c>
      <c r="Z52" s="144" t="s">
        <v>102</v>
      </c>
      <c r="AA52" s="144" t="s">
        <v>102</v>
      </c>
      <c r="AB52" s="144" t="s">
        <v>102</v>
      </c>
      <c r="AC52" s="144" t="s">
        <v>102</v>
      </c>
      <c r="AD52" s="144" t="s">
        <v>102</v>
      </c>
      <c r="AE52" s="144" t="s">
        <v>102</v>
      </c>
      <c r="AF52" s="144" t="s">
        <v>102</v>
      </c>
      <c r="AG52" s="52" t="s">
        <v>263</v>
      </c>
      <c r="AH52" s="52" t="s">
        <v>102</v>
      </c>
      <c r="AI52" s="52" t="s">
        <v>102</v>
      </c>
      <c r="AJ52" s="52" t="s">
        <v>102</v>
      </c>
      <c r="AK52" s="52" t="s">
        <v>102</v>
      </c>
      <c r="AL52" s="52" t="s">
        <v>102</v>
      </c>
      <c r="AM52" s="52" t="s">
        <v>102</v>
      </c>
      <c r="AN52" s="52" t="s">
        <v>102</v>
      </c>
      <c r="AO52" s="52" t="s">
        <v>102</v>
      </c>
      <c r="AP52" s="52" t="s">
        <v>102</v>
      </c>
      <c r="AQ52" s="53" t="s">
        <v>262</v>
      </c>
      <c r="AR52" s="53" t="s">
        <v>263</v>
      </c>
      <c r="AS52" s="52" t="s">
        <v>262</v>
      </c>
      <c r="AT52" s="52" t="s">
        <v>262</v>
      </c>
      <c r="AU52" s="52" t="s">
        <v>262</v>
      </c>
      <c r="AV52" s="52" t="s">
        <v>262</v>
      </c>
      <c r="AW52" s="69"/>
      <c r="AX52" s="51" t="s">
        <v>264</v>
      </c>
      <c r="AY52" s="53" t="s">
        <v>102</v>
      </c>
      <c r="AZ52" s="53" t="s">
        <v>264</v>
      </c>
      <c r="BA52" s="53">
        <v>1500</v>
      </c>
      <c r="BB52" s="53" t="s">
        <v>264</v>
      </c>
      <c r="BC52" s="53" t="s">
        <v>264</v>
      </c>
      <c r="BD52" s="53" t="s">
        <v>102</v>
      </c>
      <c r="BE52" s="53" t="s">
        <v>102</v>
      </c>
      <c r="BF52" s="53" t="s">
        <v>102</v>
      </c>
      <c r="BG52" s="53" t="s">
        <v>102</v>
      </c>
      <c r="BH52" s="53" t="s">
        <v>102</v>
      </c>
      <c r="BI52" s="53" t="s">
        <v>102</v>
      </c>
      <c r="BJ52" s="53" t="s">
        <v>102</v>
      </c>
      <c r="BK52" s="53" t="s">
        <v>102</v>
      </c>
      <c r="BL52" s="53" t="s">
        <v>102</v>
      </c>
      <c r="BM52" s="53" t="s">
        <v>102</v>
      </c>
      <c r="BN52" s="53" t="s">
        <v>102</v>
      </c>
      <c r="BO52" s="53" t="s">
        <v>102</v>
      </c>
      <c r="BP52" s="53" t="s">
        <v>102</v>
      </c>
      <c r="BQ52" s="53" t="s">
        <v>102</v>
      </c>
      <c r="BR52" s="53" t="s">
        <v>102</v>
      </c>
      <c r="BS52" s="53" t="s">
        <v>102</v>
      </c>
      <c r="BT52" s="53" t="s">
        <v>102</v>
      </c>
      <c r="BU52" s="53" t="s">
        <v>102</v>
      </c>
      <c r="BV52" s="53" t="s">
        <v>102</v>
      </c>
      <c r="BW52" s="53" t="s">
        <v>102</v>
      </c>
      <c r="BX52" s="53" t="s">
        <v>102</v>
      </c>
      <c r="BY52" s="53" t="s">
        <v>102</v>
      </c>
      <c r="BZ52" s="53" t="s">
        <v>102</v>
      </c>
      <c r="CA52" s="53" t="s">
        <v>102</v>
      </c>
      <c r="CB52" s="53" t="s">
        <v>102</v>
      </c>
      <c r="CC52" s="53" t="s">
        <v>102</v>
      </c>
      <c r="CD52" s="53" t="s">
        <v>102</v>
      </c>
      <c r="CE52" s="53" t="s">
        <v>102</v>
      </c>
      <c r="CF52" s="53" t="s">
        <v>102</v>
      </c>
      <c r="CG52" s="53" t="s">
        <v>102</v>
      </c>
      <c r="CH52" s="53" t="s">
        <v>102</v>
      </c>
      <c r="CI52" s="53" t="s">
        <v>102</v>
      </c>
      <c r="CJ52" s="53" t="s">
        <v>102</v>
      </c>
      <c r="CK52" s="53" t="s">
        <v>102</v>
      </c>
      <c r="CL52" s="53" t="s">
        <v>102</v>
      </c>
      <c r="CM52" s="53" t="s">
        <v>102</v>
      </c>
      <c r="CN52" s="206"/>
      <c r="CO52" s="206"/>
      <c r="CP52" s="206"/>
      <c r="CQ52" s="8">
        <f t="shared" si="8"/>
        <v>2</v>
      </c>
      <c r="CR52" s="8">
        <f t="shared" si="9"/>
        <v>1500</v>
      </c>
      <c r="CS52" s="8">
        <f t="shared" si="10"/>
        <v>429.25</v>
      </c>
      <c r="CT52">
        <f t="shared" si="11"/>
        <v>50.937312426675575</v>
      </c>
      <c r="CU52" s="143">
        <f t="shared" si="12"/>
        <v>72.333333333333329</v>
      </c>
      <c r="CV52" s="143">
        <f t="shared" si="13"/>
        <v>72.333333333333329</v>
      </c>
      <c r="CX52" s="7">
        <f t="shared" si="14"/>
        <v>3.3499999999999992</v>
      </c>
      <c r="CY52" s="7">
        <f t="shared" si="15"/>
        <v>6.05</v>
      </c>
      <c r="CZ52" s="7">
        <f t="shared" si="16"/>
        <v>7.4</v>
      </c>
      <c r="DA52" s="7">
        <f t="shared" si="17"/>
        <v>8.75</v>
      </c>
      <c r="DB52" s="7">
        <f t="shared" si="18"/>
        <v>107.5</v>
      </c>
      <c r="DC52" s="7">
        <f t="shared" si="19"/>
        <v>165.39999999999998</v>
      </c>
      <c r="DD52" s="7">
        <f t="shared" si="20"/>
        <v>194.35000000000002</v>
      </c>
      <c r="DE52" s="7">
        <f t="shared" si="21"/>
        <v>528</v>
      </c>
      <c r="DF52" s="7">
        <f t="shared" si="22"/>
        <v>916.79999999999973</v>
      </c>
      <c r="DH52" s="7">
        <f t="shared" si="23"/>
        <v>2.9000000000000008</v>
      </c>
      <c r="DI52" s="7">
        <f t="shared" si="24"/>
        <v>4.7</v>
      </c>
      <c r="DJ52" s="7">
        <f t="shared" si="25"/>
        <v>5.6</v>
      </c>
      <c r="DK52" s="7">
        <f t="shared" si="26"/>
        <v>6.5</v>
      </c>
      <c r="DL52" s="7">
        <f t="shared" si="27"/>
        <v>11</v>
      </c>
      <c r="DM52" s="7">
        <f t="shared" si="28"/>
        <v>49.600000000000037</v>
      </c>
      <c r="DN52" s="7">
        <f t="shared" si="29"/>
        <v>68.899999999999963</v>
      </c>
      <c r="DO52" s="7">
        <f t="shared" si="30"/>
        <v>107.5</v>
      </c>
      <c r="DP52" s="7">
        <f t="shared" si="31"/>
        <v>146.10000000000002</v>
      </c>
    </row>
    <row r="53" spans="1:120" s="7" customFormat="1" ht="25.5" hidden="1" customHeight="1" x14ac:dyDescent="0.25">
      <c r="A53" s="92" t="str">
        <f t="shared" si="32"/>
        <v>CM-SWVI [10]</v>
      </c>
      <c r="B53" s="92" t="str">
        <f t="shared" si="33"/>
        <v>Southwest Vancouver Island</v>
      </c>
      <c r="C53" s="93" t="str">
        <f t="shared" si="1"/>
        <v>CAMPUS CREEK_Chum</v>
      </c>
      <c r="D53" s="128" t="s">
        <v>598</v>
      </c>
      <c r="E53" s="128" t="s">
        <v>598</v>
      </c>
      <c r="F53" s="64">
        <v>22</v>
      </c>
      <c r="G53" s="72" t="s">
        <v>106</v>
      </c>
      <c r="H53" s="67" t="s">
        <v>96</v>
      </c>
      <c r="I53" s="119"/>
      <c r="J53" s="119"/>
      <c r="K53" s="64">
        <v>4</v>
      </c>
      <c r="L53" s="52">
        <v>6</v>
      </c>
      <c r="M53" s="52">
        <v>6</v>
      </c>
      <c r="N53" s="52">
        <f t="shared" si="2"/>
        <v>2418.3592239599684</v>
      </c>
      <c r="O53" s="52">
        <f t="shared" si="3"/>
        <v>5500</v>
      </c>
      <c r="P53" s="52">
        <f t="shared" si="4"/>
        <v>1026.0404207444417</v>
      </c>
      <c r="Q53" s="66"/>
      <c r="R53" s="39"/>
      <c r="S53" s="74" t="s">
        <v>297</v>
      </c>
      <c r="T53" s="81">
        <f t="shared" si="6"/>
        <v>1796.5</v>
      </c>
      <c r="U53" s="81">
        <f t="shared" si="7"/>
        <v>1476.2222222222222</v>
      </c>
      <c r="V53" s="233">
        <v>2424</v>
      </c>
      <c r="W53" s="52">
        <v>1070</v>
      </c>
      <c r="X53" s="52">
        <v>2929</v>
      </c>
      <c r="Y53" s="52">
        <v>763</v>
      </c>
      <c r="Z53" s="144" t="s">
        <v>102</v>
      </c>
      <c r="AA53" s="144" t="s">
        <v>102</v>
      </c>
      <c r="AB53" s="144">
        <v>2000</v>
      </c>
      <c r="AC53" s="144">
        <v>2000</v>
      </c>
      <c r="AD53" s="144" t="s">
        <v>102</v>
      </c>
      <c r="AE53" s="144">
        <v>300</v>
      </c>
      <c r="AF53" s="144">
        <v>1000</v>
      </c>
      <c r="AG53" s="52">
        <v>800</v>
      </c>
      <c r="AH53" s="52" t="s">
        <v>102</v>
      </c>
      <c r="AI53" s="52">
        <v>300</v>
      </c>
      <c r="AJ53" s="52" t="s">
        <v>102</v>
      </c>
      <c r="AK53" s="52" t="s">
        <v>102</v>
      </c>
      <c r="AL53" s="52" t="s">
        <v>102</v>
      </c>
      <c r="AM53" s="52" t="s">
        <v>102</v>
      </c>
      <c r="AN53" s="52" t="s">
        <v>102</v>
      </c>
      <c r="AO53" s="52" t="s">
        <v>102</v>
      </c>
      <c r="AP53" s="52" t="s">
        <v>102</v>
      </c>
      <c r="AQ53" s="53" t="s">
        <v>263</v>
      </c>
      <c r="AR53" s="53" t="s">
        <v>263</v>
      </c>
      <c r="AS53" s="52">
        <v>1382</v>
      </c>
      <c r="AT53" s="52">
        <v>1500</v>
      </c>
      <c r="AU53" s="52">
        <v>3000</v>
      </c>
      <c r="AV53" s="52">
        <v>5500</v>
      </c>
      <c r="AW53" s="69"/>
      <c r="AX53" s="51">
        <v>500</v>
      </c>
      <c r="AY53" s="53" t="s">
        <v>102</v>
      </c>
      <c r="AZ53" s="53" t="s">
        <v>264</v>
      </c>
      <c r="BA53" s="53" t="s">
        <v>264</v>
      </c>
      <c r="BB53" s="53">
        <v>700</v>
      </c>
      <c r="BC53" s="53">
        <v>100</v>
      </c>
      <c r="BD53" s="53" t="s">
        <v>102</v>
      </c>
      <c r="BE53" s="53" t="s">
        <v>102</v>
      </c>
      <c r="BF53" s="53" t="s">
        <v>102</v>
      </c>
      <c r="BG53" s="53" t="s">
        <v>102</v>
      </c>
      <c r="BH53" s="53" t="s">
        <v>102</v>
      </c>
      <c r="BI53" s="53" t="s">
        <v>102</v>
      </c>
      <c r="BJ53" s="53" t="s">
        <v>102</v>
      </c>
      <c r="BK53" s="53" t="s">
        <v>102</v>
      </c>
      <c r="BL53" s="53" t="s">
        <v>102</v>
      </c>
      <c r="BM53" s="53" t="s">
        <v>102</v>
      </c>
      <c r="BN53" s="53" t="s">
        <v>102</v>
      </c>
      <c r="BO53" s="53" t="s">
        <v>102</v>
      </c>
      <c r="BP53" s="53" t="s">
        <v>102</v>
      </c>
      <c r="BQ53" s="53" t="s">
        <v>102</v>
      </c>
      <c r="BR53" s="53" t="s">
        <v>102</v>
      </c>
      <c r="BS53" s="53" t="s">
        <v>102</v>
      </c>
      <c r="BT53" s="53" t="s">
        <v>102</v>
      </c>
      <c r="BU53" s="53" t="s">
        <v>102</v>
      </c>
      <c r="BV53" s="53" t="s">
        <v>102</v>
      </c>
      <c r="BW53" s="53" t="s">
        <v>102</v>
      </c>
      <c r="BX53" s="53" t="s">
        <v>102</v>
      </c>
      <c r="BY53" s="53" t="s">
        <v>102</v>
      </c>
      <c r="BZ53" s="53" t="s">
        <v>102</v>
      </c>
      <c r="CA53" s="53" t="s">
        <v>102</v>
      </c>
      <c r="CB53" s="53" t="s">
        <v>102</v>
      </c>
      <c r="CC53" s="53" t="s">
        <v>102</v>
      </c>
      <c r="CD53" s="53" t="s">
        <v>102</v>
      </c>
      <c r="CE53" s="53" t="s">
        <v>102</v>
      </c>
      <c r="CF53" s="53" t="s">
        <v>102</v>
      </c>
      <c r="CG53" s="53" t="s">
        <v>102</v>
      </c>
      <c r="CH53" s="53" t="s">
        <v>102</v>
      </c>
      <c r="CI53" s="53" t="s">
        <v>102</v>
      </c>
      <c r="CJ53" s="53" t="s">
        <v>102</v>
      </c>
      <c r="CK53" s="53" t="s">
        <v>102</v>
      </c>
      <c r="CL53" s="53" t="s">
        <v>102</v>
      </c>
      <c r="CM53" s="53" t="s">
        <v>102</v>
      </c>
      <c r="CN53" s="206"/>
      <c r="CO53" s="206"/>
      <c r="CP53" s="206"/>
      <c r="CQ53" s="8">
        <f t="shared" si="8"/>
        <v>100</v>
      </c>
      <c r="CR53" s="8">
        <f t="shared" si="9"/>
        <v>5500</v>
      </c>
      <c r="CS53" s="8">
        <f t="shared" si="10"/>
        <v>1545.1764705882354</v>
      </c>
      <c r="CT53">
        <f t="shared" si="11"/>
        <v>1041.5700307086022</v>
      </c>
      <c r="CU53" s="143">
        <f t="shared" si="12"/>
        <v>1796.5</v>
      </c>
      <c r="CV53" s="143">
        <f t="shared" si="13"/>
        <v>1476.2222222222222</v>
      </c>
      <c r="CX53" s="7">
        <f t="shared" si="14"/>
        <v>260</v>
      </c>
      <c r="CY53" s="7">
        <f t="shared" si="15"/>
        <v>380</v>
      </c>
      <c r="CZ53" s="7">
        <f t="shared" si="16"/>
        <v>540</v>
      </c>
      <c r="DA53" s="7">
        <f t="shared" si="17"/>
        <v>700</v>
      </c>
      <c r="DB53" s="7">
        <f t="shared" si="18"/>
        <v>1070</v>
      </c>
      <c r="DC53" s="7">
        <f t="shared" si="19"/>
        <v>1452.8</v>
      </c>
      <c r="DD53" s="7">
        <f t="shared" si="20"/>
        <v>1700.0000000000002</v>
      </c>
      <c r="DE53" s="7">
        <f t="shared" si="21"/>
        <v>2000</v>
      </c>
      <c r="DF53" s="7">
        <f t="shared" si="22"/>
        <v>2727</v>
      </c>
      <c r="DH53" s="7">
        <f t="shared" si="23"/>
        <v>300</v>
      </c>
      <c r="DI53" s="7">
        <f t="shared" si="24"/>
        <v>739.85000000000014</v>
      </c>
      <c r="DJ53" s="7">
        <f t="shared" si="25"/>
        <v>785.2</v>
      </c>
      <c r="DK53" s="7">
        <f t="shared" si="26"/>
        <v>850</v>
      </c>
      <c r="DL53" s="7">
        <f t="shared" si="27"/>
        <v>1441</v>
      </c>
      <c r="DM53" s="7">
        <f t="shared" si="28"/>
        <v>1900.0000000000005</v>
      </c>
      <c r="DN53" s="7">
        <f t="shared" si="29"/>
        <v>2000</v>
      </c>
      <c r="DO53" s="7">
        <f t="shared" si="30"/>
        <v>2318</v>
      </c>
      <c r="DP53" s="7">
        <f t="shared" si="31"/>
        <v>2932.5499999999997</v>
      </c>
    </row>
    <row r="54" spans="1:120" s="7" customFormat="1" ht="25.5" hidden="1" customHeight="1" x14ac:dyDescent="0.25">
      <c r="A54" s="92" t="str">
        <f t="shared" si="32"/>
        <v>CO-JdF [16]</v>
      </c>
      <c r="B54" s="92" t="str">
        <f t="shared" si="33"/>
        <v>Juan de Fuca-Pachena</v>
      </c>
      <c r="C54" s="93" t="str">
        <f t="shared" si="1"/>
        <v>CAMPUS CREEK_Coho</v>
      </c>
      <c r="D54" s="128" t="s">
        <v>598</v>
      </c>
      <c r="E54" s="128" t="s">
        <v>598</v>
      </c>
      <c r="F54" s="64">
        <v>22</v>
      </c>
      <c r="G54" s="72" t="s">
        <v>106</v>
      </c>
      <c r="H54" s="67" t="s">
        <v>93</v>
      </c>
      <c r="I54" s="119"/>
      <c r="J54" s="119"/>
      <c r="K54" s="64">
        <v>4</v>
      </c>
      <c r="L54" s="52">
        <v>6</v>
      </c>
      <c r="M54" s="52">
        <v>4</v>
      </c>
      <c r="N54" s="52">
        <f t="shared" si="2"/>
        <v>56.231663678038196</v>
      </c>
      <c r="O54" s="52">
        <f t="shared" si="3"/>
        <v>93</v>
      </c>
      <c r="P54" s="52">
        <f t="shared" si="4"/>
        <v>56.231663678038196</v>
      </c>
      <c r="Q54" s="66"/>
      <c r="R54" s="39"/>
      <c r="S54" s="74" t="s">
        <v>298</v>
      </c>
      <c r="T54" s="81">
        <f t="shared" si="6"/>
        <v>40.333333333333336</v>
      </c>
      <c r="U54" s="81">
        <f t="shared" si="7"/>
        <v>40.333333333333336</v>
      </c>
      <c r="V54" s="233">
        <v>71</v>
      </c>
      <c r="W54" s="52">
        <v>10</v>
      </c>
      <c r="X54" s="230" t="s">
        <v>262</v>
      </c>
      <c r="Y54" s="52">
        <v>40</v>
      </c>
      <c r="Z54" s="144" t="s">
        <v>102</v>
      </c>
      <c r="AA54" s="144" t="s">
        <v>102</v>
      </c>
      <c r="AB54" s="144" t="s">
        <v>102</v>
      </c>
      <c r="AC54" s="144" t="s">
        <v>102</v>
      </c>
      <c r="AD54" s="144" t="s">
        <v>102</v>
      </c>
      <c r="AE54" s="144" t="s">
        <v>102</v>
      </c>
      <c r="AF54" s="144" t="s">
        <v>102</v>
      </c>
      <c r="AG54" s="52" t="s">
        <v>263</v>
      </c>
      <c r="AH54" s="52" t="s">
        <v>102</v>
      </c>
      <c r="AI54" s="52" t="s">
        <v>102</v>
      </c>
      <c r="AJ54" s="52" t="s">
        <v>102</v>
      </c>
      <c r="AK54" s="52" t="s">
        <v>102</v>
      </c>
      <c r="AL54" s="52" t="s">
        <v>102</v>
      </c>
      <c r="AM54" s="52" t="s">
        <v>102</v>
      </c>
      <c r="AN54" s="52" t="s">
        <v>102</v>
      </c>
      <c r="AO54" s="52" t="s">
        <v>102</v>
      </c>
      <c r="AP54" s="52" t="s">
        <v>102</v>
      </c>
      <c r="AQ54" s="53" t="s">
        <v>263</v>
      </c>
      <c r="AR54" s="53" t="s">
        <v>263</v>
      </c>
      <c r="AS54" s="52" t="s">
        <v>262</v>
      </c>
      <c r="AT54" s="52">
        <v>93</v>
      </c>
      <c r="AU54" s="52">
        <v>34</v>
      </c>
      <c r="AV54" s="52" t="s">
        <v>262</v>
      </c>
      <c r="AW54" s="69"/>
      <c r="AX54" s="51" t="s">
        <v>262</v>
      </c>
      <c r="AY54" s="53" t="s">
        <v>102</v>
      </c>
      <c r="AZ54" s="53" t="s">
        <v>264</v>
      </c>
      <c r="BA54" s="53" t="s">
        <v>262</v>
      </c>
      <c r="BB54" s="53" t="s">
        <v>264</v>
      </c>
      <c r="BC54" s="53" t="s">
        <v>262</v>
      </c>
      <c r="BD54" s="53" t="s">
        <v>102</v>
      </c>
      <c r="BE54" s="53" t="s">
        <v>102</v>
      </c>
      <c r="BF54" s="53" t="s">
        <v>102</v>
      </c>
      <c r="BG54" s="53" t="s">
        <v>102</v>
      </c>
      <c r="BH54" s="53" t="s">
        <v>102</v>
      </c>
      <c r="BI54" s="53" t="s">
        <v>102</v>
      </c>
      <c r="BJ54" s="53" t="s">
        <v>102</v>
      </c>
      <c r="BK54" s="53" t="s">
        <v>102</v>
      </c>
      <c r="BL54" s="53" t="s">
        <v>102</v>
      </c>
      <c r="BM54" s="53" t="s">
        <v>102</v>
      </c>
      <c r="BN54" s="53" t="s">
        <v>102</v>
      </c>
      <c r="BO54" s="53" t="s">
        <v>102</v>
      </c>
      <c r="BP54" s="53" t="s">
        <v>102</v>
      </c>
      <c r="BQ54" s="53" t="s">
        <v>102</v>
      </c>
      <c r="BR54" s="53" t="s">
        <v>102</v>
      </c>
      <c r="BS54" s="53" t="s">
        <v>102</v>
      </c>
      <c r="BT54" s="53" t="s">
        <v>102</v>
      </c>
      <c r="BU54" s="53" t="s">
        <v>102</v>
      </c>
      <c r="BV54" s="53" t="s">
        <v>102</v>
      </c>
      <c r="BW54" s="53" t="s">
        <v>102</v>
      </c>
      <c r="BX54" s="53" t="s">
        <v>102</v>
      </c>
      <c r="BY54" s="53" t="s">
        <v>102</v>
      </c>
      <c r="BZ54" s="53" t="s">
        <v>102</v>
      </c>
      <c r="CA54" s="53" t="s">
        <v>102</v>
      </c>
      <c r="CB54" s="53" t="s">
        <v>102</v>
      </c>
      <c r="CC54" s="53" t="s">
        <v>102</v>
      </c>
      <c r="CD54" s="53" t="s">
        <v>102</v>
      </c>
      <c r="CE54" s="53" t="s">
        <v>102</v>
      </c>
      <c r="CF54" s="53" t="s">
        <v>102</v>
      </c>
      <c r="CG54" s="53" t="s">
        <v>102</v>
      </c>
      <c r="CH54" s="53" t="s">
        <v>102</v>
      </c>
      <c r="CI54" s="53" t="s">
        <v>102</v>
      </c>
      <c r="CJ54" s="53" t="s">
        <v>102</v>
      </c>
      <c r="CK54" s="53" t="s">
        <v>102</v>
      </c>
      <c r="CL54" s="53" t="s">
        <v>102</v>
      </c>
      <c r="CM54" s="53" t="s">
        <v>102</v>
      </c>
      <c r="CN54" s="206"/>
      <c r="CO54" s="206"/>
      <c r="CP54" s="206"/>
      <c r="CQ54" s="8">
        <f t="shared" si="8"/>
        <v>10</v>
      </c>
      <c r="CR54" s="8">
        <f t="shared" si="9"/>
        <v>93</v>
      </c>
      <c r="CS54" s="8">
        <f t="shared" si="10"/>
        <v>49.6</v>
      </c>
      <c r="CT54">
        <f t="shared" si="11"/>
        <v>38.963327700489337</v>
      </c>
      <c r="CU54" s="143">
        <f t="shared" si="12"/>
        <v>40.333333333333336</v>
      </c>
      <c r="CV54" s="143">
        <f t="shared" si="13"/>
        <v>40.333333333333336</v>
      </c>
      <c r="CX54" s="7">
        <f t="shared" si="14"/>
        <v>14.799999999999999</v>
      </c>
      <c r="CY54" s="7">
        <f t="shared" si="15"/>
        <v>24.400000000000002</v>
      </c>
      <c r="CZ54" s="7">
        <f t="shared" si="16"/>
        <v>29.200000000000003</v>
      </c>
      <c r="DA54" s="7">
        <f t="shared" si="17"/>
        <v>34</v>
      </c>
      <c r="DB54" s="7">
        <f t="shared" si="18"/>
        <v>40</v>
      </c>
      <c r="DC54" s="7">
        <f t="shared" si="19"/>
        <v>52.4</v>
      </c>
      <c r="DD54" s="7">
        <f t="shared" si="20"/>
        <v>58.6</v>
      </c>
      <c r="DE54" s="7">
        <f t="shared" si="21"/>
        <v>71</v>
      </c>
      <c r="DF54" s="7">
        <f t="shared" si="22"/>
        <v>79.800000000000011</v>
      </c>
      <c r="DH54" s="7">
        <f t="shared" si="23"/>
        <v>14.799999999999999</v>
      </c>
      <c r="DI54" s="7">
        <f t="shared" si="24"/>
        <v>24.400000000000002</v>
      </c>
      <c r="DJ54" s="7">
        <f t="shared" si="25"/>
        <v>29.200000000000003</v>
      </c>
      <c r="DK54" s="7">
        <f t="shared" si="26"/>
        <v>34</v>
      </c>
      <c r="DL54" s="7">
        <f t="shared" si="27"/>
        <v>40</v>
      </c>
      <c r="DM54" s="7">
        <f t="shared" si="28"/>
        <v>52.4</v>
      </c>
      <c r="DN54" s="7">
        <f t="shared" si="29"/>
        <v>58.6</v>
      </c>
      <c r="DO54" s="7">
        <f t="shared" si="30"/>
        <v>71</v>
      </c>
      <c r="DP54" s="7">
        <f t="shared" si="31"/>
        <v>79.800000000000011</v>
      </c>
    </row>
    <row r="55" spans="1:120" s="7" customFormat="1" ht="25.5" customHeight="1" x14ac:dyDescent="0.25">
      <c r="A55" s="92" t="str">
        <f t="shared" si="32"/>
        <v>CK-SWVI [31]</v>
      </c>
      <c r="B55" s="92" t="str">
        <f t="shared" si="33"/>
        <v>Southwest Vancouver Island</v>
      </c>
      <c r="C55" s="93" t="str">
        <f t="shared" si="1"/>
        <v>CAYCUSE RIVER_Chinook</v>
      </c>
      <c r="D55" s="128" t="s">
        <v>598</v>
      </c>
      <c r="E55" s="128" t="s">
        <v>598</v>
      </c>
      <c r="F55" s="64">
        <v>22</v>
      </c>
      <c r="G55" s="72" t="s">
        <v>105</v>
      </c>
      <c r="H55" s="67" t="s">
        <v>97</v>
      </c>
      <c r="I55" s="119"/>
      <c r="J55" s="119"/>
      <c r="K55" s="64">
        <v>4</v>
      </c>
      <c r="L55" s="52">
        <v>7</v>
      </c>
      <c r="M55" s="52">
        <v>3</v>
      </c>
      <c r="N55" s="52">
        <f t="shared" si="2"/>
        <v>20.784609690826528</v>
      </c>
      <c r="O55" s="52">
        <f t="shared" si="3"/>
        <v>75</v>
      </c>
      <c r="P55" s="52">
        <f t="shared" si="4"/>
        <v>28.741017884657055</v>
      </c>
      <c r="Q55" s="66"/>
      <c r="R55" s="37"/>
      <c r="S55" s="37" t="s">
        <v>300</v>
      </c>
      <c r="T55" s="81" t="e">
        <f t="shared" si="6"/>
        <v>#DIV/0!</v>
      </c>
      <c r="U55" s="81" t="e">
        <f t="shared" si="7"/>
        <v>#DIV/0!</v>
      </c>
      <c r="V55" s="232" t="s">
        <v>102</v>
      </c>
      <c r="W55" s="52" t="s">
        <v>102</v>
      </c>
      <c r="X55" s="52" t="s">
        <v>102</v>
      </c>
      <c r="Y55" s="52" t="s">
        <v>263</v>
      </c>
      <c r="Z55" s="144" t="s">
        <v>102</v>
      </c>
      <c r="AA55" s="144" t="s">
        <v>102</v>
      </c>
      <c r="AB55" s="144" t="s">
        <v>102</v>
      </c>
      <c r="AC55" s="144" t="s">
        <v>102</v>
      </c>
      <c r="AD55" s="144" t="s">
        <v>102</v>
      </c>
      <c r="AE55" s="144" t="s">
        <v>102</v>
      </c>
      <c r="AF55" s="144" t="s">
        <v>102</v>
      </c>
      <c r="AG55" s="52" t="s">
        <v>102</v>
      </c>
      <c r="AH55" s="52" t="s">
        <v>102</v>
      </c>
      <c r="AI55" s="52" t="s">
        <v>102</v>
      </c>
      <c r="AJ55" s="52" t="s">
        <v>102</v>
      </c>
      <c r="AK55" s="54"/>
      <c r="AL55" s="89">
        <v>6</v>
      </c>
      <c r="AM55" s="52" t="s">
        <v>262</v>
      </c>
      <c r="AN55" s="52" t="s">
        <v>102</v>
      </c>
      <c r="AO55" s="52" t="s">
        <v>102</v>
      </c>
      <c r="AP55" s="52" t="s">
        <v>102</v>
      </c>
      <c r="AQ55" s="52" t="s">
        <v>262</v>
      </c>
      <c r="AR55" s="123" t="s">
        <v>263</v>
      </c>
      <c r="AS55" s="52" t="s">
        <v>262</v>
      </c>
      <c r="AT55" s="52">
        <v>72</v>
      </c>
      <c r="AU55" s="52" t="s">
        <v>262</v>
      </c>
      <c r="AV55" s="52" t="s">
        <v>263</v>
      </c>
      <c r="AW55" s="69"/>
      <c r="AX55" s="51" t="s">
        <v>264</v>
      </c>
      <c r="AY55" s="53" t="s">
        <v>264</v>
      </c>
      <c r="AZ55" s="53">
        <v>20</v>
      </c>
      <c r="BA55" s="53" t="s">
        <v>262</v>
      </c>
      <c r="BB55" s="53">
        <v>75</v>
      </c>
      <c r="BC55" s="53">
        <v>50</v>
      </c>
      <c r="BD55" s="53" t="s">
        <v>102</v>
      </c>
      <c r="BE55" s="53" t="s">
        <v>264</v>
      </c>
      <c r="BF55" s="53">
        <v>20</v>
      </c>
      <c r="BG55" s="53" t="s">
        <v>102</v>
      </c>
      <c r="BH55" s="53" t="s">
        <v>264</v>
      </c>
      <c r="BI55" s="53" t="s">
        <v>102</v>
      </c>
      <c r="BJ55" s="53" t="s">
        <v>102</v>
      </c>
      <c r="BK55" s="53" t="s">
        <v>102</v>
      </c>
      <c r="BL55" s="53" t="s">
        <v>264</v>
      </c>
      <c r="BM55" s="53" t="s">
        <v>264</v>
      </c>
      <c r="BN55" s="53" t="s">
        <v>264</v>
      </c>
      <c r="BO55" s="53" t="s">
        <v>264</v>
      </c>
      <c r="BP55" s="53" t="s">
        <v>264</v>
      </c>
      <c r="BQ55" s="53" t="s">
        <v>264</v>
      </c>
      <c r="BR55" s="53" t="s">
        <v>264</v>
      </c>
      <c r="BS55" s="53" t="s">
        <v>264</v>
      </c>
      <c r="BT55" s="53" t="s">
        <v>264</v>
      </c>
      <c r="BU55" s="53" t="s">
        <v>264</v>
      </c>
      <c r="BV55" s="53" t="s">
        <v>264</v>
      </c>
      <c r="BW55" s="53" t="s">
        <v>264</v>
      </c>
      <c r="BX55" s="53" t="s">
        <v>264</v>
      </c>
      <c r="BY55" s="53" t="s">
        <v>264</v>
      </c>
      <c r="BZ55" s="53" t="s">
        <v>262</v>
      </c>
      <c r="CA55" s="53">
        <v>25</v>
      </c>
      <c r="CB55" s="53" t="s">
        <v>264</v>
      </c>
      <c r="CC55" s="53" t="s">
        <v>264</v>
      </c>
      <c r="CD55" s="53" t="s">
        <v>264</v>
      </c>
      <c r="CE55" s="53" t="s">
        <v>264</v>
      </c>
      <c r="CF55" s="53" t="s">
        <v>264</v>
      </c>
      <c r="CG55" s="53" t="s">
        <v>264</v>
      </c>
      <c r="CH55" s="53" t="s">
        <v>264</v>
      </c>
      <c r="CI55" s="53" t="s">
        <v>264</v>
      </c>
      <c r="CJ55" s="53" t="s">
        <v>264</v>
      </c>
      <c r="CK55" s="53" t="s">
        <v>264</v>
      </c>
      <c r="CL55" s="53" t="s">
        <v>264</v>
      </c>
      <c r="CM55" s="53" t="s">
        <v>264</v>
      </c>
      <c r="CN55" s="206"/>
      <c r="CO55" s="206"/>
      <c r="CP55" s="206"/>
      <c r="CQ55" s="8">
        <f t="shared" si="8"/>
        <v>6</v>
      </c>
      <c r="CR55" s="8">
        <f t="shared" si="9"/>
        <v>75</v>
      </c>
      <c r="CS55" s="8">
        <f t="shared" si="10"/>
        <v>38.285714285714285</v>
      </c>
      <c r="CT55">
        <f t="shared" si="11"/>
        <v>28.741017884657055</v>
      </c>
      <c r="CU55" s="143" t="e">
        <f t="shared" si="12"/>
        <v>#DIV/0!</v>
      </c>
      <c r="CV55" s="143" t="e">
        <f t="shared" si="13"/>
        <v>#DIV/0!</v>
      </c>
      <c r="CX55" s="7">
        <f t="shared" si="14"/>
        <v>10.200000000000001</v>
      </c>
      <c r="CY55" s="7">
        <f t="shared" si="15"/>
        <v>18.599999999999998</v>
      </c>
      <c r="CZ55" s="7">
        <f t="shared" si="16"/>
        <v>20</v>
      </c>
      <c r="DA55" s="7">
        <f t="shared" si="17"/>
        <v>20</v>
      </c>
      <c r="DB55" s="7">
        <f t="shared" si="18"/>
        <v>25</v>
      </c>
      <c r="DC55" s="7">
        <f t="shared" si="19"/>
        <v>39.999999999999993</v>
      </c>
      <c r="DD55" s="7">
        <f t="shared" si="20"/>
        <v>47.500000000000007</v>
      </c>
      <c r="DE55" s="7">
        <f t="shared" si="21"/>
        <v>61</v>
      </c>
      <c r="DF55" s="7">
        <f t="shared" si="22"/>
        <v>72.3</v>
      </c>
      <c r="DH55" s="7">
        <f t="shared" si="23"/>
        <v>9.3000000000000025</v>
      </c>
      <c r="DI55" s="7">
        <f t="shared" si="24"/>
        <v>15.899999999999995</v>
      </c>
      <c r="DJ55" s="7">
        <f t="shared" si="25"/>
        <v>19.199999999999996</v>
      </c>
      <c r="DK55" s="7">
        <f t="shared" si="26"/>
        <v>22.5</v>
      </c>
      <c r="DL55" s="7">
        <f t="shared" si="27"/>
        <v>39</v>
      </c>
      <c r="DM55" s="7">
        <f t="shared" si="28"/>
        <v>45.600000000000009</v>
      </c>
      <c r="DN55" s="7">
        <f t="shared" si="29"/>
        <v>48.899999999999991</v>
      </c>
      <c r="DO55" s="7">
        <f t="shared" si="30"/>
        <v>55.5</v>
      </c>
      <c r="DP55" s="7">
        <f t="shared" si="31"/>
        <v>62.100000000000009</v>
      </c>
    </row>
    <row r="56" spans="1:120" s="7" customFormat="1" ht="25.5" hidden="1" customHeight="1" x14ac:dyDescent="0.25">
      <c r="A56" s="92" t="str">
        <f t="shared" si="32"/>
        <v>CM-SWVI [10]</v>
      </c>
      <c r="B56" s="92" t="str">
        <f t="shared" si="33"/>
        <v>Southwest Vancouver Island</v>
      </c>
      <c r="C56" s="93" t="str">
        <f t="shared" si="1"/>
        <v>CAYCUSE RIVER_Chum</v>
      </c>
      <c r="D56" s="128" t="s">
        <v>598</v>
      </c>
      <c r="E56" s="128" t="s">
        <v>598</v>
      </c>
      <c r="F56" s="64">
        <v>22</v>
      </c>
      <c r="G56" s="72" t="s">
        <v>105</v>
      </c>
      <c r="H56" s="67" t="s">
        <v>96</v>
      </c>
      <c r="I56" s="119"/>
      <c r="J56" s="119"/>
      <c r="K56" s="64">
        <v>4</v>
      </c>
      <c r="L56" s="52">
        <v>7</v>
      </c>
      <c r="M56" s="52">
        <v>7</v>
      </c>
      <c r="N56" s="52">
        <f t="shared" si="2"/>
        <v>996.94485249504362</v>
      </c>
      <c r="O56" s="52">
        <f t="shared" si="3"/>
        <v>15000</v>
      </c>
      <c r="P56" s="52">
        <f t="shared" si="4"/>
        <v>877.97927661734934</v>
      </c>
      <c r="Q56" s="66"/>
      <c r="R56" s="39"/>
      <c r="S56" s="74" t="s">
        <v>299</v>
      </c>
      <c r="T56" s="81">
        <f t="shared" si="6"/>
        <v>494.33333333333331</v>
      </c>
      <c r="U56" s="81">
        <f t="shared" si="7"/>
        <v>1547.875</v>
      </c>
      <c r="V56" s="233">
        <v>200</v>
      </c>
      <c r="W56" s="52" t="s">
        <v>102</v>
      </c>
      <c r="X56" s="52">
        <v>1000</v>
      </c>
      <c r="Y56" s="52">
        <v>283</v>
      </c>
      <c r="Z56" s="144" t="s">
        <v>102</v>
      </c>
      <c r="AA56" s="144" t="s">
        <v>102</v>
      </c>
      <c r="AB56" s="52">
        <v>2000</v>
      </c>
      <c r="AC56" s="144">
        <v>8000</v>
      </c>
      <c r="AD56" s="144" t="s">
        <v>102</v>
      </c>
      <c r="AE56" s="144">
        <v>100</v>
      </c>
      <c r="AF56" s="144">
        <v>300</v>
      </c>
      <c r="AG56" s="52">
        <v>500</v>
      </c>
      <c r="AH56" s="52" t="s">
        <v>102</v>
      </c>
      <c r="AI56" s="52" t="s">
        <v>102</v>
      </c>
      <c r="AJ56" s="52" t="s">
        <v>102</v>
      </c>
      <c r="AK56" s="52" t="s">
        <v>262</v>
      </c>
      <c r="AL56" s="89">
        <v>2964</v>
      </c>
      <c r="AM56" s="52">
        <v>648</v>
      </c>
      <c r="AN56" s="52" t="s">
        <v>102</v>
      </c>
      <c r="AO56" s="52" t="s">
        <v>102</v>
      </c>
      <c r="AP56" s="52" t="s">
        <v>102</v>
      </c>
      <c r="AQ56" s="52">
        <v>2286</v>
      </c>
      <c r="AR56" s="123" t="s">
        <v>263</v>
      </c>
      <c r="AS56" s="52">
        <v>150</v>
      </c>
      <c r="AT56" s="52">
        <v>2477</v>
      </c>
      <c r="AU56" s="52">
        <v>600</v>
      </c>
      <c r="AV56" s="52">
        <v>1000</v>
      </c>
      <c r="AW56" s="69"/>
      <c r="AX56" s="51">
        <v>100</v>
      </c>
      <c r="AY56" s="53">
        <v>7274</v>
      </c>
      <c r="AZ56" s="53">
        <v>2100</v>
      </c>
      <c r="BA56" s="53">
        <v>5000</v>
      </c>
      <c r="BB56" s="53">
        <v>500</v>
      </c>
      <c r="BC56" s="53">
        <v>1000</v>
      </c>
      <c r="BD56" s="53" t="s">
        <v>102</v>
      </c>
      <c r="BE56" s="53">
        <v>100</v>
      </c>
      <c r="BF56" s="53">
        <v>300</v>
      </c>
      <c r="BG56" s="53" t="s">
        <v>102</v>
      </c>
      <c r="BH56" s="53" t="s">
        <v>264</v>
      </c>
      <c r="BI56" s="53" t="s">
        <v>102</v>
      </c>
      <c r="BJ56" s="53" t="s">
        <v>102</v>
      </c>
      <c r="BK56" s="53" t="s">
        <v>102</v>
      </c>
      <c r="BL56" s="53">
        <v>3000</v>
      </c>
      <c r="BM56" s="53">
        <v>200</v>
      </c>
      <c r="BN56" s="53">
        <v>300</v>
      </c>
      <c r="BO56" s="53">
        <v>300</v>
      </c>
      <c r="BP56" s="53">
        <v>350</v>
      </c>
      <c r="BQ56" s="53">
        <v>750</v>
      </c>
      <c r="BR56" s="53">
        <v>1500</v>
      </c>
      <c r="BS56" s="53">
        <v>3500</v>
      </c>
      <c r="BT56" s="53">
        <v>15000</v>
      </c>
      <c r="BU56" s="53">
        <v>1500</v>
      </c>
      <c r="BV56" s="53">
        <v>750</v>
      </c>
      <c r="BW56" s="53">
        <v>750</v>
      </c>
      <c r="BX56" s="53">
        <v>3500</v>
      </c>
      <c r="BY56" s="53">
        <v>1500</v>
      </c>
      <c r="BZ56" s="53">
        <v>75</v>
      </c>
      <c r="CA56" s="53">
        <v>200</v>
      </c>
      <c r="CB56" s="53">
        <v>1500</v>
      </c>
      <c r="CC56" s="53">
        <v>200</v>
      </c>
      <c r="CD56" s="53">
        <v>200</v>
      </c>
      <c r="CE56" s="53">
        <v>1500</v>
      </c>
      <c r="CF56" s="53">
        <v>1500</v>
      </c>
      <c r="CG56" s="53">
        <v>400</v>
      </c>
      <c r="CH56" s="53">
        <v>400</v>
      </c>
      <c r="CI56" s="53">
        <v>750</v>
      </c>
      <c r="CJ56" s="53">
        <v>3500</v>
      </c>
      <c r="CK56" s="53">
        <v>1500</v>
      </c>
      <c r="CL56" s="53">
        <v>3500</v>
      </c>
      <c r="CM56" s="53">
        <v>1500</v>
      </c>
      <c r="CN56" s="206"/>
      <c r="CO56" s="206"/>
      <c r="CP56" s="206"/>
      <c r="CQ56" s="8">
        <f t="shared" si="8"/>
        <v>75</v>
      </c>
      <c r="CR56" s="8">
        <f t="shared" si="9"/>
        <v>15000</v>
      </c>
      <c r="CS56" s="8">
        <f t="shared" si="10"/>
        <v>1735.4313725490197</v>
      </c>
      <c r="CT56">
        <f t="shared" si="11"/>
        <v>823.64900464781363</v>
      </c>
      <c r="CU56" s="143">
        <f t="shared" si="12"/>
        <v>494.33333333333331</v>
      </c>
      <c r="CV56" s="143">
        <f t="shared" si="13"/>
        <v>1547.875</v>
      </c>
      <c r="CX56" s="7">
        <f t="shared" si="14"/>
        <v>100</v>
      </c>
      <c r="CY56" s="7">
        <f t="shared" si="15"/>
        <v>200</v>
      </c>
      <c r="CZ56" s="7">
        <f t="shared" si="16"/>
        <v>283</v>
      </c>
      <c r="DA56" s="7">
        <f t="shared" si="17"/>
        <v>300</v>
      </c>
      <c r="DB56" s="7">
        <f t="shared" si="18"/>
        <v>750</v>
      </c>
      <c r="DC56" s="7">
        <f t="shared" si="19"/>
        <v>1500</v>
      </c>
      <c r="DD56" s="7">
        <f t="shared" si="20"/>
        <v>1500</v>
      </c>
      <c r="DE56" s="7">
        <f t="shared" si="21"/>
        <v>2050</v>
      </c>
      <c r="DF56" s="7">
        <f t="shared" si="22"/>
        <v>3250</v>
      </c>
      <c r="DH56" s="7">
        <f t="shared" si="23"/>
        <v>135</v>
      </c>
      <c r="DI56" s="7">
        <f t="shared" si="24"/>
        <v>208.3</v>
      </c>
      <c r="DJ56" s="7">
        <f t="shared" si="25"/>
        <v>266.40000000000003</v>
      </c>
      <c r="DK56" s="7">
        <f t="shared" si="26"/>
        <v>291.5</v>
      </c>
      <c r="DL56" s="7">
        <f t="shared" si="27"/>
        <v>648</v>
      </c>
      <c r="DM56" s="7">
        <f t="shared" si="28"/>
        <v>1000</v>
      </c>
      <c r="DN56" s="7">
        <f t="shared" si="29"/>
        <v>1099.9999999999995</v>
      </c>
      <c r="DO56" s="7">
        <f t="shared" si="30"/>
        <v>2143</v>
      </c>
      <c r="DP56" s="7">
        <f t="shared" si="31"/>
        <v>2457.9</v>
      </c>
    </row>
    <row r="57" spans="1:120" s="7" customFormat="1" ht="25.5" hidden="1" customHeight="1" x14ac:dyDescent="0.25">
      <c r="A57" s="92" t="str">
        <f t="shared" si="32"/>
        <v>CO-JdF [16]</v>
      </c>
      <c r="B57" s="92" t="str">
        <f t="shared" si="33"/>
        <v>Juan de Fuca-Pachena</v>
      </c>
      <c r="C57" s="93" t="str">
        <f t="shared" si="1"/>
        <v>CAYCUSE RIVER_Coho</v>
      </c>
      <c r="D57" s="128" t="s">
        <v>598</v>
      </c>
      <c r="E57" s="128" t="s">
        <v>598</v>
      </c>
      <c r="F57" s="64">
        <v>22</v>
      </c>
      <c r="G57" s="72" t="s">
        <v>105</v>
      </c>
      <c r="H57" s="67" t="s">
        <v>93</v>
      </c>
      <c r="I57" s="119"/>
      <c r="J57" s="119"/>
      <c r="K57" s="64">
        <v>4</v>
      </c>
      <c r="L57" s="52">
        <v>7</v>
      </c>
      <c r="M57" s="52">
        <v>7</v>
      </c>
      <c r="N57" s="52">
        <f t="shared" si="2"/>
        <v>57.32313303859889</v>
      </c>
      <c r="O57" s="52">
        <f t="shared" si="3"/>
        <v>750</v>
      </c>
      <c r="P57" s="52">
        <f t="shared" si="4"/>
        <v>197.53167708977611</v>
      </c>
      <c r="Q57" s="66"/>
      <c r="R57" s="39"/>
      <c r="S57" s="74" t="s">
        <v>299</v>
      </c>
      <c r="T57" s="81">
        <f t="shared" si="6"/>
        <v>106</v>
      </c>
      <c r="U57" s="81">
        <f t="shared" si="7"/>
        <v>106</v>
      </c>
      <c r="V57" s="232" t="s">
        <v>102</v>
      </c>
      <c r="W57" s="52" t="s">
        <v>102</v>
      </c>
      <c r="X57" s="52" t="s">
        <v>102</v>
      </c>
      <c r="Y57" s="52">
        <v>106</v>
      </c>
      <c r="Z57" s="144" t="s">
        <v>102</v>
      </c>
      <c r="AA57" s="144" t="s">
        <v>102</v>
      </c>
      <c r="AB57" s="144" t="s">
        <v>102</v>
      </c>
      <c r="AC57" s="144" t="s">
        <v>102</v>
      </c>
      <c r="AD57" s="144" t="s">
        <v>102</v>
      </c>
      <c r="AE57" s="144" t="s">
        <v>102</v>
      </c>
      <c r="AF57" s="144" t="s">
        <v>102</v>
      </c>
      <c r="AG57" s="52" t="s">
        <v>102</v>
      </c>
      <c r="AH57" s="52" t="s">
        <v>102</v>
      </c>
      <c r="AI57" s="52" t="s">
        <v>102</v>
      </c>
      <c r="AJ57" s="52" t="s">
        <v>102</v>
      </c>
      <c r="AK57" s="52" t="s">
        <v>262</v>
      </c>
      <c r="AL57" s="89">
        <v>34</v>
      </c>
      <c r="AM57" s="52">
        <v>51</v>
      </c>
      <c r="AN57" s="52" t="s">
        <v>102</v>
      </c>
      <c r="AO57" s="52" t="s">
        <v>102</v>
      </c>
      <c r="AP57" s="52" t="s">
        <v>102</v>
      </c>
      <c r="AQ57" s="52">
        <v>329</v>
      </c>
      <c r="AR57" s="123" t="s">
        <v>263</v>
      </c>
      <c r="AS57" s="52">
        <v>26</v>
      </c>
      <c r="AT57" s="52">
        <v>92</v>
      </c>
      <c r="AU57" s="52">
        <v>26</v>
      </c>
      <c r="AV57" s="52" t="s">
        <v>263</v>
      </c>
      <c r="AW57" s="69"/>
      <c r="AX57" s="51" t="s">
        <v>262</v>
      </c>
      <c r="AY57" s="53" t="s">
        <v>264</v>
      </c>
      <c r="AZ57" s="53" t="s">
        <v>264</v>
      </c>
      <c r="BA57" s="53" t="s">
        <v>264</v>
      </c>
      <c r="BB57" s="53" t="s">
        <v>264</v>
      </c>
      <c r="BC57" s="53" t="s">
        <v>262</v>
      </c>
      <c r="BD57" s="53" t="s">
        <v>102</v>
      </c>
      <c r="BE57" s="53">
        <v>200</v>
      </c>
      <c r="BF57" s="53">
        <v>175</v>
      </c>
      <c r="BG57" s="53" t="s">
        <v>102</v>
      </c>
      <c r="BH57" s="53" t="s">
        <v>264</v>
      </c>
      <c r="BI57" s="53" t="s">
        <v>102</v>
      </c>
      <c r="BJ57" s="53" t="s">
        <v>102</v>
      </c>
      <c r="BK57" s="53" t="s">
        <v>102</v>
      </c>
      <c r="BL57" s="53" t="s">
        <v>264</v>
      </c>
      <c r="BM57" s="53">
        <v>250</v>
      </c>
      <c r="BN57" s="53">
        <v>300</v>
      </c>
      <c r="BO57" s="53">
        <v>320</v>
      </c>
      <c r="BP57" s="53">
        <v>250</v>
      </c>
      <c r="BQ57" s="53">
        <v>200</v>
      </c>
      <c r="BR57" s="53">
        <v>200</v>
      </c>
      <c r="BS57" s="53">
        <v>400</v>
      </c>
      <c r="BT57" s="53">
        <v>200</v>
      </c>
      <c r="BU57" s="53">
        <v>75</v>
      </c>
      <c r="BV57" s="53">
        <v>400</v>
      </c>
      <c r="BW57" s="53">
        <v>200</v>
      </c>
      <c r="BX57" s="53">
        <v>750</v>
      </c>
      <c r="BY57" s="53">
        <v>750</v>
      </c>
      <c r="BZ57" s="53">
        <v>400</v>
      </c>
      <c r="CA57" s="53">
        <v>200</v>
      </c>
      <c r="CB57" s="53">
        <v>400</v>
      </c>
      <c r="CC57" s="53">
        <v>200</v>
      </c>
      <c r="CD57" s="53">
        <v>200</v>
      </c>
      <c r="CE57" s="53">
        <v>200</v>
      </c>
      <c r="CF57" s="53">
        <v>75</v>
      </c>
      <c r="CG57" s="53">
        <v>75</v>
      </c>
      <c r="CH57" s="53">
        <v>200</v>
      </c>
      <c r="CI57" s="53">
        <v>400</v>
      </c>
      <c r="CJ57" s="53">
        <v>200</v>
      </c>
      <c r="CK57" s="53">
        <v>400</v>
      </c>
      <c r="CL57" s="53">
        <v>400</v>
      </c>
      <c r="CM57" s="53">
        <v>750</v>
      </c>
      <c r="CN57" s="206"/>
      <c r="CO57" s="206"/>
      <c r="CP57" s="206"/>
      <c r="CQ57" s="8">
        <f t="shared" si="8"/>
        <v>26</v>
      </c>
      <c r="CR57" s="8">
        <f t="shared" si="9"/>
        <v>750</v>
      </c>
      <c r="CS57" s="8">
        <f t="shared" si="10"/>
        <v>262.05555555555554</v>
      </c>
      <c r="CT57">
        <f t="shared" si="11"/>
        <v>194.14560328032485</v>
      </c>
      <c r="CU57" s="143">
        <f t="shared" si="12"/>
        <v>106</v>
      </c>
      <c r="CV57" s="143">
        <f t="shared" si="13"/>
        <v>106</v>
      </c>
      <c r="CX57" s="7">
        <f t="shared" si="14"/>
        <v>32</v>
      </c>
      <c r="CY57" s="7">
        <f t="shared" si="15"/>
        <v>75</v>
      </c>
      <c r="CZ57" s="7">
        <f t="shared" si="16"/>
        <v>92</v>
      </c>
      <c r="DA57" s="7">
        <f t="shared" si="17"/>
        <v>157.75</v>
      </c>
      <c r="DB57" s="7">
        <f t="shared" si="18"/>
        <v>200</v>
      </c>
      <c r="DC57" s="7">
        <f t="shared" si="19"/>
        <v>250</v>
      </c>
      <c r="DD57" s="7">
        <f t="shared" si="20"/>
        <v>287.5</v>
      </c>
      <c r="DE57" s="7">
        <f t="shared" si="21"/>
        <v>400</v>
      </c>
      <c r="DF57" s="7">
        <f t="shared" si="22"/>
        <v>400</v>
      </c>
      <c r="DH57" s="7">
        <f t="shared" si="23"/>
        <v>26</v>
      </c>
      <c r="DI57" s="7">
        <f t="shared" si="24"/>
        <v>26</v>
      </c>
      <c r="DJ57" s="7">
        <f t="shared" si="25"/>
        <v>27.6</v>
      </c>
      <c r="DK57" s="7">
        <f t="shared" si="26"/>
        <v>30</v>
      </c>
      <c r="DL57" s="7">
        <f t="shared" si="27"/>
        <v>51</v>
      </c>
      <c r="DM57" s="7">
        <f t="shared" si="28"/>
        <v>75.599999999999994</v>
      </c>
      <c r="DN57" s="7">
        <f t="shared" si="29"/>
        <v>87.9</v>
      </c>
      <c r="DO57" s="7">
        <f t="shared" si="30"/>
        <v>99</v>
      </c>
      <c r="DP57" s="7">
        <f t="shared" si="31"/>
        <v>128.29999999999993</v>
      </c>
    </row>
    <row r="58" spans="1:120" s="7" customFormat="1" ht="25.5" hidden="1" customHeight="1" x14ac:dyDescent="0.25">
      <c r="A58" s="92" t="str">
        <f t="shared" si="32"/>
        <v>SK-L-13-21</v>
      </c>
      <c r="B58" s="92" t="str">
        <f t="shared" si="33"/>
        <v>Nitinat</v>
      </c>
      <c r="C58" s="93" t="str">
        <f t="shared" si="1"/>
        <v>CAYCUSE RIVER_Sockeye</v>
      </c>
      <c r="D58" s="128" t="s">
        <v>598</v>
      </c>
      <c r="E58" s="128" t="s">
        <v>598</v>
      </c>
      <c r="F58" s="64">
        <v>22</v>
      </c>
      <c r="G58" s="72" t="s">
        <v>105</v>
      </c>
      <c r="H58" s="144" t="s">
        <v>91</v>
      </c>
      <c r="I58" s="159"/>
      <c r="J58" s="159"/>
      <c r="K58" s="159">
        <v>4</v>
      </c>
      <c r="L58" s="159">
        <v>7</v>
      </c>
      <c r="M58" s="159">
        <v>3</v>
      </c>
      <c r="N58" s="159">
        <f t="shared" si="2"/>
        <v>1</v>
      </c>
      <c r="O58" s="159">
        <f t="shared" si="3"/>
        <v>1</v>
      </c>
      <c r="P58" s="159">
        <f t="shared" si="4"/>
        <v>1</v>
      </c>
      <c r="Q58" s="159"/>
      <c r="R58" s="221"/>
      <c r="S58" s="204" t="s">
        <v>300</v>
      </c>
      <c r="T58" s="81" t="e">
        <f t="shared" si="6"/>
        <v>#DIV/0!</v>
      </c>
      <c r="U58" s="81" t="e">
        <f t="shared" si="7"/>
        <v>#DIV/0!</v>
      </c>
      <c r="V58" s="232" t="s">
        <v>102</v>
      </c>
      <c r="W58" s="52" t="s">
        <v>102</v>
      </c>
      <c r="X58" s="52" t="s">
        <v>102</v>
      </c>
      <c r="Y58" s="52" t="s">
        <v>262</v>
      </c>
      <c r="Z58" s="144" t="s">
        <v>102</v>
      </c>
      <c r="AA58" s="144" t="s">
        <v>102</v>
      </c>
      <c r="AB58" s="144" t="s">
        <v>102</v>
      </c>
      <c r="AC58" s="144" t="s">
        <v>102</v>
      </c>
      <c r="AD58" s="144" t="s">
        <v>102</v>
      </c>
      <c r="AE58" s="144" t="s">
        <v>102</v>
      </c>
      <c r="AF58" s="144" t="s">
        <v>102</v>
      </c>
      <c r="AG58" s="52" t="s">
        <v>102</v>
      </c>
      <c r="AH58" s="52" t="s">
        <v>102</v>
      </c>
      <c r="AI58" s="52" t="s">
        <v>102</v>
      </c>
      <c r="AJ58" s="52" t="s">
        <v>102</v>
      </c>
      <c r="AK58" s="54"/>
      <c r="AL58" s="89" t="s">
        <v>262</v>
      </c>
      <c r="AM58" s="52">
        <v>1</v>
      </c>
      <c r="AN58" s="52" t="s">
        <v>102</v>
      </c>
      <c r="AO58" s="52" t="s">
        <v>102</v>
      </c>
      <c r="AP58" s="52" t="s">
        <v>102</v>
      </c>
      <c r="AQ58" s="52" t="s">
        <v>262</v>
      </c>
      <c r="AR58" s="123" t="s">
        <v>263</v>
      </c>
      <c r="AS58" s="52" t="s">
        <v>262</v>
      </c>
      <c r="AT58" s="52" t="s">
        <v>262</v>
      </c>
      <c r="AU58" s="52" t="s">
        <v>263</v>
      </c>
      <c r="AV58" s="52" t="s">
        <v>262</v>
      </c>
      <c r="AW58" s="69"/>
      <c r="AX58" s="51" t="s">
        <v>264</v>
      </c>
      <c r="AY58" s="53" t="s">
        <v>264</v>
      </c>
      <c r="AZ58" s="53" t="s">
        <v>264</v>
      </c>
      <c r="BA58" s="53" t="s">
        <v>264</v>
      </c>
      <c r="BB58" s="53" t="s">
        <v>264</v>
      </c>
      <c r="BC58" s="53" t="s">
        <v>264</v>
      </c>
      <c r="BD58" s="53" t="s">
        <v>102</v>
      </c>
      <c r="BE58" s="53" t="s">
        <v>264</v>
      </c>
      <c r="BF58" s="53" t="s">
        <v>264</v>
      </c>
      <c r="BG58" s="53" t="s">
        <v>102</v>
      </c>
      <c r="BH58" s="53" t="s">
        <v>264</v>
      </c>
      <c r="BI58" s="53" t="s">
        <v>102</v>
      </c>
      <c r="BJ58" s="53" t="s">
        <v>102</v>
      </c>
      <c r="BK58" s="53" t="s">
        <v>102</v>
      </c>
      <c r="BL58" s="53" t="s">
        <v>264</v>
      </c>
      <c r="BM58" s="53" t="s">
        <v>264</v>
      </c>
      <c r="BN58" s="53" t="s">
        <v>264</v>
      </c>
      <c r="BO58" s="53" t="s">
        <v>264</v>
      </c>
      <c r="BP58" s="53" t="s">
        <v>264</v>
      </c>
      <c r="BQ58" s="53" t="s">
        <v>264</v>
      </c>
      <c r="BR58" s="53" t="s">
        <v>264</v>
      </c>
      <c r="BS58" s="53" t="s">
        <v>264</v>
      </c>
      <c r="BT58" s="53" t="s">
        <v>264</v>
      </c>
      <c r="BU58" s="53" t="s">
        <v>264</v>
      </c>
      <c r="BV58" s="53" t="s">
        <v>264</v>
      </c>
      <c r="BW58" s="53" t="s">
        <v>264</v>
      </c>
      <c r="BX58" s="53" t="s">
        <v>264</v>
      </c>
      <c r="BY58" s="53" t="s">
        <v>264</v>
      </c>
      <c r="BZ58" s="53" t="s">
        <v>264</v>
      </c>
      <c r="CA58" s="53" t="s">
        <v>264</v>
      </c>
      <c r="CB58" s="53" t="s">
        <v>264</v>
      </c>
      <c r="CC58" s="53" t="s">
        <v>264</v>
      </c>
      <c r="CD58" s="53" t="s">
        <v>264</v>
      </c>
      <c r="CE58" s="53" t="s">
        <v>264</v>
      </c>
      <c r="CF58" s="53" t="s">
        <v>264</v>
      </c>
      <c r="CG58" s="53" t="s">
        <v>264</v>
      </c>
      <c r="CH58" s="53" t="s">
        <v>264</v>
      </c>
      <c r="CI58" s="53" t="s">
        <v>264</v>
      </c>
      <c r="CJ58" s="53" t="s">
        <v>264</v>
      </c>
      <c r="CK58" s="53" t="s">
        <v>264</v>
      </c>
      <c r="CL58" s="53" t="s">
        <v>264</v>
      </c>
      <c r="CM58" s="53" t="s">
        <v>264</v>
      </c>
      <c r="CN58" s="206">
        <f>IF(ISERROR(AVERAGE(BV58:CM58)),CS58,AVERAGE(BV58:CM58))</f>
        <v>1</v>
      </c>
      <c r="CO58" s="206"/>
      <c r="CP58" s="206"/>
      <c r="CQ58" s="8">
        <f t="shared" si="8"/>
        <v>1</v>
      </c>
      <c r="CR58" s="8">
        <f t="shared" si="9"/>
        <v>1</v>
      </c>
      <c r="CS58" s="8">
        <f t="shared" si="10"/>
        <v>1</v>
      </c>
      <c r="CT58">
        <f t="shared" si="11"/>
        <v>1</v>
      </c>
      <c r="CU58" s="143" t="e">
        <f t="shared" si="12"/>
        <v>#DIV/0!</v>
      </c>
      <c r="CV58" s="143" t="e">
        <f t="shared" si="13"/>
        <v>#DIV/0!</v>
      </c>
      <c r="CX58" s="7">
        <f t="shared" si="14"/>
        <v>1</v>
      </c>
      <c r="CY58" s="7">
        <f t="shared" si="15"/>
        <v>1</v>
      </c>
      <c r="CZ58" s="7">
        <f t="shared" si="16"/>
        <v>1</v>
      </c>
      <c r="DA58" s="7">
        <f t="shared" si="17"/>
        <v>1</v>
      </c>
      <c r="DB58" s="7">
        <f t="shared" si="18"/>
        <v>1</v>
      </c>
      <c r="DC58" s="7">
        <f t="shared" si="19"/>
        <v>1</v>
      </c>
      <c r="DD58" s="7">
        <f t="shared" si="20"/>
        <v>1</v>
      </c>
      <c r="DE58" s="7">
        <f t="shared" si="21"/>
        <v>1</v>
      </c>
      <c r="DF58" s="7">
        <f t="shared" si="22"/>
        <v>1</v>
      </c>
      <c r="DH58" s="7">
        <f t="shared" si="23"/>
        <v>1</v>
      </c>
      <c r="DI58" s="7">
        <f t="shared" si="24"/>
        <v>1</v>
      </c>
      <c r="DJ58" s="7">
        <f t="shared" si="25"/>
        <v>1</v>
      </c>
      <c r="DK58" s="7">
        <f t="shared" si="26"/>
        <v>1</v>
      </c>
      <c r="DL58" s="7">
        <f t="shared" si="27"/>
        <v>1</v>
      </c>
      <c r="DM58" s="7">
        <f t="shared" si="28"/>
        <v>1</v>
      </c>
      <c r="DN58" s="7">
        <f t="shared" si="29"/>
        <v>1</v>
      </c>
      <c r="DO58" s="7">
        <f t="shared" si="30"/>
        <v>1</v>
      </c>
      <c r="DP58" s="7">
        <f t="shared" si="31"/>
        <v>1</v>
      </c>
    </row>
    <row r="59" spans="1:120" s="7" customFormat="1" ht="25.5" customHeight="1" x14ac:dyDescent="0.25">
      <c r="A59" s="92" t="str">
        <f t="shared" si="32"/>
        <v>CK-SWVI [31]</v>
      </c>
      <c r="B59" s="92" t="str">
        <f t="shared" si="33"/>
        <v>Southwest Vancouver Island</v>
      </c>
      <c r="C59" s="93" t="str">
        <f t="shared" si="1"/>
        <v>DOOBAH CREEK_Chinook</v>
      </c>
      <c r="D59" s="128" t="s">
        <v>598</v>
      </c>
      <c r="E59" s="128" t="s">
        <v>598</v>
      </c>
      <c r="F59" s="64">
        <v>22</v>
      </c>
      <c r="G59" s="72" t="s">
        <v>103</v>
      </c>
      <c r="H59" s="67" t="s">
        <v>97</v>
      </c>
      <c r="I59" s="119"/>
      <c r="J59" s="119"/>
      <c r="K59" s="64">
        <v>4</v>
      </c>
      <c r="L59" s="52">
        <v>6</v>
      </c>
      <c r="M59" s="52">
        <v>1</v>
      </c>
      <c r="N59" s="52">
        <f t="shared" si="2"/>
        <v>1</v>
      </c>
      <c r="O59" s="52">
        <f t="shared" si="3"/>
        <v>1</v>
      </c>
      <c r="P59" s="52">
        <f t="shared" si="4"/>
        <v>1</v>
      </c>
      <c r="Q59" s="66"/>
      <c r="R59" s="39"/>
      <c r="S59" s="74" t="s">
        <v>301</v>
      </c>
      <c r="T59" s="81" t="e">
        <f t="shared" si="6"/>
        <v>#DIV/0!</v>
      </c>
      <c r="U59" s="81" t="e">
        <f t="shared" si="7"/>
        <v>#DIV/0!</v>
      </c>
      <c r="V59" s="52" t="s">
        <v>262</v>
      </c>
      <c r="W59" s="52" t="s">
        <v>102</v>
      </c>
      <c r="X59" s="52" t="s">
        <v>102</v>
      </c>
      <c r="Y59" s="52" t="s">
        <v>262</v>
      </c>
      <c r="Z59" s="230" t="s">
        <v>262</v>
      </c>
      <c r="AA59" s="230" t="s">
        <v>102</v>
      </c>
      <c r="AB59" s="144" t="s">
        <v>102</v>
      </c>
      <c r="AC59" s="144" t="s">
        <v>102</v>
      </c>
      <c r="AD59" s="144" t="s">
        <v>102</v>
      </c>
      <c r="AE59" s="144" t="s">
        <v>102</v>
      </c>
      <c r="AF59" s="144" t="s">
        <v>102</v>
      </c>
      <c r="AG59" s="52" t="s">
        <v>102</v>
      </c>
      <c r="AH59" s="52" t="s">
        <v>102</v>
      </c>
      <c r="AI59" s="52" t="s">
        <v>102</v>
      </c>
      <c r="AJ59" s="52" t="s">
        <v>102</v>
      </c>
      <c r="AK59" s="52" t="s">
        <v>102</v>
      </c>
      <c r="AL59" s="52" t="s">
        <v>102</v>
      </c>
      <c r="AM59" s="52" t="s">
        <v>262</v>
      </c>
      <c r="AN59" s="52" t="s">
        <v>102</v>
      </c>
      <c r="AO59" s="52" t="s">
        <v>262</v>
      </c>
      <c r="AP59" s="52" t="s">
        <v>102</v>
      </c>
      <c r="AQ59" s="53" t="s">
        <v>102</v>
      </c>
      <c r="AR59" s="53" t="s">
        <v>102</v>
      </c>
      <c r="AS59" s="52" t="s">
        <v>262</v>
      </c>
      <c r="AT59" s="52">
        <v>1</v>
      </c>
      <c r="AU59" s="52" t="s">
        <v>262</v>
      </c>
      <c r="AV59" s="52" t="s">
        <v>262</v>
      </c>
      <c r="AW59" s="69"/>
      <c r="AX59" s="51" t="s">
        <v>264</v>
      </c>
      <c r="AY59" s="53" t="s">
        <v>264</v>
      </c>
      <c r="AZ59" s="53" t="s">
        <v>264</v>
      </c>
      <c r="BA59" s="53" t="s">
        <v>264</v>
      </c>
      <c r="BB59" s="53" t="s">
        <v>264</v>
      </c>
      <c r="BC59" s="53" t="s">
        <v>264</v>
      </c>
      <c r="BD59" s="53" t="s">
        <v>102</v>
      </c>
      <c r="BE59" s="53" t="s">
        <v>264</v>
      </c>
      <c r="BF59" s="53" t="s">
        <v>264</v>
      </c>
      <c r="BG59" s="53" t="s">
        <v>102</v>
      </c>
      <c r="BH59" s="53" t="s">
        <v>264</v>
      </c>
      <c r="BI59" s="53" t="s">
        <v>102</v>
      </c>
      <c r="BJ59" s="53" t="s">
        <v>102</v>
      </c>
      <c r="BK59" s="53" t="s">
        <v>264</v>
      </c>
      <c r="BL59" s="53" t="s">
        <v>264</v>
      </c>
      <c r="BM59" s="53" t="s">
        <v>264</v>
      </c>
      <c r="BN59" s="53" t="s">
        <v>264</v>
      </c>
      <c r="BO59" s="53" t="s">
        <v>264</v>
      </c>
      <c r="BP59" s="53" t="s">
        <v>264</v>
      </c>
      <c r="BQ59" s="53" t="s">
        <v>264</v>
      </c>
      <c r="BR59" s="53" t="s">
        <v>264</v>
      </c>
      <c r="BS59" s="53" t="s">
        <v>264</v>
      </c>
      <c r="BT59" s="53" t="s">
        <v>264</v>
      </c>
      <c r="BU59" s="53" t="s">
        <v>264</v>
      </c>
      <c r="BV59" s="53" t="s">
        <v>264</v>
      </c>
      <c r="BW59" s="53" t="s">
        <v>264</v>
      </c>
      <c r="BX59" s="53" t="s">
        <v>264</v>
      </c>
      <c r="BY59" s="53" t="s">
        <v>264</v>
      </c>
      <c r="BZ59" s="53" t="s">
        <v>264</v>
      </c>
      <c r="CA59" s="53" t="s">
        <v>102</v>
      </c>
      <c r="CB59" s="53" t="s">
        <v>102</v>
      </c>
      <c r="CC59" s="53" t="s">
        <v>102</v>
      </c>
      <c r="CD59" s="53" t="s">
        <v>102</v>
      </c>
      <c r="CE59" s="53" t="s">
        <v>102</v>
      </c>
      <c r="CF59" s="53" t="s">
        <v>102</v>
      </c>
      <c r="CG59" s="53" t="s">
        <v>102</v>
      </c>
      <c r="CH59" s="53" t="s">
        <v>102</v>
      </c>
      <c r="CI59" s="53" t="s">
        <v>102</v>
      </c>
      <c r="CJ59" s="53" t="s">
        <v>102</v>
      </c>
      <c r="CK59" s="53" t="s">
        <v>102</v>
      </c>
      <c r="CL59" s="53" t="s">
        <v>102</v>
      </c>
      <c r="CM59" s="53" t="s">
        <v>102</v>
      </c>
      <c r="CN59" s="206"/>
      <c r="CO59" s="206"/>
      <c r="CP59" s="206"/>
      <c r="CQ59" s="8">
        <f t="shared" si="8"/>
        <v>1</v>
      </c>
      <c r="CR59" s="8">
        <f t="shared" si="9"/>
        <v>1</v>
      </c>
      <c r="CS59" s="8">
        <f t="shared" si="10"/>
        <v>1</v>
      </c>
      <c r="CT59">
        <f t="shared" si="11"/>
        <v>1</v>
      </c>
      <c r="CU59" s="143" t="e">
        <f t="shared" si="12"/>
        <v>#DIV/0!</v>
      </c>
      <c r="CV59" s="143" t="e">
        <f t="shared" si="13"/>
        <v>#DIV/0!</v>
      </c>
      <c r="CX59" s="7">
        <f t="shared" si="14"/>
        <v>1</v>
      </c>
      <c r="CY59" s="7">
        <f t="shared" si="15"/>
        <v>1</v>
      </c>
      <c r="CZ59" s="7">
        <f t="shared" si="16"/>
        <v>1</v>
      </c>
      <c r="DA59" s="7">
        <f t="shared" si="17"/>
        <v>1</v>
      </c>
      <c r="DB59" s="7">
        <f t="shared" si="18"/>
        <v>1</v>
      </c>
      <c r="DC59" s="7">
        <f t="shared" si="19"/>
        <v>1</v>
      </c>
      <c r="DD59" s="7">
        <f t="shared" si="20"/>
        <v>1</v>
      </c>
      <c r="DE59" s="7">
        <f t="shared" si="21"/>
        <v>1</v>
      </c>
      <c r="DF59" s="7">
        <f t="shared" si="22"/>
        <v>1</v>
      </c>
      <c r="DH59" s="7">
        <f t="shared" si="23"/>
        <v>1</v>
      </c>
      <c r="DI59" s="7">
        <f t="shared" si="24"/>
        <v>1</v>
      </c>
      <c r="DJ59" s="7">
        <f t="shared" si="25"/>
        <v>1</v>
      </c>
      <c r="DK59" s="7">
        <f t="shared" si="26"/>
        <v>1</v>
      </c>
      <c r="DL59" s="7">
        <f t="shared" si="27"/>
        <v>1</v>
      </c>
      <c r="DM59" s="7">
        <f t="shared" si="28"/>
        <v>1</v>
      </c>
      <c r="DN59" s="7">
        <f t="shared" si="29"/>
        <v>1</v>
      </c>
      <c r="DO59" s="7">
        <f t="shared" si="30"/>
        <v>1</v>
      </c>
      <c r="DP59" s="7">
        <f t="shared" si="31"/>
        <v>1</v>
      </c>
    </row>
    <row r="60" spans="1:120" s="7" customFormat="1" ht="25.5" hidden="1" customHeight="1" x14ac:dyDescent="0.25">
      <c r="A60" s="92" t="str">
        <f t="shared" si="32"/>
        <v>CM-SWVI [10]</v>
      </c>
      <c r="B60" s="92" t="str">
        <f t="shared" si="33"/>
        <v>Southwest Vancouver Island</v>
      </c>
      <c r="C60" s="93" t="str">
        <f t="shared" si="1"/>
        <v>DOOBAH CREEK_Chum</v>
      </c>
      <c r="D60" s="128" t="s">
        <v>598</v>
      </c>
      <c r="E60" s="128" t="s">
        <v>598</v>
      </c>
      <c r="F60" s="64">
        <v>22</v>
      </c>
      <c r="G60" s="72" t="s">
        <v>103</v>
      </c>
      <c r="H60" s="67" t="s">
        <v>96</v>
      </c>
      <c r="I60" s="119"/>
      <c r="J60" s="119"/>
      <c r="K60" s="64">
        <v>4</v>
      </c>
      <c r="L60" s="52">
        <v>6</v>
      </c>
      <c r="M60" s="52">
        <v>6</v>
      </c>
      <c r="N60" s="52">
        <f t="shared" si="2"/>
        <v>389.20318191875469</v>
      </c>
      <c r="O60" s="52">
        <f t="shared" si="3"/>
        <v>12000</v>
      </c>
      <c r="P60" s="52">
        <f t="shared" si="4"/>
        <v>518.11984874753603</v>
      </c>
      <c r="Q60" s="66"/>
      <c r="R60" s="39"/>
      <c r="S60" s="74" t="s">
        <v>299</v>
      </c>
      <c r="T60" s="81">
        <f t="shared" si="6"/>
        <v>100.5</v>
      </c>
      <c r="U60" s="81">
        <f t="shared" si="7"/>
        <v>1528.7142857142858</v>
      </c>
      <c r="V60" s="233">
        <v>1</v>
      </c>
      <c r="W60" s="52" t="s">
        <v>102</v>
      </c>
      <c r="X60" s="52">
        <v>200</v>
      </c>
      <c r="Y60" s="52" t="s">
        <v>263</v>
      </c>
      <c r="Z60" s="230" t="s">
        <v>262</v>
      </c>
      <c r="AA60" s="230" t="s">
        <v>102</v>
      </c>
      <c r="AB60" s="52">
        <v>8000</v>
      </c>
      <c r="AC60" s="144">
        <v>2000</v>
      </c>
      <c r="AD60" s="144" t="s">
        <v>102</v>
      </c>
      <c r="AE60" s="144">
        <v>100</v>
      </c>
      <c r="AF60" s="144">
        <v>200</v>
      </c>
      <c r="AG60" s="52">
        <v>200</v>
      </c>
      <c r="AH60" s="52" t="s">
        <v>102</v>
      </c>
      <c r="AI60" s="52">
        <v>200</v>
      </c>
      <c r="AJ60" s="52" t="s">
        <v>102</v>
      </c>
      <c r="AK60" s="52" t="s">
        <v>102</v>
      </c>
      <c r="AL60" s="52" t="s">
        <v>102</v>
      </c>
      <c r="AM60" s="52">
        <v>225</v>
      </c>
      <c r="AN60" s="52" t="s">
        <v>102</v>
      </c>
      <c r="AO60" s="53">
        <v>275</v>
      </c>
      <c r="AP60" s="52" t="s">
        <v>102</v>
      </c>
      <c r="AQ60" s="53" t="s">
        <v>102</v>
      </c>
      <c r="AR60" s="53" t="s">
        <v>102</v>
      </c>
      <c r="AS60" s="52">
        <v>150</v>
      </c>
      <c r="AT60" s="52">
        <v>1498</v>
      </c>
      <c r="AU60" s="52">
        <v>500</v>
      </c>
      <c r="AV60" s="52">
        <v>500</v>
      </c>
      <c r="AW60" s="69"/>
      <c r="AX60" s="51">
        <v>100</v>
      </c>
      <c r="AY60" s="53">
        <v>780</v>
      </c>
      <c r="AZ60" s="53" t="s">
        <v>262</v>
      </c>
      <c r="BA60" s="53">
        <v>500</v>
      </c>
      <c r="BB60" s="53" t="s">
        <v>264</v>
      </c>
      <c r="BC60" s="53">
        <v>200</v>
      </c>
      <c r="BD60" s="53" t="s">
        <v>102</v>
      </c>
      <c r="BE60" s="53">
        <v>100</v>
      </c>
      <c r="BF60" s="53">
        <v>320</v>
      </c>
      <c r="BG60" s="53" t="s">
        <v>102</v>
      </c>
      <c r="BH60" s="53" t="s">
        <v>264</v>
      </c>
      <c r="BI60" s="53" t="s">
        <v>102</v>
      </c>
      <c r="BJ60" s="53" t="s">
        <v>102</v>
      </c>
      <c r="BK60" s="53" t="s">
        <v>264</v>
      </c>
      <c r="BL60" s="53">
        <v>500</v>
      </c>
      <c r="BM60" s="53">
        <v>130</v>
      </c>
      <c r="BN60" s="53">
        <v>300</v>
      </c>
      <c r="BO60" s="53">
        <v>800</v>
      </c>
      <c r="BP60" s="53">
        <v>850</v>
      </c>
      <c r="BQ60" s="53">
        <v>400</v>
      </c>
      <c r="BR60" s="53">
        <v>800</v>
      </c>
      <c r="BS60" s="53">
        <v>1500</v>
      </c>
      <c r="BT60" s="53">
        <v>12000</v>
      </c>
      <c r="BU60" s="53">
        <v>200</v>
      </c>
      <c r="BV60" s="53">
        <v>400</v>
      </c>
      <c r="BW60" s="53">
        <v>3500</v>
      </c>
      <c r="BX60" s="53">
        <v>3500</v>
      </c>
      <c r="BY60" s="53">
        <v>750</v>
      </c>
      <c r="BZ60" s="53">
        <v>400</v>
      </c>
      <c r="CA60" s="53" t="s">
        <v>102</v>
      </c>
      <c r="CB60" s="53" t="s">
        <v>102</v>
      </c>
      <c r="CC60" s="53" t="s">
        <v>102</v>
      </c>
      <c r="CD60" s="53" t="s">
        <v>102</v>
      </c>
      <c r="CE60" s="53" t="s">
        <v>102</v>
      </c>
      <c r="CF60" s="53" t="s">
        <v>102</v>
      </c>
      <c r="CG60" s="53" t="s">
        <v>102</v>
      </c>
      <c r="CH60" s="53" t="s">
        <v>102</v>
      </c>
      <c r="CI60" s="53" t="s">
        <v>102</v>
      </c>
      <c r="CJ60" s="53" t="s">
        <v>102</v>
      </c>
      <c r="CK60" s="53" t="s">
        <v>102</v>
      </c>
      <c r="CL60" s="53" t="s">
        <v>102</v>
      </c>
      <c r="CM60" s="53" t="s">
        <v>102</v>
      </c>
      <c r="CN60" s="206"/>
      <c r="CO60" s="206"/>
      <c r="CP60" s="206"/>
      <c r="CQ60" s="8">
        <f t="shared" si="8"/>
        <v>1</v>
      </c>
      <c r="CR60" s="8">
        <f t="shared" si="9"/>
        <v>12000</v>
      </c>
      <c r="CS60" s="8">
        <f t="shared" si="10"/>
        <v>1202.2571428571428</v>
      </c>
      <c r="CT60">
        <f t="shared" si="11"/>
        <v>416.81059314112787</v>
      </c>
      <c r="CU60" s="143">
        <f t="shared" si="12"/>
        <v>100.5</v>
      </c>
      <c r="CV60" s="143">
        <f t="shared" si="13"/>
        <v>1528.7142857142858</v>
      </c>
      <c r="CX60" s="7">
        <f t="shared" si="14"/>
        <v>100</v>
      </c>
      <c r="CY60" s="7">
        <f t="shared" si="15"/>
        <v>154.99999999999997</v>
      </c>
      <c r="CZ60" s="7">
        <f t="shared" si="16"/>
        <v>200</v>
      </c>
      <c r="DA60" s="7">
        <f t="shared" si="17"/>
        <v>200</v>
      </c>
      <c r="DB60" s="7">
        <f t="shared" si="18"/>
        <v>400</v>
      </c>
      <c r="DC60" s="7">
        <f t="shared" si="19"/>
        <v>500</v>
      </c>
      <c r="DD60" s="7">
        <f t="shared" si="20"/>
        <v>525.00000000000034</v>
      </c>
      <c r="DE60" s="7">
        <f t="shared" si="21"/>
        <v>800</v>
      </c>
      <c r="DF60" s="7">
        <f t="shared" si="22"/>
        <v>1499.8</v>
      </c>
      <c r="DH60" s="7">
        <f t="shared" si="23"/>
        <v>65.349999999999994</v>
      </c>
      <c r="DI60" s="7">
        <f t="shared" si="24"/>
        <v>147.5</v>
      </c>
      <c r="DJ60" s="7">
        <f t="shared" si="25"/>
        <v>180</v>
      </c>
      <c r="DK60" s="7">
        <f t="shared" si="26"/>
        <v>200</v>
      </c>
      <c r="DL60" s="7">
        <f t="shared" si="27"/>
        <v>212.5</v>
      </c>
      <c r="DM60" s="7">
        <f t="shared" si="28"/>
        <v>265.00000000000006</v>
      </c>
      <c r="DN60" s="7">
        <f t="shared" si="29"/>
        <v>376.25000000000023</v>
      </c>
      <c r="DO60" s="7">
        <f t="shared" si="30"/>
        <v>500</v>
      </c>
      <c r="DP60" s="7">
        <f t="shared" si="31"/>
        <v>1523.0999999999995</v>
      </c>
    </row>
    <row r="61" spans="1:120" s="7" customFormat="1" ht="25.5" hidden="1" customHeight="1" x14ac:dyDescent="0.25">
      <c r="A61" s="92" t="str">
        <f t="shared" si="32"/>
        <v>CO-JdF [16]</v>
      </c>
      <c r="B61" s="92" t="str">
        <f t="shared" si="33"/>
        <v>Juan de Fuca-Pachena</v>
      </c>
      <c r="C61" s="93" t="str">
        <f t="shared" si="1"/>
        <v>DOOBAH CREEK_Coho</v>
      </c>
      <c r="D61" s="128" t="s">
        <v>598</v>
      </c>
      <c r="E61" s="128" t="s">
        <v>598</v>
      </c>
      <c r="F61" s="64">
        <v>22</v>
      </c>
      <c r="G61" s="72" t="s">
        <v>103</v>
      </c>
      <c r="H61" s="67" t="s">
        <v>93</v>
      </c>
      <c r="I61" s="119"/>
      <c r="J61" s="119"/>
      <c r="K61" s="64">
        <v>4</v>
      </c>
      <c r="L61" s="52">
        <v>6</v>
      </c>
      <c r="M61" s="52">
        <v>3</v>
      </c>
      <c r="N61" s="52">
        <f t="shared" si="2"/>
        <v>11.937171623689176</v>
      </c>
      <c r="O61" s="52">
        <f t="shared" si="3"/>
        <v>850</v>
      </c>
      <c r="P61" s="52">
        <f t="shared" si="4"/>
        <v>80.10049008223956</v>
      </c>
      <c r="Q61" s="66"/>
      <c r="R61" s="39"/>
      <c r="S61" s="74" t="s">
        <v>299</v>
      </c>
      <c r="T61" s="81" t="e">
        <f t="shared" si="6"/>
        <v>#DIV/0!</v>
      </c>
      <c r="U61" s="81" t="e">
        <f t="shared" si="7"/>
        <v>#DIV/0!</v>
      </c>
      <c r="V61" s="52" t="s">
        <v>262</v>
      </c>
      <c r="W61" s="52" t="s">
        <v>102</v>
      </c>
      <c r="X61" s="52" t="s">
        <v>102</v>
      </c>
      <c r="Y61" s="52" t="s">
        <v>263</v>
      </c>
      <c r="Z61" s="230" t="s">
        <v>263</v>
      </c>
      <c r="AA61" s="230" t="s">
        <v>102</v>
      </c>
      <c r="AB61" s="144" t="s">
        <v>102</v>
      </c>
      <c r="AC61" s="144" t="s">
        <v>102</v>
      </c>
      <c r="AD61" s="144" t="s">
        <v>102</v>
      </c>
      <c r="AE61" s="144" t="s">
        <v>102</v>
      </c>
      <c r="AF61" s="144" t="s">
        <v>102</v>
      </c>
      <c r="AG61" s="52" t="s">
        <v>102</v>
      </c>
      <c r="AH61" s="52" t="s">
        <v>102</v>
      </c>
      <c r="AI61" s="52" t="s">
        <v>102</v>
      </c>
      <c r="AJ61" s="52" t="s">
        <v>102</v>
      </c>
      <c r="AK61" s="52" t="s">
        <v>102</v>
      </c>
      <c r="AL61" s="52" t="s">
        <v>102</v>
      </c>
      <c r="AM61" s="52">
        <v>9</v>
      </c>
      <c r="AN61" s="52" t="s">
        <v>102</v>
      </c>
      <c r="AO61" s="52" t="s">
        <v>262</v>
      </c>
      <c r="AP61" s="52" t="s">
        <v>102</v>
      </c>
      <c r="AQ61" s="53" t="s">
        <v>102</v>
      </c>
      <c r="AR61" s="53" t="s">
        <v>102</v>
      </c>
      <c r="AS61" s="52">
        <v>9</v>
      </c>
      <c r="AT61" s="52">
        <v>21</v>
      </c>
      <c r="AU61" s="52" t="s">
        <v>262</v>
      </c>
      <c r="AV61" s="52" t="s">
        <v>262</v>
      </c>
      <c r="AW61" s="69"/>
      <c r="AX61" s="51" t="s">
        <v>262</v>
      </c>
      <c r="AY61" s="53" t="s">
        <v>264</v>
      </c>
      <c r="AZ61" s="53" t="s">
        <v>264</v>
      </c>
      <c r="BA61" s="53">
        <v>10</v>
      </c>
      <c r="BB61" s="53" t="s">
        <v>264</v>
      </c>
      <c r="BC61" s="53" t="s">
        <v>264</v>
      </c>
      <c r="BD61" s="53" t="s">
        <v>102</v>
      </c>
      <c r="BE61" s="53">
        <v>50</v>
      </c>
      <c r="BF61" s="53">
        <v>50</v>
      </c>
      <c r="BG61" s="53" t="s">
        <v>102</v>
      </c>
      <c r="BH61" s="53" t="s">
        <v>264</v>
      </c>
      <c r="BI61" s="53" t="s">
        <v>102</v>
      </c>
      <c r="BJ61" s="53" t="s">
        <v>102</v>
      </c>
      <c r="BK61" s="53" t="s">
        <v>264</v>
      </c>
      <c r="BL61" s="53">
        <v>120</v>
      </c>
      <c r="BM61" s="53">
        <v>125</v>
      </c>
      <c r="BN61" s="53">
        <v>150</v>
      </c>
      <c r="BO61" s="53">
        <v>115</v>
      </c>
      <c r="BP61" s="53">
        <v>850</v>
      </c>
      <c r="BQ61" s="53">
        <v>75</v>
      </c>
      <c r="BR61" s="53">
        <v>150</v>
      </c>
      <c r="BS61" s="53">
        <v>200</v>
      </c>
      <c r="BT61" s="53">
        <v>75</v>
      </c>
      <c r="BU61" s="53">
        <v>75</v>
      </c>
      <c r="BV61" s="53">
        <v>200</v>
      </c>
      <c r="BW61" s="53">
        <v>200</v>
      </c>
      <c r="BX61" s="53">
        <v>400</v>
      </c>
      <c r="BY61" s="53">
        <v>200</v>
      </c>
      <c r="BZ61" s="53">
        <v>25</v>
      </c>
      <c r="CA61" s="53" t="s">
        <v>102</v>
      </c>
      <c r="CB61" s="53" t="s">
        <v>102</v>
      </c>
      <c r="CC61" s="53" t="s">
        <v>102</v>
      </c>
      <c r="CD61" s="53" t="s">
        <v>102</v>
      </c>
      <c r="CE61" s="53" t="s">
        <v>102</v>
      </c>
      <c r="CF61" s="53" t="s">
        <v>102</v>
      </c>
      <c r="CG61" s="53" t="s">
        <v>102</v>
      </c>
      <c r="CH61" s="53" t="s">
        <v>102</v>
      </c>
      <c r="CI61" s="53" t="s">
        <v>102</v>
      </c>
      <c r="CJ61" s="53" t="s">
        <v>102</v>
      </c>
      <c r="CK61" s="53" t="s">
        <v>102</v>
      </c>
      <c r="CL61" s="53" t="s">
        <v>102</v>
      </c>
      <c r="CM61" s="53" t="s">
        <v>102</v>
      </c>
      <c r="CN61" s="206"/>
      <c r="CO61" s="206"/>
      <c r="CP61" s="206"/>
      <c r="CQ61" s="8">
        <f t="shared" si="8"/>
        <v>9</v>
      </c>
      <c r="CR61" s="8">
        <f t="shared" si="9"/>
        <v>850</v>
      </c>
      <c r="CS61" s="8">
        <f t="shared" si="10"/>
        <v>148.04761904761904</v>
      </c>
      <c r="CT61">
        <f t="shared" si="11"/>
        <v>80.10049008223956</v>
      </c>
      <c r="CU61" s="143" t="e">
        <f t="shared" si="12"/>
        <v>#DIV/0!</v>
      </c>
      <c r="CV61" s="143" t="e">
        <f t="shared" si="13"/>
        <v>#DIV/0!</v>
      </c>
      <c r="CX61" s="7">
        <f t="shared" si="14"/>
        <v>9</v>
      </c>
      <c r="CY61" s="7">
        <f t="shared" si="15"/>
        <v>21</v>
      </c>
      <c r="CZ61" s="7">
        <f t="shared" si="16"/>
        <v>25</v>
      </c>
      <c r="DA61" s="7">
        <f t="shared" si="17"/>
        <v>50</v>
      </c>
      <c r="DB61" s="7">
        <f t="shared" si="18"/>
        <v>115</v>
      </c>
      <c r="DC61" s="7">
        <f t="shared" si="19"/>
        <v>125</v>
      </c>
      <c r="DD61" s="7">
        <f t="shared" si="20"/>
        <v>150</v>
      </c>
      <c r="DE61" s="7">
        <f t="shared" si="21"/>
        <v>200</v>
      </c>
      <c r="DF61" s="7">
        <f t="shared" si="22"/>
        <v>200</v>
      </c>
      <c r="DH61" s="7">
        <f t="shared" si="23"/>
        <v>9</v>
      </c>
      <c r="DI61" s="7">
        <f t="shared" si="24"/>
        <v>9</v>
      </c>
      <c r="DJ61" s="7">
        <f t="shared" si="25"/>
        <v>9</v>
      </c>
      <c r="DK61" s="7">
        <f t="shared" si="26"/>
        <v>9</v>
      </c>
      <c r="DL61" s="7">
        <f t="shared" si="27"/>
        <v>9</v>
      </c>
      <c r="DM61" s="7">
        <f t="shared" si="28"/>
        <v>11.400000000000002</v>
      </c>
      <c r="DN61" s="7">
        <f t="shared" si="29"/>
        <v>12.599999999999998</v>
      </c>
      <c r="DO61" s="7">
        <f t="shared" si="30"/>
        <v>15</v>
      </c>
      <c r="DP61" s="7">
        <f t="shared" si="31"/>
        <v>17.400000000000002</v>
      </c>
    </row>
    <row r="62" spans="1:120" s="7" customFormat="1" ht="25.5" hidden="1" customHeight="1" x14ac:dyDescent="0.25">
      <c r="A62" s="92" t="str">
        <f t="shared" si="32"/>
        <v>CM-SWVI [10]</v>
      </c>
      <c r="B62" s="92" t="str">
        <f t="shared" si="33"/>
        <v>Southwest Vancouver Island</v>
      </c>
      <c r="C62" s="93" t="str">
        <f t="shared" si="1"/>
        <v>HOBITON CREEK_Chum</v>
      </c>
      <c r="D62" s="128" t="s">
        <v>598</v>
      </c>
      <c r="E62" s="128" t="s">
        <v>598</v>
      </c>
      <c r="F62" s="64">
        <v>22</v>
      </c>
      <c r="G62" s="72" t="s">
        <v>104</v>
      </c>
      <c r="H62" s="67" t="s">
        <v>96</v>
      </c>
      <c r="I62" s="119"/>
      <c r="J62" s="119"/>
      <c r="K62" s="64">
        <v>3</v>
      </c>
      <c r="L62" s="52">
        <v>11</v>
      </c>
      <c r="M62" s="52">
        <v>9</v>
      </c>
      <c r="N62" s="52">
        <f t="shared" si="2"/>
        <v>2950.0125114826637</v>
      </c>
      <c r="O62" s="52">
        <f t="shared" si="3"/>
        <v>15905</v>
      </c>
      <c r="P62" s="52">
        <f t="shared" si="4"/>
        <v>2991.5226421741718</v>
      </c>
      <c r="Q62" s="66"/>
      <c r="R62" s="37"/>
      <c r="S62" s="74" t="s">
        <v>295</v>
      </c>
      <c r="T62" s="81">
        <f t="shared" si="6"/>
        <v>2114</v>
      </c>
      <c r="U62" s="81">
        <f t="shared" si="7"/>
        <v>3495.1111111111113</v>
      </c>
      <c r="V62" s="233">
        <v>2500</v>
      </c>
      <c r="W62" s="52">
        <v>1030</v>
      </c>
      <c r="X62" s="52">
        <v>4347</v>
      </c>
      <c r="Y62" s="52">
        <v>579</v>
      </c>
      <c r="Z62" s="230" t="s">
        <v>262</v>
      </c>
      <c r="AA62" s="230" t="s">
        <v>102</v>
      </c>
      <c r="AB62" s="144">
        <v>8000</v>
      </c>
      <c r="AC62" s="144">
        <v>8000</v>
      </c>
      <c r="AD62" s="144" t="s">
        <v>102</v>
      </c>
      <c r="AE62" s="144">
        <v>500</v>
      </c>
      <c r="AF62" s="144">
        <v>4000</v>
      </c>
      <c r="AG62" s="52">
        <v>2500</v>
      </c>
      <c r="AH62" s="52" t="s">
        <v>102</v>
      </c>
      <c r="AI62" s="52">
        <v>3000</v>
      </c>
      <c r="AJ62" s="52" t="s">
        <v>102</v>
      </c>
      <c r="AK62" s="52" t="s">
        <v>102</v>
      </c>
      <c r="AL62" s="89">
        <v>1750</v>
      </c>
      <c r="AM62" s="52">
        <v>4753</v>
      </c>
      <c r="AN62" s="54"/>
      <c r="AO62" s="53">
        <v>7200</v>
      </c>
      <c r="AP62" s="53">
        <v>3611</v>
      </c>
      <c r="AQ62" s="53">
        <v>125</v>
      </c>
      <c r="AR62" s="53">
        <v>900</v>
      </c>
      <c r="AS62" s="52">
        <v>6000</v>
      </c>
      <c r="AT62" s="52">
        <v>7599</v>
      </c>
      <c r="AU62" s="52">
        <v>7500</v>
      </c>
      <c r="AV62" s="52">
        <v>6000</v>
      </c>
      <c r="AW62" s="52" t="s">
        <v>262</v>
      </c>
      <c r="AX62" s="51" t="s">
        <v>264</v>
      </c>
      <c r="AY62" s="53">
        <v>15905</v>
      </c>
      <c r="AZ62" s="53" t="s">
        <v>264</v>
      </c>
      <c r="BA62" s="53" t="s">
        <v>102</v>
      </c>
      <c r="BB62" s="53" t="s">
        <v>102</v>
      </c>
      <c r="BC62" s="53" t="s">
        <v>102</v>
      </c>
      <c r="BD62" s="53" t="s">
        <v>264</v>
      </c>
      <c r="BE62" s="53" t="s">
        <v>102</v>
      </c>
      <c r="BF62" s="53">
        <v>2200</v>
      </c>
      <c r="BG62" s="53" t="s">
        <v>264</v>
      </c>
      <c r="BH62" s="53" t="s">
        <v>264</v>
      </c>
      <c r="BI62" s="53" t="s">
        <v>264</v>
      </c>
      <c r="BJ62" s="53" t="s">
        <v>264</v>
      </c>
      <c r="BK62" s="53">
        <v>4000</v>
      </c>
      <c r="BL62" s="53">
        <v>1000</v>
      </c>
      <c r="BM62" s="53">
        <v>200</v>
      </c>
      <c r="BN62" s="53">
        <v>1800</v>
      </c>
      <c r="BO62" s="53">
        <v>550</v>
      </c>
      <c r="BP62" s="53">
        <v>400</v>
      </c>
      <c r="BQ62" s="53">
        <v>750</v>
      </c>
      <c r="BR62" s="53">
        <v>800</v>
      </c>
      <c r="BS62" s="53">
        <v>6000</v>
      </c>
      <c r="BT62" s="53">
        <v>7500</v>
      </c>
      <c r="BU62" s="53">
        <v>3500</v>
      </c>
      <c r="BV62" s="53">
        <v>3500</v>
      </c>
      <c r="BW62" s="53">
        <v>3500</v>
      </c>
      <c r="BX62" s="53">
        <v>7500</v>
      </c>
      <c r="BY62" s="53">
        <v>3500</v>
      </c>
      <c r="BZ62" s="53">
        <v>400</v>
      </c>
      <c r="CA62" s="53">
        <v>3500</v>
      </c>
      <c r="CB62" s="53">
        <v>7500</v>
      </c>
      <c r="CC62" s="53">
        <v>1500</v>
      </c>
      <c r="CD62" s="53">
        <v>3500</v>
      </c>
      <c r="CE62" s="53">
        <v>7500</v>
      </c>
      <c r="CF62" s="53">
        <v>7500</v>
      </c>
      <c r="CG62" s="53">
        <v>7500</v>
      </c>
      <c r="CH62" s="53">
        <v>3500</v>
      </c>
      <c r="CI62" s="53">
        <v>7500</v>
      </c>
      <c r="CJ62" s="53">
        <v>7500</v>
      </c>
      <c r="CK62" s="53">
        <v>7500</v>
      </c>
      <c r="CL62" s="53">
        <v>7500</v>
      </c>
      <c r="CM62" s="53">
        <v>7500</v>
      </c>
      <c r="CN62" s="206"/>
      <c r="CO62" s="206"/>
      <c r="CP62" s="206"/>
      <c r="CQ62" s="8">
        <f t="shared" si="8"/>
        <v>125</v>
      </c>
      <c r="CR62" s="8">
        <f t="shared" si="9"/>
        <v>15905</v>
      </c>
      <c r="CS62" s="8">
        <f t="shared" si="10"/>
        <v>4360.7647058823532</v>
      </c>
      <c r="CT62">
        <f t="shared" si="11"/>
        <v>2863.9841005785584</v>
      </c>
      <c r="CU62" s="143">
        <f t="shared" si="12"/>
        <v>2114</v>
      </c>
      <c r="CV62" s="143">
        <f t="shared" si="13"/>
        <v>3495.1111111111113</v>
      </c>
      <c r="CX62" s="7">
        <f t="shared" si="14"/>
        <v>400</v>
      </c>
      <c r="CY62" s="7">
        <f t="shared" si="15"/>
        <v>775</v>
      </c>
      <c r="CZ62" s="7">
        <f t="shared" si="16"/>
        <v>1000</v>
      </c>
      <c r="DA62" s="7">
        <f t="shared" si="17"/>
        <v>1625</v>
      </c>
      <c r="DB62" s="7">
        <f t="shared" si="18"/>
        <v>3500</v>
      </c>
      <c r="DC62" s="7">
        <f t="shared" si="19"/>
        <v>4753</v>
      </c>
      <c r="DD62" s="7">
        <f t="shared" si="20"/>
        <v>6000</v>
      </c>
      <c r="DE62" s="7">
        <f t="shared" si="21"/>
        <v>7500</v>
      </c>
      <c r="DF62" s="7">
        <f t="shared" si="22"/>
        <v>7500</v>
      </c>
      <c r="DH62" s="7">
        <f t="shared" si="23"/>
        <v>481.25000000000006</v>
      </c>
      <c r="DI62" s="7">
        <f t="shared" si="24"/>
        <v>851.85</v>
      </c>
      <c r="DJ62" s="7">
        <f t="shared" si="25"/>
        <v>1004.0000000000001</v>
      </c>
      <c r="DK62" s="7">
        <f t="shared" si="26"/>
        <v>1570</v>
      </c>
      <c r="DL62" s="7">
        <f t="shared" si="27"/>
        <v>3805.5</v>
      </c>
      <c r="DM62" s="7">
        <f t="shared" si="28"/>
        <v>4509.4000000000005</v>
      </c>
      <c r="DN62" s="7">
        <f t="shared" si="29"/>
        <v>5189.45</v>
      </c>
      <c r="DO62" s="7">
        <f t="shared" si="30"/>
        <v>6300</v>
      </c>
      <c r="DP62" s="7">
        <f t="shared" si="31"/>
        <v>7514.8499999999995</v>
      </c>
    </row>
    <row r="63" spans="1:120" s="7" customFormat="1" ht="25.5" hidden="1" customHeight="1" x14ac:dyDescent="0.25">
      <c r="A63" s="92" t="str">
        <f t="shared" si="32"/>
        <v>CO-JdF [16]</v>
      </c>
      <c r="B63" s="92" t="str">
        <f t="shared" si="33"/>
        <v>Juan de Fuca-Pachena</v>
      </c>
      <c r="C63" s="93" t="str">
        <f t="shared" si="1"/>
        <v>HOBITON CREEK_Coho</v>
      </c>
      <c r="D63" s="128" t="s">
        <v>598</v>
      </c>
      <c r="E63" s="128" t="s">
        <v>598</v>
      </c>
      <c r="F63" s="64">
        <v>22</v>
      </c>
      <c r="G63" s="72" t="s">
        <v>104</v>
      </c>
      <c r="H63" s="67" t="s">
        <v>93</v>
      </c>
      <c r="I63" s="119"/>
      <c r="J63" s="119"/>
      <c r="K63" s="64">
        <v>3</v>
      </c>
      <c r="L63" s="52">
        <v>11</v>
      </c>
      <c r="M63" s="52">
        <v>7</v>
      </c>
      <c r="N63" s="52">
        <f t="shared" si="2"/>
        <v>20.295023559903001</v>
      </c>
      <c r="O63" s="52">
        <f t="shared" si="3"/>
        <v>200</v>
      </c>
      <c r="P63" s="52">
        <f t="shared" si="4"/>
        <v>38.04876913750487</v>
      </c>
      <c r="Q63" s="66"/>
      <c r="R63" s="37"/>
      <c r="S63" s="74" t="s">
        <v>295</v>
      </c>
      <c r="T63" s="81">
        <f t="shared" si="6"/>
        <v>22</v>
      </c>
      <c r="U63" s="81">
        <f t="shared" si="7"/>
        <v>22</v>
      </c>
      <c r="V63" s="52" t="s">
        <v>262</v>
      </c>
      <c r="W63" s="52" t="s">
        <v>262</v>
      </c>
      <c r="X63" s="230" t="s">
        <v>262</v>
      </c>
      <c r="Y63" s="52">
        <v>22</v>
      </c>
      <c r="Z63" s="230" t="s">
        <v>262</v>
      </c>
      <c r="AA63" s="230" t="s">
        <v>102</v>
      </c>
      <c r="AB63" s="144" t="s">
        <v>102</v>
      </c>
      <c r="AC63" s="144" t="s">
        <v>102</v>
      </c>
      <c r="AD63" s="144" t="s">
        <v>102</v>
      </c>
      <c r="AE63" s="144" t="s">
        <v>102</v>
      </c>
      <c r="AF63" s="144" t="s">
        <v>102</v>
      </c>
      <c r="AG63" s="52" t="s">
        <v>102</v>
      </c>
      <c r="AH63" s="52" t="s">
        <v>102</v>
      </c>
      <c r="AI63" s="52" t="s">
        <v>102</v>
      </c>
      <c r="AJ63" s="52" t="s">
        <v>102</v>
      </c>
      <c r="AK63" s="52" t="s">
        <v>102</v>
      </c>
      <c r="AL63" s="89">
        <v>10</v>
      </c>
      <c r="AM63" s="52">
        <v>7</v>
      </c>
      <c r="AN63" s="54"/>
      <c r="AO63" s="53">
        <v>30</v>
      </c>
      <c r="AP63" s="53" t="s">
        <v>263</v>
      </c>
      <c r="AQ63" s="53" t="s">
        <v>262</v>
      </c>
      <c r="AR63" s="53" t="s">
        <v>263</v>
      </c>
      <c r="AS63" s="52">
        <v>55</v>
      </c>
      <c r="AT63" s="52">
        <v>11</v>
      </c>
      <c r="AU63" s="52" t="s">
        <v>262</v>
      </c>
      <c r="AV63" s="52">
        <v>55</v>
      </c>
      <c r="AW63" s="52" t="s">
        <v>262</v>
      </c>
      <c r="AX63" s="51" t="s">
        <v>264</v>
      </c>
      <c r="AY63" s="53" t="s">
        <v>264</v>
      </c>
      <c r="AZ63" s="53" t="s">
        <v>264</v>
      </c>
      <c r="BA63" s="53" t="s">
        <v>264</v>
      </c>
      <c r="BB63" s="53" t="s">
        <v>264</v>
      </c>
      <c r="BC63" s="53" t="s">
        <v>262</v>
      </c>
      <c r="BD63" s="53" t="s">
        <v>264</v>
      </c>
      <c r="BE63" s="53" t="s">
        <v>102</v>
      </c>
      <c r="BF63" s="53">
        <v>50</v>
      </c>
      <c r="BG63" s="53" t="s">
        <v>264</v>
      </c>
      <c r="BH63" s="53" t="s">
        <v>264</v>
      </c>
      <c r="BI63" s="53" t="s">
        <v>264</v>
      </c>
      <c r="BJ63" s="53" t="s">
        <v>264</v>
      </c>
      <c r="BK63" s="53" t="s">
        <v>264</v>
      </c>
      <c r="BL63" s="53">
        <v>120</v>
      </c>
      <c r="BM63" s="53">
        <v>110</v>
      </c>
      <c r="BN63" s="53">
        <v>120</v>
      </c>
      <c r="BO63" s="53">
        <v>125</v>
      </c>
      <c r="BP63" s="53">
        <v>90</v>
      </c>
      <c r="BQ63" s="53">
        <v>75</v>
      </c>
      <c r="BR63" s="53">
        <v>150</v>
      </c>
      <c r="BS63" s="53">
        <v>25</v>
      </c>
      <c r="BT63" s="53">
        <v>25</v>
      </c>
      <c r="BU63" s="53">
        <v>25</v>
      </c>
      <c r="BV63" s="53">
        <v>25</v>
      </c>
      <c r="BW63" s="53">
        <v>25</v>
      </c>
      <c r="BX63" s="53">
        <v>200</v>
      </c>
      <c r="BY63" s="53">
        <v>75</v>
      </c>
      <c r="BZ63" s="53">
        <v>25</v>
      </c>
      <c r="CA63" s="53">
        <v>25</v>
      </c>
      <c r="CB63" s="53">
        <v>25</v>
      </c>
      <c r="CC63" s="53">
        <v>25</v>
      </c>
      <c r="CD63" s="53">
        <v>25</v>
      </c>
      <c r="CE63" s="53">
        <v>25</v>
      </c>
      <c r="CF63" s="53">
        <v>25</v>
      </c>
      <c r="CG63" s="53">
        <v>25</v>
      </c>
      <c r="CH63" s="53">
        <v>25</v>
      </c>
      <c r="CI63" s="53">
        <v>25</v>
      </c>
      <c r="CJ63" s="53" t="s">
        <v>264</v>
      </c>
      <c r="CK63" s="53" t="s">
        <v>264</v>
      </c>
      <c r="CL63" s="53" t="s">
        <v>262</v>
      </c>
      <c r="CM63" s="53" t="s">
        <v>262</v>
      </c>
      <c r="CN63" s="206">
        <f>IF(ISERROR(AVERAGE(BV63:CM63)),CS63,AVERAGE(BV63:CM63))</f>
        <v>41.071428571428569</v>
      </c>
      <c r="CO63" s="206"/>
      <c r="CP63" s="206"/>
      <c r="CQ63" s="8">
        <f t="shared" si="8"/>
        <v>7</v>
      </c>
      <c r="CR63" s="8">
        <f t="shared" si="9"/>
        <v>200</v>
      </c>
      <c r="CS63" s="8">
        <f t="shared" si="10"/>
        <v>52.5</v>
      </c>
      <c r="CT63">
        <f t="shared" si="11"/>
        <v>37.402934500458805</v>
      </c>
      <c r="CU63" s="143">
        <f t="shared" si="12"/>
        <v>22</v>
      </c>
      <c r="CV63" s="143">
        <f t="shared" si="13"/>
        <v>22</v>
      </c>
      <c r="CX63" s="7">
        <f t="shared" si="14"/>
        <v>10.55</v>
      </c>
      <c r="CY63" s="7">
        <f t="shared" si="15"/>
        <v>25</v>
      </c>
      <c r="CZ63" s="7">
        <f t="shared" si="16"/>
        <v>25</v>
      </c>
      <c r="DA63" s="7">
        <f t="shared" si="17"/>
        <v>25</v>
      </c>
      <c r="DB63" s="7">
        <f t="shared" si="18"/>
        <v>25</v>
      </c>
      <c r="DC63" s="7">
        <f t="shared" si="19"/>
        <v>27.999999999999989</v>
      </c>
      <c r="DD63" s="7">
        <f t="shared" si="20"/>
        <v>50.750000000000014</v>
      </c>
      <c r="DE63" s="7">
        <f t="shared" si="21"/>
        <v>75</v>
      </c>
      <c r="DF63" s="7">
        <f t="shared" si="22"/>
        <v>113.49999999999997</v>
      </c>
      <c r="DH63" s="7">
        <f t="shared" si="23"/>
        <v>7.9</v>
      </c>
      <c r="DI63" s="7">
        <f t="shared" si="24"/>
        <v>9.6999999999999993</v>
      </c>
      <c r="DJ63" s="7">
        <f t="shared" si="25"/>
        <v>10.199999999999999</v>
      </c>
      <c r="DK63" s="7">
        <f t="shared" si="26"/>
        <v>10.5</v>
      </c>
      <c r="DL63" s="7">
        <f t="shared" si="27"/>
        <v>22</v>
      </c>
      <c r="DM63" s="7">
        <f t="shared" si="28"/>
        <v>26.799999999999997</v>
      </c>
      <c r="DN63" s="7">
        <f t="shared" si="29"/>
        <v>29.200000000000003</v>
      </c>
      <c r="DO63" s="7">
        <f t="shared" si="30"/>
        <v>42.5</v>
      </c>
      <c r="DP63" s="7">
        <f t="shared" si="31"/>
        <v>55</v>
      </c>
    </row>
    <row r="64" spans="1:120" s="7" customFormat="1" ht="25.5" hidden="1" customHeight="1" x14ac:dyDescent="0.25">
      <c r="A64" s="92" t="str">
        <f t="shared" si="32"/>
        <v>SK-L-13-13</v>
      </c>
      <c r="B64" s="92" t="str">
        <f t="shared" si="33"/>
        <v>Hobiton</v>
      </c>
      <c r="C64" s="93" t="str">
        <f t="shared" si="1"/>
        <v>HOBITON CREEK_Sockeye</v>
      </c>
      <c r="D64" s="128" t="s">
        <v>598</v>
      </c>
      <c r="E64" s="128" t="s">
        <v>598</v>
      </c>
      <c r="F64" s="64">
        <v>22</v>
      </c>
      <c r="G64" s="72" t="s">
        <v>104</v>
      </c>
      <c r="H64" s="67" t="s">
        <v>91</v>
      </c>
      <c r="I64" s="119"/>
      <c r="J64" s="119"/>
      <c r="K64" s="64">
        <v>3</v>
      </c>
      <c r="L64" s="52">
        <v>11</v>
      </c>
      <c r="M64" s="52">
        <v>7</v>
      </c>
      <c r="N64" s="52">
        <f t="shared" si="2"/>
        <v>3454.5235200401812</v>
      </c>
      <c r="O64" s="52">
        <f t="shared" si="3"/>
        <v>49432</v>
      </c>
      <c r="P64" s="52">
        <f t="shared" si="4"/>
        <v>5037.4107025102776</v>
      </c>
      <c r="Q64" s="66"/>
      <c r="R64" s="37"/>
      <c r="S64" s="74" t="s">
        <v>296</v>
      </c>
      <c r="T64" s="81">
        <f t="shared" si="6"/>
        <v>1299</v>
      </c>
      <c r="U64" s="81">
        <f t="shared" si="7"/>
        <v>4281.5</v>
      </c>
      <c r="V64" s="233">
        <v>1299</v>
      </c>
      <c r="W64" s="52" t="s">
        <v>263</v>
      </c>
      <c r="X64" s="52" t="s">
        <v>263</v>
      </c>
      <c r="Y64" s="52" t="s">
        <v>263</v>
      </c>
      <c r="Z64" s="230" t="s">
        <v>262</v>
      </c>
      <c r="AA64" s="230" t="s">
        <v>102</v>
      </c>
      <c r="AB64" s="144" t="s">
        <v>102</v>
      </c>
      <c r="AC64" s="144">
        <v>7264</v>
      </c>
      <c r="AD64" s="144" t="s">
        <v>102</v>
      </c>
      <c r="AE64" s="144" t="s">
        <v>102</v>
      </c>
      <c r="AF64" s="144" t="s">
        <v>102</v>
      </c>
      <c r="AG64" s="52" t="s">
        <v>102</v>
      </c>
      <c r="AH64" s="52" t="s">
        <v>102</v>
      </c>
      <c r="AI64" s="52" t="s">
        <v>102</v>
      </c>
      <c r="AJ64" s="52" t="s">
        <v>102</v>
      </c>
      <c r="AK64" s="52" t="s">
        <v>102</v>
      </c>
      <c r="AL64" s="89">
        <v>154</v>
      </c>
      <c r="AM64" s="54"/>
      <c r="AN64" s="54"/>
      <c r="AO64" s="53">
        <v>4000</v>
      </c>
      <c r="AP64" s="53">
        <v>2500</v>
      </c>
      <c r="AQ64" s="53" t="s">
        <v>262</v>
      </c>
      <c r="AR64" s="53">
        <v>13500</v>
      </c>
      <c r="AS64" s="52">
        <v>3671</v>
      </c>
      <c r="AT64" s="52">
        <v>8787</v>
      </c>
      <c r="AU64" s="52">
        <v>9082</v>
      </c>
      <c r="AV64" s="55" t="s">
        <v>264</v>
      </c>
      <c r="AW64" s="52">
        <v>3330</v>
      </c>
      <c r="AX64" s="51">
        <v>7138</v>
      </c>
      <c r="AY64" s="53">
        <v>12744</v>
      </c>
      <c r="AZ64" s="53">
        <v>6319</v>
      </c>
      <c r="BA64" s="53">
        <v>11572</v>
      </c>
      <c r="BB64" s="53">
        <v>6539</v>
      </c>
      <c r="BC64" s="53">
        <v>7212</v>
      </c>
      <c r="BD64" s="53">
        <v>6654</v>
      </c>
      <c r="BE64" s="53">
        <v>7385</v>
      </c>
      <c r="BF64" s="53">
        <v>1770</v>
      </c>
      <c r="BG64" s="53">
        <v>9350</v>
      </c>
      <c r="BH64" s="53">
        <v>10400</v>
      </c>
      <c r="BI64" s="53">
        <v>22148</v>
      </c>
      <c r="BJ64" s="53">
        <v>49432</v>
      </c>
      <c r="BK64" s="53">
        <v>14595</v>
      </c>
      <c r="BL64" s="53">
        <v>8089</v>
      </c>
      <c r="BM64" s="53">
        <v>5730</v>
      </c>
      <c r="BN64" s="53">
        <v>2150</v>
      </c>
      <c r="BO64" s="53">
        <v>3150</v>
      </c>
      <c r="BP64" s="53">
        <v>6500</v>
      </c>
      <c r="BQ64" s="53">
        <v>8050</v>
      </c>
      <c r="BR64" s="53">
        <v>2600</v>
      </c>
      <c r="BS64" s="53">
        <v>1300</v>
      </c>
      <c r="BT64" s="53">
        <v>3400</v>
      </c>
      <c r="BU64" s="53">
        <v>8000</v>
      </c>
      <c r="BV64" s="53">
        <v>2500</v>
      </c>
      <c r="BW64" s="53">
        <v>4000</v>
      </c>
      <c r="BX64" s="53">
        <v>2300</v>
      </c>
      <c r="BY64" s="53">
        <v>7904</v>
      </c>
      <c r="BZ64" s="53">
        <v>5350</v>
      </c>
      <c r="CA64" s="53">
        <v>8000</v>
      </c>
      <c r="CB64" s="53">
        <v>6000</v>
      </c>
      <c r="CC64" s="53">
        <v>3500</v>
      </c>
      <c r="CD64" s="53">
        <v>3500</v>
      </c>
      <c r="CE64" s="53">
        <v>8000</v>
      </c>
      <c r="CF64" s="53">
        <v>3500</v>
      </c>
      <c r="CG64" s="53">
        <v>3000</v>
      </c>
      <c r="CH64" s="53">
        <v>2000</v>
      </c>
      <c r="CI64" s="53">
        <v>3500</v>
      </c>
      <c r="CJ64" s="53">
        <v>3500</v>
      </c>
      <c r="CK64" s="53">
        <v>1500</v>
      </c>
      <c r="CL64" s="53">
        <v>7500</v>
      </c>
      <c r="CM64" s="53">
        <v>7500</v>
      </c>
      <c r="CN64" s="206"/>
      <c r="CO64" s="206"/>
      <c r="CP64" s="206"/>
      <c r="CQ64" s="8">
        <f t="shared" si="8"/>
        <v>154</v>
      </c>
      <c r="CR64" s="8">
        <f t="shared" si="9"/>
        <v>49432</v>
      </c>
      <c r="CS64" s="8">
        <f t="shared" si="10"/>
        <v>6901.3076923076924</v>
      </c>
      <c r="CT64">
        <f t="shared" si="11"/>
        <v>4942.483751755015</v>
      </c>
      <c r="CU64" s="143">
        <f t="shared" si="12"/>
        <v>1299</v>
      </c>
      <c r="CV64" s="143">
        <f t="shared" si="13"/>
        <v>4281.5</v>
      </c>
      <c r="CX64" s="7">
        <f t="shared" si="14"/>
        <v>1410</v>
      </c>
      <c r="CY64" s="7">
        <f t="shared" si="15"/>
        <v>2429.9999999999995</v>
      </c>
      <c r="CZ64" s="7">
        <f t="shared" si="16"/>
        <v>2680.0000000000005</v>
      </c>
      <c r="DA64" s="7">
        <f t="shared" si="17"/>
        <v>3285</v>
      </c>
      <c r="DB64" s="7">
        <f t="shared" si="18"/>
        <v>6159.5</v>
      </c>
      <c r="DC64" s="7">
        <f t="shared" si="19"/>
        <v>7182.4</v>
      </c>
      <c r="DD64" s="7">
        <f t="shared" si="20"/>
        <v>7402.25</v>
      </c>
      <c r="DE64" s="7">
        <f t="shared" si="21"/>
        <v>8000</v>
      </c>
      <c r="DF64" s="7">
        <f t="shared" si="22"/>
        <v>9175.8000000000011</v>
      </c>
      <c r="DH64" s="7">
        <f t="shared" si="23"/>
        <v>669.25</v>
      </c>
      <c r="DI64" s="7">
        <f t="shared" si="24"/>
        <v>1719.3499999999995</v>
      </c>
      <c r="DJ64" s="7">
        <f t="shared" si="25"/>
        <v>2259.7999999999997</v>
      </c>
      <c r="DK64" s="7">
        <f t="shared" si="26"/>
        <v>2707.5</v>
      </c>
      <c r="DL64" s="7">
        <f t="shared" si="27"/>
        <v>3835.5</v>
      </c>
      <c r="DM64" s="7">
        <f t="shared" si="28"/>
        <v>5305.5999999999985</v>
      </c>
      <c r="DN64" s="7">
        <f t="shared" si="29"/>
        <v>6774.4000000000015</v>
      </c>
      <c r="DO64" s="7">
        <f t="shared" si="30"/>
        <v>8406.25</v>
      </c>
      <c r="DP64" s="7">
        <f t="shared" si="31"/>
        <v>8978.75</v>
      </c>
    </row>
    <row r="65" spans="1:134" s="7" customFormat="1" ht="25.5" customHeight="1" x14ac:dyDescent="0.25">
      <c r="A65" s="92" t="str">
        <f t="shared" si="32"/>
        <v>CK-SWVI [31]</v>
      </c>
      <c r="B65" s="92" t="str">
        <f t="shared" si="33"/>
        <v>Southwest Vancouver Island</v>
      </c>
      <c r="C65" s="93" t="str">
        <f t="shared" si="1"/>
        <v>NITINAT RIVER_Chinook</v>
      </c>
      <c r="D65" s="128" t="s">
        <v>598</v>
      </c>
      <c r="E65" s="128" t="s">
        <v>598</v>
      </c>
      <c r="F65" s="64">
        <v>22</v>
      </c>
      <c r="G65" s="72" t="s">
        <v>101</v>
      </c>
      <c r="H65" s="67" t="s">
        <v>97</v>
      </c>
      <c r="I65" s="119"/>
      <c r="J65" s="119"/>
      <c r="K65" s="64">
        <v>1</v>
      </c>
      <c r="L65" s="52">
        <v>11</v>
      </c>
      <c r="M65" s="52">
        <v>11</v>
      </c>
      <c r="N65" s="52">
        <f t="shared" si="2"/>
        <v>14333.293011806643</v>
      </c>
      <c r="O65" s="52">
        <f t="shared" si="3"/>
        <v>31654</v>
      </c>
      <c r="P65" s="52">
        <f t="shared" si="4"/>
        <v>3684.3150055992019</v>
      </c>
      <c r="Q65" s="66" t="s">
        <v>272</v>
      </c>
      <c r="R65" s="37"/>
      <c r="S65" s="74" t="s">
        <v>4</v>
      </c>
      <c r="T65" s="81">
        <f t="shared" si="6"/>
        <v>14135.25</v>
      </c>
      <c r="U65" s="81">
        <f t="shared" si="7"/>
        <v>13202.75</v>
      </c>
      <c r="V65" s="233">
        <v>11752</v>
      </c>
      <c r="W65" s="52">
        <v>13740</v>
      </c>
      <c r="X65" s="52">
        <v>14159</v>
      </c>
      <c r="Y65" s="52">
        <v>16890</v>
      </c>
      <c r="Z65" s="52">
        <v>22059</v>
      </c>
      <c r="AA65" s="52">
        <v>13243</v>
      </c>
      <c r="AB65" s="52">
        <v>12126</v>
      </c>
      <c r="AC65" s="52">
        <v>20464</v>
      </c>
      <c r="AD65" s="144">
        <v>9000</v>
      </c>
      <c r="AE65" s="144">
        <v>10000</v>
      </c>
      <c r="AF65" s="144">
        <v>5000</v>
      </c>
      <c r="AG65" s="144">
        <v>10000</v>
      </c>
      <c r="AH65" s="144">
        <v>4500</v>
      </c>
      <c r="AI65" s="53">
        <v>5346</v>
      </c>
      <c r="AJ65" s="53">
        <v>8849</v>
      </c>
      <c r="AK65" s="52">
        <v>6500</v>
      </c>
      <c r="AL65" s="89">
        <v>12580</v>
      </c>
      <c r="AM65" s="52">
        <v>12000</v>
      </c>
      <c r="AN65" s="52">
        <v>18790</v>
      </c>
      <c r="AO65" s="53">
        <v>25821</v>
      </c>
      <c r="AP65" s="53">
        <v>18204</v>
      </c>
      <c r="AQ65" s="53">
        <v>11481</v>
      </c>
      <c r="AR65" s="53">
        <v>6393</v>
      </c>
      <c r="AS65" s="53">
        <v>18183</v>
      </c>
      <c r="AT65" s="52">
        <v>31654</v>
      </c>
      <c r="AU65" s="52">
        <v>28969</v>
      </c>
      <c r="AV65" s="52">
        <v>21843</v>
      </c>
      <c r="AW65" s="52">
        <v>7535</v>
      </c>
      <c r="AX65" s="52">
        <v>11000</v>
      </c>
      <c r="AY65" s="53">
        <v>25000</v>
      </c>
      <c r="AZ65" s="53">
        <v>30000</v>
      </c>
      <c r="BA65" s="53">
        <v>12000</v>
      </c>
      <c r="BB65" s="53">
        <v>19000</v>
      </c>
      <c r="BC65" s="53">
        <v>17000</v>
      </c>
      <c r="BD65" s="53">
        <v>21047</v>
      </c>
      <c r="BE65" s="53">
        <v>2500</v>
      </c>
      <c r="BF65" s="53">
        <v>8000</v>
      </c>
      <c r="BG65" s="53">
        <v>12000</v>
      </c>
      <c r="BH65" s="53">
        <v>2200</v>
      </c>
      <c r="BI65" s="53">
        <v>1300</v>
      </c>
      <c r="BJ65" s="53">
        <v>2000</v>
      </c>
      <c r="BK65" s="53">
        <v>1000</v>
      </c>
      <c r="BL65" s="53">
        <v>3000</v>
      </c>
      <c r="BM65" s="53">
        <v>3500</v>
      </c>
      <c r="BN65" s="53">
        <v>1200</v>
      </c>
      <c r="BO65" s="53">
        <v>1000</v>
      </c>
      <c r="BP65" s="53">
        <v>650</v>
      </c>
      <c r="BQ65" s="53">
        <v>800</v>
      </c>
      <c r="BR65" s="53">
        <v>3000</v>
      </c>
      <c r="BS65" s="53">
        <v>850</v>
      </c>
      <c r="BT65" s="53">
        <v>800</v>
      </c>
      <c r="BU65" s="53">
        <v>1200</v>
      </c>
      <c r="BV65" s="53">
        <v>750</v>
      </c>
      <c r="BW65" s="53">
        <v>1500</v>
      </c>
      <c r="BX65" s="53">
        <v>3500</v>
      </c>
      <c r="BY65" s="53">
        <v>1500</v>
      </c>
      <c r="BZ65" s="53">
        <v>3500</v>
      </c>
      <c r="CA65" s="53">
        <v>3500</v>
      </c>
      <c r="CB65" s="53">
        <v>3500</v>
      </c>
      <c r="CC65" s="53">
        <v>1500</v>
      </c>
      <c r="CD65" s="53">
        <v>1500</v>
      </c>
      <c r="CE65" s="53">
        <v>1500</v>
      </c>
      <c r="CF65" s="53">
        <v>750</v>
      </c>
      <c r="CG65" s="53">
        <v>400</v>
      </c>
      <c r="CH65" s="53">
        <v>1500</v>
      </c>
      <c r="CI65" s="53">
        <v>3500</v>
      </c>
      <c r="CJ65" s="53">
        <v>400</v>
      </c>
      <c r="CK65" s="53">
        <v>750</v>
      </c>
      <c r="CL65" s="53">
        <v>750</v>
      </c>
      <c r="CM65" s="53">
        <v>750</v>
      </c>
      <c r="CN65" s="206"/>
      <c r="CO65" s="206"/>
      <c r="CP65" s="206"/>
      <c r="CQ65" s="8">
        <f t="shared" si="8"/>
        <v>400</v>
      </c>
      <c r="CR65" s="8">
        <f t="shared" si="9"/>
        <v>31654</v>
      </c>
      <c r="CS65" s="8">
        <f t="shared" si="10"/>
        <v>8688.2571428571428</v>
      </c>
      <c r="CT65">
        <f t="shared" si="11"/>
        <v>4570.5020092291315</v>
      </c>
      <c r="CU65" s="143">
        <f t="shared" si="12"/>
        <v>15720</v>
      </c>
      <c r="CV65" s="143">
        <f t="shared" si="13"/>
        <v>13202.75</v>
      </c>
      <c r="CX65" s="7">
        <f t="shared" si="14"/>
        <v>750</v>
      </c>
      <c r="CY65" s="7">
        <f t="shared" si="15"/>
        <v>902.5</v>
      </c>
      <c r="CZ65" s="7">
        <f t="shared" si="16"/>
        <v>1200</v>
      </c>
      <c r="DA65" s="7">
        <f t="shared" si="17"/>
        <v>1500</v>
      </c>
      <c r="DB65" s="7">
        <f t="shared" si="18"/>
        <v>5173</v>
      </c>
      <c r="DC65" s="7">
        <f t="shared" si="19"/>
        <v>9399.9999999999982</v>
      </c>
      <c r="DD65" s="7">
        <f t="shared" si="20"/>
        <v>11408.85</v>
      </c>
      <c r="DE65" s="7">
        <f t="shared" si="21"/>
        <v>13077.25</v>
      </c>
      <c r="DF65" s="7">
        <f t="shared" si="22"/>
        <v>18584.899999999998</v>
      </c>
      <c r="DH65" s="7">
        <f t="shared" si="23"/>
        <v>5121.1000000000004</v>
      </c>
      <c r="DI65" s="7">
        <f t="shared" si="24"/>
        <v>6551.75</v>
      </c>
      <c r="DJ65" s="7">
        <f t="shared" si="25"/>
        <v>8060.6</v>
      </c>
      <c r="DK65" s="7">
        <f t="shared" si="26"/>
        <v>8962.25</v>
      </c>
      <c r="DL65" s="7">
        <f t="shared" si="27"/>
        <v>12353</v>
      </c>
      <c r="DM65" s="7">
        <f t="shared" si="28"/>
        <v>13823.8</v>
      </c>
      <c r="DN65" s="7">
        <f t="shared" si="29"/>
        <v>15661.050000000003</v>
      </c>
      <c r="DO65" s="7">
        <f t="shared" si="30"/>
        <v>18350.5</v>
      </c>
      <c r="DP65" s="7">
        <f t="shared" si="31"/>
        <v>21774.05</v>
      </c>
      <c r="EB65" s="7">
        <f>_xlfn.PERCENTILE.INC(BL65:CM65,0.25)</f>
        <v>750</v>
      </c>
      <c r="EC65" s="7">
        <f>_xlfn.PERCENTILE.INC(BL65:CM65,0.75)</f>
        <v>3000</v>
      </c>
      <c r="ED65" s="7" t="s">
        <v>681</v>
      </c>
    </row>
    <row r="66" spans="1:134" s="7" customFormat="1" ht="25.5" hidden="1" customHeight="1" x14ac:dyDescent="0.25">
      <c r="A66" s="92" t="str">
        <f t="shared" si="32"/>
        <v>CM-SWVI [10]</v>
      </c>
      <c r="B66" s="92" t="str">
        <f t="shared" si="33"/>
        <v>Southwest Vancouver Island</v>
      </c>
      <c r="C66" s="93" t="str">
        <f t="shared" si="1"/>
        <v>NITINAT RIVER_Chum</v>
      </c>
      <c r="D66" s="128" t="s">
        <v>598</v>
      </c>
      <c r="E66" s="128" t="s">
        <v>598</v>
      </c>
      <c r="F66" s="64">
        <v>22</v>
      </c>
      <c r="G66" s="72" t="s">
        <v>101</v>
      </c>
      <c r="H66" s="67" t="s">
        <v>96</v>
      </c>
      <c r="I66" s="119"/>
      <c r="J66" s="119"/>
      <c r="K66" s="64">
        <v>1</v>
      </c>
      <c r="L66" s="52">
        <v>11</v>
      </c>
      <c r="M66" s="52">
        <v>8</v>
      </c>
      <c r="N66" s="52">
        <f t="shared" si="2"/>
        <v>139651.44956432475</v>
      </c>
      <c r="O66" s="52">
        <f t="shared" si="3"/>
        <v>423242</v>
      </c>
      <c r="P66" s="52">
        <f t="shared" si="4"/>
        <v>51319.744426410027</v>
      </c>
      <c r="Q66" s="66" t="s">
        <v>272</v>
      </c>
      <c r="R66" s="37"/>
      <c r="S66" s="74" t="s">
        <v>7</v>
      </c>
      <c r="T66" s="81">
        <f t="shared" si="6"/>
        <v>57526.5</v>
      </c>
      <c r="U66" s="81">
        <f t="shared" si="7"/>
        <v>135423.25</v>
      </c>
      <c r="V66" s="233">
        <v>28783</v>
      </c>
      <c r="W66" s="52">
        <v>65398</v>
      </c>
      <c r="X66" s="52">
        <v>115688</v>
      </c>
      <c r="Y66" s="52">
        <v>20237</v>
      </c>
      <c r="Z66" s="52">
        <v>83853</v>
      </c>
      <c r="AA66" s="52">
        <v>94338</v>
      </c>
      <c r="AB66" s="52">
        <v>425000</v>
      </c>
      <c r="AC66" s="52">
        <v>198782</v>
      </c>
      <c r="AD66" s="144">
        <v>125000</v>
      </c>
      <c r="AE66" s="144">
        <v>24000</v>
      </c>
      <c r="AF66" s="144">
        <v>200000</v>
      </c>
      <c r="AG66" s="144">
        <v>244000</v>
      </c>
      <c r="AH66" s="53">
        <v>56000</v>
      </c>
      <c r="AI66" s="53">
        <v>58776</v>
      </c>
      <c r="AJ66" s="53">
        <v>47798</v>
      </c>
      <c r="AK66" s="52">
        <v>110000</v>
      </c>
      <c r="AL66" s="89">
        <v>125000</v>
      </c>
      <c r="AM66" s="52">
        <v>300000</v>
      </c>
      <c r="AN66" s="52">
        <v>235000</v>
      </c>
      <c r="AO66" s="53">
        <v>235414</v>
      </c>
      <c r="AP66" s="53">
        <v>36231</v>
      </c>
      <c r="AQ66" s="53">
        <v>300953</v>
      </c>
      <c r="AR66" s="53">
        <v>20838</v>
      </c>
      <c r="AS66" s="52">
        <v>145000</v>
      </c>
      <c r="AT66" s="52">
        <v>179179</v>
      </c>
      <c r="AU66" s="52">
        <v>423242</v>
      </c>
      <c r="AV66" s="52">
        <v>330000</v>
      </c>
      <c r="AW66" s="52">
        <v>119319</v>
      </c>
      <c r="AX66" s="51">
        <v>340000</v>
      </c>
      <c r="AY66" s="53">
        <v>220000</v>
      </c>
      <c r="AZ66" s="53">
        <v>221700</v>
      </c>
      <c r="BA66" s="53">
        <v>350000</v>
      </c>
      <c r="BB66" s="53" t="s">
        <v>264</v>
      </c>
      <c r="BC66" s="53">
        <v>115000</v>
      </c>
      <c r="BD66" s="53">
        <v>188728</v>
      </c>
      <c r="BE66" s="53">
        <v>50000</v>
      </c>
      <c r="BF66" s="53">
        <v>140000</v>
      </c>
      <c r="BG66" s="53">
        <v>210000</v>
      </c>
      <c r="BH66" s="53">
        <v>76000</v>
      </c>
      <c r="BI66" s="53">
        <v>7960</v>
      </c>
      <c r="BJ66" s="53">
        <v>22500</v>
      </c>
      <c r="BK66" s="53">
        <v>111000</v>
      </c>
      <c r="BL66" s="53">
        <v>50000</v>
      </c>
      <c r="BM66" s="53">
        <v>4000</v>
      </c>
      <c r="BN66" s="53">
        <v>6000</v>
      </c>
      <c r="BO66" s="53">
        <v>42000</v>
      </c>
      <c r="BP66" s="53">
        <v>18000</v>
      </c>
      <c r="BQ66" s="53">
        <v>8000</v>
      </c>
      <c r="BR66" s="53">
        <v>95000</v>
      </c>
      <c r="BS66" s="53">
        <v>160000</v>
      </c>
      <c r="BT66" s="53">
        <v>230000</v>
      </c>
      <c r="BU66" s="53">
        <v>50000</v>
      </c>
      <c r="BV66" s="53">
        <v>4000</v>
      </c>
      <c r="BW66" s="53">
        <v>11000</v>
      </c>
      <c r="BX66" s="53">
        <v>110000</v>
      </c>
      <c r="BY66" s="53">
        <v>15000</v>
      </c>
      <c r="BZ66" s="53">
        <v>7500</v>
      </c>
      <c r="CA66" s="53">
        <v>75000</v>
      </c>
      <c r="CB66" s="53">
        <v>35000</v>
      </c>
      <c r="CC66" s="53">
        <v>5000</v>
      </c>
      <c r="CD66" s="53">
        <v>15000</v>
      </c>
      <c r="CE66" s="53">
        <v>35000</v>
      </c>
      <c r="CF66" s="53">
        <v>35000</v>
      </c>
      <c r="CG66" s="53">
        <v>15000</v>
      </c>
      <c r="CH66" s="53">
        <v>15000</v>
      </c>
      <c r="CI66" s="53">
        <v>15000</v>
      </c>
      <c r="CJ66" s="53">
        <v>35000</v>
      </c>
      <c r="CK66" s="53">
        <v>3500</v>
      </c>
      <c r="CL66" s="53">
        <v>75000</v>
      </c>
      <c r="CM66" s="53">
        <v>7500</v>
      </c>
      <c r="CN66" s="206">
        <f>IF(ISERROR(AVERAGE(BV66:CM66)),CS66,AVERAGE(BV66:CM66))</f>
        <v>28527.777777777777</v>
      </c>
      <c r="CO66" s="206"/>
      <c r="CP66" s="206"/>
      <c r="CQ66" s="8">
        <f t="shared" si="8"/>
        <v>3500</v>
      </c>
      <c r="CR66" s="8">
        <f t="shared" si="9"/>
        <v>425000</v>
      </c>
      <c r="CS66" s="8">
        <f t="shared" si="10"/>
        <v>109814.73913043478</v>
      </c>
      <c r="CT66">
        <f t="shared" si="11"/>
        <v>57118.658685471906</v>
      </c>
      <c r="CU66" s="143">
        <f t="shared" si="12"/>
        <v>62791.8</v>
      </c>
      <c r="CV66" s="143">
        <f t="shared" si="13"/>
        <v>135423.25</v>
      </c>
      <c r="CX66" s="7">
        <f t="shared" si="14"/>
        <v>5400</v>
      </c>
      <c r="CY66" s="7">
        <f t="shared" si="15"/>
        <v>15000</v>
      </c>
      <c r="CZ66" s="7">
        <f t="shared" si="16"/>
        <v>15000</v>
      </c>
      <c r="DA66" s="7">
        <f t="shared" si="17"/>
        <v>20838</v>
      </c>
      <c r="DB66" s="7">
        <f t="shared" si="18"/>
        <v>75000</v>
      </c>
      <c r="DC66" s="7">
        <f t="shared" si="19"/>
        <v>110000</v>
      </c>
      <c r="DD66" s="7">
        <f t="shared" si="20"/>
        <v>116414.20000000001</v>
      </c>
      <c r="DE66" s="7">
        <f t="shared" si="21"/>
        <v>179179</v>
      </c>
      <c r="DF66" s="7">
        <f t="shared" si="22"/>
        <v>228339.99999999997</v>
      </c>
      <c r="DH66" s="7">
        <f t="shared" si="23"/>
        <v>21944.7</v>
      </c>
      <c r="DI66" s="7">
        <f t="shared" si="24"/>
        <v>36809.35</v>
      </c>
      <c r="DJ66" s="7">
        <f t="shared" si="25"/>
        <v>51078.8</v>
      </c>
      <c r="DK66" s="7">
        <f t="shared" si="26"/>
        <v>58082</v>
      </c>
      <c r="DL66" s="7">
        <f t="shared" si="27"/>
        <v>122159.5</v>
      </c>
      <c r="DM66" s="7">
        <f t="shared" si="28"/>
        <v>151835.79999999999</v>
      </c>
      <c r="DN66" s="7">
        <f t="shared" si="29"/>
        <v>189960.65000000002</v>
      </c>
      <c r="DO66" s="7">
        <f t="shared" si="30"/>
        <v>235103.5</v>
      </c>
      <c r="DP66" s="7">
        <f t="shared" si="31"/>
        <v>297199.99999999994</v>
      </c>
      <c r="EB66" s="7">
        <f t="shared" ref="EB66:EB69" si="34">_xlfn.PERCENTILE.INC(BL66:CM66,0.25)</f>
        <v>7875</v>
      </c>
      <c r="EC66" s="7">
        <f t="shared" ref="EC66:EC69" si="35">_xlfn.PERCENTILE.INC(BL66:CM66,0.75)</f>
        <v>50000</v>
      </c>
      <c r="ED66" s="7" t="s">
        <v>681</v>
      </c>
    </row>
    <row r="67" spans="1:134" s="7" customFormat="1" ht="25.5" hidden="1" customHeight="1" x14ac:dyDescent="0.25">
      <c r="A67" s="92" t="str">
        <f t="shared" si="32"/>
        <v>CO-JdF [16]</v>
      </c>
      <c r="B67" s="92" t="str">
        <f t="shared" si="33"/>
        <v>Juan de Fuca-Pachena</v>
      </c>
      <c r="C67" s="93" t="str">
        <f t="shared" si="1"/>
        <v>NITINAT RIVER_Coho</v>
      </c>
      <c r="D67" s="128" t="s">
        <v>598</v>
      </c>
      <c r="E67" s="128" t="s">
        <v>598</v>
      </c>
      <c r="F67" s="64">
        <v>22</v>
      </c>
      <c r="G67" s="72" t="s">
        <v>101</v>
      </c>
      <c r="H67" s="67" t="s">
        <v>93</v>
      </c>
      <c r="I67" s="119"/>
      <c r="J67" s="119"/>
      <c r="K67" s="64">
        <v>1</v>
      </c>
      <c r="L67" s="52">
        <v>11</v>
      </c>
      <c r="M67" s="52">
        <v>11</v>
      </c>
      <c r="N67" s="52">
        <f t="shared" si="2"/>
        <v>3985.2582036061094</v>
      </c>
      <c r="O67" s="52">
        <f t="shared" si="3"/>
        <v>11377</v>
      </c>
      <c r="P67" s="52">
        <f t="shared" si="4"/>
        <v>1623.5486022330326</v>
      </c>
      <c r="Q67" s="66" t="s">
        <v>272</v>
      </c>
      <c r="R67" s="37"/>
      <c r="S67" s="74" t="s">
        <v>4</v>
      </c>
      <c r="T67" s="81">
        <f t="shared" si="6"/>
        <v>1303.5</v>
      </c>
      <c r="U67" s="81">
        <f t="shared" si="7"/>
        <v>3535.4166666666665</v>
      </c>
      <c r="V67" s="233">
        <f>1125+42+91</f>
        <v>1258</v>
      </c>
      <c r="W67" s="52">
        <v>1640</v>
      </c>
      <c r="X67" s="52">
        <v>1561</v>
      </c>
      <c r="Y67" s="52">
        <v>755</v>
      </c>
      <c r="Z67" s="52">
        <v>7645</v>
      </c>
      <c r="AA67" s="52">
        <v>3386</v>
      </c>
      <c r="AB67" s="52">
        <v>2527</v>
      </c>
      <c r="AC67" s="52">
        <v>1320</v>
      </c>
      <c r="AD67" s="144">
        <v>7500</v>
      </c>
      <c r="AE67" s="144">
        <v>4918</v>
      </c>
      <c r="AF67" s="144">
        <v>4915</v>
      </c>
      <c r="AG67" s="144">
        <v>5000</v>
      </c>
      <c r="AH67" s="53">
        <v>3862</v>
      </c>
      <c r="AI67" s="53">
        <v>3300</v>
      </c>
      <c r="AJ67" s="53">
        <v>1621</v>
      </c>
      <c r="AK67" s="52">
        <v>2700</v>
      </c>
      <c r="AL67" s="89">
        <v>1269</v>
      </c>
      <c r="AM67" s="52">
        <v>10000</v>
      </c>
      <c r="AN67" s="52">
        <v>10000</v>
      </c>
      <c r="AO67" s="53">
        <v>11287</v>
      </c>
      <c r="AP67" s="53">
        <v>11341</v>
      </c>
      <c r="AQ67" s="53">
        <v>11377</v>
      </c>
      <c r="AR67" s="53">
        <v>4610</v>
      </c>
      <c r="AS67" s="52">
        <v>2651</v>
      </c>
      <c r="AT67" s="52">
        <v>6030</v>
      </c>
      <c r="AU67" s="52">
        <v>1109</v>
      </c>
      <c r="AV67" s="52">
        <v>1082</v>
      </c>
      <c r="AW67" s="52">
        <v>3564</v>
      </c>
      <c r="AX67" s="51">
        <v>200</v>
      </c>
      <c r="AY67" s="53">
        <v>1000</v>
      </c>
      <c r="AZ67" s="53">
        <v>500</v>
      </c>
      <c r="BA67" s="53">
        <v>3000</v>
      </c>
      <c r="BB67" s="53">
        <v>4000</v>
      </c>
      <c r="BC67" s="53">
        <v>3000</v>
      </c>
      <c r="BD67" s="53" t="s">
        <v>264</v>
      </c>
      <c r="BE67" s="53">
        <v>2000</v>
      </c>
      <c r="BF67" s="53">
        <v>3800</v>
      </c>
      <c r="BG67" s="53" t="s">
        <v>264</v>
      </c>
      <c r="BH67" s="53" t="s">
        <v>264</v>
      </c>
      <c r="BI67" s="53">
        <v>280</v>
      </c>
      <c r="BJ67" s="53">
        <v>50</v>
      </c>
      <c r="BK67" s="53" t="s">
        <v>264</v>
      </c>
      <c r="BL67" s="53">
        <v>600</v>
      </c>
      <c r="BM67" s="53">
        <v>600</v>
      </c>
      <c r="BN67" s="53">
        <v>1200</v>
      </c>
      <c r="BO67" s="53">
        <v>740</v>
      </c>
      <c r="BP67" s="53">
        <v>375</v>
      </c>
      <c r="BQ67" s="53">
        <v>600</v>
      </c>
      <c r="BR67" s="53">
        <v>800</v>
      </c>
      <c r="BS67" s="53">
        <v>3500</v>
      </c>
      <c r="BT67" s="53">
        <v>400</v>
      </c>
      <c r="BU67" s="53">
        <v>1500</v>
      </c>
      <c r="BV67" s="53">
        <v>1500</v>
      </c>
      <c r="BW67" s="53">
        <v>1500</v>
      </c>
      <c r="BX67" s="53">
        <v>3500</v>
      </c>
      <c r="BY67" s="53">
        <v>3500</v>
      </c>
      <c r="BZ67" s="53">
        <v>3500</v>
      </c>
      <c r="CA67" s="53">
        <v>3500</v>
      </c>
      <c r="CB67" s="53">
        <v>3500</v>
      </c>
      <c r="CC67" s="53">
        <v>750</v>
      </c>
      <c r="CD67" s="53">
        <v>1500</v>
      </c>
      <c r="CE67" s="53">
        <v>1500</v>
      </c>
      <c r="CF67" s="53">
        <v>750</v>
      </c>
      <c r="CG67" s="53">
        <v>750</v>
      </c>
      <c r="CH67" s="53">
        <v>1500</v>
      </c>
      <c r="CI67" s="53">
        <v>750</v>
      </c>
      <c r="CJ67" s="53">
        <v>750</v>
      </c>
      <c r="CK67" s="53">
        <v>3500</v>
      </c>
      <c r="CL67" s="53">
        <v>1500</v>
      </c>
      <c r="CM67" s="53">
        <v>1500</v>
      </c>
      <c r="CN67" s="206"/>
      <c r="CO67" s="206"/>
      <c r="CP67" s="206"/>
      <c r="CQ67" s="8">
        <f t="shared" si="8"/>
        <v>50</v>
      </c>
      <c r="CR67" s="8">
        <f t="shared" si="9"/>
        <v>11377</v>
      </c>
      <c r="CS67" s="8">
        <f t="shared" si="10"/>
        <v>2903.378787878788</v>
      </c>
      <c r="CT67">
        <f t="shared" si="11"/>
        <v>1830.4604307027296</v>
      </c>
      <c r="CU67" s="143">
        <f t="shared" si="12"/>
        <v>2571.8000000000002</v>
      </c>
      <c r="CV67" s="143">
        <f t="shared" si="13"/>
        <v>3535.4166666666665</v>
      </c>
      <c r="CX67" s="7">
        <f t="shared" si="14"/>
        <v>381.25</v>
      </c>
      <c r="CY67" s="7">
        <f t="shared" si="15"/>
        <v>747.5</v>
      </c>
      <c r="CZ67" s="7">
        <f t="shared" si="16"/>
        <v>750</v>
      </c>
      <c r="DA67" s="7">
        <f t="shared" si="17"/>
        <v>850</v>
      </c>
      <c r="DB67" s="7">
        <f t="shared" si="18"/>
        <v>1591</v>
      </c>
      <c r="DC67" s="7">
        <f t="shared" si="19"/>
        <v>3000</v>
      </c>
      <c r="DD67" s="7">
        <f t="shared" si="20"/>
        <v>3414.5</v>
      </c>
      <c r="DE67" s="7">
        <f t="shared" si="21"/>
        <v>3500</v>
      </c>
      <c r="DF67" s="7">
        <f t="shared" si="22"/>
        <v>4915.75</v>
      </c>
      <c r="DH67" s="7">
        <f t="shared" si="23"/>
        <v>1091.45</v>
      </c>
      <c r="DI67" s="7">
        <f t="shared" si="24"/>
        <v>1271.55</v>
      </c>
      <c r="DJ67" s="7">
        <f t="shared" si="25"/>
        <v>1416.4</v>
      </c>
      <c r="DK67" s="7">
        <f t="shared" si="26"/>
        <v>1606</v>
      </c>
      <c r="DL67" s="7">
        <f t="shared" si="27"/>
        <v>3475</v>
      </c>
      <c r="DM67" s="7">
        <f t="shared" si="28"/>
        <v>4671</v>
      </c>
      <c r="DN67" s="7">
        <f t="shared" si="29"/>
        <v>4916.6499999999996</v>
      </c>
      <c r="DO67" s="7">
        <f t="shared" si="30"/>
        <v>6397.5</v>
      </c>
      <c r="DP67" s="7">
        <f t="shared" si="31"/>
        <v>9882.2499999999982</v>
      </c>
      <c r="EB67" s="7">
        <f t="shared" si="34"/>
        <v>750</v>
      </c>
      <c r="EC67" s="7">
        <f t="shared" si="35"/>
        <v>2000</v>
      </c>
      <c r="ED67" s="7" t="s">
        <v>681</v>
      </c>
    </row>
    <row r="68" spans="1:134" s="7" customFormat="1" ht="25.5" hidden="1" customHeight="1" x14ac:dyDescent="0.25">
      <c r="A68" s="92" t="str">
        <f t="shared" si="32"/>
        <v>Pkodd-WVI [6]</v>
      </c>
      <c r="B68" s="92" t="str">
        <f t="shared" si="33"/>
        <v>West Vancouver Island</v>
      </c>
      <c r="C68" s="93" t="str">
        <f t="shared" si="1"/>
        <v>NITINAT RIVER_Pink</v>
      </c>
      <c r="D68" s="128" t="s">
        <v>598</v>
      </c>
      <c r="E68" s="128" t="s">
        <v>598</v>
      </c>
      <c r="F68" s="64">
        <v>22</v>
      </c>
      <c r="G68" s="72" t="s">
        <v>101</v>
      </c>
      <c r="H68" s="67" t="s">
        <v>95</v>
      </c>
      <c r="I68" s="119"/>
      <c r="J68" s="119"/>
      <c r="K68" s="64">
        <v>1</v>
      </c>
      <c r="L68" s="52">
        <v>11</v>
      </c>
      <c r="M68" s="52">
        <v>10</v>
      </c>
      <c r="N68" s="52">
        <f t="shared" si="2"/>
        <v>3.3747944897444015</v>
      </c>
      <c r="O68" s="52">
        <f t="shared" si="3"/>
        <v>200</v>
      </c>
      <c r="P68" s="52">
        <f t="shared" si="4"/>
        <v>8.4204665800804754</v>
      </c>
      <c r="Q68" s="66" t="s">
        <v>272</v>
      </c>
      <c r="R68" s="37"/>
      <c r="S68" s="74" t="s">
        <v>321</v>
      </c>
      <c r="T68" s="81">
        <f t="shared" si="6"/>
        <v>11</v>
      </c>
      <c r="U68" s="81">
        <f t="shared" si="7"/>
        <v>23.5</v>
      </c>
      <c r="V68" s="233">
        <v>3</v>
      </c>
      <c r="W68" s="52">
        <v>19</v>
      </c>
      <c r="X68" s="230" t="s">
        <v>262</v>
      </c>
      <c r="Y68" s="52" t="s">
        <v>263</v>
      </c>
      <c r="Z68" s="52" t="s">
        <v>263</v>
      </c>
      <c r="AA68" s="52" t="s">
        <v>262</v>
      </c>
      <c r="AB68" s="52" t="s">
        <v>263</v>
      </c>
      <c r="AC68" s="52">
        <v>65</v>
      </c>
      <c r="AD68" s="144" t="s">
        <v>262</v>
      </c>
      <c r="AE68" s="144" t="s">
        <v>263</v>
      </c>
      <c r="AF68" s="144" t="s">
        <v>262</v>
      </c>
      <c r="AG68" s="144">
        <v>7</v>
      </c>
      <c r="AH68" s="52" t="s">
        <v>263</v>
      </c>
      <c r="AI68" s="52" t="s">
        <v>263</v>
      </c>
      <c r="AJ68" s="53">
        <v>2</v>
      </c>
      <c r="AK68" s="52" t="s">
        <v>262</v>
      </c>
      <c r="AL68" s="89" t="s">
        <v>262</v>
      </c>
      <c r="AM68" s="52">
        <v>1</v>
      </c>
      <c r="AN68" s="53" t="s">
        <v>263</v>
      </c>
      <c r="AO68" s="53">
        <v>3</v>
      </c>
      <c r="AP68" s="53" t="s">
        <v>262</v>
      </c>
      <c r="AQ68" s="53">
        <v>1</v>
      </c>
      <c r="AR68" s="53">
        <v>4</v>
      </c>
      <c r="AS68" s="52">
        <v>7</v>
      </c>
      <c r="AT68" s="52">
        <v>13</v>
      </c>
      <c r="AU68" s="52">
        <v>13</v>
      </c>
      <c r="AV68" s="52" t="s">
        <v>262</v>
      </c>
      <c r="AW68" s="52">
        <v>2</v>
      </c>
      <c r="AX68" s="51" t="s">
        <v>264</v>
      </c>
      <c r="AY68" s="53" t="s">
        <v>264</v>
      </c>
      <c r="AZ68" s="53" t="s">
        <v>264</v>
      </c>
      <c r="BA68" s="53" t="s">
        <v>264</v>
      </c>
      <c r="BB68" s="53" t="s">
        <v>264</v>
      </c>
      <c r="BC68" s="53" t="s">
        <v>264</v>
      </c>
      <c r="BD68" s="53" t="s">
        <v>264</v>
      </c>
      <c r="BE68" s="53" t="s">
        <v>264</v>
      </c>
      <c r="BF68" s="53" t="s">
        <v>264</v>
      </c>
      <c r="BG68" s="53">
        <v>50</v>
      </c>
      <c r="BH68" s="53">
        <v>2</v>
      </c>
      <c r="BI68" s="53">
        <v>12</v>
      </c>
      <c r="BJ68" s="53" t="s">
        <v>264</v>
      </c>
      <c r="BK68" s="53" t="s">
        <v>264</v>
      </c>
      <c r="BL68" s="53" t="s">
        <v>264</v>
      </c>
      <c r="BM68" s="53" t="s">
        <v>264</v>
      </c>
      <c r="BN68" s="53" t="s">
        <v>264</v>
      </c>
      <c r="BO68" s="53" t="s">
        <v>264</v>
      </c>
      <c r="BP68" s="53" t="s">
        <v>264</v>
      </c>
      <c r="BQ68" s="53" t="s">
        <v>264</v>
      </c>
      <c r="BR68" s="53" t="s">
        <v>264</v>
      </c>
      <c r="BS68" s="53" t="s">
        <v>264</v>
      </c>
      <c r="BT68" s="53" t="s">
        <v>264</v>
      </c>
      <c r="BU68" s="53" t="s">
        <v>264</v>
      </c>
      <c r="BV68" s="53" t="s">
        <v>264</v>
      </c>
      <c r="BW68" s="53" t="s">
        <v>264</v>
      </c>
      <c r="BX68" s="53" t="s">
        <v>264</v>
      </c>
      <c r="BY68" s="53" t="s">
        <v>264</v>
      </c>
      <c r="BZ68" s="53" t="s">
        <v>262</v>
      </c>
      <c r="CA68" s="53" t="s">
        <v>262</v>
      </c>
      <c r="CB68" s="53">
        <v>25</v>
      </c>
      <c r="CC68" s="53" t="s">
        <v>262</v>
      </c>
      <c r="CD68" s="53">
        <v>75</v>
      </c>
      <c r="CE68" s="53" t="s">
        <v>264</v>
      </c>
      <c r="CF68" s="53">
        <v>25</v>
      </c>
      <c r="CG68" s="53" t="s">
        <v>262</v>
      </c>
      <c r="CH68" s="53">
        <v>200</v>
      </c>
      <c r="CI68" s="53" t="s">
        <v>264</v>
      </c>
      <c r="CJ68" s="53" t="s">
        <v>264</v>
      </c>
      <c r="CK68" s="53" t="s">
        <v>264</v>
      </c>
      <c r="CL68" s="53" t="s">
        <v>264</v>
      </c>
      <c r="CM68" s="53" t="s">
        <v>264</v>
      </c>
      <c r="CN68" s="206"/>
      <c r="CO68" s="206"/>
      <c r="CP68" s="206"/>
      <c r="CQ68" s="8">
        <f t="shared" si="8"/>
        <v>1</v>
      </c>
      <c r="CR68" s="8">
        <f t="shared" si="9"/>
        <v>200</v>
      </c>
      <c r="CS68" s="8">
        <f t="shared" si="10"/>
        <v>26.45</v>
      </c>
      <c r="CT68">
        <f t="shared" si="11"/>
        <v>9.1403586688391805</v>
      </c>
      <c r="CU68" s="143">
        <f t="shared" si="12"/>
        <v>11</v>
      </c>
      <c r="CV68" s="143">
        <f t="shared" si="13"/>
        <v>23.5</v>
      </c>
      <c r="CX68" s="7">
        <f t="shared" si="14"/>
        <v>1</v>
      </c>
      <c r="CY68" s="7">
        <f t="shared" si="15"/>
        <v>2</v>
      </c>
      <c r="CZ68" s="7">
        <f t="shared" si="16"/>
        <v>2</v>
      </c>
      <c r="DA68" s="7">
        <f t="shared" si="17"/>
        <v>2.75</v>
      </c>
      <c r="DB68" s="7">
        <f t="shared" si="18"/>
        <v>9.5</v>
      </c>
      <c r="DC68" s="7">
        <f t="shared" si="19"/>
        <v>13</v>
      </c>
      <c r="DD68" s="7">
        <f t="shared" si="20"/>
        <v>15.099999999999998</v>
      </c>
      <c r="DE68" s="7">
        <f t="shared" si="21"/>
        <v>25</v>
      </c>
      <c r="DF68" s="7">
        <f t="shared" si="22"/>
        <v>52.249999999999979</v>
      </c>
      <c r="DH68" s="7">
        <f t="shared" si="23"/>
        <v>1</v>
      </c>
      <c r="DI68" s="7">
        <f t="shared" si="24"/>
        <v>1.7999999999999998</v>
      </c>
      <c r="DJ68" s="7">
        <f t="shared" si="25"/>
        <v>2</v>
      </c>
      <c r="DK68" s="7">
        <f t="shared" si="26"/>
        <v>2</v>
      </c>
      <c r="DL68" s="7">
        <f t="shared" si="27"/>
        <v>4</v>
      </c>
      <c r="DM68" s="7">
        <f t="shared" si="28"/>
        <v>7</v>
      </c>
      <c r="DN68" s="7">
        <f t="shared" si="29"/>
        <v>7</v>
      </c>
      <c r="DO68" s="7">
        <f t="shared" si="30"/>
        <v>13</v>
      </c>
      <c r="DP68" s="7">
        <f t="shared" si="31"/>
        <v>14.199999999999996</v>
      </c>
      <c r="EB68" s="7">
        <f t="shared" si="34"/>
        <v>25</v>
      </c>
      <c r="EC68" s="7">
        <f t="shared" si="35"/>
        <v>106.25</v>
      </c>
      <c r="ED68" s="7" t="s">
        <v>681</v>
      </c>
    </row>
    <row r="69" spans="1:134" s="7" customFormat="1" ht="25.5" hidden="1" customHeight="1" x14ac:dyDescent="0.25">
      <c r="A69" s="92" t="str">
        <f t="shared" si="32"/>
        <v>SK-L-13-21</v>
      </c>
      <c r="B69" s="92" t="str">
        <f t="shared" si="33"/>
        <v>Nitinat</v>
      </c>
      <c r="C69" s="93" t="str">
        <f t="shared" ref="C69:C132" si="36">CONCATENATE(G69,"_",H69)</f>
        <v>NITINAT RIVER_Sockeye</v>
      </c>
      <c r="D69" s="128" t="s">
        <v>598</v>
      </c>
      <c r="E69" s="128" t="s">
        <v>598</v>
      </c>
      <c r="F69" s="64">
        <v>22</v>
      </c>
      <c r="G69" s="72" t="s">
        <v>101</v>
      </c>
      <c r="H69" s="67" t="s">
        <v>91</v>
      </c>
      <c r="I69" s="119"/>
      <c r="J69" s="119"/>
      <c r="K69" s="64">
        <v>1</v>
      </c>
      <c r="L69" s="52">
        <v>11</v>
      </c>
      <c r="M69" s="52">
        <v>10</v>
      </c>
      <c r="N69" s="52">
        <f t="shared" ref="N69:N132" si="37">GEOMEAN(AJ69:AW69)</f>
        <v>27.5619878907798</v>
      </c>
      <c r="O69" s="52">
        <f t="shared" ref="O69:O132" si="38">MAX(AJ69:CM69)</f>
        <v>250</v>
      </c>
      <c r="P69" s="52">
        <f t="shared" ref="P69:P132" si="39">GEOMEAN(AJ69:CM69)</f>
        <v>31.03503832495036</v>
      </c>
      <c r="Q69" s="66" t="s">
        <v>272</v>
      </c>
      <c r="R69" s="37"/>
      <c r="S69" s="74" t="s">
        <v>321</v>
      </c>
      <c r="T69" s="81">
        <f t="shared" si="6"/>
        <v>92.75</v>
      </c>
      <c r="U69" s="81">
        <f t="shared" si="7"/>
        <v>327.3</v>
      </c>
      <c r="V69" s="233">
        <v>44</v>
      </c>
      <c r="W69" s="52">
        <v>277</v>
      </c>
      <c r="X69" s="52">
        <v>9</v>
      </c>
      <c r="Y69" s="52">
        <v>41</v>
      </c>
      <c r="Z69" s="52">
        <v>38</v>
      </c>
      <c r="AA69" s="52">
        <v>213</v>
      </c>
      <c r="AB69" s="52">
        <v>430</v>
      </c>
      <c r="AC69" s="52">
        <v>2069</v>
      </c>
      <c r="AD69" s="144">
        <v>77</v>
      </c>
      <c r="AE69" s="144" t="s">
        <v>263</v>
      </c>
      <c r="AF69" s="144" t="s">
        <v>263</v>
      </c>
      <c r="AG69" s="144">
        <v>75</v>
      </c>
      <c r="AH69" s="53">
        <v>70</v>
      </c>
      <c r="AI69" s="52" t="s">
        <v>263</v>
      </c>
      <c r="AJ69" s="53">
        <v>10</v>
      </c>
      <c r="AK69" s="52" t="s">
        <v>262</v>
      </c>
      <c r="AL69" s="89">
        <v>8</v>
      </c>
      <c r="AM69" s="52">
        <v>2</v>
      </c>
      <c r="AN69" s="53" t="s">
        <v>263</v>
      </c>
      <c r="AO69" s="53">
        <v>151</v>
      </c>
      <c r="AP69" s="53">
        <v>15</v>
      </c>
      <c r="AQ69" s="53">
        <v>15</v>
      </c>
      <c r="AR69" s="53">
        <v>125</v>
      </c>
      <c r="AS69" s="52">
        <v>55</v>
      </c>
      <c r="AT69" s="52">
        <v>110</v>
      </c>
      <c r="AU69" s="52">
        <v>85</v>
      </c>
      <c r="AV69" s="52">
        <v>55</v>
      </c>
      <c r="AW69" s="52">
        <v>10</v>
      </c>
      <c r="AX69" s="51" t="s">
        <v>262</v>
      </c>
      <c r="AY69" s="53" t="s">
        <v>264</v>
      </c>
      <c r="AZ69" s="53" t="s">
        <v>264</v>
      </c>
      <c r="BA69" s="53" t="s">
        <v>264</v>
      </c>
      <c r="BB69" s="53" t="s">
        <v>264</v>
      </c>
      <c r="BC69" s="53" t="s">
        <v>264</v>
      </c>
      <c r="BD69" s="53" t="s">
        <v>264</v>
      </c>
      <c r="BE69" s="53" t="s">
        <v>264</v>
      </c>
      <c r="BF69" s="53" t="s">
        <v>264</v>
      </c>
      <c r="BG69" s="53">
        <v>250</v>
      </c>
      <c r="BH69" s="53">
        <v>6</v>
      </c>
      <c r="BI69" s="53">
        <v>38</v>
      </c>
      <c r="BJ69" s="53">
        <v>200</v>
      </c>
      <c r="BK69" s="53">
        <v>15</v>
      </c>
      <c r="BL69" s="53">
        <v>10</v>
      </c>
      <c r="BM69" s="53">
        <v>80</v>
      </c>
      <c r="BN69" s="53">
        <v>50</v>
      </c>
      <c r="BO69" s="53" t="s">
        <v>264</v>
      </c>
      <c r="BP69" s="53" t="s">
        <v>264</v>
      </c>
      <c r="BQ69" s="53" t="s">
        <v>264</v>
      </c>
      <c r="BR69" s="53" t="s">
        <v>264</v>
      </c>
      <c r="BS69" s="53" t="s">
        <v>264</v>
      </c>
      <c r="BT69" s="53" t="s">
        <v>264</v>
      </c>
      <c r="BU69" s="53">
        <v>25</v>
      </c>
      <c r="BV69" s="53">
        <v>25</v>
      </c>
      <c r="BW69" s="53" t="s">
        <v>264</v>
      </c>
      <c r="BX69" s="53" t="s">
        <v>264</v>
      </c>
      <c r="BY69" s="53" t="s">
        <v>262</v>
      </c>
      <c r="BZ69" s="53" t="s">
        <v>262</v>
      </c>
      <c r="CA69" s="53" t="s">
        <v>262</v>
      </c>
      <c r="CB69" s="53">
        <v>25</v>
      </c>
      <c r="CC69" s="53" t="s">
        <v>264</v>
      </c>
      <c r="CD69" s="53" t="s">
        <v>264</v>
      </c>
      <c r="CE69" s="53" t="s">
        <v>264</v>
      </c>
      <c r="CF69" s="53" t="s">
        <v>264</v>
      </c>
      <c r="CG69" s="53" t="s">
        <v>264</v>
      </c>
      <c r="CH69" s="53" t="s">
        <v>264</v>
      </c>
      <c r="CI69" s="53" t="s">
        <v>264</v>
      </c>
      <c r="CJ69" s="53" t="s">
        <v>264</v>
      </c>
      <c r="CK69" s="53" t="s">
        <v>264</v>
      </c>
      <c r="CL69" s="53" t="s">
        <v>264</v>
      </c>
      <c r="CM69" s="53" t="s">
        <v>264</v>
      </c>
      <c r="CN69" s="206"/>
      <c r="CO69" s="206"/>
      <c r="CP69" s="206"/>
      <c r="CQ69" s="8">
        <f t="shared" si="8"/>
        <v>2</v>
      </c>
      <c r="CR69" s="8">
        <f t="shared" si="9"/>
        <v>2069</v>
      </c>
      <c r="CS69" s="8">
        <f t="shared" si="10"/>
        <v>138.47058823529412</v>
      </c>
      <c r="CT69">
        <f t="shared" si="11"/>
        <v>45.67664768272148</v>
      </c>
      <c r="CU69" s="143">
        <f t="shared" si="12"/>
        <v>81.8</v>
      </c>
      <c r="CV69" s="143">
        <f t="shared" si="13"/>
        <v>327.3</v>
      </c>
      <c r="CX69" s="7">
        <f t="shared" si="14"/>
        <v>7.3000000000000007</v>
      </c>
      <c r="CY69" s="7">
        <f t="shared" si="15"/>
        <v>10</v>
      </c>
      <c r="CZ69" s="7">
        <f t="shared" si="16"/>
        <v>13.000000000000004</v>
      </c>
      <c r="DA69" s="7">
        <f t="shared" si="17"/>
        <v>15</v>
      </c>
      <c r="DB69" s="7">
        <f t="shared" si="18"/>
        <v>47</v>
      </c>
      <c r="DC69" s="7">
        <f t="shared" si="19"/>
        <v>67.000000000000014</v>
      </c>
      <c r="DD69" s="7">
        <f t="shared" si="20"/>
        <v>75.900000000000006</v>
      </c>
      <c r="DE69" s="7">
        <f t="shared" si="21"/>
        <v>103.75</v>
      </c>
      <c r="DF69" s="7">
        <f t="shared" si="22"/>
        <v>200.65</v>
      </c>
      <c r="DH69" s="7">
        <f t="shared" si="23"/>
        <v>8.1</v>
      </c>
      <c r="DI69" s="7">
        <f t="shared" si="24"/>
        <v>10</v>
      </c>
      <c r="DJ69" s="7">
        <f t="shared" si="25"/>
        <v>12.000000000000002</v>
      </c>
      <c r="DK69" s="7">
        <f t="shared" si="26"/>
        <v>15</v>
      </c>
      <c r="DL69" s="7">
        <f t="shared" si="27"/>
        <v>55</v>
      </c>
      <c r="DM69" s="7">
        <f t="shared" si="28"/>
        <v>75.400000000000006</v>
      </c>
      <c r="DN69" s="7">
        <f t="shared" si="29"/>
        <v>79.400000000000006</v>
      </c>
      <c r="DO69" s="7">
        <f t="shared" si="30"/>
        <v>117.5</v>
      </c>
      <c r="DP69" s="7">
        <f t="shared" si="31"/>
        <v>194.39999999999995</v>
      </c>
      <c r="EB69" s="7">
        <f t="shared" si="34"/>
        <v>25</v>
      </c>
      <c r="EC69" s="7">
        <f t="shared" si="35"/>
        <v>43.75</v>
      </c>
      <c r="ED69" s="7" t="s">
        <v>681</v>
      </c>
    </row>
    <row r="70" spans="1:134" s="7" customFormat="1" ht="25.5" hidden="1" customHeight="1" x14ac:dyDescent="0.25">
      <c r="A70" s="92" t="str">
        <f t="shared" si="32"/>
        <v>CM-SWVI [10]</v>
      </c>
      <c r="B70" s="92" t="str">
        <f t="shared" si="33"/>
        <v>Southwest Vancouver Island</v>
      </c>
      <c r="C70" s="93" t="str">
        <f t="shared" si="36"/>
        <v>BEAVER CREEK_Chum</v>
      </c>
      <c r="D70" s="128" t="s">
        <v>598</v>
      </c>
      <c r="E70" s="128" t="s">
        <v>598</v>
      </c>
      <c r="F70" s="64">
        <v>23</v>
      </c>
      <c r="G70" s="72" t="s">
        <v>121</v>
      </c>
      <c r="H70" s="65" t="s">
        <v>96</v>
      </c>
      <c r="I70" s="119"/>
      <c r="J70" s="119"/>
      <c r="K70" s="64">
        <v>5</v>
      </c>
      <c r="L70" s="52">
        <v>0</v>
      </c>
      <c r="M70" s="52"/>
      <c r="N70" s="52" t="e">
        <f t="shared" si="37"/>
        <v>#NUM!</v>
      </c>
      <c r="O70" s="52">
        <f t="shared" si="38"/>
        <v>0</v>
      </c>
      <c r="P70" s="52" t="e">
        <f t="shared" si="39"/>
        <v>#NUM!</v>
      </c>
      <c r="Q70" s="66"/>
      <c r="R70" s="37"/>
      <c r="S70" s="74" t="s">
        <v>307</v>
      </c>
      <c r="T70" s="81" t="e">
        <f t="shared" ref="T70:T133" si="40">AVERAGE(V70:Y70)</f>
        <v>#DIV/0!</v>
      </c>
      <c r="U70" s="81" t="e">
        <f t="shared" ref="U70:U133" si="41">AVERAGE(V70:AG70)</f>
        <v>#DIV/0!</v>
      </c>
      <c r="V70" s="52" t="s">
        <v>102</v>
      </c>
      <c r="W70" s="52" t="s">
        <v>102</v>
      </c>
      <c r="X70" s="52" t="s">
        <v>102</v>
      </c>
      <c r="Y70" s="52" t="s">
        <v>102</v>
      </c>
      <c r="Z70" s="52" t="s">
        <v>102</v>
      </c>
      <c r="AA70" s="52" t="s">
        <v>102</v>
      </c>
      <c r="AB70" s="52" t="s">
        <v>102</v>
      </c>
      <c r="AC70" s="52" t="s">
        <v>102</v>
      </c>
      <c r="AD70" s="52" t="s">
        <v>102</v>
      </c>
      <c r="AE70" s="52" t="s">
        <v>102</v>
      </c>
      <c r="AF70" s="52" t="s">
        <v>102</v>
      </c>
      <c r="AG70" s="52" t="s">
        <v>102</v>
      </c>
      <c r="AH70" s="52" t="s">
        <v>102</v>
      </c>
      <c r="AI70" s="52" t="s">
        <v>102</v>
      </c>
      <c r="AJ70" s="52" t="s">
        <v>102</v>
      </c>
      <c r="AK70" s="52" t="s">
        <v>102</v>
      </c>
      <c r="AL70" s="89" t="s">
        <v>102</v>
      </c>
      <c r="AM70" s="52" t="s">
        <v>102</v>
      </c>
      <c r="AN70" s="52" t="s">
        <v>102</v>
      </c>
      <c r="AO70" s="52" t="s">
        <v>102</v>
      </c>
      <c r="AP70" s="52" t="s">
        <v>102</v>
      </c>
      <c r="AQ70" s="52" t="s">
        <v>102</v>
      </c>
      <c r="AR70" s="52" t="s">
        <v>102</v>
      </c>
      <c r="AS70" s="52" t="s">
        <v>102</v>
      </c>
      <c r="AT70" s="52" t="s">
        <v>102</v>
      </c>
      <c r="AU70" s="52" t="s">
        <v>102</v>
      </c>
      <c r="AV70" s="52" t="s">
        <v>102</v>
      </c>
      <c r="AW70" s="52" t="s">
        <v>102</v>
      </c>
      <c r="AX70" s="51" t="s">
        <v>102</v>
      </c>
      <c r="AY70" s="52" t="s">
        <v>102</v>
      </c>
      <c r="AZ70" s="52" t="s">
        <v>102</v>
      </c>
      <c r="BA70" s="52" t="s">
        <v>102</v>
      </c>
      <c r="BB70" s="52" t="s">
        <v>262</v>
      </c>
      <c r="BC70" s="52" t="s">
        <v>262</v>
      </c>
      <c r="BD70" s="52" t="s">
        <v>102</v>
      </c>
      <c r="BE70" s="52" t="s">
        <v>102</v>
      </c>
      <c r="BF70" s="52" t="s">
        <v>102</v>
      </c>
      <c r="BG70" s="52" t="s">
        <v>102</v>
      </c>
      <c r="BH70" s="53" t="s">
        <v>262</v>
      </c>
      <c r="BI70" s="53" t="s">
        <v>102</v>
      </c>
      <c r="BJ70" s="53" t="s">
        <v>102</v>
      </c>
      <c r="BK70" s="53" t="s">
        <v>102</v>
      </c>
      <c r="BL70" s="53" t="s">
        <v>102</v>
      </c>
      <c r="BM70" s="53" t="s">
        <v>102</v>
      </c>
      <c r="BN70" s="53" t="s">
        <v>102</v>
      </c>
      <c r="BO70" s="53" t="s">
        <v>102</v>
      </c>
      <c r="BP70" s="53" t="s">
        <v>102</v>
      </c>
      <c r="BQ70" s="53" t="s">
        <v>102</v>
      </c>
      <c r="BR70" s="53" t="s">
        <v>102</v>
      </c>
      <c r="BS70" s="53" t="s">
        <v>102</v>
      </c>
      <c r="BT70" s="53" t="s">
        <v>102</v>
      </c>
      <c r="BU70" s="53" t="s">
        <v>102</v>
      </c>
      <c r="BV70" s="53" t="s">
        <v>102</v>
      </c>
      <c r="BW70" s="53" t="s">
        <v>102</v>
      </c>
      <c r="BX70" s="53" t="s">
        <v>102</v>
      </c>
      <c r="BY70" s="53" t="s">
        <v>102</v>
      </c>
      <c r="BZ70" s="53" t="s">
        <v>102</v>
      </c>
      <c r="CA70" s="53" t="s">
        <v>102</v>
      </c>
      <c r="CB70" s="53" t="s">
        <v>102</v>
      </c>
      <c r="CC70" s="53" t="s">
        <v>102</v>
      </c>
      <c r="CD70" s="53" t="s">
        <v>102</v>
      </c>
      <c r="CE70" s="53" t="s">
        <v>102</v>
      </c>
      <c r="CF70" s="53" t="s">
        <v>102</v>
      </c>
      <c r="CG70" s="53" t="s">
        <v>102</v>
      </c>
      <c r="CH70" s="53" t="s">
        <v>102</v>
      </c>
      <c r="CI70" s="53" t="s">
        <v>102</v>
      </c>
      <c r="CJ70" s="53" t="s">
        <v>102</v>
      </c>
      <c r="CK70" s="53" t="s">
        <v>102</v>
      </c>
      <c r="CL70" s="53" t="s">
        <v>102</v>
      </c>
      <c r="CM70" s="53" t="s">
        <v>102</v>
      </c>
      <c r="CN70" s="206"/>
      <c r="CO70" s="206"/>
      <c r="CP70" s="206"/>
      <c r="CQ70" s="8">
        <f t="shared" ref="CQ70:CQ133" si="42">MIN(V70:CM70)</f>
        <v>0</v>
      </c>
      <c r="CR70" s="8">
        <f t="shared" ref="CR70:CR133" si="43">MAX(V70:CM70)</f>
        <v>0</v>
      </c>
      <c r="CS70" s="8" t="e">
        <f t="shared" ref="CS70:CS133" si="44">AVERAGE(V70:CM70)</f>
        <v>#DIV/0!</v>
      </c>
      <c r="CT70" t="e">
        <f t="shared" ref="CT70:CT133" si="45">GEOMEAN(V70:CM70)</f>
        <v>#NUM!</v>
      </c>
      <c r="CU70" s="143" t="e">
        <f t="shared" ref="CU70:CU133" si="46">AVERAGE(V70:Z70)</f>
        <v>#DIV/0!</v>
      </c>
      <c r="CV70" s="143" t="e">
        <f t="shared" ref="CV70:CV133" si="47">AVERAGE(V70:AG70)</f>
        <v>#DIV/0!</v>
      </c>
      <c r="CX70" s="7" t="e">
        <f t="shared" ref="CX70:CX133" si="48">_xlfn.PERCENTILE.INC(V70:CM70,0.05)</f>
        <v>#NUM!</v>
      </c>
      <c r="CY70" s="7" t="e">
        <f t="shared" ref="CY70:CY133" si="49">_xlfn.PERCENTILE.INC(V70:CM70,0.15)</f>
        <v>#NUM!</v>
      </c>
      <c r="CZ70" s="7" t="e">
        <f t="shared" ref="CZ70:CZ133" si="50">_xlfn.PERCENTILE.INC(V70:CM70,0.2)</f>
        <v>#NUM!</v>
      </c>
      <c r="DA70" s="7" t="e">
        <f t="shared" ref="DA70:DA133" si="51">_xlfn.PERCENTILE.INC(V70:CM70,0.25)</f>
        <v>#NUM!</v>
      </c>
      <c r="DB70" s="7" t="e">
        <f t="shared" ref="DB70:DB133" si="52">_xlfn.PERCENTILE.INC(V70:CM70,0.5)</f>
        <v>#NUM!</v>
      </c>
      <c r="DC70" s="7" t="e">
        <f t="shared" ref="DC70:DC133" si="53">_xlfn.PERCENTILE.INC(V70:CM70,0.6)</f>
        <v>#NUM!</v>
      </c>
      <c r="DD70" s="7" t="e">
        <f t="shared" ref="DD70:DD133" si="54">_xlfn.PERCENTILE.INC(V70:CM70,0.65)</f>
        <v>#NUM!</v>
      </c>
      <c r="DE70" s="7" t="e">
        <f t="shared" ref="DE70:DE133" si="55">_xlfn.PERCENTILE.INC(V70:CM70,0.75)</f>
        <v>#NUM!</v>
      </c>
      <c r="DF70" s="7" t="e">
        <f t="shared" ref="DF70:DF133" si="56">_xlfn.PERCENTILE.INC(V70:CM70,0.85)</f>
        <v>#NUM!</v>
      </c>
      <c r="DH70" s="7" t="e">
        <f t="shared" ref="DH70:DH133" si="57">_xlfn.PERCENTILE.INC(V70:AW70,0.05)</f>
        <v>#NUM!</v>
      </c>
      <c r="DI70" s="7" t="e">
        <f t="shared" ref="DI70:DI133" si="58">_xlfn.PERCENTILE.INC(V70:AW70,0.15)</f>
        <v>#NUM!</v>
      </c>
      <c r="DJ70" s="7" t="e">
        <f t="shared" ref="DJ70:DJ133" si="59">_xlfn.PERCENTILE.INC(V70:AW70,0.2)</f>
        <v>#NUM!</v>
      </c>
      <c r="DK70" s="7" t="e">
        <f t="shared" ref="DK70:DK133" si="60">_xlfn.PERCENTILE.INC(V70:AW70,0.25)</f>
        <v>#NUM!</v>
      </c>
      <c r="DL70" s="7" t="e">
        <f t="shared" ref="DL70:DL133" si="61">_xlfn.PERCENTILE.INC(V70:AW70,0.5)</f>
        <v>#NUM!</v>
      </c>
      <c r="DM70" s="7" t="e">
        <f t="shared" ref="DM70:DM133" si="62">_xlfn.PERCENTILE.INC(V70:AW70,0.6)</f>
        <v>#NUM!</v>
      </c>
      <c r="DN70" s="7" t="e">
        <f t="shared" ref="DN70:DN133" si="63">_xlfn.PERCENTILE.INC(V70:AW70,0.65)</f>
        <v>#NUM!</v>
      </c>
      <c r="DO70" s="7" t="e">
        <f t="shared" ref="DO70:DO133" si="64">_xlfn.PERCENTILE.INC(V70:AW70,0.75)</f>
        <v>#NUM!</v>
      </c>
      <c r="DP70" s="7" t="e">
        <f t="shared" ref="DP70:DP133" si="65">_xlfn.PERCENTILE.INC(V70:AW70,0.85)</f>
        <v>#NUM!</v>
      </c>
    </row>
    <row r="71" spans="1:134" s="7" customFormat="1" ht="25.5" hidden="1" customHeight="1" x14ac:dyDescent="0.25">
      <c r="A71" s="92" t="str">
        <f t="shared" si="32"/>
        <v>CO-WVI [17]</v>
      </c>
      <c r="B71" s="92" t="str">
        <f t="shared" si="33"/>
        <v>West Vancouver Island</v>
      </c>
      <c r="C71" s="93" t="str">
        <f t="shared" si="36"/>
        <v>BEAVER CREEK_Coho</v>
      </c>
      <c r="D71" s="128" t="s">
        <v>598</v>
      </c>
      <c r="E71" s="128" t="s">
        <v>598</v>
      </c>
      <c r="F71" s="64">
        <v>23</v>
      </c>
      <c r="G71" s="72" t="s">
        <v>121</v>
      </c>
      <c r="H71" s="65" t="s">
        <v>93</v>
      </c>
      <c r="I71" s="119"/>
      <c r="J71" s="119"/>
      <c r="K71" s="64">
        <v>5</v>
      </c>
      <c r="L71" s="52">
        <v>0</v>
      </c>
      <c r="M71" s="52"/>
      <c r="N71" s="52" t="e">
        <f t="shared" si="37"/>
        <v>#NUM!</v>
      </c>
      <c r="O71" s="52">
        <f t="shared" si="38"/>
        <v>0</v>
      </c>
      <c r="P71" s="52" t="e">
        <f t="shared" si="39"/>
        <v>#NUM!</v>
      </c>
      <c r="Q71" s="66"/>
      <c r="R71" s="37"/>
      <c r="S71" s="74" t="s">
        <v>307</v>
      </c>
      <c r="T71" s="81" t="e">
        <f t="shared" si="40"/>
        <v>#DIV/0!</v>
      </c>
      <c r="U71" s="81" t="e">
        <f t="shared" si="41"/>
        <v>#DIV/0!</v>
      </c>
      <c r="V71" s="52" t="s">
        <v>102</v>
      </c>
      <c r="W71" s="52" t="s">
        <v>102</v>
      </c>
      <c r="X71" s="52" t="s">
        <v>102</v>
      </c>
      <c r="Y71" s="52" t="s">
        <v>102</v>
      </c>
      <c r="Z71" s="52" t="s">
        <v>102</v>
      </c>
      <c r="AA71" s="52" t="s">
        <v>102</v>
      </c>
      <c r="AB71" s="174" t="s">
        <v>102</v>
      </c>
      <c r="AC71" s="174" t="s">
        <v>102</v>
      </c>
      <c r="AD71" s="174" t="s">
        <v>102</v>
      </c>
      <c r="AE71" s="52" t="s">
        <v>102</v>
      </c>
      <c r="AF71" s="52" t="s">
        <v>102</v>
      </c>
      <c r="AG71" s="52" t="s">
        <v>102</v>
      </c>
      <c r="AH71" s="52" t="s">
        <v>102</v>
      </c>
      <c r="AI71" s="52" t="s">
        <v>102</v>
      </c>
      <c r="AJ71" s="52" t="s">
        <v>102</v>
      </c>
      <c r="AK71" s="52" t="s">
        <v>102</v>
      </c>
      <c r="AL71" s="155" t="s">
        <v>102</v>
      </c>
      <c r="AM71" s="52" t="s">
        <v>102</v>
      </c>
      <c r="AN71" s="52" t="s">
        <v>102</v>
      </c>
      <c r="AO71" s="52" t="s">
        <v>102</v>
      </c>
      <c r="AP71" s="52" t="s">
        <v>102</v>
      </c>
      <c r="AQ71" s="52" t="s">
        <v>102</v>
      </c>
      <c r="AR71" s="52" t="s">
        <v>102</v>
      </c>
      <c r="AS71" s="52" t="s">
        <v>102</v>
      </c>
      <c r="AT71" s="52" t="s">
        <v>102</v>
      </c>
      <c r="AU71" s="52" t="s">
        <v>102</v>
      </c>
      <c r="AV71" s="52" t="s">
        <v>102</v>
      </c>
      <c r="AW71" s="52" t="s">
        <v>102</v>
      </c>
      <c r="AX71" s="51" t="s">
        <v>102</v>
      </c>
      <c r="AY71" s="52" t="s">
        <v>102</v>
      </c>
      <c r="AZ71" s="52" t="s">
        <v>102</v>
      </c>
      <c r="BA71" s="52" t="s">
        <v>102</v>
      </c>
      <c r="BB71" s="52" t="s">
        <v>262</v>
      </c>
      <c r="BC71" s="52" t="s">
        <v>262</v>
      </c>
      <c r="BD71" s="52" t="s">
        <v>102</v>
      </c>
      <c r="BE71" s="52" t="s">
        <v>102</v>
      </c>
      <c r="BF71" s="52" t="s">
        <v>102</v>
      </c>
      <c r="BG71" s="52" t="s">
        <v>102</v>
      </c>
      <c r="BH71" s="53" t="s">
        <v>264</v>
      </c>
      <c r="BI71" s="53" t="s">
        <v>102</v>
      </c>
      <c r="BJ71" s="53" t="s">
        <v>102</v>
      </c>
      <c r="BK71" s="53" t="s">
        <v>102</v>
      </c>
      <c r="BL71" s="53" t="s">
        <v>102</v>
      </c>
      <c r="BM71" s="53" t="s">
        <v>102</v>
      </c>
      <c r="BN71" s="53" t="s">
        <v>102</v>
      </c>
      <c r="BO71" s="53" t="s">
        <v>102</v>
      </c>
      <c r="BP71" s="53" t="s">
        <v>102</v>
      </c>
      <c r="BQ71" s="53" t="s">
        <v>102</v>
      </c>
      <c r="BR71" s="53" t="s">
        <v>102</v>
      </c>
      <c r="BS71" s="53" t="s">
        <v>102</v>
      </c>
      <c r="BT71" s="53" t="s">
        <v>102</v>
      </c>
      <c r="BU71" s="53" t="s">
        <v>102</v>
      </c>
      <c r="BV71" s="53" t="s">
        <v>102</v>
      </c>
      <c r="BW71" s="53" t="s">
        <v>102</v>
      </c>
      <c r="BX71" s="53" t="s">
        <v>102</v>
      </c>
      <c r="BY71" s="53" t="s">
        <v>102</v>
      </c>
      <c r="BZ71" s="53" t="s">
        <v>102</v>
      </c>
      <c r="CA71" s="53" t="s">
        <v>102</v>
      </c>
      <c r="CB71" s="53" t="s">
        <v>102</v>
      </c>
      <c r="CC71" s="53" t="s">
        <v>102</v>
      </c>
      <c r="CD71" s="53" t="s">
        <v>102</v>
      </c>
      <c r="CE71" s="53" t="s">
        <v>102</v>
      </c>
      <c r="CF71" s="53" t="s">
        <v>102</v>
      </c>
      <c r="CG71" s="53" t="s">
        <v>102</v>
      </c>
      <c r="CH71" s="53" t="s">
        <v>102</v>
      </c>
      <c r="CI71" s="53" t="s">
        <v>102</v>
      </c>
      <c r="CJ71" s="53" t="s">
        <v>102</v>
      </c>
      <c r="CK71" s="53" t="s">
        <v>102</v>
      </c>
      <c r="CL71" s="53" t="s">
        <v>102</v>
      </c>
      <c r="CM71" s="53" t="s">
        <v>102</v>
      </c>
      <c r="CN71" s="206"/>
      <c r="CO71" s="206"/>
      <c r="CP71" s="206"/>
      <c r="CQ71" s="8">
        <f t="shared" si="42"/>
        <v>0</v>
      </c>
      <c r="CR71" s="8">
        <f t="shared" si="43"/>
        <v>0</v>
      </c>
      <c r="CS71" s="8" t="e">
        <f t="shared" si="44"/>
        <v>#DIV/0!</v>
      </c>
      <c r="CT71" t="e">
        <f t="shared" si="45"/>
        <v>#NUM!</v>
      </c>
      <c r="CU71" s="143" t="e">
        <f t="shared" si="46"/>
        <v>#DIV/0!</v>
      </c>
      <c r="CV71" s="143" t="e">
        <f t="shared" si="47"/>
        <v>#DIV/0!</v>
      </c>
      <c r="CX71" s="7" t="e">
        <f t="shared" si="48"/>
        <v>#NUM!</v>
      </c>
      <c r="CY71" s="7" t="e">
        <f t="shared" si="49"/>
        <v>#NUM!</v>
      </c>
      <c r="CZ71" s="7" t="e">
        <f t="shared" si="50"/>
        <v>#NUM!</v>
      </c>
      <c r="DA71" s="7" t="e">
        <f t="shared" si="51"/>
        <v>#NUM!</v>
      </c>
      <c r="DB71" s="7" t="e">
        <f t="shared" si="52"/>
        <v>#NUM!</v>
      </c>
      <c r="DC71" s="7" t="e">
        <f t="shared" si="53"/>
        <v>#NUM!</v>
      </c>
      <c r="DD71" s="7" t="e">
        <f t="shared" si="54"/>
        <v>#NUM!</v>
      </c>
      <c r="DE71" s="7" t="e">
        <f t="shared" si="55"/>
        <v>#NUM!</v>
      </c>
      <c r="DF71" s="7" t="e">
        <f t="shared" si="56"/>
        <v>#NUM!</v>
      </c>
      <c r="DH71" s="7" t="e">
        <f t="shared" si="57"/>
        <v>#NUM!</v>
      </c>
      <c r="DI71" s="7" t="e">
        <f t="shared" si="58"/>
        <v>#NUM!</v>
      </c>
      <c r="DJ71" s="7" t="e">
        <f t="shared" si="59"/>
        <v>#NUM!</v>
      </c>
      <c r="DK71" s="7" t="e">
        <f t="shared" si="60"/>
        <v>#NUM!</v>
      </c>
      <c r="DL71" s="7" t="e">
        <f t="shared" si="61"/>
        <v>#NUM!</v>
      </c>
      <c r="DM71" s="7" t="e">
        <f t="shared" si="62"/>
        <v>#NUM!</v>
      </c>
      <c r="DN71" s="7" t="e">
        <f t="shared" si="63"/>
        <v>#NUM!</v>
      </c>
      <c r="DO71" s="7" t="e">
        <f t="shared" si="64"/>
        <v>#NUM!</v>
      </c>
      <c r="DP71" s="7" t="e">
        <f t="shared" si="65"/>
        <v>#NUM!</v>
      </c>
    </row>
    <row r="72" spans="1:134" s="7" customFormat="1" ht="25.5" hidden="1" customHeight="1" x14ac:dyDescent="0.25">
      <c r="A72" s="92" t="str">
        <f t="shared" si="32"/>
        <v>CM-SWVI [10]</v>
      </c>
      <c r="B72" s="92" t="str">
        <f t="shared" si="33"/>
        <v>Southwest Vancouver Island</v>
      </c>
      <c r="C72" s="93" t="str">
        <f t="shared" si="36"/>
        <v>CAMPSITE CREEK_Chum</v>
      </c>
      <c r="D72" s="128" t="s">
        <v>598</v>
      </c>
      <c r="E72" s="128" t="s">
        <v>598</v>
      </c>
      <c r="F72" s="64">
        <v>23</v>
      </c>
      <c r="G72" s="72" t="s">
        <v>108</v>
      </c>
      <c r="H72" s="65" t="s">
        <v>96</v>
      </c>
      <c r="I72" s="119"/>
      <c r="J72" s="119"/>
      <c r="K72" s="64">
        <v>5</v>
      </c>
      <c r="L72" s="52">
        <v>2</v>
      </c>
      <c r="M72" s="52">
        <v>2</v>
      </c>
      <c r="N72" s="52">
        <f t="shared" si="37"/>
        <v>110.77382726652534</v>
      </c>
      <c r="O72" s="52">
        <f t="shared" si="38"/>
        <v>126</v>
      </c>
      <c r="P72" s="52">
        <f t="shared" si="39"/>
        <v>110.77382726652534</v>
      </c>
      <c r="Q72" s="66"/>
      <c r="R72" s="37"/>
      <c r="S72" s="74" t="s">
        <v>309</v>
      </c>
      <c r="T72" s="81" t="e">
        <f t="shared" si="40"/>
        <v>#DIV/0!</v>
      </c>
      <c r="U72" s="81" t="e">
        <f t="shared" si="41"/>
        <v>#DIV/0!</v>
      </c>
      <c r="V72" s="52" t="s">
        <v>102</v>
      </c>
      <c r="W72" s="52" t="s">
        <v>102</v>
      </c>
      <c r="X72" s="52" t="s">
        <v>102</v>
      </c>
      <c r="Y72" s="52" t="s">
        <v>102</v>
      </c>
      <c r="Z72" s="52" t="s">
        <v>102</v>
      </c>
      <c r="AA72" s="52" t="s">
        <v>102</v>
      </c>
      <c r="AB72" s="52" t="s">
        <v>102</v>
      </c>
      <c r="AC72" s="52" t="s">
        <v>102</v>
      </c>
      <c r="AD72" s="52" t="s">
        <v>102</v>
      </c>
      <c r="AE72" s="52" t="s">
        <v>263</v>
      </c>
      <c r="AF72" s="52" t="s">
        <v>102</v>
      </c>
      <c r="AG72" s="52" t="s">
        <v>102</v>
      </c>
      <c r="AH72" s="52" t="s">
        <v>102</v>
      </c>
      <c r="AI72" s="52" t="s">
        <v>102</v>
      </c>
      <c r="AJ72" s="52" t="s">
        <v>102</v>
      </c>
      <c r="AK72" s="123">
        <v>116</v>
      </c>
      <c r="AL72" s="89" t="s">
        <v>102</v>
      </c>
      <c r="AM72" s="52" t="s">
        <v>102</v>
      </c>
      <c r="AN72" s="52" t="s">
        <v>102</v>
      </c>
      <c r="AO72" s="52" t="s">
        <v>102</v>
      </c>
      <c r="AP72" s="52" t="s">
        <v>102</v>
      </c>
      <c r="AQ72" s="52" t="s">
        <v>102</v>
      </c>
      <c r="AR72" s="52" t="s">
        <v>102</v>
      </c>
      <c r="AS72" s="52" t="s">
        <v>102</v>
      </c>
      <c r="AT72" s="52">
        <v>93</v>
      </c>
      <c r="AU72" s="52">
        <v>126</v>
      </c>
      <c r="AV72" s="52" t="s">
        <v>102</v>
      </c>
      <c r="AW72" s="52" t="s">
        <v>102</v>
      </c>
      <c r="AX72" s="51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206"/>
      <c r="CO72" s="206"/>
      <c r="CP72" s="206"/>
      <c r="CQ72" s="8">
        <f t="shared" si="42"/>
        <v>93</v>
      </c>
      <c r="CR72" s="8">
        <f t="shared" si="43"/>
        <v>126</v>
      </c>
      <c r="CS72" s="8">
        <f t="shared" si="44"/>
        <v>111.66666666666667</v>
      </c>
      <c r="CT72">
        <f t="shared" si="45"/>
        <v>110.77382726652534</v>
      </c>
      <c r="CU72" s="143" t="e">
        <f t="shared" si="46"/>
        <v>#DIV/0!</v>
      </c>
      <c r="CV72" s="143" t="e">
        <f t="shared" si="47"/>
        <v>#DIV/0!</v>
      </c>
      <c r="CX72" s="7">
        <f t="shared" si="48"/>
        <v>95.3</v>
      </c>
      <c r="CY72" s="7">
        <f t="shared" si="49"/>
        <v>99.9</v>
      </c>
      <c r="CZ72" s="7">
        <f t="shared" si="50"/>
        <v>102.2</v>
      </c>
      <c r="DA72" s="7">
        <f t="shared" si="51"/>
        <v>104.5</v>
      </c>
      <c r="DB72" s="7">
        <f t="shared" si="52"/>
        <v>116</v>
      </c>
      <c r="DC72" s="7">
        <f t="shared" si="53"/>
        <v>118</v>
      </c>
      <c r="DD72" s="7">
        <f t="shared" si="54"/>
        <v>119</v>
      </c>
      <c r="DE72" s="7">
        <f t="shared" si="55"/>
        <v>121</v>
      </c>
      <c r="DF72" s="7">
        <f t="shared" si="56"/>
        <v>123</v>
      </c>
      <c r="DH72" s="7">
        <f t="shared" si="57"/>
        <v>95.3</v>
      </c>
      <c r="DI72" s="7">
        <f t="shared" si="58"/>
        <v>99.9</v>
      </c>
      <c r="DJ72" s="7">
        <f t="shared" si="59"/>
        <v>102.2</v>
      </c>
      <c r="DK72" s="7">
        <f t="shared" si="60"/>
        <v>104.5</v>
      </c>
      <c r="DL72" s="7">
        <f t="shared" si="61"/>
        <v>116</v>
      </c>
      <c r="DM72" s="7">
        <f t="shared" si="62"/>
        <v>118</v>
      </c>
      <c r="DN72" s="7">
        <f t="shared" si="63"/>
        <v>119</v>
      </c>
      <c r="DO72" s="7">
        <f t="shared" si="64"/>
        <v>121</v>
      </c>
      <c r="DP72" s="7">
        <f t="shared" si="65"/>
        <v>123</v>
      </c>
    </row>
    <row r="73" spans="1:134" s="7" customFormat="1" ht="25.5" hidden="1" customHeight="1" x14ac:dyDescent="0.25">
      <c r="A73" s="92" t="str">
        <f t="shared" ref="A73:A136" si="66">VLOOKUP(C73,CU,6,FALSE)</f>
        <v>CO-WVI [17]</v>
      </c>
      <c r="B73" s="92" t="str">
        <f t="shared" ref="B73:B136" si="67">VLOOKUP(C73,CU,7,FALSE)</f>
        <v>West Vancouver Island</v>
      </c>
      <c r="C73" s="93" t="str">
        <f t="shared" si="36"/>
        <v>CAMPSITE CREEK_Coho</v>
      </c>
      <c r="D73" s="128" t="s">
        <v>598</v>
      </c>
      <c r="E73" s="128" t="s">
        <v>598</v>
      </c>
      <c r="F73" s="64">
        <v>23</v>
      </c>
      <c r="G73" s="72" t="s">
        <v>108</v>
      </c>
      <c r="H73" s="65" t="s">
        <v>93</v>
      </c>
      <c r="I73" s="119"/>
      <c r="J73" s="119"/>
      <c r="K73" s="64">
        <v>5</v>
      </c>
      <c r="L73" s="52">
        <v>2</v>
      </c>
      <c r="M73" s="52">
        <v>2</v>
      </c>
      <c r="N73" s="52">
        <f t="shared" si="37"/>
        <v>3.4641016151377548</v>
      </c>
      <c r="O73" s="52">
        <f t="shared" si="38"/>
        <v>12</v>
      </c>
      <c r="P73" s="52">
        <f t="shared" si="39"/>
        <v>3.4641016151377548</v>
      </c>
      <c r="Q73" s="66"/>
      <c r="R73" s="37"/>
      <c r="S73" s="74" t="s">
        <v>309</v>
      </c>
      <c r="T73" s="81" t="e">
        <f t="shared" si="40"/>
        <v>#DIV/0!</v>
      </c>
      <c r="U73" s="81" t="e">
        <f t="shared" si="41"/>
        <v>#DIV/0!</v>
      </c>
      <c r="V73" s="52" t="s">
        <v>102</v>
      </c>
      <c r="W73" s="52" t="s">
        <v>102</v>
      </c>
      <c r="X73" s="52" t="s">
        <v>102</v>
      </c>
      <c r="Y73" s="52" t="s">
        <v>102</v>
      </c>
      <c r="Z73" s="52" t="s">
        <v>102</v>
      </c>
      <c r="AA73" s="52" t="s">
        <v>102</v>
      </c>
      <c r="AB73" s="174" t="s">
        <v>102</v>
      </c>
      <c r="AC73" s="174" t="s">
        <v>102</v>
      </c>
      <c r="AD73" s="174" t="s">
        <v>102</v>
      </c>
      <c r="AE73" s="52" t="s">
        <v>263</v>
      </c>
      <c r="AF73" s="52" t="s">
        <v>102</v>
      </c>
      <c r="AG73" s="52" t="s">
        <v>102</v>
      </c>
      <c r="AH73" s="52" t="s">
        <v>102</v>
      </c>
      <c r="AI73" s="52" t="s">
        <v>102</v>
      </c>
      <c r="AJ73" s="52" t="s">
        <v>102</v>
      </c>
      <c r="AK73" s="52" t="s">
        <v>102</v>
      </c>
      <c r="AL73" s="155" t="s">
        <v>102</v>
      </c>
      <c r="AM73" s="52" t="s">
        <v>102</v>
      </c>
      <c r="AN73" s="52" t="s">
        <v>102</v>
      </c>
      <c r="AO73" s="52" t="s">
        <v>102</v>
      </c>
      <c r="AP73" s="52" t="s">
        <v>102</v>
      </c>
      <c r="AQ73" s="52" t="s">
        <v>102</v>
      </c>
      <c r="AR73" s="52" t="s">
        <v>102</v>
      </c>
      <c r="AS73" s="52" t="s">
        <v>102</v>
      </c>
      <c r="AT73" s="52">
        <v>12</v>
      </c>
      <c r="AU73" s="52">
        <v>1</v>
      </c>
      <c r="AV73" s="52" t="s">
        <v>102</v>
      </c>
      <c r="AW73" s="52" t="s">
        <v>102</v>
      </c>
      <c r="AX73" s="51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206"/>
      <c r="CO73" s="206"/>
      <c r="CP73" s="206"/>
      <c r="CQ73" s="8">
        <f t="shared" si="42"/>
        <v>1</v>
      </c>
      <c r="CR73" s="8">
        <f t="shared" si="43"/>
        <v>12</v>
      </c>
      <c r="CS73" s="8">
        <f t="shared" si="44"/>
        <v>6.5</v>
      </c>
      <c r="CT73">
        <f t="shared" si="45"/>
        <v>3.4641016151377548</v>
      </c>
      <c r="CU73" s="143" t="e">
        <f t="shared" si="46"/>
        <v>#DIV/0!</v>
      </c>
      <c r="CV73" s="143" t="e">
        <f t="shared" si="47"/>
        <v>#DIV/0!</v>
      </c>
      <c r="CX73" s="7">
        <f t="shared" si="48"/>
        <v>1.5500000000000005</v>
      </c>
      <c r="CY73" s="7">
        <f t="shared" si="49"/>
        <v>2.649999999999999</v>
      </c>
      <c r="CZ73" s="7">
        <f t="shared" si="50"/>
        <v>3.1999999999999993</v>
      </c>
      <c r="DA73" s="7">
        <f t="shared" si="51"/>
        <v>3.75</v>
      </c>
      <c r="DB73" s="7">
        <f t="shared" si="52"/>
        <v>6.5</v>
      </c>
      <c r="DC73" s="7">
        <f t="shared" si="53"/>
        <v>7.6000000000000014</v>
      </c>
      <c r="DD73" s="7">
        <f t="shared" si="54"/>
        <v>8.1499999999999986</v>
      </c>
      <c r="DE73" s="7">
        <f t="shared" si="55"/>
        <v>9.25</v>
      </c>
      <c r="DF73" s="7">
        <f t="shared" si="56"/>
        <v>10.350000000000001</v>
      </c>
      <c r="DH73" s="7">
        <f t="shared" si="57"/>
        <v>1.5500000000000005</v>
      </c>
      <c r="DI73" s="7">
        <f t="shared" si="58"/>
        <v>2.649999999999999</v>
      </c>
      <c r="DJ73" s="7">
        <f t="shared" si="59"/>
        <v>3.1999999999999993</v>
      </c>
      <c r="DK73" s="7">
        <f t="shared" si="60"/>
        <v>3.75</v>
      </c>
      <c r="DL73" s="7">
        <f t="shared" si="61"/>
        <v>6.5</v>
      </c>
      <c r="DM73" s="7">
        <f t="shared" si="62"/>
        <v>7.6000000000000014</v>
      </c>
      <c r="DN73" s="7">
        <f t="shared" si="63"/>
        <v>8.1499999999999986</v>
      </c>
      <c r="DO73" s="7">
        <f t="shared" si="64"/>
        <v>9.25</v>
      </c>
      <c r="DP73" s="7">
        <f t="shared" si="65"/>
        <v>10.350000000000001</v>
      </c>
    </row>
    <row r="74" spans="1:134" s="7" customFormat="1" ht="25.5" hidden="1" customHeight="1" x14ac:dyDescent="0.25">
      <c r="A74" s="92" t="str">
        <f t="shared" si="66"/>
        <v>CM-SWVI [10]</v>
      </c>
      <c r="B74" s="92" t="str">
        <f t="shared" si="67"/>
        <v>Southwest Vancouver Island</v>
      </c>
      <c r="C74" s="93" t="str">
        <f t="shared" si="36"/>
        <v>CANOE PASS CREEK_Chum</v>
      </c>
      <c r="D74" s="128" t="s">
        <v>598</v>
      </c>
      <c r="E74" s="128" t="s">
        <v>598</v>
      </c>
      <c r="F74" s="64">
        <v>23</v>
      </c>
      <c r="G74" s="72" t="s">
        <v>136</v>
      </c>
      <c r="H74" s="65" t="s">
        <v>96</v>
      </c>
      <c r="I74" s="119"/>
      <c r="J74" s="119"/>
      <c r="K74" s="64">
        <v>5</v>
      </c>
      <c r="L74" s="52">
        <v>3</v>
      </c>
      <c r="M74" s="52">
        <v>0</v>
      </c>
      <c r="N74" s="52" t="e">
        <f t="shared" si="37"/>
        <v>#NUM!</v>
      </c>
      <c r="O74" s="52">
        <f t="shared" si="38"/>
        <v>400</v>
      </c>
      <c r="P74" s="52">
        <f t="shared" si="39"/>
        <v>136.59755412911295</v>
      </c>
      <c r="Q74" s="66"/>
      <c r="R74" s="37"/>
      <c r="S74" s="76" t="s">
        <v>310</v>
      </c>
      <c r="T74" s="81" t="e">
        <f t="shared" si="40"/>
        <v>#DIV/0!</v>
      </c>
      <c r="U74" s="81" t="e">
        <f t="shared" si="41"/>
        <v>#DIV/0!</v>
      </c>
      <c r="V74" s="52" t="s">
        <v>102</v>
      </c>
      <c r="W74" s="52" t="s">
        <v>102</v>
      </c>
      <c r="X74" s="52" t="s">
        <v>102</v>
      </c>
      <c r="Y74" s="52" t="s">
        <v>102</v>
      </c>
      <c r="Z74" s="52" t="s">
        <v>102</v>
      </c>
      <c r="AA74" s="52" t="s">
        <v>102</v>
      </c>
      <c r="AB74" s="52" t="s">
        <v>102</v>
      </c>
      <c r="AC74" s="52" t="s">
        <v>102</v>
      </c>
      <c r="AD74" s="52" t="s">
        <v>102</v>
      </c>
      <c r="AE74" s="52" t="s">
        <v>102</v>
      </c>
      <c r="AF74" s="52" t="s">
        <v>102</v>
      </c>
      <c r="AG74" s="52" t="s">
        <v>102</v>
      </c>
      <c r="AH74" s="52" t="s">
        <v>102</v>
      </c>
      <c r="AI74" s="52" t="s">
        <v>102</v>
      </c>
      <c r="AJ74" s="52" t="s">
        <v>102</v>
      </c>
      <c r="AK74" s="52" t="s">
        <v>102</v>
      </c>
      <c r="AL74" s="89" t="s">
        <v>102</v>
      </c>
      <c r="AM74" s="52" t="s">
        <v>102</v>
      </c>
      <c r="AN74" s="52" t="s">
        <v>102</v>
      </c>
      <c r="AO74" s="52" t="s">
        <v>102</v>
      </c>
      <c r="AP74" s="52" t="s">
        <v>102</v>
      </c>
      <c r="AQ74" s="52" t="s">
        <v>102</v>
      </c>
      <c r="AR74" s="53" t="s">
        <v>262</v>
      </c>
      <c r="AS74" s="52" t="s">
        <v>102</v>
      </c>
      <c r="AT74" s="52" t="s">
        <v>102</v>
      </c>
      <c r="AU74" s="52" t="s">
        <v>102</v>
      </c>
      <c r="AV74" s="52" t="s">
        <v>262</v>
      </c>
      <c r="AW74" s="52" t="s">
        <v>262</v>
      </c>
      <c r="AX74" s="51" t="s">
        <v>262</v>
      </c>
      <c r="AY74" s="53" t="s">
        <v>102</v>
      </c>
      <c r="AZ74" s="53" t="s">
        <v>102</v>
      </c>
      <c r="BA74" s="53" t="s">
        <v>262</v>
      </c>
      <c r="BB74" s="53" t="s">
        <v>102</v>
      </c>
      <c r="BC74" s="53" t="s">
        <v>102</v>
      </c>
      <c r="BD74" s="53" t="s">
        <v>102</v>
      </c>
      <c r="BE74" s="53" t="s">
        <v>102</v>
      </c>
      <c r="BF74" s="53" t="s">
        <v>102</v>
      </c>
      <c r="BG74" s="53">
        <v>350</v>
      </c>
      <c r="BH74" s="53" t="s">
        <v>264</v>
      </c>
      <c r="BI74" s="53" t="s">
        <v>102</v>
      </c>
      <c r="BJ74" s="53" t="s">
        <v>102</v>
      </c>
      <c r="BK74" s="53" t="s">
        <v>264</v>
      </c>
      <c r="BL74" s="53" t="s">
        <v>102</v>
      </c>
      <c r="BM74" s="53">
        <v>60</v>
      </c>
      <c r="BN74" s="53">
        <v>200</v>
      </c>
      <c r="BO74" s="53">
        <v>180</v>
      </c>
      <c r="BP74" s="53">
        <v>200</v>
      </c>
      <c r="BQ74" s="53">
        <v>150</v>
      </c>
      <c r="BR74" s="53">
        <v>150</v>
      </c>
      <c r="BS74" s="53">
        <v>200</v>
      </c>
      <c r="BT74" s="53">
        <v>200</v>
      </c>
      <c r="BU74" s="53">
        <v>75</v>
      </c>
      <c r="BV74" s="53">
        <v>75</v>
      </c>
      <c r="BW74" s="53">
        <v>200</v>
      </c>
      <c r="BX74" s="53">
        <v>200</v>
      </c>
      <c r="BY74" s="53">
        <v>200</v>
      </c>
      <c r="BZ74" s="53">
        <v>400</v>
      </c>
      <c r="CA74" s="53">
        <v>25</v>
      </c>
      <c r="CB74" s="53">
        <v>200</v>
      </c>
      <c r="CC74" s="53">
        <v>75</v>
      </c>
      <c r="CD74" s="53">
        <v>25</v>
      </c>
      <c r="CE74" s="53">
        <v>75</v>
      </c>
      <c r="CF74" s="53">
        <v>200</v>
      </c>
      <c r="CG74" s="53">
        <v>200</v>
      </c>
      <c r="CH74" s="53">
        <v>200</v>
      </c>
      <c r="CI74" s="53">
        <v>75</v>
      </c>
      <c r="CJ74" s="53">
        <v>75</v>
      </c>
      <c r="CK74" s="53">
        <v>200</v>
      </c>
      <c r="CL74" s="53">
        <v>200</v>
      </c>
      <c r="CM74" s="53">
        <v>200</v>
      </c>
      <c r="CN74" s="206"/>
      <c r="CO74" s="206"/>
      <c r="CP74" s="206"/>
      <c r="CQ74" s="8">
        <f t="shared" si="42"/>
        <v>25</v>
      </c>
      <c r="CR74" s="8">
        <f t="shared" si="43"/>
        <v>400</v>
      </c>
      <c r="CS74" s="8">
        <f t="shared" si="44"/>
        <v>163.92857142857142</v>
      </c>
      <c r="CT74">
        <f t="shared" si="45"/>
        <v>136.59755412911295</v>
      </c>
      <c r="CU74" s="143" t="e">
        <f t="shared" si="46"/>
        <v>#DIV/0!</v>
      </c>
      <c r="CV74" s="143" t="e">
        <f t="shared" si="47"/>
        <v>#DIV/0!</v>
      </c>
      <c r="CX74" s="7">
        <f t="shared" si="48"/>
        <v>37.25</v>
      </c>
      <c r="CY74" s="7">
        <f t="shared" si="49"/>
        <v>75</v>
      </c>
      <c r="CZ74" s="7">
        <f t="shared" si="50"/>
        <v>75</v>
      </c>
      <c r="DA74" s="7">
        <f t="shared" si="51"/>
        <v>75</v>
      </c>
      <c r="DB74" s="7">
        <f t="shared" si="52"/>
        <v>200</v>
      </c>
      <c r="DC74" s="7">
        <f t="shared" si="53"/>
        <v>200</v>
      </c>
      <c r="DD74" s="7">
        <f t="shared" si="54"/>
        <v>200</v>
      </c>
      <c r="DE74" s="7">
        <f t="shared" si="55"/>
        <v>200</v>
      </c>
      <c r="DF74" s="7">
        <f t="shared" si="56"/>
        <v>200</v>
      </c>
      <c r="DH74" s="7" t="e">
        <f t="shared" si="57"/>
        <v>#NUM!</v>
      </c>
      <c r="DI74" s="7" t="e">
        <f t="shared" si="58"/>
        <v>#NUM!</v>
      </c>
      <c r="DJ74" s="7" t="e">
        <f t="shared" si="59"/>
        <v>#NUM!</v>
      </c>
      <c r="DK74" s="7" t="e">
        <f t="shared" si="60"/>
        <v>#NUM!</v>
      </c>
      <c r="DL74" s="7" t="e">
        <f t="shared" si="61"/>
        <v>#NUM!</v>
      </c>
      <c r="DM74" s="7" t="e">
        <f t="shared" si="62"/>
        <v>#NUM!</v>
      </c>
      <c r="DN74" s="7" t="e">
        <f t="shared" si="63"/>
        <v>#NUM!</v>
      </c>
      <c r="DO74" s="7" t="e">
        <f t="shared" si="64"/>
        <v>#NUM!</v>
      </c>
      <c r="DP74" s="7" t="e">
        <f t="shared" si="65"/>
        <v>#NUM!</v>
      </c>
    </row>
    <row r="75" spans="1:134" s="7" customFormat="1" ht="25.5" hidden="1" customHeight="1" x14ac:dyDescent="0.25">
      <c r="A75" s="92" t="str">
        <f t="shared" si="66"/>
        <v>CO-WVI [17]</v>
      </c>
      <c r="B75" s="92" t="str">
        <f t="shared" si="67"/>
        <v>West Vancouver Island</v>
      </c>
      <c r="C75" s="93" t="str">
        <f t="shared" si="36"/>
        <v>CANOE PASS CREEK_Coho</v>
      </c>
      <c r="D75" s="128" t="s">
        <v>598</v>
      </c>
      <c r="E75" s="128" t="s">
        <v>598</v>
      </c>
      <c r="F75" s="64">
        <v>23</v>
      </c>
      <c r="G75" s="72" t="s">
        <v>136</v>
      </c>
      <c r="H75" s="65" t="s">
        <v>93</v>
      </c>
      <c r="I75" s="119"/>
      <c r="J75" s="119"/>
      <c r="K75" s="64">
        <v>5</v>
      </c>
      <c r="L75" s="52">
        <v>3</v>
      </c>
      <c r="M75" s="52">
        <v>0</v>
      </c>
      <c r="N75" s="52" t="e">
        <f t="shared" si="37"/>
        <v>#NUM!</v>
      </c>
      <c r="O75" s="52">
        <f t="shared" si="38"/>
        <v>200</v>
      </c>
      <c r="P75" s="52">
        <f t="shared" si="39"/>
        <v>67.939546661452596</v>
      </c>
      <c r="Q75" s="66"/>
      <c r="R75" s="37"/>
      <c r="S75" s="76" t="s">
        <v>310</v>
      </c>
      <c r="T75" s="81" t="e">
        <f t="shared" si="40"/>
        <v>#DIV/0!</v>
      </c>
      <c r="U75" s="81" t="e">
        <f t="shared" si="41"/>
        <v>#DIV/0!</v>
      </c>
      <c r="V75" s="52" t="s">
        <v>102</v>
      </c>
      <c r="W75" s="52" t="s">
        <v>102</v>
      </c>
      <c r="X75" s="52" t="s">
        <v>102</v>
      </c>
      <c r="Y75" s="52" t="s">
        <v>102</v>
      </c>
      <c r="Z75" s="52" t="s">
        <v>102</v>
      </c>
      <c r="AA75" s="52" t="s">
        <v>102</v>
      </c>
      <c r="AB75" s="52" t="s">
        <v>102</v>
      </c>
      <c r="AC75" s="174" t="s">
        <v>102</v>
      </c>
      <c r="AD75" s="174" t="s">
        <v>102</v>
      </c>
      <c r="AE75" s="52" t="s">
        <v>102</v>
      </c>
      <c r="AF75" s="52" t="s">
        <v>102</v>
      </c>
      <c r="AG75" s="52" t="s">
        <v>102</v>
      </c>
      <c r="AH75" s="52" t="s">
        <v>102</v>
      </c>
      <c r="AI75" s="52" t="s">
        <v>102</v>
      </c>
      <c r="AJ75" s="52" t="s">
        <v>102</v>
      </c>
      <c r="AK75" s="52" t="s">
        <v>102</v>
      </c>
      <c r="AL75" s="155" t="s">
        <v>102</v>
      </c>
      <c r="AM75" s="52" t="s">
        <v>102</v>
      </c>
      <c r="AN75" s="52" t="s">
        <v>102</v>
      </c>
      <c r="AO75" s="52" t="s">
        <v>102</v>
      </c>
      <c r="AP75" s="52" t="s">
        <v>102</v>
      </c>
      <c r="AQ75" s="52" t="s">
        <v>102</v>
      </c>
      <c r="AR75" s="53" t="s">
        <v>262</v>
      </c>
      <c r="AS75" s="52" t="s">
        <v>102</v>
      </c>
      <c r="AT75" s="52" t="s">
        <v>102</v>
      </c>
      <c r="AU75" s="52" t="s">
        <v>102</v>
      </c>
      <c r="AV75" s="52" t="s">
        <v>262</v>
      </c>
      <c r="AW75" s="52" t="s">
        <v>262</v>
      </c>
      <c r="AX75" s="51" t="s">
        <v>262</v>
      </c>
      <c r="AY75" s="53" t="s">
        <v>102</v>
      </c>
      <c r="AZ75" s="53" t="s">
        <v>102</v>
      </c>
      <c r="BA75" s="53" t="s">
        <v>262</v>
      </c>
      <c r="BB75" s="53" t="s">
        <v>102</v>
      </c>
      <c r="BC75" s="53" t="s">
        <v>102</v>
      </c>
      <c r="BD75" s="53" t="s">
        <v>102</v>
      </c>
      <c r="BE75" s="53" t="s">
        <v>102</v>
      </c>
      <c r="BF75" s="53" t="s">
        <v>102</v>
      </c>
      <c r="BG75" s="53" t="s">
        <v>264</v>
      </c>
      <c r="BH75" s="53" t="s">
        <v>264</v>
      </c>
      <c r="BI75" s="53" t="s">
        <v>102</v>
      </c>
      <c r="BJ75" s="53" t="s">
        <v>102</v>
      </c>
      <c r="BK75" s="53" t="s">
        <v>264</v>
      </c>
      <c r="BL75" s="53" t="s">
        <v>102</v>
      </c>
      <c r="BM75" s="53">
        <v>50</v>
      </c>
      <c r="BN75" s="53">
        <v>50</v>
      </c>
      <c r="BO75" s="53">
        <v>50</v>
      </c>
      <c r="BP75" s="53">
        <v>50</v>
      </c>
      <c r="BQ75" s="53">
        <v>20</v>
      </c>
      <c r="BR75" s="53">
        <v>75</v>
      </c>
      <c r="BS75" s="53">
        <v>75</v>
      </c>
      <c r="BT75" s="53">
        <v>75</v>
      </c>
      <c r="BU75" s="53">
        <v>75</v>
      </c>
      <c r="BV75" s="53">
        <v>200</v>
      </c>
      <c r="BW75" s="53">
        <v>200</v>
      </c>
      <c r="BX75" s="53">
        <v>75</v>
      </c>
      <c r="BY75" s="53">
        <v>75</v>
      </c>
      <c r="BZ75" s="53">
        <v>25</v>
      </c>
      <c r="CA75" s="53">
        <v>25</v>
      </c>
      <c r="CB75" s="53">
        <v>200</v>
      </c>
      <c r="CC75" s="53">
        <v>25</v>
      </c>
      <c r="CD75" s="53">
        <v>200</v>
      </c>
      <c r="CE75" s="53">
        <v>200</v>
      </c>
      <c r="CF75" s="53">
        <v>75</v>
      </c>
      <c r="CG75" s="53">
        <v>200</v>
      </c>
      <c r="CH75" s="53">
        <v>75</v>
      </c>
      <c r="CI75" s="53">
        <v>200</v>
      </c>
      <c r="CJ75" s="53">
        <v>25</v>
      </c>
      <c r="CK75" s="53">
        <v>25</v>
      </c>
      <c r="CL75" s="53">
        <v>75</v>
      </c>
      <c r="CM75" s="53">
        <v>25</v>
      </c>
      <c r="CN75" s="206">
        <f>IF(ISERROR(AVERAGE(BV75:CM75)),CS75,AVERAGE(BV75:CM75))</f>
        <v>106.94444444444444</v>
      </c>
      <c r="CO75" s="206"/>
      <c r="CP75" s="206"/>
      <c r="CQ75" s="8">
        <f t="shared" si="42"/>
        <v>20</v>
      </c>
      <c r="CR75" s="8">
        <f t="shared" si="43"/>
        <v>200</v>
      </c>
      <c r="CS75" s="8">
        <f t="shared" si="44"/>
        <v>90.555555555555557</v>
      </c>
      <c r="CT75">
        <f t="shared" si="45"/>
        <v>67.939546661452596</v>
      </c>
      <c r="CU75" s="143" t="e">
        <f t="shared" si="46"/>
        <v>#DIV/0!</v>
      </c>
      <c r="CV75" s="143" t="e">
        <f t="shared" si="47"/>
        <v>#DIV/0!</v>
      </c>
      <c r="CX75" s="7">
        <f t="shared" si="48"/>
        <v>25</v>
      </c>
      <c r="CY75" s="7">
        <f t="shared" si="49"/>
        <v>25</v>
      </c>
      <c r="CZ75" s="7">
        <f t="shared" si="50"/>
        <v>25</v>
      </c>
      <c r="DA75" s="7">
        <f t="shared" si="51"/>
        <v>37.5</v>
      </c>
      <c r="DB75" s="7">
        <f t="shared" si="52"/>
        <v>75</v>
      </c>
      <c r="DC75" s="7">
        <f t="shared" si="53"/>
        <v>75</v>
      </c>
      <c r="DD75" s="7">
        <f t="shared" si="54"/>
        <v>75</v>
      </c>
      <c r="DE75" s="7">
        <f t="shared" si="55"/>
        <v>137.5</v>
      </c>
      <c r="DF75" s="7">
        <f t="shared" si="56"/>
        <v>200</v>
      </c>
      <c r="DH75" s="7" t="e">
        <f t="shared" si="57"/>
        <v>#NUM!</v>
      </c>
      <c r="DI75" s="7" t="e">
        <f t="shared" si="58"/>
        <v>#NUM!</v>
      </c>
      <c r="DJ75" s="7" t="e">
        <f t="shared" si="59"/>
        <v>#NUM!</v>
      </c>
      <c r="DK75" s="7" t="e">
        <f t="shared" si="60"/>
        <v>#NUM!</v>
      </c>
      <c r="DL75" s="7" t="e">
        <f t="shared" si="61"/>
        <v>#NUM!</v>
      </c>
      <c r="DM75" s="7" t="e">
        <f t="shared" si="62"/>
        <v>#NUM!</v>
      </c>
      <c r="DN75" s="7" t="e">
        <f t="shared" si="63"/>
        <v>#NUM!</v>
      </c>
      <c r="DO75" s="7" t="e">
        <f t="shared" si="64"/>
        <v>#NUM!</v>
      </c>
      <c r="DP75" s="7" t="e">
        <f t="shared" si="65"/>
        <v>#NUM!</v>
      </c>
    </row>
    <row r="76" spans="1:134" s="7" customFormat="1" ht="25.5" hidden="1" customHeight="1" x14ac:dyDescent="0.25">
      <c r="A76" s="92" t="str">
        <f t="shared" si="66"/>
        <v>CM-SWVI [10]</v>
      </c>
      <c r="B76" s="92" t="str">
        <f t="shared" si="67"/>
        <v>Southwest Vancouver Island</v>
      </c>
      <c r="C76" s="93" t="str">
        <f t="shared" si="36"/>
        <v>CARNATION CREEK_Chum</v>
      </c>
      <c r="D76" s="128" t="s">
        <v>598</v>
      </c>
      <c r="E76" s="128" t="s">
        <v>598</v>
      </c>
      <c r="F76" s="64">
        <v>23</v>
      </c>
      <c r="G76" s="72" t="s">
        <v>114</v>
      </c>
      <c r="H76" s="65" t="s">
        <v>96</v>
      </c>
      <c r="I76" s="119"/>
      <c r="J76" s="119"/>
      <c r="K76" s="64">
        <v>1</v>
      </c>
      <c r="L76" s="52">
        <v>11</v>
      </c>
      <c r="M76" s="52">
        <v>10</v>
      </c>
      <c r="N76" s="52">
        <f t="shared" si="37"/>
        <v>156.20045181920639</v>
      </c>
      <c r="O76" s="52">
        <f t="shared" si="38"/>
        <v>4168</v>
      </c>
      <c r="P76" s="52">
        <f t="shared" si="39"/>
        <v>571.52012139095598</v>
      </c>
      <c r="Q76" s="66" t="s">
        <v>287</v>
      </c>
      <c r="R76" s="37"/>
      <c r="S76" s="74" t="s">
        <v>311</v>
      </c>
      <c r="T76" s="81">
        <f t="shared" si="40"/>
        <v>12</v>
      </c>
      <c r="U76" s="81">
        <f t="shared" si="41"/>
        <v>170</v>
      </c>
      <c r="V76" s="232" t="s">
        <v>263</v>
      </c>
      <c r="W76" s="52" t="s">
        <v>263</v>
      </c>
      <c r="X76" s="52">
        <v>12</v>
      </c>
      <c r="Y76" s="123" t="s">
        <v>263</v>
      </c>
      <c r="Z76" s="123" t="s">
        <v>263</v>
      </c>
      <c r="AA76" s="123" t="s">
        <v>263</v>
      </c>
      <c r="AB76" s="123"/>
      <c r="AC76" s="123">
        <v>22</v>
      </c>
      <c r="AD76" s="123">
        <v>17</v>
      </c>
      <c r="AE76" s="52">
        <v>55</v>
      </c>
      <c r="AF76" s="52">
        <v>64</v>
      </c>
      <c r="AG76" s="52">
        <v>850</v>
      </c>
      <c r="AH76" s="53">
        <v>50</v>
      </c>
      <c r="AI76" s="53">
        <v>110</v>
      </c>
      <c r="AJ76" s="53">
        <v>2</v>
      </c>
      <c r="AK76" s="52">
        <v>120</v>
      </c>
      <c r="AL76" s="220" t="s">
        <v>595</v>
      </c>
      <c r="AM76" s="52">
        <v>505</v>
      </c>
      <c r="AN76" s="52">
        <v>2053</v>
      </c>
      <c r="AO76" s="52">
        <v>529</v>
      </c>
      <c r="AP76" s="52">
        <v>77</v>
      </c>
      <c r="AQ76" s="52">
        <v>108</v>
      </c>
      <c r="AR76" s="52">
        <v>23</v>
      </c>
      <c r="AS76" s="52">
        <v>90</v>
      </c>
      <c r="AT76" s="52">
        <v>702</v>
      </c>
      <c r="AU76" s="52">
        <v>1063</v>
      </c>
      <c r="AV76" s="52">
        <v>168</v>
      </c>
      <c r="AW76" s="52">
        <v>116</v>
      </c>
      <c r="AX76" s="51">
        <v>81</v>
      </c>
      <c r="AY76" s="53">
        <v>627</v>
      </c>
      <c r="AZ76" s="53">
        <v>493</v>
      </c>
      <c r="BA76" s="53">
        <v>170</v>
      </c>
      <c r="BB76" s="53">
        <v>148</v>
      </c>
      <c r="BC76" s="53">
        <v>180</v>
      </c>
      <c r="BD76" s="53">
        <v>1500</v>
      </c>
      <c r="BE76" s="53">
        <v>325</v>
      </c>
      <c r="BF76" s="53">
        <v>275</v>
      </c>
      <c r="BG76" s="53">
        <v>2700</v>
      </c>
      <c r="BH76" s="53">
        <v>950</v>
      </c>
      <c r="BI76" s="53">
        <v>1200</v>
      </c>
      <c r="BJ76" s="53">
        <v>1600</v>
      </c>
      <c r="BK76" s="53">
        <v>2300</v>
      </c>
      <c r="BL76" s="53">
        <v>3000</v>
      </c>
      <c r="BM76" s="53">
        <v>450</v>
      </c>
      <c r="BN76" s="53">
        <v>3300</v>
      </c>
      <c r="BO76" s="53">
        <v>1700</v>
      </c>
      <c r="BP76" s="53">
        <v>1500</v>
      </c>
      <c r="BQ76" s="53">
        <v>1200</v>
      </c>
      <c r="BR76" s="53">
        <v>3060</v>
      </c>
      <c r="BS76" s="53">
        <v>4168</v>
      </c>
      <c r="BT76" s="53">
        <v>1700</v>
      </c>
      <c r="BU76" s="53">
        <v>1000</v>
      </c>
      <c r="BV76" s="53">
        <v>2000</v>
      </c>
      <c r="BW76" s="53">
        <v>3500</v>
      </c>
      <c r="BX76" s="53">
        <v>1500</v>
      </c>
      <c r="BY76" s="53">
        <v>1500</v>
      </c>
      <c r="BZ76" s="53">
        <v>750</v>
      </c>
      <c r="CA76" s="53">
        <v>750</v>
      </c>
      <c r="CB76" s="53">
        <v>1500</v>
      </c>
      <c r="CC76" s="53">
        <v>200</v>
      </c>
      <c r="CD76" s="53">
        <v>400</v>
      </c>
      <c r="CE76" s="53">
        <v>750</v>
      </c>
      <c r="CF76" s="53">
        <v>200</v>
      </c>
      <c r="CG76" s="53">
        <v>400</v>
      </c>
      <c r="CH76" s="53">
        <v>1500</v>
      </c>
      <c r="CI76" s="53">
        <v>1500</v>
      </c>
      <c r="CJ76" s="53">
        <v>200</v>
      </c>
      <c r="CK76" s="53">
        <v>400</v>
      </c>
      <c r="CL76" s="53">
        <v>1500</v>
      </c>
      <c r="CM76" s="53">
        <v>1500</v>
      </c>
      <c r="CN76" s="206"/>
      <c r="CO76" s="206"/>
      <c r="CP76" s="206"/>
      <c r="CQ76" s="8">
        <f t="shared" si="42"/>
        <v>2</v>
      </c>
      <c r="CR76" s="8">
        <f t="shared" si="43"/>
        <v>4168</v>
      </c>
      <c r="CS76" s="8">
        <f t="shared" si="44"/>
        <v>958.93650793650795</v>
      </c>
      <c r="CT76">
        <f t="shared" si="45"/>
        <v>423.70662450918041</v>
      </c>
      <c r="CU76" s="143">
        <f t="shared" si="46"/>
        <v>12</v>
      </c>
      <c r="CV76" s="143">
        <f t="shared" si="47"/>
        <v>170</v>
      </c>
      <c r="CX76" s="7">
        <f t="shared" si="48"/>
        <v>22.1</v>
      </c>
      <c r="CY76" s="7">
        <f t="shared" si="49"/>
        <v>83.699999999999989</v>
      </c>
      <c r="CZ76" s="7">
        <f t="shared" si="50"/>
        <v>112.4</v>
      </c>
      <c r="DA76" s="7">
        <f t="shared" si="51"/>
        <v>158</v>
      </c>
      <c r="DB76" s="7">
        <f t="shared" si="52"/>
        <v>627</v>
      </c>
      <c r="DC76" s="7">
        <f t="shared" si="53"/>
        <v>959.99999999999977</v>
      </c>
      <c r="DD76" s="7">
        <f t="shared" si="54"/>
        <v>1200</v>
      </c>
      <c r="DE76" s="7">
        <f t="shared" si="55"/>
        <v>1500</v>
      </c>
      <c r="DF76" s="7">
        <f t="shared" si="56"/>
        <v>1700</v>
      </c>
      <c r="DH76" s="7">
        <f t="shared" si="57"/>
        <v>12</v>
      </c>
      <c r="DI76" s="7">
        <f t="shared" si="58"/>
        <v>22</v>
      </c>
      <c r="DJ76" s="7">
        <f t="shared" si="59"/>
        <v>23</v>
      </c>
      <c r="DK76" s="7">
        <f t="shared" si="60"/>
        <v>50</v>
      </c>
      <c r="DL76" s="7">
        <f t="shared" si="61"/>
        <v>108</v>
      </c>
      <c r="DM76" s="7">
        <f t="shared" si="62"/>
        <v>116</v>
      </c>
      <c r="DN76" s="7">
        <f t="shared" si="63"/>
        <v>120</v>
      </c>
      <c r="DO76" s="7">
        <f t="shared" si="64"/>
        <v>505</v>
      </c>
      <c r="DP76" s="7">
        <f t="shared" si="65"/>
        <v>702</v>
      </c>
    </row>
    <row r="77" spans="1:134" s="7" customFormat="1" ht="25.5" hidden="1" customHeight="1" x14ac:dyDescent="0.25">
      <c r="A77" s="92" t="str">
        <f t="shared" si="66"/>
        <v>CO-WVI [17]</v>
      </c>
      <c r="B77" s="92" t="str">
        <f t="shared" si="67"/>
        <v>West Vancouver Island</v>
      </c>
      <c r="C77" s="93" t="str">
        <f t="shared" si="36"/>
        <v>CARNATION CREEK_Coho</v>
      </c>
      <c r="D77" s="128" t="s">
        <v>598</v>
      </c>
      <c r="E77" s="128" t="s">
        <v>598</v>
      </c>
      <c r="F77" s="64">
        <v>23</v>
      </c>
      <c r="G77" s="72" t="s">
        <v>114</v>
      </c>
      <c r="H77" s="65" t="s">
        <v>93</v>
      </c>
      <c r="I77" s="119"/>
      <c r="J77" s="119"/>
      <c r="K77" s="64">
        <v>1</v>
      </c>
      <c r="L77" s="52">
        <v>11</v>
      </c>
      <c r="M77" s="52">
        <v>11</v>
      </c>
      <c r="N77" s="52">
        <f t="shared" si="37"/>
        <v>158.54016425457587</v>
      </c>
      <c r="O77" s="52">
        <f t="shared" si="38"/>
        <v>468</v>
      </c>
      <c r="P77" s="52">
        <f t="shared" si="39"/>
        <v>98.662795956549061</v>
      </c>
      <c r="Q77" s="66" t="s">
        <v>287</v>
      </c>
      <c r="R77" s="37"/>
      <c r="S77" s="74"/>
      <c r="T77" s="81">
        <f t="shared" si="40"/>
        <v>69</v>
      </c>
      <c r="U77" s="81">
        <f t="shared" si="41"/>
        <v>108.08333333333333</v>
      </c>
      <c r="V77" s="233">
        <v>56</v>
      </c>
      <c r="W77" s="202">
        <v>151</v>
      </c>
      <c r="X77" s="202">
        <v>33</v>
      </c>
      <c r="Y77" s="52">
        <v>36</v>
      </c>
      <c r="Z77" s="52">
        <v>95</v>
      </c>
      <c r="AA77" s="52">
        <v>40</v>
      </c>
      <c r="AB77" s="52">
        <v>198</v>
      </c>
      <c r="AC77" s="52">
        <v>60</v>
      </c>
      <c r="AD77" s="52">
        <v>156</v>
      </c>
      <c r="AE77" s="52">
        <v>196</v>
      </c>
      <c r="AF77" s="52">
        <v>88</v>
      </c>
      <c r="AG77" s="52">
        <v>188</v>
      </c>
      <c r="AH77" s="53">
        <v>109</v>
      </c>
      <c r="AI77" s="53">
        <v>241</v>
      </c>
      <c r="AJ77" s="53">
        <v>163</v>
      </c>
      <c r="AK77" s="52">
        <v>139</v>
      </c>
      <c r="AL77" s="220" t="s">
        <v>594</v>
      </c>
      <c r="AM77" s="52">
        <v>138</v>
      </c>
      <c r="AN77" s="52">
        <v>160</v>
      </c>
      <c r="AO77" s="52">
        <v>468</v>
      </c>
      <c r="AP77" s="52">
        <v>357</v>
      </c>
      <c r="AQ77" s="52">
        <v>289</v>
      </c>
      <c r="AR77" s="52">
        <v>143</v>
      </c>
      <c r="AS77" s="52">
        <v>54</v>
      </c>
      <c r="AT77" s="52">
        <v>331</v>
      </c>
      <c r="AU77" s="52">
        <v>50</v>
      </c>
      <c r="AV77" s="52">
        <v>74</v>
      </c>
      <c r="AW77" s="52">
        <v>175</v>
      </c>
      <c r="AX77" s="51">
        <v>9</v>
      </c>
      <c r="AY77" s="52">
        <v>95</v>
      </c>
      <c r="AZ77" s="52">
        <v>107</v>
      </c>
      <c r="BA77" s="52">
        <v>210</v>
      </c>
      <c r="BB77" s="52">
        <v>200</v>
      </c>
      <c r="BC77" s="52">
        <v>156</v>
      </c>
      <c r="BD77" s="53">
        <v>57</v>
      </c>
      <c r="BE77" s="53">
        <v>64</v>
      </c>
      <c r="BF77" s="53">
        <v>119</v>
      </c>
      <c r="BG77" s="53">
        <v>69</v>
      </c>
      <c r="BH77" s="53">
        <v>49</v>
      </c>
      <c r="BI77" s="53">
        <v>103</v>
      </c>
      <c r="BJ77" s="53">
        <v>174</v>
      </c>
      <c r="BK77" s="53">
        <v>119</v>
      </c>
      <c r="BL77" s="53">
        <v>175</v>
      </c>
      <c r="BM77" s="53">
        <v>312</v>
      </c>
      <c r="BN77" s="53">
        <v>102</v>
      </c>
      <c r="BO77" s="53">
        <v>127</v>
      </c>
      <c r="BP77" s="53">
        <v>123</v>
      </c>
      <c r="BQ77" s="53">
        <v>158</v>
      </c>
      <c r="BR77" s="53">
        <v>159</v>
      </c>
      <c r="BS77" s="53">
        <v>164</v>
      </c>
      <c r="BT77" s="53">
        <v>162</v>
      </c>
      <c r="BU77" s="53">
        <v>189</v>
      </c>
      <c r="BV77" s="53">
        <v>400</v>
      </c>
      <c r="BW77" s="53">
        <v>75</v>
      </c>
      <c r="BX77" s="53">
        <v>200</v>
      </c>
      <c r="BY77" s="53">
        <v>200</v>
      </c>
      <c r="BZ77" s="53">
        <v>75</v>
      </c>
      <c r="CA77" s="53">
        <v>75</v>
      </c>
      <c r="CB77" s="53">
        <v>75</v>
      </c>
      <c r="CC77" s="53">
        <v>25</v>
      </c>
      <c r="CD77" s="53">
        <v>25</v>
      </c>
      <c r="CE77" s="53">
        <v>25</v>
      </c>
      <c r="CF77" s="53">
        <v>25</v>
      </c>
      <c r="CG77" s="53">
        <v>25</v>
      </c>
      <c r="CH77" s="53">
        <v>25</v>
      </c>
      <c r="CI77" s="53">
        <v>25</v>
      </c>
      <c r="CJ77" s="53">
        <v>25</v>
      </c>
      <c r="CK77" s="53">
        <v>25</v>
      </c>
      <c r="CL77" s="53">
        <v>75</v>
      </c>
      <c r="CM77" s="53">
        <v>400</v>
      </c>
      <c r="CN77" s="206"/>
      <c r="CO77" s="206"/>
      <c r="CP77" s="206"/>
      <c r="CQ77" s="8">
        <f t="shared" si="42"/>
        <v>9</v>
      </c>
      <c r="CR77" s="8">
        <f t="shared" si="43"/>
        <v>468</v>
      </c>
      <c r="CS77" s="8">
        <f t="shared" si="44"/>
        <v>133.18840579710144</v>
      </c>
      <c r="CT77">
        <f t="shared" si="45"/>
        <v>98.209148361161098</v>
      </c>
      <c r="CU77" s="143">
        <f t="shared" si="46"/>
        <v>74.2</v>
      </c>
      <c r="CV77" s="143">
        <f t="shared" si="47"/>
        <v>108.08333333333333</v>
      </c>
      <c r="CX77" s="7">
        <f t="shared" si="48"/>
        <v>25</v>
      </c>
      <c r="CY77" s="7">
        <f t="shared" si="49"/>
        <v>33.599999999999994</v>
      </c>
      <c r="CZ77" s="7">
        <f t="shared" si="50"/>
        <v>49.6</v>
      </c>
      <c r="DA77" s="7">
        <f t="shared" si="51"/>
        <v>57</v>
      </c>
      <c r="DB77" s="7">
        <f t="shared" si="52"/>
        <v>119</v>
      </c>
      <c r="DC77" s="7">
        <f t="shared" si="53"/>
        <v>149.39999999999998</v>
      </c>
      <c r="DD77" s="7">
        <f t="shared" si="54"/>
        <v>158.19999999999999</v>
      </c>
      <c r="DE77" s="7">
        <f t="shared" si="55"/>
        <v>175</v>
      </c>
      <c r="DF77" s="7">
        <f t="shared" si="56"/>
        <v>200</v>
      </c>
      <c r="DH77" s="7">
        <f t="shared" si="57"/>
        <v>37.200000000000003</v>
      </c>
      <c r="DI77" s="7">
        <f t="shared" si="58"/>
        <v>53.6</v>
      </c>
      <c r="DJ77" s="7">
        <f t="shared" si="59"/>
        <v>56.8</v>
      </c>
      <c r="DK77" s="7">
        <f t="shared" si="60"/>
        <v>67</v>
      </c>
      <c r="DL77" s="7">
        <f t="shared" si="61"/>
        <v>143</v>
      </c>
      <c r="DM77" s="7">
        <f t="shared" si="62"/>
        <v>158.4</v>
      </c>
      <c r="DN77" s="7">
        <f t="shared" si="63"/>
        <v>162.70000000000002</v>
      </c>
      <c r="DO77" s="7">
        <f t="shared" si="64"/>
        <v>192</v>
      </c>
      <c r="DP77" s="7">
        <f t="shared" si="65"/>
        <v>245.7999999999999</v>
      </c>
    </row>
    <row r="78" spans="1:134" s="7" customFormat="1" ht="25.5" hidden="1" customHeight="1" x14ac:dyDescent="0.25">
      <c r="A78" s="92" t="str">
        <f t="shared" si="66"/>
        <v>CM-SWVI [10]</v>
      </c>
      <c r="B78" s="92" t="str">
        <f t="shared" si="67"/>
        <v>Southwest Vancouver Island</v>
      </c>
      <c r="C78" s="93" t="str">
        <f t="shared" si="36"/>
        <v>CASS CREEK_Chum</v>
      </c>
      <c r="D78" s="128" t="s">
        <v>598</v>
      </c>
      <c r="E78" s="128" t="s">
        <v>598</v>
      </c>
      <c r="F78" s="64">
        <v>23</v>
      </c>
      <c r="G78" s="72" t="s">
        <v>126</v>
      </c>
      <c r="H78" s="65" t="s">
        <v>96</v>
      </c>
      <c r="I78" s="119"/>
      <c r="J78" s="119"/>
      <c r="K78" s="64">
        <v>5</v>
      </c>
      <c r="L78" s="52">
        <v>0</v>
      </c>
      <c r="M78" s="52"/>
      <c r="N78" s="52" t="e">
        <f t="shared" si="37"/>
        <v>#NUM!</v>
      </c>
      <c r="O78" s="52">
        <f t="shared" si="38"/>
        <v>60</v>
      </c>
      <c r="P78" s="52">
        <f t="shared" si="39"/>
        <v>60</v>
      </c>
      <c r="Q78" s="66"/>
      <c r="R78" s="37"/>
      <c r="S78" s="74" t="s">
        <v>312</v>
      </c>
      <c r="T78" s="81" t="e">
        <f t="shared" si="40"/>
        <v>#DIV/0!</v>
      </c>
      <c r="U78" s="81" t="e">
        <f t="shared" si="41"/>
        <v>#DIV/0!</v>
      </c>
      <c r="V78" s="52" t="s">
        <v>102</v>
      </c>
      <c r="W78" s="52" t="s">
        <v>102</v>
      </c>
      <c r="X78" s="52" t="s">
        <v>102</v>
      </c>
      <c r="Y78" s="52" t="s">
        <v>102</v>
      </c>
      <c r="Z78" s="52" t="s">
        <v>102</v>
      </c>
      <c r="AA78" s="52" t="s">
        <v>102</v>
      </c>
      <c r="AB78" s="52" t="s">
        <v>102</v>
      </c>
      <c r="AC78" s="52" t="s">
        <v>102</v>
      </c>
      <c r="AD78" s="52" t="s">
        <v>102</v>
      </c>
      <c r="AE78" s="52" t="s">
        <v>102</v>
      </c>
      <c r="AF78" s="52" t="s">
        <v>102</v>
      </c>
      <c r="AG78" s="52" t="s">
        <v>102</v>
      </c>
      <c r="AH78" s="52" t="s">
        <v>102</v>
      </c>
      <c r="AI78" s="52" t="s">
        <v>102</v>
      </c>
      <c r="AJ78" s="52" t="s">
        <v>102</v>
      </c>
      <c r="AK78" s="52" t="s">
        <v>102</v>
      </c>
      <c r="AL78" s="89" t="s">
        <v>102</v>
      </c>
      <c r="AM78" s="52" t="s">
        <v>102</v>
      </c>
      <c r="AN78" s="52" t="s">
        <v>102</v>
      </c>
      <c r="AO78" s="52" t="s">
        <v>102</v>
      </c>
      <c r="AP78" s="52" t="s">
        <v>102</v>
      </c>
      <c r="AQ78" s="53" t="s">
        <v>102</v>
      </c>
      <c r="AR78" s="53" t="s">
        <v>102</v>
      </c>
      <c r="AS78" s="52" t="s">
        <v>102</v>
      </c>
      <c r="AT78" s="52" t="s">
        <v>102</v>
      </c>
      <c r="AU78" s="52" t="s">
        <v>102</v>
      </c>
      <c r="AV78" s="52" t="s">
        <v>102</v>
      </c>
      <c r="AW78" s="52" t="s">
        <v>102</v>
      </c>
      <c r="AX78" s="51" t="s">
        <v>264</v>
      </c>
      <c r="AY78" s="53" t="s">
        <v>102</v>
      </c>
      <c r="AZ78" s="53" t="s">
        <v>102</v>
      </c>
      <c r="BA78" s="53" t="s">
        <v>102</v>
      </c>
      <c r="BB78" s="53">
        <v>60</v>
      </c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206">
        <f>IF(ISERROR(AVERAGE(BV78:CM78)),CS78,AVERAGE(BV78:CM78))</f>
        <v>60</v>
      </c>
      <c r="CO78" s="206"/>
      <c r="CP78" s="206"/>
      <c r="CQ78" s="8">
        <f t="shared" si="42"/>
        <v>60</v>
      </c>
      <c r="CR78" s="8">
        <f t="shared" si="43"/>
        <v>60</v>
      </c>
      <c r="CS78" s="8">
        <f t="shared" si="44"/>
        <v>60</v>
      </c>
      <c r="CT78">
        <f t="shared" si="45"/>
        <v>60</v>
      </c>
      <c r="CU78" s="143" t="e">
        <f t="shared" si="46"/>
        <v>#DIV/0!</v>
      </c>
      <c r="CV78" s="143" t="e">
        <f t="shared" si="47"/>
        <v>#DIV/0!</v>
      </c>
      <c r="CW78"/>
      <c r="CX78" s="7">
        <f t="shared" si="48"/>
        <v>60</v>
      </c>
      <c r="CY78" s="7">
        <f t="shared" si="49"/>
        <v>60</v>
      </c>
      <c r="CZ78" s="7">
        <f t="shared" si="50"/>
        <v>60</v>
      </c>
      <c r="DA78" s="7">
        <f t="shared" si="51"/>
        <v>60</v>
      </c>
      <c r="DB78" s="7">
        <f t="shared" si="52"/>
        <v>60</v>
      </c>
      <c r="DC78" s="7">
        <f t="shared" si="53"/>
        <v>60</v>
      </c>
      <c r="DD78" s="7">
        <f t="shared" si="54"/>
        <v>60</v>
      </c>
      <c r="DE78" s="7">
        <f t="shared" si="55"/>
        <v>60</v>
      </c>
      <c r="DF78" s="7">
        <f t="shared" si="56"/>
        <v>60</v>
      </c>
      <c r="DG78"/>
      <c r="DH78" s="7" t="e">
        <f t="shared" si="57"/>
        <v>#NUM!</v>
      </c>
      <c r="DI78" s="7" t="e">
        <f t="shared" si="58"/>
        <v>#NUM!</v>
      </c>
      <c r="DJ78" s="7" t="e">
        <f t="shared" si="59"/>
        <v>#NUM!</v>
      </c>
      <c r="DK78" s="7" t="e">
        <f t="shared" si="60"/>
        <v>#NUM!</v>
      </c>
      <c r="DL78" s="7" t="e">
        <f t="shared" si="61"/>
        <v>#NUM!</v>
      </c>
      <c r="DM78" s="7" t="e">
        <f t="shared" si="62"/>
        <v>#NUM!</v>
      </c>
      <c r="DN78" s="7" t="e">
        <f t="shared" si="63"/>
        <v>#NUM!</v>
      </c>
      <c r="DO78" s="7" t="e">
        <f t="shared" si="64"/>
        <v>#NUM!</v>
      </c>
      <c r="DP78" s="7" t="e">
        <f t="shared" si="65"/>
        <v>#NUM!</v>
      </c>
      <c r="DQ78"/>
      <c r="DR78"/>
      <c r="DS78"/>
      <c r="DT78"/>
      <c r="DU78"/>
      <c r="DV78"/>
      <c r="DW78"/>
      <c r="DX78"/>
      <c r="DY78"/>
      <c r="DZ78"/>
    </row>
    <row r="79" spans="1:134" s="7" customFormat="1" ht="25.5" hidden="1" customHeight="1" x14ac:dyDescent="0.25">
      <c r="A79" s="92" t="str">
        <f t="shared" si="66"/>
        <v>CO-WVI [17]</v>
      </c>
      <c r="B79" s="92" t="str">
        <f t="shared" si="67"/>
        <v>West Vancouver Island</v>
      </c>
      <c r="C79" s="93" t="str">
        <f t="shared" si="36"/>
        <v>CASS CREEK_Coho</v>
      </c>
      <c r="D79" s="128" t="s">
        <v>598</v>
      </c>
      <c r="E79" s="128" t="s">
        <v>598</v>
      </c>
      <c r="F79" s="64">
        <v>23</v>
      </c>
      <c r="G79" s="72" t="s">
        <v>126</v>
      </c>
      <c r="H79" s="65" t="s">
        <v>93</v>
      </c>
      <c r="I79" s="119"/>
      <c r="J79" s="119"/>
      <c r="K79" s="64">
        <v>5</v>
      </c>
      <c r="L79" s="52">
        <v>0</v>
      </c>
      <c r="M79" s="52"/>
      <c r="N79" s="52" t="e">
        <f t="shared" si="37"/>
        <v>#NUM!</v>
      </c>
      <c r="O79" s="52">
        <f t="shared" si="38"/>
        <v>0</v>
      </c>
      <c r="P79" s="52" t="e">
        <f t="shared" si="39"/>
        <v>#NUM!</v>
      </c>
      <c r="Q79" s="66"/>
      <c r="R79" s="37"/>
      <c r="S79" s="74" t="s">
        <v>312</v>
      </c>
      <c r="T79" s="81" t="e">
        <f t="shared" si="40"/>
        <v>#DIV/0!</v>
      </c>
      <c r="U79" s="81" t="e">
        <f t="shared" si="41"/>
        <v>#DIV/0!</v>
      </c>
      <c r="V79" s="52" t="s">
        <v>102</v>
      </c>
      <c r="W79" s="52" t="s">
        <v>102</v>
      </c>
      <c r="X79" s="52" t="s">
        <v>102</v>
      </c>
      <c r="Y79" s="52" t="s">
        <v>102</v>
      </c>
      <c r="Z79" s="52" t="s">
        <v>102</v>
      </c>
      <c r="AA79" s="52" t="s">
        <v>102</v>
      </c>
      <c r="AB79" s="52" t="s">
        <v>102</v>
      </c>
      <c r="AC79" s="174" t="s">
        <v>102</v>
      </c>
      <c r="AD79" s="174" t="s">
        <v>102</v>
      </c>
      <c r="AE79" s="52" t="s">
        <v>102</v>
      </c>
      <c r="AF79" s="52" t="s">
        <v>102</v>
      </c>
      <c r="AG79" s="52" t="s">
        <v>102</v>
      </c>
      <c r="AH79" s="52" t="s">
        <v>102</v>
      </c>
      <c r="AI79" s="52" t="s">
        <v>102</v>
      </c>
      <c r="AJ79" s="52" t="s">
        <v>102</v>
      </c>
      <c r="AK79" s="52" t="s">
        <v>102</v>
      </c>
      <c r="AL79" s="155" t="s">
        <v>102</v>
      </c>
      <c r="AM79" s="52" t="s">
        <v>102</v>
      </c>
      <c r="AN79" s="52" t="s">
        <v>102</v>
      </c>
      <c r="AO79" s="52" t="s">
        <v>102</v>
      </c>
      <c r="AP79" s="52" t="s">
        <v>102</v>
      </c>
      <c r="AQ79" s="53" t="s">
        <v>102</v>
      </c>
      <c r="AR79" s="53" t="s">
        <v>102</v>
      </c>
      <c r="AS79" s="52" t="s">
        <v>102</v>
      </c>
      <c r="AT79" s="52" t="s">
        <v>102</v>
      </c>
      <c r="AU79" s="52" t="s">
        <v>102</v>
      </c>
      <c r="AV79" s="52" t="s">
        <v>102</v>
      </c>
      <c r="AW79" s="52" t="s">
        <v>102</v>
      </c>
      <c r="AX79" s="51" t="s">
        <v>264</v>
      </c>
      <c r="AY79" s="53" t="s">
        <v>102</v>
      </c>
      <c r="AZ79" s="53" t="s">
        <v>102</v>
      </c>
      <c r="BA79" s="53" t="s">
        <v>102</v>
      </c>
      <c r="BB79" s="53" t="s">
        <v>264</v>
      </c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206"/>
      <c r="CO79" s="206"/>
      <c r="CP79" s="206"/>
      <c r="CQ79" s="8">
        <f t="shared" si="42"/>
        <v>0</v>
      </c>
      <c r="CR79" s="8">
        <f t="shared" si="43"/>
        <v>0</v>
      </c>
      <c r="CS79" s="8" t="e">
        <f t="shared" si="44"/>
        <v>#DIV/0!</v>
      </c>
      <c r="CT79" t="e">
        <f t="shared" si="45"/>
        <v>#NUM!</v>
      </c>
      <c r="CU79" s="143" t="e">
        <f t="shared" si="46"/>
        <v>#DIV/0!</v>
      </c>
      <c r="CV79" s="143" t="e">
        <f t="shared" si="47"/>
        <v>#DIV/0!</v>
      </c>
      <c r="CW79"/>
      <c r="CX79" s="7" t="e">
        <f t="shared" si="48"/>
        <v>#NUM!</v>
      </c>
      <c r="CY79" s="7" t="e">
        <f t="shared" si="49"/>
        <v>#NUM!</v>
      </c>
      <c r="CZ79" s="7" t="e">
        <f t="shared" si="50"/>
        <v>#NUM!</v>
      </c>
      <c r="DA79" s="7" t="e">
        <f t="shared" si="51"/>
        <v>#NUM!</v>
      </c>
      <c r="DB79" s="7" t="e">
        <f t="shared" si="52"/>
        <v>#NUM!</v>
      </c>
      <c r="DC79" s="7" t="e">
        <f t="shared" si="53"/>
        <v>#NUM!</v>
      </c>
      <c r="DD79" s="7" t="e">
        <f t="shared" si="54"/>
        <v>#NUM!</v>
      </c>
      <c r="DE79" s="7" t="e">
        <f t="shared" si="55"/>
        <v>#NUM!</v>
      </c>
      <c r="DF79" s="7" t="e">
        <f t="shared" si="56"/>
        <v>#NUM!</v>
      </c>
      <c r="DG79"/>
      <c r="DH79" s="7" t="e">
        <f t="shared" si="57"/>
        <v>#NUM!</v>
      </c>
      <c r="DI79" s="7" t="e">
        <f t="shared" si="58"/>
        <v>#NUM!</v>
      </c>
      <c r="DJ79" s="7" t="e">
        <f t="shared" si="59"/>
        <v>#NUM!</v>
      </c>
      <c r="DK79" s="7" t="e">
        <f t="shared" si="60"/>
        <v>#NUM!</v>
      </c>
      <c r="DL79" s="7" t="e">
        <f t="shared" si="61"/>
        <v>#NUM!</v>
      </c>
      <c r="DM79" s="7" t="e">
        <f t="shared" si="62"/>
        <v>#NUM!</v>
      </c>
      <c r="DN79" s="7" t="e">
        <f t="shared" si="63"/>
        <v>#NUM!</v>
      </c>
      <c r="DO79" s="7" t="e">
        <f t="shared" si="64"/>
        <v>#NUM!</v>
      </c>
      <c r="DP79" s="7" t="e">
        <f t="shared" si="65"/>
        <v>#NUM!</v>
      </c>
      <c r="DQ79"/>
      <c r="DR79"/>
      <c r="DS79"/>
      <c r="DT79"/>
      <c r="DU79"/>
      <c r="DV79"/>
      <c r="DW79"/>
      <c r="DX79"/>
      <c r="DY79"/>
      <c r="DZ79"/>
    </row>
    <row r="80" spans="1:134" s="7" customFormat="1" ht="25.5" hidden="1" customHeight="1" x14ac:dyDescent="0.25">
      <c r="A80" s="92" t="str">
        <f t="shared" si="66"/>
        <v>CM-SWVI [10]</v>
      </c>
      <c r="B80" s="92" t="str">
        <f t="shared" si="67"/>
        <v>Southwest Vancouver Island</v>
      </c>
      <c r="C80" s="93" t="str">
        <f t="shared" si="36"/>
        <v>CATARACT CREEK_Chum</v>
      </c>
      <c r="D80" s="128" t="s">
        <v>598</v>
      </c>
      <c r="E80" s="128" t="s">
        <v>598</v>
      </c>
      <c r="F80" s="64">
        <v>23</v>
      </c>
      <c r="G80" s="72" t="s">
        <v>140</v>
      </c>
      <c r="H80" s="65" t="s">
        <v>96</v>
      </c>
      <c r="I80" s="119"/>
      <c r="J80" s="119"/>
      <c r="K80" s="64">
        <v>5</v>
      </c>
      <c r="L80" s="52">
        <v>5</v>
      </c>
      <c r="M80" s="52">
        <v>4</v>
      </c>
      <c r="N80" s="52">
        <f t="shared" si="37"/>
        <v>306.29883223197464</v>
      </c>
      <c r="O80" s="52">
        <f t="shared" si="38"/>
        <v>1500</v>
      </c>
      <c r="P80" s="52">
        <f t="shared" si="39"/>
        <v>328.87825076517413</v>
      </c>
      <c r="Q80" s="66"/>
      <c r="R80" s="37"/>
      <c r="S80" s="74"/>
      <c r="T80" s="81" t="e">
        <f t="shared" si="40"/>
        <v>#DIV/0!</v>
      </c>
      <c r="U80" s="81" t="e">
        <f t="shared" si="41"/>
        <v>#DIV/0!</v>
      </c>
      <c r="V80" s="52" t="s">
        <v>102</v>
      </c>
      <c r="W80" s="52" t="s">
        <v>102</v>
      </c>
      <c r="X80" s="52" t="s">
        <v>102</v>
      </c>
      <c r="Y80" s="52" t="s">
        <v>102</v>
      </c>
      <c r="Z80" s="52" t="s">
        <v>102</v>
      </c>
      <c r="AA80" s="52" t="s">
        <v>102</v>
      </c>
      <c r="AB80" s="52" t="s">
        <v>102</v>
      </c>
      <c r="AC80" s="52" t="s">
        <v>102</v>
      </c>
      <c r="AD80" s="52" t="s">
        <v>102</v>
      </c>
      <c r="AE80" s="52" t="s">
        <v>102</v>
      </c>
      <c r="AF80" s="52" t="s">
        <v>102</v>
      </c>
      <c r="AG80" s="52" t="s">
        <v>102</v>
      </c>
      <c r="AH80" s="52" t="s">
        <v>102</v>
      </c>
      <c r="AI80" s="52" t="s">
        <v>102</v>
      </c>
      <c r="AJ80" s="52" t="s">
        <v>102</v>
      </c>
      <c r="AK80" s="52" t="s">
        <v>102</v>
      </c>
      <c r="AL80" s="219" t="s">
        <v>102</v>
      </c>
      <c r="AM80" s="52" t="s">
        <v>102</v>
      </c>
      <c r="AN80" s="52" t="s">
        <v>102</v>
      </c>
      <c r="AO80" s="52" t="s">
        <v>102</v>
      </c>
      <c r="AP80" s="52" t="s">
        <v>102</v>
      </c>
      <c r="AQ80" s="53" t="s">
        <v>102</v>
      </c>
      <c r="AR80" s="52" t="s">
        <v>102</v>
      </c>
      <c r="AS80" s="52">
        <v>360</v>
      </c>
      <c r="AT80" s="52">
        <v>815</v>
      </c>
      <c r="AU80" s="52">
        <v>200</v>
      </c>
      <c r="AV80" s="52">
        <v>150</v>
      </c>
      <c r="AW80" s="52" t="s">
        <v>262</v>
      </c>
      <c r="AX80" s="51">
        <v>500</v>
      </c>
      <c r="AY80" s="53">
        <v>450</v>
      </c>
      <c r="AZ80" s="53" t="s">
        <v>102</v>
      </c>
      <c r="BA80" s="53" t="s">
        <v>262</v>
      </c>
      <c r="BB80" s="53" t="s">
        <v>262</v>
      </c>
      <c r="BC80" s="53" t="s">
        <v>102</v>
      </c>
      <c r="BD80" s="53" t="s">
        <v>102</v>
      </c>
      <c r="BE80" s="53" t="s">
        <v>102</v>
      </c>
      <c r="BF80" s="53">
        <v>500</v>
      </c>
      <c r="BG80" s="53" t="s">
        <v>102</v>
      </c>
      <c r="BH80" s="53" t="s">
        <v>102</v>
      </c>
      <c r="BI80" s="53" t="s">
        <v>102</v>
      </c>
      <c r="BJ80" s="53">
        <v>308</v>
      </c>
      <c r="BK80" s="53" t="s">
        <v>264</v>
      </c>
      <c r="BL80" s="53" t="s">
        <v>102</v>
      </c>
      <c r="BM80" s="53">
        <v>700</v>
      </c>
      <c r="BN80" s="53">
        <v>250</v>
      </c>
      <c r="BO80" s="53">
        <v>550</v>
      </c>
      <c r="BP80" s="53">
        <v>450</v>
      </c>
      <c r="BQ80" s="53">
        <v>300</v>
      </c>
      <c r="BR80" s="53">
        <v>150</v>
      </c>
      <c r="BS80" s="53">
        <v>75</v>
      </c>
      <c r="BT80" s="53">
        <v>750</v>
      </c>
      <c r="BU80" s="53">
        <v>75</v>
      </c>
      <c r="BV80" s="53">
        <v>400</v>
      </c>
      <c r="BW80" s="53">
        <v>400</v>
      </c>
      <c r="BX80" s="53">
        <v>400</v>
      </c>
      <c r="BY80" s="53">
        <v>400</v>
      </c>
      <c r="BZ80" s="53">
        <v>400</v>
      </c>
      <c r="CA80" s="53">
        <v>200</v>
      </c>
      <c r="CB80" s="53">
        <v>200</v>
      </c>
      <c r="CC80" s="53">
        <v>75</v>
      </c>
      <c r="CD80" s="53">
        <v>200</v>
      </c>
      <c r="CE80" s="53">
        <v>200</v>
      </c>
      <c r="CF80" s="53">
        <v>400</v>
      </c>
      <c r="CG80" s="53">
        <v>750</v>
      </c>
      <c r="CH80" s="53">
        <v>1500</v>
      </c>
      <c r="CI80" s="53">
        <v>750</v>
      </c>
      <c r="CJ80" s="53">
        <v>200</v>
      </c>
      <c r="CK80" s="53">
        <v>400</v>
      </c>
      <c r="CL80" s="53">
        <v>200</v>
      </c>
      <c r="CM80" s="53">
        <v>750</v>
      </c>
      <c r="CN80" s="206"/>
      <c r="CO80" s="206"/>
      <c r="CP80" s="206"/>
      <c r="CQ80" s="8">
        <f t="shared" si="42"/>
        <v>75</v>
      </c>
      <c r="CR80" s="8">
        <f t="shared" si="43"/>
        <v>1500</v>
      </c>
      <c r="CS80" s="8">
        <f t="shared" si="44"/>
        <v>411.65714285714284</v>
      </c>
      <c r="CT80">
        <f t="shared" si="45"/>
        <v>328.87825076517413</v>
      </c>
      <c r="CU80" s="143" t="e">
        <f t="shared" si="46"/>
        <v>#DIV/0!</v>
      </c>
      <c r="CV80" s="143" t="e">
        <f t="shared" si="47"/>
        <v>#DIV/0!</v>
      </c>
      <c r="CW80"/>
      <c r="CX80" s="7">
        <f t="shared" si="48"/>
        <v>75</v>
      </c>
      <c r="CY80" s="7">
        <f t="shared" si="49"/>
        <v>200</v>
      </c>
      <c r="CZ80" s="7">
        <f t="shared" si="50"/>
        <v>200</v>
      </c>
      <c r="DA80" s="7">
        <f t="shared" si="51"/>
        <v>200</v>
      </c>
      <c r="DB80" s="7">
        <f t="shared" si="52"/>
        <v>400</v>
      </c>
      <c r="DC80" s="7">
        <f t="shared" si="53"/>
        <v>400</v>
      </c>
      <c r="DD80" s="7">
        <f t="shared" si="54"/>
        <v>405.00000000000006</v>
      </c>
      <c r="DE80" s="7">
        <f t="shared" si="55"/>
        <v>500</v>
      </c>
      <c r="DF80" s="7">
        <f t="shared" si="56"/>
        <v>744.99999999999989</v>
      </c>
      <c r="DG80"/>
      <c r="DH80" s="7">
        <f t="shared" si="57"/>
        <v>157.5</v>
      </c>
      <c r="DI80" s="7">
        <f t="shared" si="58"/>
        <v>172.5</v>
      </c>
      <c r="DJ80" s="7">
        <f t="shared" si="59"/>
        <v>180</v>
      </c>
      <c r="DK80" s="7">
        <f t="shared" si="60"/>
        <v>187.5</v>
      </c>
      <c r="DL80" s="7">
        <f t="shared" si="61"/>
        <v>280</v>
      </c>
      <c r="DM80" s="7">
        <f t="shared" si="62"/>
        <v>328</v>
      </c>
      <c r="DN80" s="7">
        <f t="shared" si="63"/>
        <v>352</v>
      </c>
      <c r="DO80" s="7">
        <f t="shared" si="64"/>
        <v>473.75</v>
      </c>
      <c r="DP80" s="7">
        <f t="shared" si="65"/>
        <v>610.24999999999989</v>
      </c>
      <c r="DQ80"/>
      <c r="DR80"/>
      <c r="DS80"/>
      <c r="DT80"/>
      <c r="DU80"/>
      <c r="DV80"/>
      <c r="DW80"/>
      <c r="DX80"/>
      <c r="DY80"/>
      <c r="DZ80"/>
    </row>
    <row r="81" spans="1:130" s="7" customFormat="1" ht="25.5" hidden="1" customHeight="1" x14ac:dyDescent="0.25">
      <c r="A81" s="92" t="str">
        <f t="shared" si="66"/>
        <v>CO-WVI [17]</v>
      </c>
      <c r="B81" s="92" t="str">
        <f t="shared" si="67"/>
        <v>West Vancouver Island</v>
      </c>
      <c r="C81" s="93" t="str">
        <f t="shared" si="36"/>
        <v>CATARACT CREEK_Coho</v>
      </c>
      <c r="D81" s="128" t="s">
        <v>598</v>
      </c>
      <c r="E81" s="128" t="s">
        <v>598</v>
      </c>
      <c r="F81" s="64">
        <v>23</v>
      </c>
      <c r="G81" s="72" t="s">
        <v>140</v>
      </c>
      <c r="H81" s="65" t="s">
        <v>93</v>
      </c>
      <c r="I81" s="119"/>
      <c r="J81" s="119"/>
      <c r="K81" s="64">
        <v>5</v>
      </c>
      <c r="L81" s="52">
        <v>5</v>
      </c>
      <c r="M81" s="52">
        <v>0</v>
      </c>
      <c r="N81" s="52" t="e">
        <f t="shared" si="37"/>
        <v>#NUM!</v>
      </c>
      <c r="O81" s="52">
        <f t="shared" si="38"/>
        <v>25</v>
      </c>
      <c r="P81" s="52">
        <f t="shared" si="39"/>
        <v>24.277410763092881</v>
      </c>
      <c r="Q81" s="66"/>
      <c r="R81" s="37"/>
      <c r="S81" s="76" t="s">
        <v>313</v>
      </c>
      <c r="T81" s="81" t="e">
        <f t="shared" si="40"/>
        <v>#DIV/0!</v>
      </c>
      <c r="U81" s="81" t="e">
        <f t="shared" si="41"/>
        <v>#DIV/0!</v>
      </c>
      <c r="V81" s="52" t="s">
        <v>102</v>
      </c>
      <c r="W81" s="52" t="s">
        <v>102</v>
      </c>
      <c r="X81" s="52" t="s">
        <v>102</v>
      </c>
      <c r="Y81" s="52" t="s">
        <v>102</v>
      </c>
      <c r="Z81" s="52" t="s">
        <v>102</v>
      </c>
      <c r="AA81" s="52" t="s">
        <v>102</v>
      </c>
      <c r="AB81" s="52" t="s">
        <v>102</v>
      </c>
      <c r="AC81" s="174" t="s">
        <v>102</v>
      </c>
      <c r="AD81" s="174" t="s">
        <v>102</v>
      </c>
      <c r="AE81" s="52" t="s">
        <v>102</v>
      </c>
      <c r="AF81" s="52" t="s">
        <v>102</v>
      </c>
      <c r="AG81" s="52" t="s">
        <v>102</v>
      </c>
      <c r="AH81" s="52" t="s">
        <v>102</v>
      </c>
      <c r="AI81" s="52" t="s">
        <v>102</v>
      </c>
      <c r="AJ81" s="52" t="s">
        <v>102</v>
      </c>
      <c r="AK81" s="52" t="s">
        <v>102</v>
      </c>
      <c r="AL81" s="219" t="s">
        <v>102</v>
      </c>
      <c r="AM81" s="52" t="s">
        <v>102</v>
      </c>
      <c r="AN81" s="52" t="s">
        <v>102</v>
      </c>
      <c r="AO81" s="52" t="s">
        <v>102</v>
      </c>
      <c r="AP81" s="52" t="s">
        <v>102</v>
      </c>
      <c r="AQ81" s="53" t="s">
        <v>102</v>
      </c>
      <c r="AR81" s="52" t="s">
        <v>102</v>
      </c>
      <c r="AS81" s="52" t="s">
        <v>262</v>
      </c>
      <c r="AT81" s="52" t="s">
        <v>262</v>
      </c>
      <c r="AU81" s="52" t="s">
        <v>262</v>
      </c>
      <c r="AV81" s="52" t="s">
        <v>262</v>
      </c>
      <c r="AW81" s="52" t="s">
        <v>262</v>
      </c>
      <c r="AX81" s="51" t="s">
        <v>264</v>
      </c>
      <c r="AY81" s="53" t="s">
        <v>264</v>
      </c>
      <c r="AZ81" s="53" t="s">
        <v>102</v>
      </c>
      <c r="BA81" s="53" t="s">
        <v>262</v>
      </c>
      <c r="BB81" s="53" t="s">
        <v>264</v>
      </c>
      <c r="BC81" s="53" t="s">
        <v>102</v>
      </c>
      <c r="BD81" s="53" t="s">
        <v>102</v>
      </c>
      <c r="BE81" s="53" t="s">
        <v>102</v>
      </c>
      <c r="BF81" s="53" t="s">
        <v>264</v>
      </c>
      <c r="BG81" s="53" t="s">
        <v>102</v>
      </c>
      <c r="BH81" s="53" t="s">
        <v>102</v>
      </c>
      <c r="BI81" s="53" t="s">
        <v>102</v>
      </c>
      <c r="BJ81" s="53" t="s">
        <v>264</v>
      </c>
      <c r="BK81" s="53" t="s">
        <v>264</v>
      </c>
      <c r="BL81" s="53" t="s">
        <v>102</v>
      </c>
      <c r="BM81" s="53">
        <v>25</v>
      </c>
      <c r="BN81" s="53">
        <v>24</v>
      </c>
      <c r="BO81" s="53">
        <v>20</v>
      </c>
      <c r="BP81" s="53">
        <v>25</v>
      </c>
      <c r="BQ81" s="53">
        <v>25</v>
      </c>
      <c r="BR81" s="53">
        <v>25</v>
      </c>
      <c r="BS81" s="53">
        <v>25</v>
      </c>
      <c r="BT81" s="53">
        <v>25</v>
      </c>
      <c r="BU81" s="53">
        <v>25</v>
      </c>
      <c r="BV81" s="53" t="s">
        <v>264</v>
      </c>
      <c r="BW81" s="53" t="s">
        <v>264</v>
      </c>
      <c r="BX81" s="53" t="s">
        <v>264</v>
      </c>
      <c r="BY81" s="53" t="s">
        <v>264</v>
      </c>
      <c r="BZ81" s="53" t="s">
        <v>264</v>
      </c>
      <c r="CA81" s="53" t="s">
        <v>264</v>
      </c>
      <c r="CB81" s="53" t="s">
        <v>264</v>
      </c>
      <c r="CC81" s="53" t="s">
        <v>264</v>
      </c>
      <c r="CD81" s="53" t="s">
        <v>264</v>
      </c>
      <c r="CE81" s="53" t="s">
        <v>264</v>
      </c>
      <c r="CF81" s="53" t="s">
        <v>264</v>
      </c>
      <c r="CG81" s="53" t="s">
        <v>264</v>
      </c>
      <c r="CH81" s="53" t="s">
        <v>264</v>
      </c>
      <c r="CI81" s="53" t="s">
        <v>264</v>
      </c>
      <c r="CJ81" s="53" t="s">
        <v>264</v>
      </c>
      <c r="CK81" s="53" t="s">
        <v>264</v>
      </c>
      <c r="CL81" s="53" t="s">
        <v>264</v>
      </c>
      <c r="CM81" s="53" t="s">
        <v>264</v>
      </c>
      <c r="CN81" s="206"/>
      <c r="CO81" s="206"/>
      <c r="CP81" s="206"/>
      <c r="CQ81" s="8">
        <f t="shared" si="42"/>
        <v>20</v>
      </c>
      <c r="CR81" s="8">
        <f t="shared" si="43"/>
        <v>25</v>
      </c>
      <c r="CS81" s="8">
        <f t="shared" si="44"/>
        <v>24.333333333333332</v>
      </c>
      <c r="CT81">
        <f t="shared" si="45"/>
        <v>24.277410763092881</v>
      </c>
      <c r="CU81" s="143" t="e">
        <f t="shared" si="46"/>
        <v>#DIV/0!</v>
      </c>
      <c r="CV81" s="143" t="e">
        <f t="shared" si="47"/>
        <v>#DIV/0!</v>
      </c>
      <c r="CW81"/>
      <c r="CX81" s="7">
        <f t="shared" si="48"/>
        <v>21.6</v>
      </c>
      <c r="CY81" s="7">
        <f t="shared" si="49"/>
        <v>24.2</v>
      </c>
      <c r="CZ81" s="7">
        <f t="shared" si="50"/>
        <v>24.6</v>
      </c>
      <c r="DA81" s="7">
        <f t="shared" si="51"/>
        <v>25</v>
      </c>
      <c r="DB81" s="7">
        <f t="shared" si="52"/>
        <v>25</v>
      </c>
      <c r="DC81" s="7">
        <f t="shared" si="53"/>
        <v>25</v>
      </c>
      <c r="DD81" s="7">
        <f t="shared" si="54"/>
        <v>25</v>
      </c>
      <c r="DE81" s="7">
        <f t="shared" si="55"/>
        <v>25</v>
      </c>
      <c r="DF81" s="7">
        <f t="shared" si="56"/>
        <v>25</v>
      </c>
      <c r="DG81"/>
      <c r="DH81" s="7" t="e">
        <f t="shared" si="57"/>
        <v>#NUM!</v>
      </c>
      <c r="DI81" s="7" t="e">
        <f t="shared" si="58"/>
        <v>#NUM!</v>
      </c>
      <c r="DJ81" s="7" t="e">
        <f t="shared" si="59"/>
        <v>#NUM!</v>
      </c>
      <c r="DK81" s="7" t="e">
        <f t="shared" si="60"/>
        <v>#NUM!</v>
      </c>
      <c r="DL81" s="7" t="e">
        <f t="shared" si="61"/>
        <v>#NUM!</v>
      </c>
      <c r="DM81" s="7" t="e">
        <f t="shared" si="62"/>
        <v>#NUM!</v>
      </c>
      <c r="DN81" s="7" t="e">
        <f t="shared" si="63"/>
        <v>#NUM!</v>
      </c>
      <c r="DO81" s="7" t="e">
        <f t="shared" si="64"/>
        <v>#NUM!</v>
      </c>
      <c r="DP81" s="7" t="e">
        <f t="shared" si="65"/>
        <v>#NUM!</v>
      </c>
      <c r="DQ81"/>
      <c r="DR81"/>
      <c r="DS81"/>
      <c r="DT81"/>
      <c r="DU81"/>
      <c r="DV81"/>
      <c r="DW81"/>
      <c r="DX81"/>
      <c r="DY81"/>
      <c r="DZ81"/>
    </row>
    <row r="82" spans="1:130" s="7" customFormat="1" ht="25.5" hidden="1" customHeight="1" x14ac:dyDescent="0.25">
      <c r="A82" s="92" t="str">
        <f t="shared" si="66"/>
        <v>CM-SWVI [10]</v>
      </c>
      <c r="B82" s="92" t="str">
        <f t="shared" si="67"/>
        <v>Southwest Vancouver Island</v>
      </c>
      <c r="C82" s="93" t="str">
        <f t="shared" si="36"/>
        <v>CHERRY CREEK_Chum</v>
      </c>
      <c r="D82" s="128" t="s">
        <v>598</v>
      </c>
      <c r="E82" s="128" t="s">
        <v>598</v>
      </c>
      <c r="F82" s="64">
        <v>23</v>
      </c>
      <c r="G82" s="72" t="s">
        <v>38</v>
      </c>
      <c r="H82" s="65" t="s">
        <v>96</v>
      </c>
      <c r="I82" s="119"/>
      <c r="J82" s="119"/>
      <c r="K82" s="64">
        <v>3</v>
      </c>
      <c r="L82" s="52">
        <v>0</v>
      </c>
      <c r="M82" s="52"/>
      <c r="N82" s="52" t="e">
        <f t="shared" si="37"/>
        <v>#NUM!</v>
      </c>
      <c r="O82" s="52">
        <f t="shared" si="38"/>
        <v>0</v>
      </c>
      <c r="P82" s="52" t="e">
        <f t="shared" si="39"/>
        <v>#NUM!</v>
      </c>
      <c r="Q82" s="66"/>
      <c r="R82" s="37"/>
      <c r="S82" s="74" t="s">
        <v>314</v>
      </c>
      <c r="T82" s="81" t="e">
        <f t="shared" si="40"/>
        <v>#DIV/0!</v>
      </c>
      <c r="U82" s="81" t="e">
        <f t="shared" si="41"/>
        <v>#DIV/0!</v>
      </c>
      <c r="V82" s="228"/>
      <c r="W82" s="52" t="s">
        <v>102</v>
      </c>
      <c r="X82" s="52" t="s">
        <v>102</v>
      </c>
      <c r="Y82" s="52" t="s">
        <v>102</v>
      </c>
      <c r="Z82" s="52" t="s">
        <v>102</v>
      </c>
      <c r="AA82" s="52" t="s">
        <v>102</v>
      </c>
      <c r="AB82" s="52" t="s">
        <v>102</v>
      </c>
      <c r="AC82" s="52" t="s">
        <v>102</v>
      </c>
      <c r="AD82" s="52" t="s">
        <v>102</v>
      </c>
      <c r="AE82" s="52" t="s">
        <v>102</v>
      </c>
      <c r="AF82" s="52" t="s">
        <v>102</v>
      </c>
      <c r="AG82" s="52" t="s">
        <v>102</v>
      </c>
      <c r="AH82" s="52" t="s">
        <v>102</v>
      </c>
      <c r="AI82" s="52" t="s">
        <v>102</v>
      </c>
      <c r="AJ82" s="52" t="s">
        <v>102</v>
      </c>
      <c r="AK82" s="151" t="s">
        <v>102</v>
      </c>
      <c r="AL82" s="89" t="s">
        <v>102</v>
      </c>
      <c r="AM82" s="52" t="s">
        <v>102</v>
      </c>
      <c r="AN82" s="52" t="s">
        <v>102</v>
      </c>
      <c r="AO82" s="52" t="s">
        <v>102</v>
      </c>
      <c r="AP82" s="52" t="s">
        <v>102</v>
      </c>
      <c r="AQ82" s="52" t="s">
        <v>102</v>
      </c>
      <c r="AR82" s="52" t="s">
        <v>102</v>
      </c>
      <c r="AS82" s="52" t="s">
        <v>102</v>
      </c>
      <c r="AT82" s="52" t="s">
        <v>102</v>
      </c>
      <c r="AU82" s="52" t="s">
        <v>102</v>
      </c>
      <c r="AV82" s="52" t="s">
        <v>102</v>
      </c>
      <c r="AW82" s="52" t="s">
        <v>102</v>
      </c>
      <c r="AX82" s="51" t="s">
        <v>102</v>
      </c>
      <c r="AY82" s="52" t="s">
        <v>102</v>
      </c>
      <c r="AZ82" s="52" t="s">
        <v>102</v>
      </c>
      <c r="BA82" s="52" t="s">
        <v>102</v>
      </c>
      <c r="BB82" s="52" t="s">
        <v>102</v>
      </c>
      <c r="BC82" s="52" t="s">
        <v>102</v>
      </c>
      <c r="BD82" s="52" t="s">
        <v>102</v>
      </c>
      <c r="BE82" s="52" t="s">
        <v>102</v>
      </c>
      <c r="BF82" s="52" t="s">
        <v>102</v>
      </c>
      <c r="BG82" s="52" t="s">
        <v>102</v>
      </c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206" t="e">
        <f>IF(ISERROR(AVERAGE(BV82:CM82)),CS82,AVERAGE(BV82:CM82))</f>
        <v>#DIV/0!</v>
      </c>
      <c r="CO82" s="206"/>
      <c r="CP82" s="206"/>
      <c r="CQ82" s="8">
        <f t="shared" si="42"/>
        <v>0</v>
      </c>
      <c r="CR82" s="8">
        <f t="shared" si="43"/>
        <v>0</v>
      </c>
      <c r="CS82" s="8" t="e">
        <f t="shared" si="44"/>
        <v>#DIV/0!</v>
      </c>
      <c r="CT82" t="e">
        <f t="shared" si="45"/>
        <v>#NUM!</v>
      </c>
      <c r="CU82" s="143" t="e">
        <f t="shared" si="46"/>
        <v>#DIV/0!</v>
      </c>
      <c r="CV82" s="143" t="e">
        <f t="shared" si="47"/>
        <v>#DIV/0!</v>
      </c>
      <c r="CW82"/>
      <c r="CX82" s="7" t="e">
        <f t="shared" si="48"/>
        <v>#NUM!</v>
      </c>
      <c r="CY82" s="7" t="e">
        <f t="shared" si="49"/>
        <v>#NUM!</v>
      </c>
      <c r="CZ82" s="7" t="e">
        <f t="shared" si="50"/>
        <v>#NUM!</v>
      </c>
      <c r="DA82" s="7" t="e">
        <f t="shared" si="51"/>
        <v>#NUM!</v>
      </c>
      <c r="DB82" s="7" t="e">
        <f t="shared" si="52"/>
        <v>#NUM!</v>
      </c>
      <c r="DC82" s="7" t="e">
        <f t="shared" si="53"/>
        <v>#NUM!</v>
      </c>
      <c r="DD82" s="7" t="e">
        <f t="shared" si="54"/>
        <v>#NUM!</v>
      </c>
      <c r="DE82" s="7" t="e">
        <f t="shared" si="55"/>
        <v>#NUM!</v>
      </c>
      <c r="DF82" s="7" t="e">
        <f t="shared" si="56"/>
        <v>#NUM!</v>
      </c>
      <c r="DG82"/>
      <c r="DH82" s="7" t="e">
        <f t="shared" si="57"/>
        <v>#NUM!</v>
      </c>
      <c r="DI82" s="7" t="e">
        <f t="shared" si="58"/>
        <v>#NUM!</v>
      </c>
      <c r="DJ82" s="7" t="e">
        <f t="shared" si="59"/>
        <v>#NUM!</v>
      </c>
      <c r="DK82" s="7" t="e">
        <f t="shared" si="60"/>
        <v>#NUM!</v>
      </c>
      <c r="DL82" s="7" t="e">
        <f t="shared" si="61"/>
        <v>#NUM!</v>
      </c>
      <c r="DM82" s="7" t="e">
        <f t="shared" si="62"/>
        <v>#NUM!</v>
      </c>
      <c r="DN82" s="7" t="e">
        <f t="shared" si="63"/>
        <v>#NUM!</v>
      </c>
      <c r="DO82" s="7" t="e">
        <f t="shared" si="64"/>
        <v>#NUM!</v>
      </c>
      <c r="DP82" s="7" t="e">
        <f t="shared" si="65"/>
        <v>#NUM!</v>
      </c>
      <c r="DQ82"/>
      <c r="DR82"/>
      <c r="DS82"/>
      <c r="DT82"/>
      <c r="DU82"/>
      <c r="DV82"/>
      <c r="DW82"/>
      <c r="DX82"/>
      <c r="DY82"/>
      <c r="DZ82"/>
    </row>
    <row r="83" spans="1:130" s="7" customFormat="1" ht="25.5" hidden="1" customHeight="1" x14ac:dyDescent="0.25">
      <c r="A83" s="92" t="str">
        <f t="shared" si="66"/>
        <v>CO-WVI [17]</v>
      </c>
      <c r="B83" s="92" t="str">
        <f t="shared" si="67"/>
        <v>West Vancouver Island</v>
      </c>
      <c r="C83" s="93" t="str">
        <f t="shared" si="36"/>
        <v>CHERRY CREEK_Coho</v>
      </c>
      <c r="D83" s="128" t="s">
        <v>598</v>
      </c>
      <c r="E83" s="128" t="s">
        <v>598</v>
      </c>
      <c r="F83" s="64">
        <v>23</v>
      </c>
      <c r="G83" s="72" t="s">
        <v>38</v>
      </c>
      <c r="H83" s="65" t="s">
        <v>93</v>
      </c>
      <c r="I83" s="119"/>
      <c r="J83" s="119"/>
      <c r="K83" s="64">
        <v>3</v>
      </c>
      <c r="L83" s="52">
        <v>0</v>
      </c>
      <c r="M83" s="52"/>
      <c r="N83" s="52" t="e">
        <f t="shared" si="37"/>
        <v>#NUM!</v>
      </c>
      <c r="O83" s="52">
        <f t="shared" si="38"/>
        <v>0</v>
      </c>
      <c r="P83" s="52" t="e">
        <f t="shared" si="39"/>
        <v>#NUM!</v>
      </c>
      <c r="Q83" s="66"/>
      <c r="R83" s="37"/>
      <c r="S83" s="74" t="s">
        <v>314</v>
      </c>
      <c r="T83" s="81" t="e">
        <f t="shared" si="40"/>
        <v>#DIV/0!</v>
      </c>
      <c r="U83" s="81" t="e">
        <f t="shared" si="41"/>
        <v>#DIV/0!</v>
      </c>
      <c r="V83" s="228"/>
      <c r="W83" s="52" t="s">
        <v>102</v>
      </c>
      <c r="X83" s="52" t="s">
        <v>102</v>
      </c>
      <c r="Y83" s="52" t="s">
        <v>102</v>
      </c>
      <c r="Z83" s="52" t="s">
        <v>102</v>
      </c>
      <c r="AA83" s="52" t="s">
        <v>102</v>
      </c>
      <c r="AB83" s="52" t="s">
        <v>102</v>
      </c>
      <c r="AC83" s="174" t="s">
        <v>102</v>
      </c>
      <c r="AD83" s="174" t="s">
        <v>102</v>
      </c>
      <c r="AE83" s="52" t="s">
        <v>102</v>
      </c>
      <c r="AF83" s="52" t="s">
        <v>102</v>
      </c>
      <c r="AG83" s="52" t="s">
        <v>102</v>
      </c>
      <c r="AH83" s="52" t="s">
        <v>102</v>
      </c>
      <c r="AI83" s="52" t="s">
        <v>102</v>
      </c>
      <c r="AJ83" s="52" t="s">
        <v>102</v>
      </c>
      <c r="AK83" s="151" t="s">
        <v>102</v>
      </c>
      <c r="AL83" s="155" t="s">
        <v>102</v>
      </c>
      <c r="AM83" s="52" t="s">
        <v>102</v>
      </c>
      <c r="AN83" s="52" t="s">
        <v>102</v>
      </c>
      <c r="AO83" s="52" t="s">
        <v>102</v>
      </c>
      <c r="AP83" s="52" t="s">
        <v>102</v>
      </c>
      <c r="AQ83" s="52" t="s">
        <v>102</v>
      </c>
      <c r="AR83" s="52" t="s">
        <v>102</v>
      </c>
      <c r="AS83" s="52" t="s">
        <v>102</v>
      </c>
      <c r="AT83" s="52" t="s">
        <v>102</v>
      </c>
      <c r="AU83" s="52" t="s">
        <v>102</v>
      </c>
      <c r="AV83" s="52" t="s">
        <v>102</v>
      </c>
      <c r="AW83" s="52" t="s">
        <v>102</v>
      </c>
      <c r="AX83" s="51" t="s">
        <v>102</v>
      </c>
      <c r="AY83" s="52" t="s">
        <v>102</v>
      </c>
      <c r="AZ83" s="52" t="s">
        <v>102</v>
      </c>
      <c r="BA83" s="52" t="s">
        <v>102</v>
      </c>
      <c r="BB83" s="52" t="s">
        <v>102</v>
      </c>
      <c r="BC83" s="52" t="s">
        <v>102</v>
      </c>
      <c r="BD83" s="52" t="s">
        <v>102</v>
      </c>
      <c r="BE83" s="52" t="s">
        <v>102</v>
      </c>
      <c r="BF83" s="52" t="s">
        <v>102</v>
      </c>
      <c r="BG83" s="52" t="s">
        <v>102</v>
      </c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206"/>
      <c r="CO83" s="206"/>
      <c r="CP83" s="206"/>
      <c r="CQ83" s="8">
        <f t="shared" si="42"/>
        <v>0</v>
      </c>
      <c r="CR83" s="8">
        <f t="shared" si="43"/>
        <v>0</v>
      </c>
      <c r="CS83" s="8" t="e">
        <f t="shared" si="44"/>
        <v>#DIV/0!</v>
      </c>
      <c r="CT83" t="e">
        <f t="shared" si="45"/>
        <v>#NUM!</v>
      </c>
      <c r="CU83" s="143" t="e">
        <f t="shared" si="46"/>
        <v>#DIV/0!</v>
      </c>
      <c r="CV83" s="143" t="e">
        <f t="shared" si="47"/>
        <v>#DIV/0!</v>
      </c>
      <c r="CW83"/>
      <c r="CX83" s="7" t="e">
        <f t="shared" si="48"/>
        <v>#NUM!</v>
      </c>
      <c r="CY83" s="7" t="e">
        <f t="shared" si="49"/>
        <v>#NUM!</v>
      </c>
      <c r="CZ83" s="7" t="e">
        <f t="shared" si="50"/>
        <v>#NUM!</v>
      </c>
      <c r="DA83" s="7" t="e">
        <f t="shared" si="51"/>
        <v>#NUM!</v>
      </c>
      <c r="DB83" s="7" t="e">
        <f t="shared" si="52"/>
        <v>#NUM!</v>
      </c>
      <c r="DC83" s="7" t="e">
        <f t="shared" si="53"/>
        <v>#NUM!</v>
      </c>
      <c r="DD83" s="7" t="e">
        <f t="shared" si="54"/>
        <v>#NUM!</v>
      </c>
      <c r="DE83" s="7" t="e">
        <f t="shared" si="55"/>
        <v>#NUM!</v>
      </c>
      <c r="DF83" s="7" t="e">
        <f t="shared" si="56"/>
        <v>#NUM!</v>
      </c>
      <c r="DG83"/>
      <c r="DH83" s="7" t="e">
        <f t="shared" si="57"/>
        <v>#NUM!</v>
      </c>
      <c r="DI83" s="7" t="e">
        <f t="shared" si="58"/>
        <v>#NUM!</v>
      </c>
      <c r="DJ83" s="7" t="e">
        <f t="shared" si="59"/>
        <v>#NUM!</v>
      </c>
      <c r="DK83" s="7" t="e">
        <f t="shared" si="60"/>
        <v>#NUM!</v>
      </c>
      <c r="DL83" s="7" t="e">
        <f t="shared" si="61"/>
        <v>#NUM!</v>
      </c>
      <c r="DM83" s="7" t="e">
        <f t="shared" si="62"/>
        <v>#NUM!</v>
      </c>
      <c r="DN83" s="7" t="e">
        <f t="shared" si="63"/>
        <v>#NUM!</v>
      </c>
      <c r="DO83" s="7" t="e">
        <f t="shared" si="64"/>
        <v>#NUM!</v>
      </c>
      <c r="DP83" s="7" t="e">
        <f t="shared" si="65"/>
        <v>#NUM!</v>
      </c>
      <c r="DQ83"/>
      <c r="DR83"/>
      <c r="DS83"/>
      <c r="DT83"/>
      <c r="DU83"/>
      <c r="DV83"/>
      <c r="DW83"/>
      <c r="DX83"/>
      <c r="DY83"/>
      <c r="DZ83"/>
    </row>
    <row r="84" spans="1:130" s="7" customFormat="1" ht="25.5" hidden="1" customHeight="1" x14ac:dyDescent="0.25">
      <c r="A84" s="92" t="str">
        <f t="shared" si="66"/>
        <v>CM-SWVI [10]</v>
      </c>
      <c r="B84" s="92" t="str">
        <f t="shared" si="67"/>
        <v>Southwest Vancouver Island</v>
      </c>
      <c r="C84" s="93" t="str">
        <f t="shared" si="36"/>
        <v>CHINA CREEK_Chum</v>
      </c>
      <c r="D84" s="128" t="s">
        <v>598</v>
      </c>
      <c r="E84" s="128" t="s">
        <v>598</v>
      </c>
      <c r="F84" s="64">
        <v>23</v>
      </c>
      <c r="G84" s="72" t="s">
        <v>119</v>
      </c>
      <c r="H84" s="65" t="s">
        <v>96</v>
      </c>
      <c r="I84" s="119"/>
      <c r="J84" s="119"/>
      <c r="K84" s="64">
        <v>4</v>
      </c>
      <c r="L84" s="52">
        <v>4</v>
      </c>
      <c r="M84" s="52">
        <v>2</v>
      </c>
      <c r="N84" s="52">
        <f t="shared" si="37"/>
        <v>250</v>
      </c>
      <c r="O84" s="52">
        <f t="shared" si="38"/>
        <v>250</v>
      </c>
      <c r="P84" s="52">
        <f t="shared" si="39"/>
        <v>54.674779270555881</v>
      </c>
      <c r="Q84" s="66"/>
      <c r="R84" s="39"/>
      <c r="S84" s="74" t="s">
        <v>323</v>
      </c>
      <c r="T84" s="81" t="e">
        <f t="shared" si="40"/>
        <v>#DIV/0!</v>
      </c>
      <c r="U84" s="81">
        <f t="shared" si="41"/>
        <v>15</v>
      </c>
      <c r="V84" s="52" t="s">
        <v>102</v>
      </c>
      <c r="W84" s="52" t="s">
        <v>102</v>
      </c>
      <c r="X84" s="52" t="s">
        <v>102</v>
      </c>
      <c r="Y84" s="54" t="s">
        <v>102</v>
      </c>
      <c r="Z84" s="52" t="s">
        <v>102</v>
      </c>
      <c r="AA84" s="52" t="s">
        <v>102</v>
      </c>
      <c r="AB84" s="52" t="s">
        <v>102</v>
      </c>
      <c r="AC84" s="52" t="s">
        <v>262</v>
      </c>
      <c r="AD84" s="52" t="s">
        <v>102</v>
      </c>
      <c r="AE84" s="144" t="s">
        <v>262</v>
      </c>
      <c r="AF84" s="52" t="s">
        <v>263</v>
      </c>
      <c r="AG84" s="144">
        <v>15</v>
      </c>
      <c r="AH84" s="52" t="s">
        <v>102</v>
      </c>
      <c r="AI84" s="52" t="s">
        <v>102</v>
      </c>
      <c r="AJ84" s="52" t="s">
        <v>102</v>
      </c>
      <c r="AK84" s="151" t="s">
        <v>102</v>
      </c>
      <c r="AL84" s="52" t="s">
        <v>102</v>
      </c>
      <c r="AM84" s="52" t="s">
        <v>102</v>
      </c>
      <c r="AN84" s="52" t="s">
        <v>102</v>
      </c>
      <c r="AO84" s="52" t="s">
        <v>102</v>
      </c>
      <c r="AP84" s="53">
        <v>250</v>
      </c>
      <c r="AQ84" s="53">
        <v>250</v>
      </c>
      <c r="AR84" s="53" t="s">
        <v>262</v>
      </c>
      <c r="AS84" s="52" t="s">
        <v>102</v>
      </c>
      <c r="AT84" s="52" t="s">
        <v>102</v>
      </c>
      <c r="AU84" s="52" t="s">
        <v>102</v>
      </c>
      <c r="AV84" s="52" t="s">
        <v>102</v>
      </c>
      <c r="AW84" s="52" t="s">
        <v>262</v>
      </c>
      <c r="AX84" s="51" t="s">
        <v>264</v>
      </c>
      <c r="AY84" s="53" t="s">
        <v>102</v>
      </c>
      <c r="AZ84" s="53" t="s">
        <v>102</v>
      </c>
      <c r="BA84" s="53" t="s">
        <v>264</v>
      </c>
      <c r="BB84" s="53">
        <v>15</v>
      </c>
      <c r="BC84" s="53" t="s">
        <v>264</v>
      </c>
      <c r="BD84" s="53" t="s">
        <v>102</v>
      </c>
      <c r="BE84" s="53" t="s">
        <v>102</v>
      </c>
      <c r="BF84" s="53" t="s">
        <v>102</v>
      </c>
      <c r="BG84" s="53" t="s">
        <v>102</v>
      </c>
      <c r="BH84" s="53" t="s">
        <v>264</v>
      </c>
      <c r="BI84" s="53" t="s">
        <v>102</v>
      </c>
      <c r="BJ84" s="53" t="s">
        <v>264</v>
      </c>
      <c r="BK84" s="53" t="s">
        <v>262</v>
      </c>
      <c r="BL84" s="53" t="s">
        <v>264</v>
      </c>
      <c r="BM84" s="53" t="s">
        <v>262</v>
      </c>
      <c r="BN84" s="53" t="s">
        <v>262</v>
      </c>
      <c r="BO84" s="53" t="s">
        <v>262</v>
      </c>
      <c r="BP84" s="53">
        <v>20</v>
      </c>
      <c r="BQ84" s="53" t="s">
        <v>262</v>
      </c>
      <c r="BR84" s="53">
        <v>75</v>
      </c>
      <c r="BS84" s="53">
        <v>75</v>
      </c>
      <c r="BT84" s="53">
        <v>25</v>
      </c>
      <c r="BU84" s="53" t="s">
        <v>262</v>
      </c>
      <c r="BV84" s="53" t="s">
        <v>262</v>
      </c>
      <c r="BW84" s="53">
        <v>25</v>
      </c>
      <c r="BX84" s="53">
        <v>200</v>
      </c>
      <c r="BY84" s="53">
        <v>200</v>
      </c>
      <c r="BZ84" s="53">
        <v>25</v>
      </c>
      <c r="CA84" s="53">
        <v>25</v>
      </c>
      <c r="CB84" s="53">
        <v>25</v>
      </c>
      <c r="CC84" s="53">
        <v>25</v>
      </c>
      <c r="CD84" s="53">
        <v>25</v>
      </c>
      <c r="CE84" s="53">
        <v>75</v>
      </c>
      <c r="CF84" s="53">
        <v>25</v>
      </c>
      <c r="CG84" s="53">
        <v>75</v>
      </c>
      <c r="CH84" s="53">
        <v>75</v>
      </c>
      <c r="CI84" s="53">
        <v>25</v>
      </c>
      <c r="CJ84" s="53">
        <v>25</v>
      </c>
      <c r="CK84" s="53">
        <v>200</v>
      </c>
      <c r="CL84" s="53">
        <v>200</v>
      </c>
      <c r="CM84" s="53">
        <v>75</v>
      </c>
      <c r="CN84" s="206"/>
      <c r="CO84" s="206"/>
      <c r="CP84" s="206"/>
      <c r="CQ84" s="8">
        <f t="shared" si="42"/>
        <v>15</v>
      </c>
      <c r="CR84" s="8">
        <f t="shared" si="43"/>
        <v>250</v>
      </c>
      <c r="CS84" s="8">
        <f t="shared" si="44"/>
        <v>82</v>
      </c>
      <c r="CT84">
        <f t="shared" si="45"/>
        <v>51.918149807026886</v>
      </c>
      <c r="CU84" s="143" t="e">
        <f t="shared" si="46"/>
        <v>#DIV/0!</v>
      </c>
      <c r="CV84" s="143">
        <f t="shared" si="47"/>
        <v>15</v>
      </c>
      <c r="CW84"/>
      <c r="CX84" s="7">
        <f t="shared" si="48"/>
        <v>16</v>
      </c>
      <c r="CY84" s="7">
        <f t="shared" si="49"/>
        <v>25</v>
      </c>
      <c r="CZ84" s="7">
        <f t="shared" si="50"/>
        <v>25</v>
      </c>
      <c r="DA84" s="7">
        <f t="shared" si="51"/>
        <v>25</v>
      </c>
      <c r="DB84" s="7">
        <f t="shared" si="52"/>
        <v>25</v>
      </c>
      <c r="DC84" s="7">
        <f t="shared" si="53"/>
        <v>75</v>
      </c>
      <c r="DD84" s="7">
        <f t="shared" si="54"/>
        <v>75</v>
      </c>
      <c r="DE84" s="7">
        <f t="shared" si="55"/>
        <v>75</v>
      </c>
      <c r="DF84" s="7">
        <f t="shared" si="56"/>
        <v>200</v>
      </c>
      <c r="DG84"/>
      <c r="DH84" s="7">
        <f t="shared" si="57"/>
        <v>38.500000000000021</v>
      </c>
      <c r="DI84" s="7">
        <f t="shared" si="58"/>
        <v>85.500000000000014</v>
      </c>
      <c r="DJ84" s="7">
        <f t="shared" si="59"/>
        <v>108.99999999999999</v>
      </c>
      <c r="DK84" s="7">
        <f t="shared" si="60"/>
        <v>132.5</v>
      </c>
      <c r="DL84" s="7">
        <f t="shared" si="61"/>
        <v>250</v>
      </c>
      <c r="DM84" s="7">
        <f t="shared" si="62"/>
        <v>250</v>
      </c>
      <c r="DN84" s="7">
        <f t="shared" si="63"/>
        <v>250</v>
      </c>
      <c r="DO84" s="7">
        <f t="shared" si="64"/>
        <v>250</v>
      </c>
      <c r="DP84" s="7">
        <f t="shared" si="65"/>
        <v>250</v>
      </c>
      <c r="DQ84"/>
      <c r="DR84"/>
      <c r="DS84"/>
      <c r="DT84"/>
      <c r="DU84"/>
      <c r="DV84"/>
      <c r="DW84"/>
      <c r="DX84"/>
      <c r="DY84"/>
      <c r="DZ84"/>
    </row>
    <row r="85" spans="1:130" s="7" customFormat="1" ht="25.5" hidden="1" customHeight="1" x14ac:dyDescent="0.25">
      <c r="A85" s="92" t="str">
        <f t="shared" si="66"/>
        <v>CO-WVI [17]</v>
      </c>
      <c r="B85" s="92" t="str">
        <f t="shared" si="67"/>
        <v>West Vancouver Island</v>
      </c>
      <c r="C85" s="93" t="str">
        <f t="shared" si="36"/>
        <v>CHINA CREEK_Coho</v>
      </c>
      <c r="D85" s="128" t="s">
        <v>598</v>
      </c>
      <c r="E85" s="128" t="s">
        <v>598</v>
      </c>
      <c r="F85" s="64">
        <v>23</v>
      </c>
      <c r="G85" s="72" t="s">
        <v>119</v>
      </c>
      <c r="H85" s="65" t="s">
        <v>93</v>
      </c>
      <c r="I85" s="119"/>
      <c r="J85" s="119"/>
      <c r="K85" s="64">
        <v>4</v>
      </c>
      <c r="L85" s="52">
        <v>4</v>
      </c>
      <c r="M85" s="52">
        <v>2</v>
      </c>
      <c r="N85" s="52">
        <f t="shared" si="37"/>
        <v>7.745966692414834</v>
      </c>
      <c r="O85" s="52">
        <f t="shared" si="38"/>
        <v>750</v>
      </c>
      <c r="P85" s="52">
        <f t="shared" si="39"/>
        <v>73.878790298292657</v>
      </c>
      <c r="Q85" s="66"/>
      <c r="R85" s="39"/>
      <c r="S85" s="74" t="s">
        <v>322</v>
      </c>
      <c r="T85" s="81" t="e">
        <f t="shared" si="40"/>
        <v>#DIV/0!</v>
      </c>
      <c r="U85" s="81">
        <f t="shared" si="41"/>
        <v>30</v>
      </c>
      <c r="V85" s="52" t="s">
        <v>102</v>
      </c>
      <c r="W85" s="52" t="s">
        <v>102</v>
      </c>
      <c r="X85" s="52" t="s">
        <v>102</v>
      </c>
      <c r="Y85" s="54" t="s">
        <v>102</v>
      </c>
      <c r="Z85" s="52" t="s">
        <v>102</v>
      </c>
      <c r="AA85" s="52" t="s">
        <v>102</v>
      </c>
      <c r="AB85" s="52" t="s">
        <v>102</v>
      </c>
      <c r="AC85" s="174" t="s">
        <v>263</v>
      </c>
      <c r="AD85" s="174" t="s">
        <v>102</v>
      </c>
      <c r="AE85" s="144" t="s">
        <v>262</v>
      </c>
      <c r="AF85" s="52" t="s">
        <v>262</v>
      </c>
      <c r="AG85" s="144">
        <v>30</v>
      </c>
      <c r="AH85" s="52" t="s">
        <v>102</v>
      </c>
      <c r="AI85" s="52" t="s">
        <v>102</v>
      </c>
      <c r="AJ85" s="52" t="s">
        <v>102</v>
      </c>
      <c r="AK85" s="151" t="s">
        <v>102</v>
      </c>
      <c r="AL85" s="52" t="s">
        <v>102</v>
      </c>
      <c r="AM85" s="52" t="s">
        <v>102</v>
      </c>
      <c r="AN85" s="52" t="s">
        <v>102</v>
      </c>
      <c r="AO85" s="52" t="s">
        <v>102</v>
      </c>
      <c r="AP85" s="53">
        <v>6</v>
      </c>
      <c r="AQ85" s="53" t="s">
        <v>262</v>
      </c>
      <c r="AR85" s="53">
        <v>10</v>
      </c>
      <c r="AS85" s="52" t="s">
        <v>102</v>
      </c>
      <c r="AT85" s="52" t="s">
        <v>102</v>
      </c>
      <c r="AU85" s="52" t="s">
        <v>102</v>
      </c>
      <c r="AV85" s="52" t="s">
        <v>102</v>
      </c>
      <c r="AW85" s="52" t="s">
        <v>262</v>
      </c>
      <c r="AX85" s="51" t="s">
        <v>264</v>
      </c>
      <c r="AY85" s="53" t="s">
        <v>102</v>
      </c>
      <c r="AZ85" s="53" t="s">
        <v>102</v>
      </c>
      <c r="BA85" s="53" t="s">
        <v>264</v>
      </c>
      <c r="BB85" s="53">
        <v>100</v>
      </c>
      <c r="BC85" s="53" t="s">
        <v>264</v>
      </c>
      <c r="BD85" s="53" t="s">
        <v>102</v>
      </c>
      <c r="BE85" s="53" t="s">
        <v>102</v>
      </c>
      <c r="BF85" s="53" t="s">
        <v>102</v>
      </c>
      <c r="BG85" s="53" t="s">
        <v>102</v>
      </c>
      <c r="BH85" s="53" t="s">
        <v>264</v>
      </c>
      <c r="BI85" s="53" t="s">
        <v>102</v>
      </c>
      <c r="BJ85" s="53" t="s">
        <v>264</v>
      </c>
      <c r="BK85" s="53">
        <v>90</v>
      </c>
      <c r="BL85" s="53" t="s">
        <v>264</v>
      </c>
      <c r="BM85" s="53">
        <v>90</v>
      </c>
      <c r="BN85" s="53">
        <v>90</v>
      </c>
      <c r="BO85" s="53">
        <v>50</v>
      </c>
      <c r="BP85" s="53">
        <v>70</v>
      </c>
      <c r="BQ85" s="53">
        <v>150</v>
      </c>
      <c r="BR85" s="53">
        <v>75</v>
      </c>
      <c r="BS85" s="53">
        <v>75</v>
      </c>
      <c r="BT85" s="53">
        <v>200</v>
      </c>
      <c r="BU85" s="53">
        <v>75</v>
      </c>
      <c r="BV85" s="53">
        <v>75</v>
      </c>
      <c r="BW85" s="53">
        <v>75</v>
      </c>
      <c r="BX85" s="53">
        <v>750</v>
      </c>
      <c r="BY85" s="53">
        <v>200</v>
      </c>
      <c r="BZ85" s="53">
        <v>750</v>
      </c>
      <c r="CA85" s="53">
        <v>75</v>
      </c>
      <c r="CB85" s="53">
        <v>200</v>
      </c>
      <c r="CC85" s="53">
        <v>75</v>
      </c>
      <c r="CD85" s="53">
        <v>25</v>
      </c>
      <c r="CE85" s="53">
        <v>200</v>
      </c>
      <c r="CF85" s="53">
        <v>25</v>
      </c>
      <c r="CG85" s="53">
        <v>25</v>
      </c>
      <c r="CH85" s="53">
        <v>75</v>
      </c>
      <c r="CI85" s="53">
        <v>75</v>
      </c>
      <c r="CJ85" s="53">
        <v>25</v>
      </c>
      <c r="CK85" s="53" t="s">
        <v>264</v>
      </c>
      <c r="CL85" s="53">
        <v>25</v>
      </c>
      <c r="CM85" s="53">
        <v>75</v>
      </c>
      <c r="CN85" s="206"/>
      <c r="CO85" s="206"/>
      <c r="CP85" s="206"/>
      <c r="CQ85" s="8">
        <f t="shared" si="42"/>
        <v>6</v>
      </c>
      <c r="CR85" s="8">
        <f t="shared" si="43"/>
        <v>750</v>
      </c>
      <c r="CS85" s="8">
        <f t="shared" si="44"/>
        <v>124.54838709677419</v>
      </c>
      <c r="CT85">
        <f t="shared" si="45"/>
        <v>71.761914561800552</v>
      </c>
      <c r="CU85" s="143" t="e">
        <f t="shared" si="46"/>
        <v>#DIV/0!</v>
      </c>
      <c r="CV85" s="143">
        <f t="shared" si="47"/>
        <v>30</v>
      </c>
      <c r="CW85"/>
      <c r="CX85" s="7">
        <f t="shared" si="48"/>
        <v>17.5</v>
      </c>
      <c r="CY85" s="7">
        <f t="shared" si="49"/>
        <v>25</v>
      </c>
      <c r="CZ85" s="7">
        <f t="shared" si="50"/>
        <v>25</v>
      </c>
      <c r="DA85" s="7">
        <f t="shared" si="51"/>
        <v>40</v>
      </c>
      <c r="DB85" s="7">
        <f t="shared" si="52"/>
        <v>75</v>
      </c>
      <c r="DC85" s="7">
        <f t="shared" si="53"/>
        <v>75</v>
      </c>
      <c r="DD85" s="7">
        <f t="shared" si="54"/>
        <v>82.5</v>
      </c>
      <c r="DE85" s="7">
        <f t="shared" si="55"/>
        <v>95</v>
      </c>
      <c r="DF85" s="7">
        <f t="shared" si="56"/>
        <v>200</v>
      </c>
      <c r="DG85"/>
      <c r="DH85" s="7">
        <f t="shared" si="57"/>
        <v>6.4</v>
      </c>
      <c r="DI85" s="7">
        <f t="shared" si="58"/>
        <v>7.2</v>
      </c>
      <c r="DJ85" s="7">
        <f t="shared" si="59"/>
        <v>7.6</v>
      </c>
      <c r="DK85" s="7">
        <f t="shared" si="60"/>
        <v>8</v>
      </c>
      <c r="DL85" s="7">
        <f t="shared" si="61"/>
        <v>10</v>
      </c>
      <c r="DM85" s="7">
        <f t="shared" si="62"/>
        <v>14.000000000000004</v>
      </c>
      <c r="DN85" s="7">
        <f t="shared" si="63"/>
        <v>15.999999999999996</v>
      </c>
      <c r="DO85" s="7">
        <f t="shared" si="64"/>
        <v>20</v>
      </c>
      <c r="DP85" s="7">
        <f t="shared" si="65"/>
        <v>24.000000000000004</v>
      </c>
      <c r="DQ85"/>
      <c r="DR85"/>
      <c r="DS85"/>
      <c r="DT85"/>
      <c r="DU85"/>
      <c r="DV85"/>
      <c r="DW85"/>
      <c r="DX85"/>
      <c r="DY85"/>
      <c r="DZ85"/>
    </row>
    <row r="86" spans="1:130" s="7" customFormat="1" ht="25.5" customHeight="1" x14ac:dyDescent="0.25">
      <c r="A86" s="92" t="str">
        <f t="shared" si="66"/>
        <v>CK-SWVI [31]</v>
      </c>
      <c r="B86" s="92" t="str">
        <f t="shared" si="67"/>
        <v>Southwest Vancouver Island</v>
      </c>
      <c r="C86" s="93" t="str">
        <f t="shared" si="36"/>
        <v>CLEMENS CREEK_Chinook</v>
      </c>
      <c r="D86" s="128" t="s">
        <v>598</v>
      </c>
      <c r="E86" s="128" t="s">
        <v>598</v>
      </c>
      <c r="F86" s="64">
        <v>23</v>
      </c>
      <c r="G86" s="72" t="s">
        <v>128</v>
      </c>
      <c r="H86" s="65" t="s">
        <v>97</v>
      </c>
      <c r="I86" s="119"/>
      <c r="J86" s="119"/>
      <c r="K86" s="64">
        <v>3</v>
      </c>
      <c r="L86" s="52">
        <v>3</v>
      </c>
      <c r="M86" s="52">
        <v>3</v>
      </c>
      <c r="N86" s="52">
        <f t="shared" si="37"/>
        <v>41.0441019464959</v>
      </c>
      <c r="O86" s="52">
        <f t="shared" si="38"/>
        <v>182</v>
      </c>
      <c r="P86" s="52">
        <f t="shared" si="39"/>
        <v>41.0441019464959</v>
      </c>
      <c r="Q86" s="66"/>
      <c r="R86" s="37"/>
      <c r="S86" s="74" t="s">
        <v>324</v>
      </c>
      <c r="T86" s="81">
        <f t="shared" si="40"/>
        <v>26.5</v>
      </c>
      <c r="U86" s="81">
        <f t="shared" si="41"/>
        <v>88.5</v>
      </c>
      <c r="V86" s="233">
        <v>29</v>
      </c>
      <c r="W86" s="52">
        <v>20</v>
      </c>
      <c r="X86" s="52">
        <v>32</v>
      </c>
      <c r="Y86" s="52">
        <v>25</v>
      </c>
      <c r="Z86" s="52">
        <v>35</v>
      </c>
      <c r="AA86" s="52">
        <v>3</v>
      </c>
      <c r="AB86" s="52">
        <v>48</v>
      </c>
      <c r="AC86" s="52">
        <v>81</v>
      </c>
      <c r="AD86" s="52">
        <v>8</v>
      </c>
      <c r="AE86" s="144">
        <v>62</v>
      </c>
      <c r="AF86" s="144">
        <v>15</v>
      </c>
      <c r="AG86" s="144">
        <v>704</v>
      </c>
      <c r="AH86" s="53">
        <v>1</v>
      </c>
      <c r="AI86" s="53">
        <v>75</v>
      </c>
      <c r="AJ86" s="53">
        <v>123</v>
      </c>
      <c r="AK86" s="52">
        <v>182</v>
      </c>
      <c r="AL86" s="205">
        <v>37</v>
      </c>
      <c r="AM86" s="52">
        <v>37</v>
      </c>
      <c r="AN86" s="52" t="s">
        <v>102</v>
      </c>
      <c r="AO86" s="53">
        <v>78</v>
      </c>
      <c r="AP86" s="53">
        <v>2</v>
      </c>
      <c r="AQ86" s="54"/>
      <c r="AR86" s="54"/>
      <c r="AS86" s="54"/>
      <c r="AT86" s="54"/>
      <c r="AU86" s="54"/>
      <c r="AV86" s="54"/>
      <c r="AW86" s="54"/>
      <c r="AX86" s="51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206"/>
      <c r="CO86" s="206"/>
      <c r="CP86" s="206"/>
      <c r="CQ86" s="8">
        <f t="shared" si="42"/>
        <v>1</v>
      </c>
      <c r="CR86" s="8">
        <f t="shared" si="43"/>
        <v>704</v>
      </c>
      <c r="CS86" s="8">
        <f t="shared" si="44"/>
        <v>79.849999999999994</v>
      </c>
      <c r="CT86">
        <f t="shared" si="45"/>
        <v>30.030132401886437</v>
      </c>
      <c r="CU86" s="143">
        <f t="shared" si="46"/>
        <v>28.2</v>
      </c>
      <c r="CV86" s="143">
        <f t="shared" si="47"/>
        <v>88.5</v>
      </c>
      <c r="CW86"/>
      <c r="CX86" s="7">
        <f t="shared" si="48"/>
        <v>1.9500000000000002</v>
      </c>
      <c r="CY86" s="7">
        <f t="shared" si="49"/>
        <v>7.25</v>
      </c>
      <c r="CZ86" s="7">
        <f t="shared" si="50"/>
        <v>13.600000000000005</v>
      </c>
      <c r="DA86" s="7">
        <f t="shared" si="51"/>
        <v>18.75</v>
      </c>
      <c r="DB86" s="7">
        <f t="shared" si="52"/>
        <v>36</v>
      </c>
      <c r="DC86" s="7">
        <f t="shared" si="53"/>
        <v>41.400000000000006</v>
      </c>
      <c r="DD86" s="7">
        <f t="shared" si="54"/>
        <v>52.899999999999991</v>
      </c>
      <c r="DE86" s="7">
        <f t="shared" si="55"/>
        <v>75.75</v>
      </c>
      <c r="DF86" s="7">
        <f t="shared" si="56"/>
        <v>87.29999999999994</v>
      </c>
      <c r="DG86"/>
      <c r="DH86" s="7">
        <f t="shared" si="57"/>
        <v>1.9500000000000002</v>
      </c>
      <c r="DI86" s="7">
        <f t="shared" si="58"/>
        <v>7.25</v>
      </c>
      <c r="DJ86" s="7">
        <f t="shared" si="59"/>
        <v>13.600000000000005</v>
      </c>
      <c r="DK86" s="7">
        <f t="shared" si="60"/>
        <v>18.75</v>
      </c>
      <c r="DL86" s="7">
        <f t="shared" si="61"/>
        <v>36</v>
      </c>
      <c r="DM86" s="7">
        <f t="shared" si="62"/>
        <v>41.400000000000006</v>
      </c>
      <c r="DN86" s="7">
        <f t="shared" si="63"/>
        <v>52.899999999999991</v>
      </c>
      <c r="DO86" s="7">
        <f t="shared" si="64"/>
        <v>75.75</v>
      </c>
      <c r="DP86" s="7">
        <f t="shared" si="65"/>
        <v>87.29999999999994</v>
      </c>
      <c r="DQ86"/>
      <c r="DR86"/>
      <c r="DS86"/>
      <c r="DT86"/>
      <c r="DU86"/>
      <c r="DV86"/>
      <c r="DW86"/>
      <c r="DX86"/>
      <c r="DY86"/>
      <c r="DZ86"/>
    </row>
    <row r="87" spans="1:130" s="7" customFormat="1" ht="25.5" hidden="1" customHeight="1" x14ac:dyDescent="0.25">
      <c r="A87" s="92" t="str">
        <f t="shared" si="66"/>
        <v>CM-SWVI [10]</v>
      </c>
      <c r="B87" s="92" t="str">
        <f t="shared" si="67"/>
        <v>Southwest Vancouver Island</v>
      </c>
      <c r="C87" s="93" t="str">
        <f t="shared" si="36"/>
        <v>CLEMENS CREEK_Chum</v>
      </c>
      <c r="D87" s="128" t="s">
        <v>598</v>
      </c>
      <c r="E87" s="128" t="s">
        <v>598</v>
      </c>
      <c r="F87" s="64">
        <v>23</v>
      </c>
      <c r="G87" s="72" t="s">
        <v>128</v>
      </c>
      <c r="H87" s="65" t="s">
        <v>96</v>
      </c>
      <c r="I87" s="119"/>
      <c r="J87" s="119"/>
      <c r="K87" s="64">
        <v>3</v>
      </c>
      <c r="L87" s="52">
        <v>3</v>
      </c>
      <c r="M87" s="52">
        <v>3</v>
      </c>
      <c r="N87" s="52">
        <f t="shared" si="37"/>
        <v>65.11914758006823</v>
      </c>
      <c r="O87" s="52">
        <f t="shared" si="38"/>
        <v>138</v>
      </c>
      <c r="P87" s="52">
        <f t="shared" si="39"/>
        <v>65.11914758006823</v>
      </c>
      <c r="Q87" s="66"/>
      <c r="R87" s="37"/>
      <c r="S87" s="74" t="s">
        <v>324</v>
      </c>
      <c r="T87" s="81">
        <f t="shared" si="40"/>
        <v>36.25</v>
      </c>
      <c r="U87" s="81">
        <f t="shared" si="41"/>
        <v>111.25</v>
      </c>
      <c r="V87" s="233">
        <v>18</v>
      </c>
      <c r="W87" s="52">
        <v>16</v>
      </c>
      <c r="X87" s="52">
        <v>90</v>
      </c>
      <c r="Y87" s="52">
        <v>21</v>
      </c>
      <c r="Z87" s="52">
        <v>39</v>
      </c>
      <c r="AA87" s="52">
        <v>258</v>
      </c>
      <c r="AB87" s="52">
        <v>318</v>
      </c>
      <c r="AC87" s="52">
        <v>103</v>
      </c>
      <c r="AD87" s="52">
        <v>155</v>
      </c>
      <c r="AE87" s="144">
        <v>9</v>
      </c>
      <c r="AF87" s="144">
        <v>115</v>
      </c>
      <c r="AG87" s="144">
        <v>193</v>
      </c>
      <c r="AH87" s="53">
        <v>71</v>
      </c>
      <c r="AI87" s="53">
        <v>350</v>
      </c>
      <c r="AJ87" s="53">
        <v>44</v>
      </c>
      <c r="AK87" s="52">
        <v>69</v>
      </c>
      <c r="AL87" s="89">
        <v>130</v>
      </c>
      <c r="AM87" s="52">
        <v>138</v>
      </c>
      <c r="AN87" s="52" t="s">
        <v>102</v>
      </c>
      <c r="AO87" s="53">
        <v>40</v>
      </c>
      <c r="AP87" s="123">
        <v>35</v>
      </c>
      <c r="AQ87" s="54"/>
      <c r="AR87" s="54"/>
      <c r="AS87" s="54"/>
      <c r="AT87" s="54"/>
      <c r="AU87" s="54"/>
      <c r="AV87" s="54"/>
      <c r="AW87" s="54"/>
      <c r="AX87" s="51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206"/>
      <c r="CO87" s="206"/>
      <c r="CP87" s="206"/>
      <c r="CQ87" s="8">
        <f t="shared" si="42"/>
        <v>9</v>
      </c>
      <c r="CR87" s="8">
        <f t="shared" si="43"/>
        <v>350</v>
      </c>
      <c r="CS87" s="8">
        <f t="shared" si="44"/>
        <v>110.6</v>
      </c>
      <c r="CT87">
        <f t="shared" si="45"/>
        <v>70.975840973030103</v>
      </c>
      <c r="CU87" s="143">
        <f t="shared" si="46"/>
        <v>36.799999999999997</v>
      </c>
      <c r="CV87" s="143">
        <f t="shared" si="47"/>
        <v>111.25</v>
      </c>
      <c r="CW87"/>
      <c r="CX87" s="7">
        <f t="shared" si="48"/>
        <v>15.650000000000002</v>
      </c>
      <c r="CY87" s="7">
        <f t="shared" si="49"/>
        <v>20.55</v>
      </c>
      <c r="CZ87" s="7">
        <f t="shared" si="50"/>
        <v>32.20000000000001</v>
      </c>
      <c r="DA87" s="7">
        <f t="shared" si="51"/>
        <v>38</v>
      </c>
      <c r="DB87" s="7">
        <f t="shared" si="52"/>
        <v>80.5</v>
      </c>
      <c r="DC87" s="7">
        <f t="shared" si="53"/>
        <v>107.80000000000001</v>
      </c>
      <c r="DD87" s="7">
        <f t="shared" si="54"/>
        <v>120.25</v>
      </c>
      <c r="DE87" s="7">
        <f t="shared" si="55"/>
        <v>142.25</v>
      </c>
      <c r="DF87" s="7">
        <f t="shared" si="56"/>
        <v>202.74999999999991</v>
      </c>
      <c r="DG87"/>
      <c r="DH87" s="7">
        <f t="shared" si="57"/>
        <v>15.650000000000002</v>
      </c>
      <c r="DI87" s="7">
        <f t="shared" si="58"/>
        <v>20.55</v>
      </c>
      <c r="DJ87" s="7">
        <f t="shared" si="59"/>
        <v>32.20000000000001</v>
      </c>
      <c r="DK87" s="7">
        <f t="shared" si="60"/>
        <v>38</v>
      </c>
      <c r="DL87" s="7">
        <f t="shared" si="61"/>
        <v>80.5</v>
      </c>
      <c r="DM87" s="7">
        <f t="shared" si="62"/>
        <v>107.80000000000001</v>
      </c>
      <c r="DN87" s="7">
        <f t="shared" si="63"/>
        <v>120.25</v>
      </c>
      <c r="DO87" s="7">
        <f t="shared" si="64"/>
        <v>142.25</v>
      </c>
      <c r="DP87" s="7">
        <f t="shared" si="65"/>
        <v>202.74999999999991</v>
      </c>
      <c r="DQ87"/>
      <c r="DR87"/>
      <c r="DS87"/>
      <c r="DT87"/>
      <c r="DU87"/>
      <c r="DV87"/>
      <c r="DW87"/>
      <c r="DX87"/>
      <c r="DY87"/>
      <c r="DZ87"/>
    </row>
    <row r="88" spans="1:130" s="7" customFormat="1" ht="25.5" hidden="1" customHeight="1" x14ac:dyDescent="0.25">
      <c r="A88" s="92" t="str">
        <f t="shared" si="66"/>
        <v>CO-WVI [17]</v>
      </c>
      <c r="B88" s="92" t="str">
        <f t="shared" si="67"/>
        <v>West Vancouver Island</v>
      </c>
      <c r="C88" s="93" t="str">
        <f t="shared" si="36"/>
        <v>CLEMENS CREEK_Coho</v>
      </c>
      <c r="D88" s="128" t="s">
        <v>598</v>
      </c>
      <c r="E88" s="128" t="s">
        <v>598</v>
      </c>
      <c r="F88" s="64">
        <v>23</v>
      </c>
      <c r="G88" s="72" t="s">
        <v>128</v>
      </c>
      <c r="H88" s="65" t="s">
        <v>93</v>
      </c>
      <c r="I88" s="119"/>
      <c r="J88" s="119"/>
      <c r="K88" s="64">
        <v>3</v>
      </c>
      <c r="L88" s="52">
        <v>3</v>
      </c>
      <c r="M88" s="52">
        <v>3</v>
      </c>
      <c r="N88" s="52">
        <f t="shared" si="37"/>
        <v>943.96876943303641</v>
      </c>
      <c r="O88" s="52">
        <f t="shared" si="38"/>
        <v>1855</v>
      </c>
      <c r="P88" s="52">
        <f t="shared" si="39"/>
        <v>943.96876943303641</v>
      </c>
      <c r="Q88" s="66"/>
      <c r="R88" s="37"/>
      <c r="S88" s="74" t="s">
        <v>324</v>
      </c>
      <c r="T88" s="81">
        <f t="shared" si="40"/>
        <v>746.75</v>
      </c>
      <c r="U88" s="81">
        <f t="shared" si="41"/>
        <v>1523.25</v>
      </c>
      <c r="V88" s="233">
        <v>344</v>
      </c>
      <c r="W88" s="52">
        <v>687</v>
      </c>
      <c r="X88" s="52">
        <v>1034</v>
      </c>
      <c r="Y88" s="52">
        <v>922</v>
      </c>
      <c r="Z88" s="52">
        <v>1372</v>
      </c>
      <c r="AA88" s="52">
        <v>1029</v>
      </c>
      <c r="AB88" s="52">
        <v>2128</v>
      </c>
      <c r="AC88" s="144">
        <v>2352</v>
      </c>
      <c r="AD88" s="144">
        <v>1560</v>
      </c>
      <c r="AE88" s="144">
        <v>2994</v>
      </c>
      <c r="AF88" s="144">
        <v>2037</v>
      </c>
      <c r="AG88" s="144">
        <v>1820</v>
      </c>
      <c r="AH88" s="53">
        <v>2303</v>
      </c>
      <c r="AI88" s="53">
        <v>3500</v>
      </c>
      <c r="AJ88" s="53">
        <v>1855</v>
      </c>
      <c r="AK88" s="52">
        <v>1162</v>
      </c>
      <c r="AL88" s="199"/>
      <c r="AM88" s="52">
        <v>1570</v>
      </c>
      <c r="AN88" s="52" t="s">
        <v>102</v>
      </c>
      <c r="AO88" s="53">
        <v>1517</v>
      </c>
      <c r="AP88" s="53">
        <v>146</v>
      </c>
      <c r="AQ88" s="54"/>
      <c r="AR88" s="54"/>
      <c r="AS88" s="54"/>
      <c r="AT88" s="54"/>
      <c r="AU88" s="54"/>
      <c r="AV88" s="54"/>
      <c r="AW88" s="54"/>
      <c r="AX88" s="51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206"/>
      <c r="CO88" s="206"/>
      <c r="CP88" s="206"/>
      <c r="CQ88" s="8">
        <f t="shared" si="42"/>
        <v>146</v>
      </c>
      <c r="CR88" s="8">
        <f t="shared" si="43"/>
        <v>3500</v>
      </c>
      <c r="CS88" s="8">
        <f t="shared" si="44"/>
        <v>1596.421052631579</v>
      </c>
      <c r="CT88">
        <f t="shared" si="45"/>
        <v>1308.9493495834975</v>
      </c>
      <c r="CU88" s="143">
        <f t="shared" si="46"/>
        <v>871.8</v>
      </c>
      <c r="CV88" s="143">
        <f t="shared" si="47"/>
        <v>1523.25</v>
      </c>
      <c r="CW88"/>
      <c r="CX88" s="7">
        <f t="shared" si="48"/>
        <v>324.2</v>
      </c>
      <c r="CY88" s="7">
        <f t="shared" si="49"/>
        <v>851.5</v>
      </c>
      <c r="CZ88" s="7">
        <f t="shared" si="50"/>
        <v>986.19999999999993</v>
      </c>
      <c r="DA88" s="7">
        <f t="shared" si="51"/>
        <v>1031.5</v>
      </c>
      <c r="DB88" s="7">
        <f t="shared" si="52"/>
        <v>1560</v>
      </c>
      <c r="DC88" s="7">
        <f t="shared" si="53"/>
        <v>1769.9999999999998</v>
      </c>
      <c r="DD88" s="7">
        <f t="shared" si="54"/>
        <v>1844.5</v>
      </c>
      <c r="DE88" s="7">
        <f t="shared" si="55"/>
        <v>2082.5</v>
      </c>
      <c r="DF88" s="7">
        <f t="shared" si="56"/>
        <v>2317.6999999999998</v>
      </c>
      <c r="DG88"/>
      <c r="DH88" s="7">
        <f t="shared" si="57"/>
        <v>324.2</v>
      </c>
      <c r="DI88" s="7">
        <f t="shared" si="58"/>
        <v>851.5</v>
      </c>
      <c r="DJ88" s="7">
        <f t="shared" si="59"/>
        <v>986.19999999999993</v>
      </c>
      <c r="DK88" s="7">
        <f t="shared" si="60"/>
        <v>1031.5</v>
      </c>
      <c r="DL88" s="7">
        <f t="shared" si="61"/>
        <v>1560</v>
      </c>
      <c r="DM88" s="7">
        <f t="shared" si="62"/>
        <v>1769.9999999999998</v>
      </c>
      <c r="DN88" s="7">
        <f t="shared" si="63"/>
        <v>1844.5</v>
      </c>
      <c r="DO88" s="7">
        <f t="shared" si="64"/>
        <v>2082.5</v>
      </c>
      <c r="DP88" s="7">
        <f t="shared" si="65"/>
        <v>2317.6999999999998</v>
      </c>
      <c r="DQ88"/>
      <c r="DR88"/>
      <c r="DS88"/>
      <c r="DT88"/>
      <c r="DU88"/>
      <c r="DV88"/>
      <c r="DW88"/>
      <c r="DX88"/>
      <c r="DY88"/>
      <c r="DZ88"/>
    </row>
    <row r="89" spans="1:130" s="7" customFormat="1" ht="25.5" hidden="1" customHeight="1" x14ac:dyDescent="0.25">
      <c r="A89" s="92" t="str">
        <f t="shared" si="66"/>
        <v>SK-WVI [R10]</v>
      </c>
      <c r="B89" s="92" t="str">
        <f t="shared" si="67"/>
        <v>West Vancouver Island</v>
      </c>
      <c r="C89" s="93" t="str">
        <f t="shared" si="36"/>
        <v>CLEMENS CREEK_Sockeye</v>
      </c>
      <c r="D89" s="128" t="s">
        <v>598</v>
      </c>
      <c r="E89" s="128" t="s">
        <v>598</v>
      </c>
      <c r="F89" s="64">
        <v>23</v>
      </c>
      <c r="G89" s="72" t="s">
        <v>128</v>
      </c>
      <c r="H89" s="65" t="s">
        <v>91</v>
      </c>
      <c r="I89" s="119"/>
      <c r="J89" s="119"/>
      <c r="K89" s="64">
        <v>3</v>
      </c>
      <c r="L89" s="52">
        <v>3</v>
      </c>
      <c r="M89" s="52">
        <v>3</v>
      </c>
      <c r="N89" s="52" t="e">
        <f t="shared" si="37"/>
        <v>#NUM!</v>
      </c>
      <c r="O89" s="52">
        <f t="shared" si="38"/>
        <v>0</v>
      </c>
      <c r="P89" s="52" t="e">
        <f t="shared" si="39"/>
        <v>#NUM!</v>
      </c>
      <c r="Q89" s="66"/>
      <c r="R89" s="37"/>
      <c r="S89" s="74" t="s">
        <v>324</v>
      </c>
      <c r="T89" s="81" t="e">
        <f t="shared" si="40"/>
        <v>#DIV/0!</v>
      </c>
      <c r="U89" s="81" t="e">
        <f t="shared" si="41"/>
        <v>#DIV/0!</v>
      </c>
      <c r="V89" s="52" t="s">
        <v>263</v>
      </c>
      <c r="W89" s="52" t="s">
        <v>263</v>
      </c>
      <c r="X89" s="52" t="s">
        <v>263</v>
      </c>
      <c r="Y89" s="52" t="s">
        <v>263</v>
      </c>
      <c r="Z89" s="52" t="s">
        <v>263</v>
      </c>
      <c r="AA89" s="52" t="s">
        <v>263</v>
      </c>
      <c r="AB89" s="52" t="s">
        <v>263</v>
      </c>
      <c r="AC89" s="52" t="s">
        <v>263</v>
      </c>
      <c r="AD89" s="52" t="s">
        <v>263</v>
      </c>
      <c r="AE89" s="52" t="s">
        <v>263</v>
      </c>
      <c r="AF89" s="52" t="s">
        <v>263</v>
      </c>
      <c r="AG89" s="52" t="s">
        <v>263</v>
      </c>
      <c r="AH89" s="52" t="s">
        <v>263</v>
      </c>
      <c r="AI89" s="52" t="s">
        <v>263</v>
      </c>
      <c r="AJ89" s="52" t="s">
        <v>263</v>
      </c>
      <c r="AK89" s="52" t="s">
        <v>263</v>
      </c>
      <c r="AL89" s="89" t="s">
        <v>263</v>
      </c>
      <c r="AM89" s="52" t="s">
        <v>263</v>
      </c>
      <c r="AN89" s="52" t="s">
        <v>263</v>
      </c>
      <c r="AO89" s="52" t="s">
        <v>263</v>
      </c>
      <c r="AP89" s="53" t="s">
        <v>263</v>
      </c>
      <c r="AQ89" s="54"/>
      <c r="AR89" s="54"/>
      <c r="AS89" s="54"/>
      <c r="AT89" s="54"/>
      <c r="AU89" s="54"/>
      <c r="AV89" s="54"/>
      <c r="AW89" s="54"/>
      <c r="AX89" s="51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206"/>
      <c r="CO89" s="206"/>
      <c r="CP89" s="206"/>
      <c r="CQ89" s="8">
        <f t="shared" si="42"/>
        <v>0</v>
      </c>
      <c r="CR89" s="8">
        <f t="shared" si="43"/>
        <v>0</v>
      </c>
      <c r="CS89" s="8" t="e">
        <f t="shared" si="44"/>
        <v>#DIV/0!</v>
      </c>
      <c r="CT89" t="e">
        <f t="shared" si="45"/>
        <v>#NUM!</v>
      </c>
      <c r="CU89" s="143" t="e">
        <f t="shared" si="46"/>
        <v>#DIV/0!</v>
      </c>
      <c r="CV89" s="143" t="e">
        <f t="shared" si="47"/>
        <v>#DIV/0!</v>
      </c>
      <c r="CW89"/>
      <c r="CX89" s="7" t="e">
        <f t="shared" si="48"/>
        <v>#NUM!</v>
      </c>
      <c r="CY89" s="7" t="e">
        <f t="shared" si="49"/>
        <v>#NUM!</v>
      </c>
      <c r="CZ89" s="7" t="e">
        <f t="shared" si="50"/>
        <v>#NUM!</v>
      </c>
      <c r="DA89" s="7" t="e">
        <f t="shared" si="51"/>
        <v>#NUM!</v>
      </c>
      <c r="DB89" s="7" t="e">
        <f t="shared" si="52"/>
        <v>#NUM!</v>
      </c>
      <c r="DC89" s="7" t="e">
        <f t="shared" si="53"/>
        <v>#NUM!</v>
      </c>
      <c r="DD89" s="7" t="e">
        <f t="shared" si="54"/>
        <v>#NUM!</v>
      </c>
      <c r="DE89" s="7" t="e">
        <f t="shared" si="55"/>
        <v>#NUM!</v>
      </c>
      <c r="DF89" s="7" t="e">
        <f t="shared" si="56"/>
        <v>#NUM!</v>
      </c>
      <c r="DG89"/>
      <c r="DH89" s="7" t="e">
        <f t="shared" si="57"/>
        <v>#NUM!</v>
      </c>
      <c r="DI89" s="7" t="e">
        <f t="shared" si="58"/>
        <v>#NUM!</v>
      </c>
      <c r="DJ89" s="7" t="e">
        <f t="shared" si="59"/>
        <v>#NUM!</v>
      </c>
      <c r="DK89" s="7" t="e">
        <f t="shared" si="60"/>
        <v>#NUM!</v>
      </c>
      <c r="DL89" s="7" t="e">
        <f t="shared" si="61"/>
        <v>#NUM!</v>
      </c>
      <c r="DM89" s="7" t="e">
        <f t="shared" si="62"/>
        <v>#NUM!</v>
      </c>
      <c r="DN89" s="7" t="e">
        <f t="shared" si="63"/>
        <v>#NUM!</v>
      </c>
      <c r="DO89" s="7" t="e">
        <f t="shared" si="64"/>
        <v>#NUM!</v>
      </c>
      <c r="DP89" s="7" t="e">
        <f t="shared" si="65"/>
        <v>#NUM!</v>
      </c>
      <c r="DQ89"/>
      <c r="DR89"/>
      <c r="DS89"/>
      <c r="DT89"/>
      <c r="DU89"/>
      <c r="DV89"/>
      <c r="DW89"/>
      <c r="DX89"/>
      <c r="DY89"/>
      <c r="DZ89"/>
    </row>
    <row r="90" spans="1:130" s="7" customFormat="1" ht="25.5" customHeight="1" x14ac:dyDescent="0.25">
      <c r="A90" s="92" t="str">
        <f t="shared" si="66"/>
        <v>CK-SWVI [31]</v>
      </c>
      <c r="B90" s="92" t="str">
        <f t="shared" si="67"/>
        <v>Southwest Vancouver Island</v>
      </c>
      <c r="C90" s="93" t="str">
        <f t="shared" si="36"/>
        <v>COEUR D'ALENE CREEK_Chinook</v>
      </c>
      <c r="D90" s="128" t="s">
        <v>598</v>
      </c>
      <c r="E90" s="128" t="s">
        <v>598</v>
      </c>
      <c r="F90" s="64">
        <v>23</v>
      </c>
      <c r="G90" s="72" t="s">
        <v>133</v>
      </c>
      <c r="H90" s="65" t="s">
        <v>97</v>
      </c>
      <c r="I90" s="119"/>
      <c r="J90" s="119"/>
      <c r="K90" s="64">
        <v>4</v>
      </c>
      <c r="L90" s="52">
        <v>9</v>
      </c>
      <c r="M90" s="52">
        <v>2</v>
      </c>
      <c r="N90" s="52">
        <f t="shared" si="37"/>
        <v>14.142135623730951</v>
      </c>
      <c r="O90" s="52">
        <f t="shared" si="38"/>
        <v>50</v>
      </c>
      <c r="P90" s="52">
        <f t="shared" si="39"/>
        <v>20.171767213911689</v>
      </c>
      <c r="Q90" s="66"/>
      <c r="R90" s="39"/>
      <c r="S90" s="76" t="s">
        <v>327</v>
      </c>
      <c r="T90" s="81" t="e">
        <f t="shared" si="40"/>
        <v>#DIV/0!</v>
      </c>
      <c r="U90" s="81" t="e">
        <f t="shared" si="41"/>
        <v>#DIV/0!</v>
      </c>
      <c r="V90" s="52" t="s">
        <v>102</v>
      </c>
      <c r="W90" s="52" t="s">
        <v>102</v>
      </c>
      <c r="X90" s="52" t="s">
        <v>102</v>
      </c>
      <c r="Y90" s="52" t="s">
        <v>677</v>
      </c>
      <c r="Z90" s="52" t="s">
        <v>102</v>
      </c>
      <c r="AA90" s="52" t="s">
        <v>102</v>
      </c>
      <c r="AB90" s="52" t="s">
        <v>102</v>
      </c>
      <c r="AC90" s="52" t="s">
        <v>102</v>
      </c>
      <c r="AD90" s="52" t="s">
        <v>102</v>
      </c>
      <c r="AE90" s="52" t="s">
        <v>102</v>
      </c>
      <c r="AF90" s="52" t="s">
        <v>102</v>
      </c>
      <c r="AG90" s="52" t="s">
        <v>102</v>
      </c>
      <c r="AH90" s="52" t="s">
        <v>102</v>
      </c>
      <c r="AI90" s="52" t="s">
        <v>102</v>
      </c>
      <c r="AJ90" s="52" t="s">
        <v>102</v>
      </c>
      <c r="AK90" s="52" t="s">
        <v>102</v>
      </c>
      <c r="AL90" s="52" t="s">
        <v>102</v>
      </c>
      <c r="AM90" s="52" t="s">
        <v>102</v>
      </c>
      <c r="AN90" s="52" t="s">
        <v>262</v>
      </c>
      <c r="AO90" s="52" t="s">
        <v>102</v>
      </c>
      <c r="AP90" s="53" t="s">
        <v>262</v>
      </c>
      <c r="AQ90" s="53">
        <v>10</v>
      </c>
      <c r="AR90" s="53" t="s">
        <v>262</v>
      </c>
      <c r="AS90" s="52" t="s">
        <v>262</v>
      </c>
      <c r="AT90" s="53" t="s">
        <v>262</v>
      </c>
      <c r="AU90" s="52" t="s">
        <v>262</v>
      </c>
      <c r="AV90" s="52" t="s">
        <v>262</v>
      </c>
      <c r="AW90" s="52">
        <v>20</v>
      </c>
      <c r="AX90" s="51">
        <v>30</v>
      </c>
      <c r="AY90" s="53" t="s">
        <v>264</v>
      </c>
      <c r="AZ90" s="53" t="s">
        <v>264</v>
      </c>
      <c r="BA90" s="53" t="s">
        <v>264</v>
      </c>
      <c r="BB90" s="53" t="s">
        <v>264</v>
      </c>
      <c r="BC90" s="53" t="s">
        <v>102</v>
      </c>
      <c r="BD90" s="53" t="s">
        <v>264</v>
      </c>
      <c r="BE90" s="53" t="s">
        <v>102</v>
      </c>
      <c r="BF90" s="53" t="s">
        <v>102</v>
      </c>
      <c r="BG90" s="53" t="s">
        <v>264</v>
      </c>
      <c r="BH90" s="53" t="s">
        <v>264</v>
      </c>
      <c r="BI90" s="53" t="s">
        <v>264</v>
      </c>
      <c r="BJ90" s="53" t="s">
        <v>264</v>
      </c>
      <c r="BK90" s="53" t="s">
        <v>264</v>
      </c>
      <c r="BL90" s="53" t="s">
        <v>102</v>
      </c>
      <c r="BM90" s="53" t="s">
        <v>262</v>
      </c>
      <c r="BN90" s="53" t="s">
        <v>262</v>
      </c>
      <c r="BO90" s="53" t="s">
        <v>264</v>
      </c>
      <c r="BP90" s="53" t="s">
        <v>264</v>
      </c>
      <c r="BQ90" s="53">
        <v>25</v>
      </c>
      <c r="BR90" s="53">
        <v>50</v>
      </c>
      <c r="BS90" s="53">
        <v>25</v>
      </c>
      <c r="BT90" s="53">
        <v>25</v>
      </c>
      <c r="BU90" s="53">
        <v>25</v>
      </c>
      <c r="BV90" s="53">
        <v>25</v>
      </c>
      <c r="BW90" s="53" t="s">
        <v>262</v>
      </c>
      <c r="BX90" s="53" t="s">
        <v>264</v>
      </c>
      <c r="BY90" s="53" t="s">
        <v>262</v>
      </c>
      <c r="BZ90" s="53" t="s">
        <v>262</v>
      </c>
      <c r="CA90" s="53" t="s">
        <v>262</v>
      </c>
      <c r="CB90" s="53" t="s">
        <v>264</v>
      </c>
      <c r="CC90" s="53">
        <v>2</v>
      </c>
      <c r="CD90" s="53" t="s">
        <v>264</v>
      </c>
      <c r="CE90" s="53" t="s">
        <v>264</v>
      </c>
      <c r="CF90" s="53">
        <v>25</v>
      </c>
      <c r="CG90" s="53">
        <v>25</v>
      </c>
      <c r="CH90" s="53">
        <v>25</v>
      </c>
      <c r="CI90" s="53" t="s">
        <v>264</v>
      </c>
      <c r="CJ90" s="53" t="s">
        <v>264</v>
      </c>
      <c r="CK90" s="53" t="s">
        <v>264</v>
      </c>
      <c r="CL90" s="53" t="s">
        <v>264</v>
      </c>
      <c r="CM90" s="53" t="s">
        <v>264</v>
      </c>
      <c r="CN90" s="206"/>
      <c r="CO90" s="206"/>
      <c r="CP90" s="206"/>
      <c r="CQ90" s="8">
        <f t="shared" si="42"/>
        <v>2</v>
      </c>
      <c r="CR90" s="8">
        <f t="shared" si="43"/>
        <v>50</v>
      </c>
      <c r="CS90" s="8">
        <f t="shared" si="44"/>
        <v>24</v>
      </c>
      <c r="CT90">
        <f t="shared" si="45"/>
        <v>20.171767213911689</v>
      </c>
      <c r="CU90" s="143" t="e">
        <f t="shared" si="46"/>
        <v>#DIV/0!</v>
      </c>
      <c r="CV90" s="143" t="e">
        <f t="shared" si="47"/>
        <v>#DIV/0!</v>
      </c>
      <c r="CW90"/>
      <c r="CX90" s="7">
        <f t="shared" si="48"/>
        <v>6.8000000000000007</v>
      </c>
      <c r="CY90" s="7">
        <f t="shared" si="49"/>
        <v>18</v>
      </c>
      <c r="CZ90" s="7">
        <f t="shared" si="50"/>
        <v>22</v>
      </c>
      <c r="DA90" s="7">
        <f t="shared" si="51"/>
        <v>25</v>
      </c>
      <c r="DB90" s="7">
        <f t="shared" si="52"/>
        <v>25</v>
      </c>
      <c r="DC90" s="7">
        <f t="shared" si="53"/>
        <v>25</v>
      </c>
      <c r="DD90" s="7">
        <f t="shared" si="54"/>
        <v>25</v>
      </c>
      <c r="DE90" s="7">
        <f t="shared" si="55"/>
        <v>25</v>
      </c>
      <c r="DF90" s="7">
        <f t="shared" si="56"/>
        <v>25.999999999999996</v>
      </c>
      <c r="DG90"/>
      <c r="DH90" s="7">
        <f t="shared" si="57"/>
        <v>10.5</v>
      </c>
      <c r="DI90" s="7">
        <f t="shared" si="58"/>
        <v>11.5</v>
      </c>
      <c r="DJ90" s="7">
        <f t="shared" si="59"/>
        <v>12</v>
      </c>
      <c r="DK90" s="7">
        <f t="shared" si="60"/>
        <v>12.5</v>
      </c>
      <c r="DL90" s="7">
        <f t="shared" si="61"/>
        <v>15</v>
      </c>
      <c r="DM90" s="7">
        <f t="shared" si="62"/>
        <v>16</v>
      </c>
      <c r="DN90" s="7">
        <f t="shared" si="63"/>
        <v>16.5</v>
      </c>
      <c r="DO90" s="7">
        <f t="shared" si="64"/>
        <v>17.5</v>
      </c>
      <c r="DP90" s="7">
        <f t="shared" si="65"/>
        <v>18.5</v>
      </c>
      <c r="DQ90"/>
      <c r="DR90"/>
      <c r="DS90"/>
      <c r="DT90"/>
      <c r="DU90"/>
      <c r="DV90"/>
      <c r="DW90"/>
      <c r="DX90"/>
      <c r="DY90"/>
      <c r="DZ90"/>
    </row>
    <row r="91" spans="1:130" s="7" customFormat="1" ht="25.5" hidden="1" customHeight="1" x14ac:dyDescent="0.25">
      <c r="A91" s="92" t="str">
        <f t="shared" si="66"/>
        <v>CM-SWVI [10]</v>
      </c>
      <c r="B91" s="92" t="str">
        <f t="shared" si="67"/>
        <v>Southwest Vancouver Island</v>
      </c>
      <c r="C91" s="93" t="str">
        <f t="shared" si="36"/>
        <v>COEUR D'ALENE CREEK_Chum</v>
      </c>
      <c r="D91" s="128" t="s">
        <v>598</v>
      </c>
      <c r="E91" s="128" t="s">
        <v>598</v>
      </c>
      <c r="F91" s="64">
        <v>23</v>
      </c>
      <c r="G91" s="72" t="s">
        <v>133</v>
      </c>
      <c r="H91" s="65" t="s">
        <v>96</v>
      </c>
      <c r="I91" s="119"/>
      <c r="J91" s="119"/>
      <c r="K91" s="64">
        <v>4</v>
      </c>
      <c r="L91" s="52">
        <v>9</v>
      </c>
      <c r="M91" s="52">
        <v>7</v>
      </c>
      <c r="N91" s="52">
        <f t="shared" si="37"/>
        <v>233.52698616814601</v>
      </c>
      <c r="O91" s="52">
        <f t="shared" si="38"/>
        <v>1200</v>
      </c>
      <c r="P91" s="52">
        <f t="shared" si="39"/>
        <v>174.11070816988882</v>
      </c>
      <c r="Q91" s="66"/>
      <c r="R91" s="39"/>
      <c r="S91" s="76" t="s">
        <v>327</v>
      </c>
      <c r="T91" s="81" t="e">
        <f t="shared" si="40"/>
        <v>#DIV/0!</v>
      </c>
      <c r="U91" s="81" t="e">
        <f t="shared" si="41"/>
        <v>#DIV/0!</v>
      </c>
      <c r="V91" s="52" t="s">
        <v>102</v>
      </c>
      <c r="W91" s="52" t="s">
        <v>102</v>
      </c>
      <c r="X91" s="52" t="s">
        <v>102</v>
      </c>
      <c r="Y91" s="52" t="s">
        <v>102</v>
      </c>
      <c r="Z91" s="52" t="s">
        <v>102</v>
      </c>
      <c r="AA91" s="52" t="s">
        <v>102</v>
      </c>
      <c r="AB91" s="52" t="s">
        <v>102</v>
      </c>
      <c r="AC91" s="52" t="s">
        <v>102</v>
      </c>
      <c r="AD91" s="52" t="s">
        <v>102</v>
      </c>
      <c r="AE91" s="52" t="s">
        <v>102</v>
      </c>
      <c r="AF91" s="52" t="s">
        <v>102</v>
      </c>
      <c r="AG91" s="52" t="s">
        <v>102</v>
      </c>
      <c r="AH91" s="52" t="s">
        <v>102</v>
      </c>
      <c r="AI91" s="52" t="s">
        <v>102</v>
      </c>
      <c r="AJ91" s="52" t="s">
        <v>102</v>
      </c>
      <c r="AK91" s="52" t="s">
        <v>102</v>
      </c>
      <c r="AL91" s="52" t="s">
        <v>102</v>
      </c>
      <c r="AM91" s="52" t="s">
        <v>102</v>
      </c>
      <c r="AN91" s="52">
        <v>167</v>
      </c>
      <c r="AO91" s="52" t="s">
        <v>102</v>
      </c>
      <c r="AP91" s="53">
        <v>1200</v>
      </c>
      <c r="AQ91" s="53">
        <v>300</v>
      </c>
      <c r="AR91" s="53" t="s">
        <v>262</v>
      </c>
      <c r="AS91" s="52">
        <v>100</v>
      </c>
      <c r="AT91" s="52">
        <v>600</v>
      </c>
      <c r="AU91" s="52">
        <v>350</v>
      </c>
      <c r="AV91" s="52" t="s">
        <v>262</v>
      </c>
      <c r="AW91" s="52">
        <v>30</v>
      </c>
      <c r="AX91" s="51">
        <v>40</v>
      </c>
      <c r="AY91" s="53" t="s">
        <v>263</v>
      </c>
      <c r="AZ91" s="53">
        <v>185</v>
      </c>
      <c r="BA91" s="53" t="s">
        <v>262</v>
      </c>
      <c r="BB91" s="53">
        <v>200</v>
      </c>
      <c r="BC91" s="53" t="s">
        <v>102</v>
      </c>
      <c r="BD91" s="53">
        <v>26</v>
      </c>
      <c r="BE91" s="53" t="s">
        <v>102</v>
      </c>
      <c r="BF91" s="53" t="s">
        <v>102</v>
      </c>
      <c r="BG91" s="53">
        <v>750</v>
      </c>
      <c r="BH91" s="53" t="s">
        <v>264</v>
      </c>
      <c r="BI91" s="53">
        <v>20</v>
      </c>
      <c r="BJ91" s="53" t="s">
        <v>262</v>
      </c>
      <c r="BK91" s="53">
        <v>50</v>
      </c>
      <c r="BL91" s="53" t="s">
        <v>102</v>
      </c>
      <c r="BM91" s="53">
        <v>50</v>
      </c>
      <c r="BN91" s="53">
        <v>200</v>
      </c>
      <c r="BO91" s="53">
        <v>200</v>
      </c>
      <c r="BP91" s="53">
        <v>250</v>
      </c>
      <c r="BQ91" s="53">
        <v>150</v>
      </c>
      <c r="BR91" s="53">
        <v>750</v>
      </c>
      <c r="BS91" s="53">
        <v>400</v>
      </c>
      <c r="BT91" s="53">
        <v>750</v>
      </c>
      <c r="BU91" s="53">
        <v>75</v>
      </c>
      <c r="BV91" s="53">
        <v>200</v>
      </c>
      <c r="BW91" s="53">
        <v>750</v>
      </c>
      <c r="BX91" s="53">
        <v>750</v>
      </c>
      <c r="BY91" s="53">
        <v>750</v>
      </c>
      <c r="BZ91" s="53">
        <v>75</v>
      </c>
      <c r="CA91" s="53">
        <v>75</v>
      </c>
      <c r="CB91" s="53">
        <v>75</v>
      </c>
      <c r="CC91" s="53">
        <v>25</v>
      </c>
      <c r="CD91" s="53">
        <v>200</v>
      </c>
      <c r="CE91" s="53">
        <v>75</v>
      </c>
      <c r="CF91" s="53">
        <v>200</v>
      </c>
      <c r="CG91" s="53">
        <v>750</v>
      </c>
      <c r="CH91" s="53">
        <v>400</v>
      </c>
      <c r="CI91" s="53">
        <v>400</v>
      </c>
      <c r="CJ91" s="53">
        <v>75</v>
      </c>
      <c r="CK91" s="53">
        <v>75</v>
      </c>
      <c r="CL91" s="53">
        <v>400</v>
      </c>
      <c r="CM91" s="53">
        <v>75</v>
      </c>
      <c r="CN91" s="206"/>
      <c r="CO91" s="206"/>
      <c r="CP91" s="206"/>
      <c r="CQ91" s="8">
        <f t="shared" si="42"/>
        <v>20</v>
      </c>
      <c r="CR91" s="8">
        <f t="shared" si="43"/>
        <v>1200</v>
      </c>
      <c r="CS91" s="8">
        <f t="shared" si="44"/>
        <v>297.39024390243901</v>
      </c>
      <c r="CT91">
        <f t="shared" si="45"/>
        <v>174.11070816988882</v>
      </c>
      <c r="CU91" s="143" t="e">
        <f t="shared" si="46"/>
        <v>#DIV/0!</v>
      </c>
      <c r="CV91" s="143" t="e">
        <f t="shared" si="47"/>
        <v>#DIV/0!</v>
      </c>
      <c r="CW91"/>
      <c r="CX91" s="7">
        <f t="shared" si="48"/>
        <v>26</v>
      </c>
      <c r="CY91" s="7">
        <f t="shared" si="49"/>
        <v>50</v>
      </c>
      <c r="CZ91" s="7">
        <f t="shared" si="50"/>
        <v>75</v>
      </c>
      <c r="DA91" s="7">
        <f t="shared" si="51"/>
        <v>75</v>
      </c>
      <c r="DB91" s="7">
        <f t="shared" si="52"/>
        <v>200</v>
      </c>
      <c r="DC91" s="7">
        <f t="shared" si="53"/>
        <v>200</v>
      </c>
      <c r="DD91" s="7">
        <f t="shared" si="54"/>
        <v>300</v>
      </c>
      <c r="DE91" s="7">
        <f t="shared" si="55"/>
        <v>400</v>
      </c>
      <c r="DF91" s="7">
        <f t="shared" si="56"/>
        <v>750</v>
      </c>
      <c r="DG91"/>
      <c r="DH91" s="7">
        <f t="shared" si="57"/>
        <v>51</v>
      </c>
      <c r="DI91" s="7">
        <f t="shared" si="58"/>
        <v>93</v>
      </c>
      <c r="DJ91" s="7">
        <f t="shared" si="59"/>
        <v>113.4</v>
      </c>
      <c r="DK91" s="7">
        <f t="shared" si="60"/>
        <v>133.5</v>
      </c>
      <c r="DL91" s="7">
        <f t="shared" si="61"/>
        <v>300</v>
      </c>
      <c r="DM91" s="7">
        <f t="shared" si="62"/>
        <v>330</v>
      </c>
      <c r="DN91" s="7">
        <f t="shared" si="63"/>
        <v>345</v>
      </c>
      <c r="DO91" s="7">
        <f t="shared" si="64"/>
        <v>475</v>
      </c>
      <c r="DP91" s="7">
        <f t="shared" si="65"/>
        <v>659.99999999999977</v>
      </c>
      <c r="DQ91"/>
      <c r="DR91"/>
      <c r="DS91"/>
      <c r="DT91"/>
      <c r="DU91"/>
      <c r="DV91"/>
      <c r="DW91"/>
      <c r="DX91"/>
      <c r="DY91"/>
      <c r="DZ91"/>
    </row>
    <row r="92" spans="1:130" s="7" customFormat="1" ht="25.5" hidden="1" customHeight="1" x14ac:dyDescent="0.25">
      <c r="A92" s="92" t="str">
        <f t="shared" si="66"/>
        <v>CO-WVI [17]</v>
      </c>
      <c r="B92" s="92" t="str">
        <f t="shared" si="67"/>
        <v>West Vancouver Island</v>
      </c>
      <c r="C92" s="93" t="str">
        <f t="shared" si="36"/>
        <v>COEUR D'ALENE CREEK_Coho</v>
      </c>
      <c r="D92" s="128" t="s">
        <v>598</v>
      </c>
      <c r="E92" s="128" t="s">
        <v>598</v>
      </c>
      <c r="F92" s="64">
        <v>23</v>
      </c>
      <c r="G92" s="72" t="s">
        <v>133</v>
      </c>
      <c r="H92" s="65" t="s">
        <v>93</v>
      </c>
      <c r="I92" s="119"/>
      <c r="J92" s="119"/>
      <c r="K92" s="64">
        <v>4</v>
      </c>
      <c r="L92" s="52">
        <v>9</v>
      </c>
      <c r="M92" s="52">
        <v>4</v>
      </c>
      <c r="N92" s="52">
        <f t="shared" si="37"/>
        <v>39.205135057718394</v>
      </c>
      <c r="O92" s="52">
        <f t="shared" si="38"/>
        <v>400</v>
      </c>
      <c r="P92" s="52">
        <f t="shared" si="39"/>
        <v>70.1637399403443</v>
      </c>
      <c r="Q92" s="66"/>
      <c r="R92" s="39"/>
      <c r="S92" s="76" t="s">
        <v>327</v>
      </c>
      <c r="T92" s="81" t="e">
        <f t="shared" si="40"/>
        <v>#DIV/0!</v>
      </c>
      <c r="U92" s="81" t="e">
        <f t="shared" si="41"/>
        <v>#DIV/0!</v>
      </c>
      <c r="V92" s="52" t="s">
        <v>102</v>
      </c>
      <c r="W92" s="52" t="s">
        <v>102</v>
      </c>
      <c r="X92" s="52" t="s">
        <v>102</v>
      </c>
      <c r="Y92" s="52" t="s">
        <v>102</v>
      </c>
      <c r="Z92" s="52" t="s">
        <v>102</v>
      </c>
      <c r="AA92" s="52" t="s">
        <v>102</v>
      </c>
      <c r="AB92" s="52" t="s">
        <v>102</v>
      </c>
      <c r="AC92" s="52" t="s">
        <v>102</v>
      </c>
      <c r="AD92" s="52" t="s">
        <v>102</v>
      </c>
      <c r="AE92" s="52" t="s">
        <v>102</v>
      </c>
      <c r="AF92" s="52" t="s">
        <v>102</v>
      </c>
      <c r="AG92" s="52" t="s">
        <v>102</v>
      </c>
      <c r="AH92" s="52" t="s">
        <v>102</v>
      </c>
      <c r="AI92" s="52" t="s">
        <v>102</v>
      </c>
      <c r="AJ92" s="52" t="s">
        <v>102</v>
      </c>
      <c r="AK92" s="52" t="s">
        <v>102</v>
      </c>
      <c r="AL92" s="52" t="s">
        <v>102</v>
      </c>
      <c r="AM92" s="52" t="s">
        <v>102</v>
      </c>
      <c r="AN92" s="52" t="s">
        <v>262</v>
      </c>
      <c r="AO92" s="52" t="s">
        <v>102</v>
      </c>
      <c r="AP92" s="53" t="s">
        <v>262</v>
      </c>
      <c r="AQ92" s="53" t="s">
        <v>262</v>
      </c>
      <c r="AR92" s="53" t="s">
        <v>262</v>
      </c>
      <c r="AS92" s="52">
        <v>50</v>
      </c>
      <c r="AT92" s="52">
        <v>25</v>
      </c>
      <c r="AU92" s="52">
        <v>63</v>
      </c>
      <c r="AV92" s="52" t="s">
        <v>262</v>
      </c>
      <c r="AW92" s="52">
        <v>30</v>
      </c>
      <c r="AX92" s="51" t="s">
        <v>262</v>
      </c>
      <c r="AY92" s="53" t="s">
        <v>263</v>
      </c>
      <c r="AZ92" s="53" t="s">
        <v>264</v>
      </c>
      <c r="BA92" s="53" t="s">
        <v>262</v>
      </c>
      <c r="BB92" s="53" t="s">
        <v>264</v>
      </c>
      <c r="BC92" s="53" t="s">
        <v>102</v>
      </c>
      <c r="BD92" s="53" t="s">
        <v>264</v>
      </c>
      <c r="BE92" s="53" t="s">
        <v>102</v>
      </c>
      <c r="BF92" s="53" t="s">
        <v>102</v>
      </c>
      <c r="BG92" s="53" t="s">
        <v>264</v>
      </c>
      <c r="BH92" s="53" t="s">
        <v>264</v>
      </c>
      <c r="BI92" s="53" t="s">
        <v>264</v>
      </c>
      <c r="BJ92" s="53" t="s">
        <v>262</v>
      </c>
      <c r="BK92" s="53" t="s">
        <v>262</v>
      </c>
      <c r="BL92" s="53" t="s">
        <v>102</v>
      </c>
      <c r="BM92" s="53">
        <v>80</v>
      </c>
      <c r="BN92" s="53">
        <v>100</v>
      </c>
      <c r="BO92" s="53">
        <v>85</v>
      </c>
      <c r="BP92" s="53">
        <v>90</v>
      </c>
      <c r="BQ92" s="53">
        <v>75</v>
      </c>
      <c r="BR92" s="53">
        <v>75</v>
      </c>
      <c r="BS92" s="53">
        <v>200</v>
      </c>
      <c r="BT92" s="53">
        <v>25</v>
      </c>
      <c r="BU92" s="53">
        <v>25</v>
      </c>
      <c r="BV92" s="53">
        <v>200</v>
      </c>
      <c r="BW92" s="53">
        <v>75</v>
      </c>
      <c r="BX92" s="53">
        <v>200</v>
      </c>
      <c r="BY92" s="53">
        <v>200</v>
      </c>
      <c r="BZ92" s="53">
        <v>25</v>
      </c>
      <c r="CA92" s="53">
        <v>25</v>
      </c>
      <c r="CB92" s="53">
        <v>75</v>
      </c>
      <c r="CC92" s="53">
        <v>25</v>
      </c>
      <c r="CD92" s="53">
        <v>75</v>
      </c>
      <c r="CE92" s="53">
        <v>200</v>
      </c>
      <c r="CF92" s="53">
        <v>25</v>
      </c>
      <c r="CG92" s="53">
        <v>75</v>
      </c>
      <c r="CH92" s="53">
        <v>75</v>
      </c>
      <c r="CI92" s="53">
        <v>75</v>
      </c>
      <c r="CJ92" s="53">
        <v>400</v>
      </c>
      <c r="CK92" s="53">
        <v>75</v>
      </c>
      <c r="CL92" s="53">
        <v>200</v>
      </c>
      <c r="CM92" s="53">
        <v>25</v>
      </c>
      <c r="CN92" s="206"/>
      <c r="CO92" s="206"/>
      <c r="CP92" s="206"/>
      <c r="CQ92" s="8">
        <f t="shared" si="42"/>
        <v>25</v>
      </c>
      <c r="CR92" s="8">
        <f t="shared" si="43"/>
        <v>400</v>
      </c>
      <c r="CS92" s="8">
        <f t="shared" si="44"/>
        <v>95.903225806451616</v>
      </c>
      <c r="CT92">
        <f t="shared" si="45"/>
        <v>70.1637399403443</v>
      </c>
      <c r="CU92" s="143" t="e">
        <f t="shared" si="46"/>
        <v>#DIV/0!</v>
      </c>
      <c r="CV92" s="143" t="e">
        <f t="shared" si="47"/>
        <v>#DIV/0!</v>
      </c>
      <c r="CW92"/>
      <c r="CX92" s="7">
        <f t="shared" si="48"/>
        <v>25</v>
      </c>
      <c r="CY92" s="7">
        <f t="shared" si="49"/>
        <v>25</v>
      </c>
      <c r="CZ92" s="7">
        <f t="shared" si="50"/>
        <v>25</v>
      </c>
      <c r="DA92" s="7">
        <f t="shared" si="51"/>
        <v>27.5</v>
      </c>
      <c r="DB92" s="7">
        <f t="shared" si="52"/>
        <v>75</v>
      </c>
      <c r="DC92" s="7">
        <f t="shared" si="53"/>
        <v>75</v>
      </c>
      <c r="DD92" s="7">
        <f t="shared" si="54"/>
        <v>77.5</v>
      </c>
      <c r="DE92" s="7">
        <f t="shared" si="55"/>
        <v>95</v>
      </c>
      <c r="DF92" s="7">
        <f t="shared" si="56"/>
        <v>200</v>
      </c>
      <c r="DG92"/>
      <c r="DH92" s="7">
        <f t="shared" si="57"/>
        <v>25.75</v>
      </c>
      <c r="DI92" s="7">
        <f t="shared" si="58"/>
        <v>27.25</v>
      </c>
      <c r="DJ92" s="7">
        <f t="shared" si="59"/>
        <v>28</v>
      </c>
      <c r="DK92" s="7">
        <f t="shared" si="60"/>
        <v>28.75</v>
      </c>
      <c r="DL92" s="7">
        <f t="shared" si="61"/>
        <v>40</v>
      </c>
      <c r="DM92" s="7">
        <f t="shared" si="62"/>
        <v>46</v>
      </c>
      <c r="DN92" s="7">
        <f t="shared" si="63"/>
        <v>49</v>
      </c>
      <c r="DO92" s="7">
        <f t="shared" si="64"/>
        <v>53.25</v>
      </c>
      <c r="DP92" s="7">
        <f t="shared" si="65"/>
        <v>57.15</v>
      </c>
      <c r="DQ92"/>
      <c r="DR92"/>
      <c r="DS92"/>
      <c r="DT92"/>
      <c r="DU92"/>
      <c r="DV92"/>
      <c r="DW92"/>
      <c r="DX92"/>
      <c r="DY92"/>
      <c r="DZ92"/>
    </row>
    <row r="93" spans="1:130" s="7" customFormat="1" ht="25.5" hidden="1" customHeight="1" x14ac:dyDescent="0.25">
      <c r="A93" s="92" t="str">
        <f t="shared" si="66"/>
        <v>CM-SWVI [10]</v>
      </c>
      <c r="B93" s="92" t="str">
        <f t="shared" si="67"/>
        <v>Southwest Vancouver Island</v>
      </c>
      <c r="C93" s="93" t="str">
        <f t="shared" si="36"/>
        <v>COLEMAN CREEK_Chum</v>
      </c>
      <c r="D93" s="128" t="s">
        <v>598</v>
      </c>
      <c r="E93" s="128" t="s">
        <v>598</v>
      </c>
      <c r="F93" s="64">
        <v>23</v>
      </c>
      <c r="G93" s="72" t="s">
        <v>117</v>
      </c>
      <c r="H93" s="65" t="s">
        <v>96</v>
      </c>
      <c r="I93" s="119"/>
      <c r="J93" s="119"/>
      <c r="K93" s="64">
        <v>4</v>
      </c>
      <c r="L93" s="52">
        <v>9</v>
      </c>
      <c r="M93" s="52">
        <v>6</v>
      </c>
      <c r="N93" s="52">
        <f t="shared" si="37"/>
        <v>62.974194912304569</v>
      </c>
      <c r="O93" s="52">
        <f t="shared" si="38"/>
        <v>1500</v>
      </c>
      <c r="P93" s="52">
        <f t="shared" si="39"/>
        <v>47.232299535150524</v>
      </c>
      <c r="Q93" s="66"/>
      <c r="R93" s="39"/>
      <c r="S93" s="74" t="s">
        <v>327</v>
      </c>
      <c r="T93" s="81" t="e">
        <f t="shared" si="40"/>
        <v>#DIV/0!</v>
      </c>
      <c r="U93" s="81" t="e">
        <f t="shared" si="41"/>
        <v>#DIV/0!</v>
      </c>
      <c r="V93" s="52" t="s">
        <v>102</v>
      </c>
      <c r="W93" s="52" t="s">
        <v>102</v>
      </c>
      <c r="X93" s="52" t="s">
        <v>102</v>
      </c>
      <c r="Y93" s="52" t="s">
        <v>102</v>
      </c>
      <c r="Z93" s="52" t="s">
        <v>102</v>
      </c>
      <c r="AA93" s="52" t="s">
        <v>102</v>
      </c>
      <c r="AB93" s="52" t="s">
        <v>102</v>
      </c>
      <c r="AC93" s="52" t="s">
        <v>102</v>
      </c>
      <c r="AD93" s="52" t="s">
        <v>102</v>
      </c>
      <c r="AE93" s="52" t="s">
        <v>102</v>
      </c>
      <c r="AF93" s="52" t="s">
        <v>102</v>
      </c>
      <c r="AG93" s="52" t="s">
        <v>102</v>
      </c>
      <c r="AH93" s="52" t="s">
        <v>102</v>
      </c>
      <c r="AI93" s="52" t="s">
        <v>102</v>
      </c>
      <c r="AJ93" s="52" t="s">
        <v>102</v>
      </c>
      <c r="AK93" s="52" t="s">
        <v>102</v>
      </c>
      <c r="AL93" s="52" t="s">
        <v>102</v>
      </c>
      <c r="AM93" s="53" t="s">
        <v>262</v>
      </c>
      <c r="AN93" s="52" t="s">
        <v>102</v>
      </c>
      <c r="AO93" s="53">
        <v>54</v>
      </c>
      <c r="AP93" s="53">
        <v>70</v>
      </c>
      <c r="AQ93" s="53">
        <v>110</v>
      </c>
      <c r="AR93" s="53" t="s">
        <v>262</v>
      </c>
      <c r="AS93" s="52" t="s">
        <v>102</v>
      </c>
      <c r="AT93" s="52" t="s">
        <v>262</v>
      </c>
      <c r="AU93" s="52">
        <v>50</v>
      </c>
      <c r="AV93" s="52">
        <v>60</v>
      </c>
      <c r="AW93" s="52">
        <v>50</v>
      </c>
      <c r="AX93" s="51" t="s">
        <v>102</v>
      </c>
      <c r="AY93" s="53" t="s">
        <v>262</v>
      </c>
      <c r="AZ93" s="53">
        <v>50</v>
      </c>
      <c r="BA93" s="53" t="s">
        <v>262</v>
      </c>
      <c r="BB93" s="53">
        <v>100</v>
      </c>
      <c r="BC93" s="53" t="s">
        <v>102</v>
      </c>
      <c r="BD93" s="53" t="s">
        <v>102</v>
      </c>
      <c r="BE93" s="53" t="s">
        <v>102</v>
      </c>
      <c r="BF93" s="53" t="s">
        <v>102</v>
      </c>
      <c r="BG93" s="53" t="s">
        <v>102</v>
      </c>
      <c r="BH93" s="53" t="s">
        <v>264</v>
      </c>
      <c r="BI93" s="53" t="s">
        <v>102</v>
      </c>
      <c r="BJ93" s="53">
        <v>10</v>
      </c>
      <c r="BK93" s="53" t="s">
        <v>262</v>
      </c>
      <c r="BL93" s="53" t="s">
        <v>102</v>
      </c>
      <c r="BM93" s="53" t="s">
        <v>262</v>
      </c>
      <c r="BN93" s="53" t="s">
        <v>262</v>
      </c>
      <c r="BO93" s="53">
        <v>30</v>
      </c>
      <c r="BP93" s="53">
        <v>40</v>
      </c>
      <c r="BQ93" s="53">
        <v>10</v>
      </c>
      <c r="BR93" s="53" t="s">
        <v>262</v>
      </c>
      <c r="BS93" s="53" t="s">
        <v>262</v>
      </c>
      <c r="BT93" s="53">
        <v>1500</v>
      </c>
      <c r="BU93" s="53">
        <v>25</v>
      </c>
      <c r="BV93" s="53">
        <v>200</v>
      </c>
      <c r="BW93" s="53">
        <v>75</v>
      </c>
      <c r="BX93" s="53">
        <v>400</v>
      </c>
      <c r="BY93" s="53">
        <v>75</v>
      </c>
      <c r="BZ93" s="53">
        <v>400</v>
      </c>
      <c r="CA93" s="53">
        <v>25</v>
      </c>
      <c r="CB93" s="53">
        <v>25</v>
      </c>
      <c r="CC93" s="53">
        <v>25</v>
      </c>
      <c r="CD93" s="53">
        <v>25</v>
      </c>
      <c r="CE93" s="53">
        <v>25</v>
      </c>
      <c r="CF93" s="53">
        <v>25</v>
      </c>
      <c r="CG93" s="53">
        <v>25</v>
      </c>
      <c r="CH93" s="53">
        <v>25</v>
      </c>
      <c r="CI93" s="53">
        <v>25</v>
      </c>
      <c r="CJ93" s="53">
        <v>25</v>
      </c>
      <c r="CK93" s="53">
        <v>25</v>
      </c>
      <c r="CL93" s="53">
        <v>25</v>
      </c>
      <c r="CM93" s="53">
        <v>25</v>
      </c>
      <c r="CN93" s="206"/>
      <c r="CO93" s="206"/>
      <c r="CP93" s="206"/>
      <c r="CQ93" s="8">
        <f t="shared" si="42"/>
        <v>10</v>
      </c>
      <c r="CR93" s="8">
        <f t="shared" si="43"/>
        <v>1500</v>
      </c>
      <c r="CS93" s="8">
        <f t="shared" si="44"/>
        <v>113.5625</v>
      </c>
      <c r="CT93">
        <f t="shared" si="45"/>
        <v>47.232299535150524</v>
      </c>
      <c r="CU93" s="143" t="e">
        <f t="shared" si="46"/>
        <v>#DIV/0!</v>
      </c>
      <c r="CV93" s="143" t="e">
        <f t="shared" si="47"/>
        <v>#DIV/0!</v>
      </c>
      <c r="CW93"/>
      <c r="CX93" s="7">
        <f t="shared" si="48"/>
        <v>18.249999999999996</v>
      </c>
      <c r="CY93" s="7">
        <f t="shared" si="49"/>
        <v>25</v>
      </c>
      <c r="CZ93" s="7">
        <f t="shared" si="50"/>
        <v>25</v>
      </c>
      <c r="DA93" s="7">
        <f t="shared" si="51"/>
        <v>25</v>
      </c>
      <c r="DB93" s="7">
        <f t="shared" si="52"/>
        <v>27.5</v>
      </c>
      <c r="DC93" s="7">
        <f t="shared" si="53"/>
        <v>50</v>
      </c>
      <c r="DD93" s="7">
        <f t="shared" si="54"/>
        <v>50.600000000000009</v>
      </c>
      <c r="DE93" s="7">
        <f t="shared" si="55"/>
        <v>71.25</v>
      </c>
      <c r="DF93" s="7">
        <f t="shared" si="56"/>
        <v>103.49999999999997</v>
      </c>
      <c r="DG93"/>
      <c r="DH93" s="7">
        <f t="shared" si="57"/>
        <v>50</v>
      </c>
      <c r="DI93" s="7">
        <f t="shared" si="58"/>
        <v>50</v>
      </c>
      <c r="DJ93" s="7">
        <f t="shared" si="59"/>
        <v>50</v>
      </c>
      <c r="DK93" s="7">
        <f t="shared" si="60"/>
        <v>51</v>
      </c>
      <c r="DL93" s="7">
        <f t="shared" si="61"/>
        <v>57</v>
      </c>
      <c r="DM93" s="7">
        <f t="shared" si="62"/>
        <v>60</v>
      </c>
      <c r="DN93" s="7">
        <f t="shared" si="63"/>
        <v>62.5</v>
      </c>
      <c r="DO93" s="7">
        <f t="shared" si="64"/>
        <v>67.5</v>
      </c>
      <c r="DP93" s="7">
        <f t="shared" si="65"/>
        <v>80</v>
      </c>
      <c r="DQ93"/>
      <c r="DR93"/>
      <c r="DS93"/>
      <c r="DT93"/>
      <c r="DU93"/>
      <c r="DV93"/>
      <c r="DW93"/>
      <c r="DX93"/>
      <c r="DY93"/>
      <c r="DZ93"/>
    </row>
    <row r="94" spans="1:130" s="7" customFormat="1" ht="25.5" hidden="1" customHeight="1" x14ac:dyDescent="0.25">
      <c r="A94" s="92" t="str">
        <f t="shared" si="66"/>
        <v>CO-WVI [17]</v>
      </c>
      <c r="B94" s="92" t="str">
        <f t="shared" si="67"/>
        <v>West Vancouver Island</v>
      </c>
      <c r="C94" s="93" t="str">
        <f t="shared" si="36"/>
        <v>COLEMAN CREEK_Coho</v>
      </c>
      <c r="D94" s="128" t="s">
        <v>598</v>
      </c>
      <c r="E94" s="128" t="s">
        <v>598</v>
      </c>
      <c r="F94" s="64">
        <v>23</v>
      </c>
      <c r="G94" s="72" t="s">
        <v>117</v>
      </c>
      <c r="H94" s="65" t="s">
        <v>93</v>
      </c>
      <c r="I94" s="119"/>
      <c r="J94" s="119"/>
      <c r="K94" s="64">
        <v>4</v>
      </c>
      <c r="L94" s="52">
        <v>9</v>
      </c>
      <c r="M94" s="52">
        <v>2</v>
      </c>
      <c r="N94" s="52">
        <f t="shared" si="37"/>
        <v>22.360679774997898</v>
      </c>
      <c r="O94" s="52">
        <f t="shared" si="38"/>
        <v>300</v>
      </c>
      <c r="P94" s="52">
        <f t="shared" si="39"/>
        <v>41.594634407785826</v>
      </c>
      <c r="Q94" s="66"/>
      <c r="R94" s="39"/>
      <c r="S94" s="76" t="s">
        <v>327</v>
      </c>
      <c r="T94" s="81" t="e">
        <f t="shared" si="40"/>
        <v>#DIV/0!</v>
      </c>
      <c r="U94" s="81" t="e">
        <f t="shared" si="41"/>
        <v>#DIV/0!</v>
      </c>
      <c r="V94" s="52" t="s">
        <v>102</v>
      </c>
      <c r="W94" s="52" t="s">
        <v>102</v>
      </c>
      <c r="X94" s="52" t="s">
        <v>102</v>
      </c>
      <c r="Y94" s="52" t="s">
        <v>102</v>
      </c>
      <c r="Z94" s="52" t="s">
        <v>102</v>
      </c>
      <c r="AA94" s="52" t="s">
        <v>102</v>
      </c>
      <c r="AB94" s="52" t="s">
        <v>102</v>
      </c>
      <c r="AC94" s="52" t="s">
        <v>102</v>
      </c>
      <c r="AD94" s="52" t="s">
        <v>102</v>
      </c>
      <c r="AE94" s="52" t="s">
        <v>102</v>
      </c>
      <c r="AF94" s="52" t="s">
        <v>102</v>
      </c>
      <c r="AG94" s="52" t="s">
        <v>102</v>
      </c>
      <c r="AH94" s="52" t="s">
        <v>102</v>
      </c>
      <c r="AI94" s="52" t="s">
        <v>102</v>
      </c>
      <c r="AJ94" s="52" t="s">
        <v>102</v>
      </c>
      <c r="AK94" s="52" t="s">
        <v>102</v>
      </c>
      <c r="AL94" s="52" t="s">
        <v>102</v>
      </c>
      <c r="AM94" s="53" t="s">
        <v>262</v>
      </c>
      <c r="AN94" s="52" t="s">
        <v>102</v>
      </c>
      <c r="AO94" s="53" t="s">
        <v>262</v>
      </c>
      <c r="AP94" s="53" t="s">
        <v>262</v>
      </c>
      <c r="AQ94" s="53" t="s">
        <v>262</v>
      </c>
      <c r="AR94" s="53" t="s">
        <v>262</v>
      </c>
      <c r="AS94" s="52" t="s">
        <v>102</v>
      </c>
      <c r="AT94" s="52" t="s">
        <v>262</v>
      </c>
      <c r="AU94" s="52" t="s">
        <v>262</v>
      </c>
      <c r="AV94" s="52">
        <v>25</v>
      </c>
      <c r="AW94" s="52">
        <v>20</v>
      </c>
      <c r="AX94" s="51" t="s">
        <v>102</v>
      </c>
      <c r="AY94" s="53" t="s">
        <v>262</v>
      </c>
      <c r="AZ94" s="53">
        <v>300</v>
      </c>
      <c r="BA94" s="53">
        <v>10</v>
      </c>
      <c r="BB94" s="53" t="s">
        <v>264</v>
      </c>
      <c r="BC94" s="53" t="s">
        <v>102</v>
      </c>
      <c r="BD94" s="53" t="s">
        <v>102</v>
      </c>
      <c r="BE94" s="53" t="s">
        <v>102</v>
      </c>
      <c r="BF94" s="53" t="s">
        <v>102</v>
      </c>
      <c r="BG94" s="53" t="s">
        <v>102</v>
      </c>
      <c r="BH94" s="53" t="s">
        <v>264</v>
      </c>
      <c r="BI94" s="53" t="s">
        <v>102</v>
      </c>
      <c r="BJ94" s="53">
        <v>36</v>
      </c>
      <c r="BK94" s="53" t="s">
        <v>262</v>
      </c>
      <c r="BL94" s="53" t="s">
        <v>102</v>
      </c>
      <c r="BM94" s="53">
        <v>50</v>
      </c>
      <c r="BN94" s="53">
        <v>150</v>
      </c>
      <c r="BO94" s="53">
        <v>60</v>
      </c>
      <c r="BP94" s="53">
        <v>45</v>
      </c>
      <c r="BQ94" s="53">
        <v>75</v>
      </c>
      <c r="BR94" s="53">
        <v>25</v>
      </c>
      <c r="BS94" s="53">
        <v>200</v>
      </c>
      <c r="BT94" s="53">
        <v>75</v>
      </c>
      <c r="BU94" s="53">
        <v>25</v>
      </c>
      <c r="BV94" s="53">
        <v>200</v>
      </c>
      <c r="BW94" s="53">
        <v>75</v>
      </c>
      <c r="BX94" s="53">
        <v>200</v>
      </c>
      <c r="BY94" s="53">
        <v>25</v>
      </c>
      <c r="BZ94" s="53">
        <v>25</v>
      </c>
      <c r="CA94" s="53">
        <v>25</v>
      </c>
      <c r="CB94" s="53">
        <v>75</v>
      </c>
      <c r="CC94" s="53">
        <v>25</v>
      </c>
      <c r="CD94" s="53">
        <v>25</v>
      </c>
      <c r="CE94" s="53">
        <v>25</v>
      </c>
      <c r="CF94" s="53">
        <v>25</v>
      </c>
      <c r="CG94" s="53">
        <v>25</v>
      </c>
      <c r="CH94" s="53">
        <v>25</v>
      </c>
      <c r="CI94" s="53">
        <v>25</v>
      </c>
      <c r="CJ94" s="53">
        <v>25</v>
      </c>
      <c r="CK94" s="53">
        <v>25</v>
      </c>
      <c r="CL94" s="53">
        <v>25</v>
      </c>
      <c r="CM94" s="53">
        <v>25</v>
      </c>
      <c r="CN94" s="206"/>
      <c r="CO94" s="206"/>
      <c r="CP94" s="206"/>
      <c r="CQ94" s="8">
        <f t="shared" si="42"/>
        <v>10</v>
      </c>
      <c r="CR94" s="8">
        <f t="shared" si="43"/>
        <v>300</v>
      </c>
      <c r="CS94" s="8">
        <f t="shared" si="44"/>
        <v>62.375</v>
      </c>
      <c r="CT94">
        <f t="shared" si="45"/>
        <v>41.594634407785826</v>
      </c>
      <c r="CU94" s="143" t="e">
        <f t="shared" si="46"/>
        <v>#DIV/0!</v>
      </c>
      <c r="CV94" s="143" t="e">
        <f t="shared" si="47"/>
        <v>#DIV/0!</v>
      </c>
      <c r="CW94"/>
      <c r="CX94" s="7">
        <f t="shared" si="48"/>
        <v>22.75</v>
      </c>
      <c r="CY94" s="7">
        <f t="shared" si="49"/>
        <v>25</v>
      </c>
      <c r="CZ94" s="7">
        <f t="shared" si="50"/>
        <v>25</v>
      </c>
      <c r="DA94" s="7">
        <f t="shared" si="51"/>
        <v>25</v>
      </c>
      <c r="DB94" s="7">
        <f t="shared" si="52"/>
        <v>25</v>
      </c>
      <c r="DC94" s="7">
        <f t="shared" si="53"/>
        <v>31.599999999999977</v>
      </c>
      <c r="DD94" s="7">
        <f t="shared" si="54"/>
        <v>45.750000000000014</v>
      </c>
      <c r="DE94" s="7">
        <f t="shared" si="55"/>
        <v>75</v>
      </c>
      <c r="DF94" s="7">
        <f t="shared" si="56"/>
        <v>101.24999999999984</v>
      </c>
      <c r="DG94"/>
      <c r="DH94" s="7">
        <f t="shared" si="57"/>
        <v>20.25</v>
      </c>
      <c r="DI94" s="7">
        <f t="shared" si="58"/>
        <v>20.75</v>
      </c>
      <c r="DJ94" s="7">
        <f t="shared" si="59"/>
        <v>21</v>
      </c>
      <c r="DK94" s="7">
        <f t="shared" si="60"/>
        <v>21.25</v>
      </c>
      <c r="DL94" s="7">
        <f t="shared" si="61"/>
        <v>22.5</v>
      </c>
      <c r="DM94" s="7">
        <f t="shared" si="62"/>
        <v>23</v>
      </c>
      <c r="DN94" s="7">
        <f t="shared" si="63"/>
        <v>23.25</v>
      </c>
      <c r="DO94" s="7">
        <f t="shared" si="64"/>
        <v>23.75</v>
      </c>
      <c r="DP94" s="7">
        <f t="shared" si="65"/>
        <v>24.25</v>
      </c>
      <c r="DQ94"/>
      <c r="DR94"/>
      <c r="DS94"/>
      <c r="DT94"/>
      <c r="DU94"/>
      <c r="DV94"/>
      <c r="DW94"/>
      <c r="DX94"/>
      <c r="DY94"/>
      <c r="DZ94"/>
    </row>
    <row r="95" spans="1:130" s="7" customFormat="1" ht="25.5" customHeight="1" x14ac:dyDescent="0.25">
      <c r="A95" s="92" t="str">
        <f t="shared" si="66"/>
        <v>CK-SWVI [31]</v>
      </c>
      <c r="B95" s="92" t="str">
        <f t="shared" si="67"/>
        <v>Southwest Vancouver Island</v>
      </c>
      <c r="C95" s="93" t="str">
        <f t="shared" si="36"/>
        <v>CONSINKA CREEK_Chinook</v>
      </c>
      <c r="D95" s="128" t="s">
        <v>598</v>
      </c>
      <c r="E95" s="128" t="s">
        <v>598</v>
      </c>
      <c r="F95" s="64">
        <v>23</v>
      </c>
      <c r="G95" s="72" t="s">
        <v>115</v>
      </c>
      <c r="H95" s="65" t="s">
        <v>97</v>
      </c>
      <c r="I95" s="119"/>
      <c r="J95" s="119"/>
      <c r="K95" s="64">
        <v>4</v>
      </c>
      <c r="L95" s="52">
        <v>10</v>
      </c>
      <c r="M95" s="52">
        <v>1</v>
      </c>
      <c r="N95" s="52">
        <f t="shared" si="37"/>
        <v>6</v>
      </c>
      <c r="O95" s="52">
        <f t="shared" si="38"/>
        <v>6</v>
      </c>
      <c r="P95" s="52">
        <f t="shared" si="39"/>
        <v>6</v>
      </c>
      <c r="Q95" s="66"/>
      <c r="R95" s="39"/>
      <c r="S95" s="74" t="s">
        <v>327</v>
      </c>
      <c r="T95" s="81" t="e">
        <f t="shared" si="40"/>
        <v>#DIV/0!</v>
      </c>
      <c r="U95" s="81" t="e">
        <f t="shared" si="41"/>
        <v>#DIV/0!</v>
      </c>
      <c r="V95" s="52" t="s">
        <v>102</v>
      </c>
      <c r="W95" s="52" t="s">
        <v>262</v>
      </c>
      <c r="X95" s="52" t="s">
        <v>102</v>
      </c>
      <c r="Y95" s="52" t="s">
        <v>102</v>
      </c>
      <c r="Z95" s="52" t="s">
        <v>102</v>
      </c>
      <c r="AA95" s="52" t="s">
        <v>102</v>
      </c>
      <c r="AB95" s="52" t="s">
        <v>102</v>
      </c>
      <c r="AC95" s="52" t="s">
        <v>102</v>
      </c>
      <c r="AD95" s="52" t="s">
        <v>102</v>
      </c>
      <c r="AE95" s="52" t="s">
        <v>102</v>
      </c>
      <c r="AF95" s="52" t="s">
        <v>102</v>
      </c>
      <c r="AG95" s="52" t="s">
        <v>262</v>
      </c>
      <c r="AH95" s="52" t="s">
        <v>102</v>
      </c>
      <c r="AI95" s="52" t="s">
        <v>102</v>
      </c>
      <c r="AJ95" s="52" t="s">
        <v>102</v>
      </c>
      <c r="AK95" s="52" t="s">
        <v>102</v>
      </c>
      <c r="AL95" s="52" t="s">
        <v>102</v>
      </c>
      <c r="AM95" s="53" t="s">
        <v>262</v>
      </c>
      <c r="AN95" s="52" t="s">
        <v>262</v>
      </c>
      <c r="AO95" s="57" t="s">
        <v>262</v>
      </c>
      <c r="AP95" s="53" t="s">
        <v>262</v>
      </c>
      <c r="AQ95" s="53" t="s">
        <v>262</v>
      </c>
      <c r="AR95" s="53" t="s">
        <v>262</v>
      </c>
      <c r="AS95" s="52" t="s">
        <v>262</v>
      </c>
      <c r="AT95" s="52" t="s">
        <v>262</v>
      </c>
      <c r="AU95" s="52" t="s">
        <v>262</v>
      </c>
      <c r="AV95" s="52" t="s">
        <v>102</v>
      </c>
      <c r="AW95" s="52">
        <v>6</v>
      </c>
      <c r="AX95" s="51" t="s">
        <v>102</v>
      </c>
      <c r="AY95" s="53" t="s">
        <v>264</v>
      </c>
      <c r="AZ95" s="53" t="s">
        <v>102</v>
      </c>
      <c r="BA95" s="53" t="s">
        <v>264</v>
      </c>
      <c r="BB95" s="53" t="s">
        <v>264</v>
      </c>
      <c r="BC95" s="53" t="s">
        <v>102</v>
      </c>
      <c r="BD95" s="53" t="s">
        <v>102</v>
      </c>
      <c r="BE95" s="53" t="s">
        <v>102</v>
      </c>
      <c r="BF95" s="53" t="s">
        <v>264</v>
      </c>
      <c r="BG95" s="53" t="s">
        <v>264</v>
      </c>
      <c r="BH95" s="53" t="s">
        <v>262</v>
      </c>
      <c r="BI95" s="53" t="s">
        <v>102</v>
      </c>
      <c r="BJ95" s="53" t="s">
        <v>264</v>
      </c>
      <c r="BK95" s="53" t="s">
        <v>264</v>
      </c>
      <c r="BL95" s="53" t="s">
        <v>102</v>
      </c>
      <c r="BM95" s="53" t="s">
        <v>264</v>
      </c>
      <c r="BN95" s="53" t="s">
        <v>264</v>
      </c>
      <c r="BO95" s="53" t="s">
        <v>264</v>
      </c>
      <c r="BP95" s="53" t="s">
        <v>264</v>
      </c>
      <c r="BQ95" s="53" t="s">
        <v>264</v>
      </c>
      <c r="BR95" s="53" t="s">
        <v>264</v>
      </c>
      <c r="BS95" s="53" t="s">
        <v>264</v>
      </c>
      <c r="BT95" s="53" t="s">
        <v>264</v>
      </c>
      <c r="BU95" s="53" t="s">
        <v>264</v>
      </c>
      <c r="BV95" s="53" t="s">
        <v>264</v>
      </c>
      <c r="BW95" s="53" t="s">
        <v>264</v>
      </c>
      <c r="BX95" s="53" t="s">
        <v>264</v>
      </c>
      <c r="BY95" s="53" t="s">
        <v>264</v>
      </c>
      <c r="BZ95" s="53" t="s">
        <v>264</v>
      </c>
      <c r="CA95" s="53" t="s">
        <v>264</v>
      </c>
      <c r="CB95" s="53" t="s">
        <v>264</v>
      </c>
      <c r="CC95" s="53" t="s">
        <v>264</v>
      </c>
      <c r="CD95" s="53" t="s">
        <v>264</v>
      </c>
      <c r="CE95" s="53" t="s">
        <v>264</v>
      </c>
      <c r="CF95" s="53" t="s">
        <v>264</v>
      </c>
      <c r="CG95" s="53" t="s">
        <v>264</v>
      </c>
      <c r="CH95" s="53" t="s">
        <v>264</v>
      </c>
      <c r="CI95" s="53" t="s">
        <v>264</v>
      </c>
      <c r="CJ95" s="53" t="s">
        <v>264</v>
      </c>
      <c r="CK95" s="53" t="s">
        <v>264</v>
      </c>
      <c r="CL95" s="53" t="s">
        <v>264</v>
      </c>
      <c r="CM95" s="53" t="s">
        <v>264</v>
      </c>
      <c r="CN95" s="206"/>
      <c r="CO95" s="206"/>
      <c r="CP95" s="206"/>
      <c r="CQ95" s="8">
        <f t="shared" si="42"/>
        <v>6</v>
      </c>
      <c r="CR95" s="8">
        <f t="shared" si="43"/>
        <v>6</v>
      </c>
      <c r="CS95" s="8">
        <f t="shared" si="44"/>
        <v>6</v>
      </c>
      <c r="CT95">
        <f t="shared" si="45"/>
        <v>6</v>
      </c>
      <c r="CU95" s="143" t="e">
        <f t="shared" si="46"/>
        <v>#DIV/0!</v>
      </c>
      <c r="CV95" s="143" t="e">
        <f t="shared" si="47"/>
        <v>#DIV/0!</v>
      </c>
      <c r="CW95"/>
      <c r="CX95" s="7">
        <f t="shared" si="48"/>
        <v>6</v>
      </c>
      <c r="CY95" s="7">
        <f t="shared" si="49"/>
        <v>6</v>
      </c>
      <c r="CZ95" s="7">
        <f t="shared" si="50"/>
        <v>6</v>
      </c>
      <c r="DA95" s="7">
        <f t="shared" si="51"/>
        <v>6</v>
      </c>
      <c r="DB95" s="7">
        <f t="shared" si="52"/>
        <v>6</v>
      </c>
      <c r="DC95" s="7">
        <f t="shared" si="53"/>
        <v>6</v>
      </c>
      <c r="DD95" s="7">
        <f t="shared" si="54"/>
        <v>6</v>
      </c>
      <c r="DE95" s="7">
        <f t="shared" si="55"/>
        <v>6</v>
      </c>
      <c r="DF95" s="7">
        <f t="shared" si="56"/>
        <v>6</v>
      </c>
      <c r="DG95"/>
      <c r="DH95" s="7">
        <f t="shared" si="57"/>
        <v>6</v>
      </c>
      <c r="DI95" s="7">
        <f t="shared" si="58"/>
        <v>6</v>
      </c>
      <c r="DJ95" s="7">
        <f t="shared" si="59"/>
        <v>6</v>
      </c>
      <c r="DK95" s="7">
        <f t="shared" si="60"/>
        <v>6</v>
      </c>
      <c r="DL95" s="7">
        <f t="shared" si="61"/>
        <v>6</v>
      </c>
      <c r="DM95" s="7">
        <f t="shared" si="62"/>
        <v>6</v>
      </c>
      <c r="DN95" s="7">
        <f t="shared" si="63"/>
        <v>6</v>
      </c>
      <c r="DO95" s="7">
        <f t="shared" si="64"/>
        <v>6</v>
      </c>
      <c r="DP95" s="7">
        <f t="shared" si="65"/>
        <v>6</v>
      </c>
      <c r="DQ95"/>
      <c r="DR95"/>
      <c r="DS95"/>
      <c r="DT95"/>
      <c r="DU95"/>
      <c r="DV95"/>
      <c r="DW95"/>
      <c r="DX95"/>
      <c r="DY95"/>
      <c r="DZ95"/>
    </row>
    <row r="96" spans="1:130" s="7" customFormat="1" ht="25.5" hidden="1" customHeight="1" x14ac:dyDescent="0.25">
      <c r="A96" s="92" t="str">
        <f t="shared" si="66"/>
        <v>CM-SWVI [10]</v>
      </c>
      <c r="B96" s="92" t="str">
        <f t="shared" si="67"/>
        <v>Southwest Vancouver Island</v>
      </c>
      <c r="C96" s="93" t="str">
        <f t="shared" si="36"/>
        <v>CONSINKA CREEK_Chum</v>
      </c>
      <c r="D96" s="128" t="s">
        <v>598</v>
      </c>
      <c r="E96" s="128" t="s">
        <v>598</v>
      </c>
      <c r="F96" s="64">
        <v>23</v>
      </c>
      <c r="G96" s="72" t="s">
        <v>115</v>
      </c>
      <c r="H96" s="65" t="s">
        <v>96</v>
      </c>
      <c r="I96" s="119"/>
      <c r="J96" s="119"/>
      <c r="K96" s="64">
        <v>4</v>
      </c>
      <c r="L96" s="52">
        <v>10</v>
      </c>
      <c r="M96" s="52">
        <v>9</v>
      </c>
      <c r="N96" s="52">
        <f t="shared" si="37"/>
        <v>157.35773337467103</v>
      </c>
      <c r="O96" s="52">
        <f t="shared" si="38"/>
        <v>1500</v>
      </c>
      <c r="P96" s="52">
        <f t="shared" si="39"/>
        <v>296.94118252295073</v>
      </c>
      <c r="Q96" s="66"/>
      <c r="R96" s="39"/>
      <c r="S96" s="76" t="s">
        <v>327</v>
      </c>
      <c r="T96" s="81" t="e">
        <f t="shared" si="40"/>
        <v>#DIV/0!</v>
      </c>
      <c r="U96" s="81">
        <f t="shared" si="41"/>
        <v>320</v>
      </c>
      <c r="V96" s="52" t="s">
        <v>102</v>
      </c>
      <c r="W96" s="52" t="s">
        <v>262</v>
      </c>
      <c r="X96" s="52" t="s">
        <v>102</v>
      </c>
      <c r="Y96" s="52" t="s">
        <v>102</v>
      </c>
      <c r="Z96" s="52" t="s">
        <v>102</v>
      </c>
      <c r="AA96" s="52" t="s">
        <v>102</v>
      </c>
      <c r="AB96" s="52" t="s">
        <v>102</v>
      </c>
      <c r="AC96" s="52" t="s">
        <v>102</v>
      </c>
      <c r="AD96" s="52" t="s">
        <v>102</v>
      </c>
      <c r="AE96" s="52" t="s">
        <v>102</v>
      </c>
      <c r="AF96" s="52" t="s">
        <v>102</v>
      </c>
      <c r="AG96" s="144">
        <v>320</v>
      </c>
      <c r="AH96" s="52" t="s">
        <v>102</v>
      </c>
      <c r="AI96" s="52" t="s">
        <v>102</v>
      </c>
      <c r="AJ96" s="52" t="s">
        <v>102</v>
      </c>
      <c r="AK96" s="52" t="s">
        <v>102</v>
      </c>
      <c r="AL96" s="52" t="s">
        <v>102</v>
      </c>
      <c r="AM96" s="52">
        <v>680</v>
      </c>
      <c r="AN96" s="52">
        <v>50</v>
      </c>
      <c r="AO96" s="53">
        <v>333</v>
      </c>
      <c r="AP96" s="53">
        <v>311</v>
      </c>
      <c r="AQ96" s="53">
        <v>160</v>
      </c>
      <c r="AR96" s="53">
        <v>60</v>
      </c>
      <c r="AS96" s="52" t="s">
        <v>262</v>
      </c>
      <c r="AT96" s="52">
        <v>1000</v>
      </c>
      <c r="AU96" s="52">
        <v>35</v>
      </c>
      <c r="AV96" s="52" t="s">
        <v>102</v>
      </c>
      <c r="AW96" s="52">
        <v>50</v>
      </c>
      <c r="AX96" s="51" t="s">
        <v>102</v>
      </c>
      <c r="AY96" s="53" t="s">
        <v>263</v>
      </c>
      <c r="AZ96" s="53" t="s">
        <v>102</v>
      </c>
      <c r="BA96" s="53" t="s">
        <v>262</v>
      </c>
      <c r="BB96" s="53">
        <v>20</v>
      </c>
      <c r="BC96" s="53" t="s">
        <v>102</v>
      </c>
      <c r="BD96" s="53" t="s">
        <v>102</v>
      </c>
      <c r="BE96" s="53" t="s">
        <v>102</v>
      </c>
      <c r="BF96" s="53">
        <v>100</v>
      </c>
      <c r="BG96" s="53">
        <v>700</v>
      </c>
      <c r="BH96" s="53" t="s">
        <v>264</v>
      </c>
      <c r="BI96" s="53" t="s">
        <v>102</v>
      </c>
      <c r="BJ96" s="53">
        <v>550</v>
      </c>
      <c r="BK96" s="53" t="s">
        <v>262</v>
      </c>
      <c r="BL96" s="53" t="s">
        <v>102</v>
      </c>
      <c r="BM96" s="53">
        <v>200</v>
      </c>
      <c r="BN96" s="53">
        <v>1000</v>
      </c>
      <c r="BO96" s="53">
        <v>900</v>
      </c>
      <c r="BP96" s="53">
        <v>500</v>
      </c>
      <c r="BQ96" s="53">
        <v>400</v>
      </c>
      <c r="BR96" s="53">
        <v>750</v>
      </c>
      <c r="BS96" s="53">
        <v>500</v>
      </c>
      <c r="BT96" s="53">
        <v>750</v>
      </c>
      <c r="BU96" s="53">
        <v>400</v>
      </c>
      <c r="BV96" s="53">
        <v>750</v>
      </c>
      <c r="BW96" s="53">
        <v>400</v>
      </c>
      <c r="BX96" s="53">
        <v>750</v>
      </c>
      <c r="BY96" s="53">
        <v>200</v>
      </c>
      <c r="BZ96" s="53">
        <v>400</v>
      </c>
      <c r="CA96" s="53">
        <v>200</v>
      </c>
      <c r="CB96" s="53">
        <v>75</v>
      </c>
      <c r="CC96" s="53">
        <v>200</v>
      </c>
      <c r="CD96" s="53">
        <v>200</v>
      </c>
      <c r="CE96" s="53">
        <v>200</v>
      </c>
      <c r="CF96" s="53">
        <v>200</v>
      </c>
      <c r="CG96" s="53">
        <v>750</v>
      </c>
      <c r="CH96" s="53">
        <v>200</v>
      </c>
      <c r="CI96" s="53">
        <v>200</v>
      </c>
      <c r="CJ96" s="53">
        <v>400</v>
      </c>
      <c r="CK96" s="53">
        <v>750</v>
      </c>
      <c r="CL96" s="53">
        <v>1500</v>
      </c>
      <c r="CM96" s="53">
        <v>750</v>
      </c>
      <c r="CN96" s="206"/>
      <c r="CO96" s="206"/>
      <c r="CP96" s="206"/>
      <c r="CQ96" s="8">
        <f t="shared" si="42"/>
        <v>20</v>
      </c>
      <c r="CR96" s="8">
        <f t="shared" si="43"/>
        <v>1500</v>
      </c>
      <c r="CS96" s="8">
        <f t="shared" si="44"/>
        <v>436.4390243902439</v>
      </c>
      <c r="CT96">
        <f t="shared" si="45"/>
        <v>297.48331865055667</v>
      </c>
      <c r="CU96" s="143" t="e">
        <f t="shared" si="46"/>
        <v>#DIV/0!</v>
      </c>
      <c r="CV96" s="143">
        <f t="shared" si="47"/>
        <v>320</v>
      </c>
      <c r="CW96"/>
      <c r="CX96" s="7">
        <f t="shared" si="48"/>
        <v>50</v>
      </c>
      <c r="CY96" s="7">
        <f t="shared" si="49"/>
        <v>100</v>
      </c>
      <c r="CZ96" s="7">
        <f t="shared" si="50"/>
        <v>200</v>
      </c>
      <c r="DA96" s="7">
        <f t="shared" si="51"/>
        <v>200</v>
      </c>
      <c r="DB96" s="7">
        <f t="shared" si="52"/>
        <v>400</v>
      </c>
      <c r="DC96" s="7">
        <f t="shared" si="53"/>
        <v>400</v>
      </c>
      <c r="DD96" s="7">
        <f t="shared" si="54"/>
        <v>500</v>
      </c>
      <c r="DE96" s="7">
        <f t="shared" si="55"/>
        <v>750</v>
      </c>
      <c r="DF96" s="7">
        <f t="shared" si="56"/>
        <v>750</v>
      </c>
      <c r="DG96"/>
      <c r="DH96" s="7">
        <f t="shared" si="57"/>
        <v>41.75</v>
      </c>
      <c r="DI96" s="7">
        <f t="shared" si="58"/>
        <v>50</v>
      </c>
      <c r="DJ96" s="7">
        <f t="shared" si="59"/>
        <v>50</v>
      </c>
      <c r="DK96" s="7">
        <f t="shared" si="60"/>
        <v>52.5</v>
      </c>
      <c r="DL96" s="7">
        <f t="shared" si="61"/>
        <v>235.5</v>
      </c>
      <c r="DM96" s="7">
        <f t="shared" si="62"/>
        <v>314.60000000000002</v>
      </c>
      <c r="DN96" s="7">
        <f t="shared" si="63"/>
        <v>318.64999999999998</v>
      </c>
      <c r="DO96" s="7">
        <f t="shared" si="64"/>
        <v>329.75</v>
      </c>
      <c r="DP96" s="7">
        <f t="shared" si="65"/>
        <v>558.5499999999995</v>
      </c>
      <c r="DQ96"/>
      <c r="DR96"/>
      <c r="DS96"/>
      <c r="DT96"/>
      <c r="DU96"/>
      <c r="DV96"/>
      <c r="DW96"/>
      <c r="DX96"/>
      <c r="DY96"/>
      <c r="DZ96"/>
    </row>
    <row r="97" spans="1:130" s="7" customFormat="1" ht="25.5" hidden="1" customHeight="1" x14ac:dyDescent="0.25">
      <c r="A97" s="92" t="str">
        <f t="shared" si="66"/>
        <v>CO-WVI [17]</v>
      </c>
      <c r="B97" s="92" t="str">
        <f t="shared" si="67"/>
        <v>West Vancouver Island</v>
      </c>
      <c r="C97" s="93" t="str">
        <f t="shared" si="36"/>
        <v>CONSINKA CREEK_Coho</v>
      </c>
      <c r="D97" s="128" t="s">
        <v>598</v>
      </c>
      <c r="E97" s="128" t="s">
        <v>598</v>
      </c>
      <c r="F97" s="64">
        <v>23</v>
      </c>
      <c r="G97" s="72" t="s">
        <v>115</v>
      </c>
      <c r="H97" s="65" t="s">
        <v>93</v>
      </c>
      <c r="I97" s="119"/>
      <c r="J97" s="119"/>
      <c r="K97" s="64">
        <v>4</v>
      </c>
      <c r="L97" s="52">
        <v>10</v>
      </c>
      <c r="M97" s="52">
        <v>2</v>
      </c>
      <c r="N97" s="52">
        <f t="shared" si="37"/>
        <v>1</v>
      </c>
      <c r="O97" s="52">
        <f t="shared" si="38"/>
        <v>200</v>
      </c>
      <c r="P97" s="52">
        <f t="shared" si="39"/>
        <v>27.661306232019843</v>
      </c>
      <c r="Q97" s="66"/>
      <c r="R97" s="39"/>
      <c r="S97" s="76" t="s">
        <v>327</v>
      </c>
      <c r="T97" s="81">
        <f t="shared" si="40"/>
        <v>2</v>
      </c>
      <c r="U97" s="81">
        <f t="shared" si="41"/>
        <v>2</v>
      </c>
      <c r="V97" s="52" t="s">
        <v>102</v>
      </c>
      <c r="W97" s="52">
        <v>2</v>
      </c>
      <c r="X97" s="52" t="s">
        <v>102</v>
      </c>
      <c r="Y97" s="52" t="s">
        <v>102</v>
      </c>
      <c r="Z97" s="52" t="s">
        <v>102</v>
      </c>
      <c r="AA97" s="52" t="s">
        <v>102</v>
      </c>
      <c r="AB97" s="52" t="s">
        <v>102</v>
      </c>
      <c r="AC97" s="52" t="s">
        <v>102</v>
      </c>
      <c r="AD97" s="52" t="s">
        <v>102</v>
      </c>
      <c r="AE97" s="52" t="s">
        <v>102</v>
      </c>
      <c r="AF97" s="52" t="s">
        <v>102</v>
      </c>
      <c r="AG97" s="52" t="s">
        <v>262</v>
      </c>
      <c r="AH97" s="52" t="s">
        <v>102</v>
      </c>
      <c r="AI97" s="52" t="s">
        <v>102</v>
      </c>
      <c r="AJ97" s="52" t="s">
        <v>102</v>
      </c>
      <c r="AK97" s="52" t="s">
        <v>102</v>
      </c>
      <c r="AL97" s="52" t="s">
        <v>102</v>
      </c>
      <c r="AM97" s="52">
        <v>1</v>
      </c>
      <c r="AN97" s="52" t="s">
        <v>262</v>
      </c>
      <c r="AO97" s="53" t="s">
        <v>262</v>
      </c>
      <c r="AP97" s="53" t="s">
        <v>262</v>
      </c>
      <c r="AQ97" s="53" t="s">
        <v>262</v>
      </c>
      <c r="AR97" s="53" t="s">
        <v>262</v>
      </c>
      <c r="AS97" s="52" t="s">
        <v>262</v>
      </c>
      <c r="AT97" s="52" t="s">
        <v>262</v>
      </c>
      <c r="AU97" s="52" t="s">
        <v>262</v>
      </c>
      <c r="AV97" s="52" t="s">
        <v>102</v>
      </c>
      <c r="AW97" s="52">
        <v>1</v>
      </c>
      <c r="AX97" s="51" t="s">
        <v>102</v>
      </c>
      <c r="AY97" s="53" t="s">
        <v>263</v>
      </c>
      <c r="AZ97" s="53" t="s">
        <v>102</v>
      </c>
      <c r="BA97" s="53" t="s">
        <v>262</v>
      </c>
      <c r="BB97" s="53" t="s">
        <v>264</v>
      </c>
      <c r="BC97" s="53" t="s">
        <v>102</v>
      </c>
      <c r="BD97" s="53" t="s">
        <v>102</v>
      </c>
      <c r="BE97" s="53" t="s">
        <v>102</v>
      </c>
      <c r="BF97" s="53" t="s">
        <v>262</v>
      </c>
      <c r="BG97" s="53" t="s">
        <v>264</v>
      </c>
      <c r="BH97" s="53" t="s">
        <v>264</v>
      </c>
      <c r="BI97" s="53" t="s">
        <v>102</v>
      </c>
      <c r="BJ97" s="53" t="s">
        <v>262</v>
      </c>
      <c r="BK97" s="53" t="s">
        <v>262</v>
      </c>
      <c r="BL97" s="53" t="s">
        <v>102</v>
      </c>
      <c r="BM97" s="53">
        <v>50</v>
      </c>
      <c r="BN97" s="53">
        <v>80</v>
      </c>
      <c r="BO97" s="53">
        <v>120</v>
      </c>
      <c r="BP97" s="53">
        <v>75</v>
      </c>
      <c r="BQ97" s="53">
        <v>40</v>
      </c>
      <c r="BR97" s="53">
        <v>75</v>
      </c>
      <c r="BS97" s="53">
        <v>200</v>
      </c>
      <c r="BT97" s="53">
        <v>25</v>
      </c>
      <c r="BU97" s="53">
        <v>25</v>
      </c>
      <c r="BV97" s="53">
        <v>75</v>
      </c>
      <c r="BW97" s="53">
        <v>25</v>
      </c>
      <c r="BX97" s="53">
        <v>25</v>
      </c>
      <c r="BY97" s="53">
        <v>25</v>
      </c>
      <c r="BZ97" s="53">
        <v>25</v>
      </c>
      <c r="CA97" s="53">
        <v>25</v>
      </c>
      <c r="CB97" s="53">
        <v>25</v>
      </c>
      <c r="CC97" s="53" t="s">
        <v>262</v>
      </c>
      <c r="CD97" s="53">
        <v>25</v>
      </c>
      <c r="CE97" s="53">
        <v>25</v>
      </c>
      <c r="CF97" s="53">
        <v>25</v>
      </c>
      <c r="CG97" s="53">
        <v>25</v>
      </c>
      <c r="CH97" s="53">
        <v>25</v>
      </c>
      <c r="CI97" s="53">
        <v>25</v>
      </c>
      <c r="CJ97" s="53">
        <v>25</v>
      </c>
      <c r="CK97" s="53">
        <v>25</v>
      </c>
      <c r="CL97" s="53">
        <v>25</v>
      </c>
      <c r="CM97" s="53">
        <v>25</v>
      </c>
      <c r="CN97" s="206"/>
      <c r="CO97" s="206"/>
      <c r="CP97" s="206"/>
      <c r="CQ97" s="8">
        <f t="shared" si="42"/>
        <v>1</v>
      </c>
      <c r="CR97" s="8">
        <f t="shared" si="43"/>
        <v>200</v>
      </c>
      <c r="CS97" s="8">
        <f t="shared" si="44"/>
        <v>40.310344827586206</v>
      </c>
      <c r="CT97">
        <f t="shared" si="45"/>
        <v>25.265813240094392</v>
      </c>
      <c r="CU97" s="143">
        <f t="shared" si="46"/>
        <v>2</v>
      </c>
      <c r="CV97" s="143">
        <f t="shared" si="47"/>
        <v>2</v>
      </c>
      <c r="CW97"/>
      <c r="CX97" s="7">
        <f t="shared" si="48"/>
        <v>1.4000000000000004</v>
      </c>
      <c r="CY97" s="7">
        <f t="shared" si="49"/>
        <v>25</v>
      </c>
      <c r="CZ97" s="7">
        <f t="shared" si="50"/>
        <v>25</v>
      </c>
      <c r="DA97" s="7">
        <f t="shared" si="51"/>
        <v>25</v>
      </c>
      <c r="DB97" s="7">
        <f t="shared" si="52"/>
        <v>25</v>
      </c>
      <c r="DC97" s="7">
        <f t="shared" si="53"/>
        <v>25</v>
      </c>
      <c r="DD97" s="7">
        <f t="shared" si="54"/>
        <v>25</v>
      </c>
      <c r="DE97" s="7">
        <f t="shared" si="55"/>
        <v>40</v>
      </c>
      <c r="DF97" s="7">
        <f t="shared" si="56"/>
        <v>75</v>
      </c>
      <c r="DG97"/>
      <c r="DH97" s="7">
        <f t="shared" si="57"/>
        <v>1</v>
      </c>
      <c r="DI97" s="7">
        <f t="shared" si="58"/>
        <v>1</v>
      </c>
      <c r="DJ97" s="7">
        <f t="shared" si="59"/>
        <v>1</v>
      </c>
      <c r="DK97" s="7">
        <f t="shared" si="60"/>
        <v>1</v>
      </c>
      <c r="DL97" s="7">
        <f t="shared" si="61"/>
        <v>1</v>
      </c>
      <c r="DM97" s="7">
        <f t="shared" si="62"/>
        <v>1.2000000000000002</v>
      </c>
      <c r="DN97" s="7">
        <f t="shared" si="63"/>
        <v>1.2999999999999998</v>
      </c>
      <c r="DO97" s="7">
        <f t="shared" si="64"/>
        <v>1.5</v>
      </c>
      <c r="DP97" s="7">
        <f t="shared" si="65"/>
        <v>1.7000000000000002</v>
      </c>
      <c r="DQ97"/>
      <c r="DR97"/>
      <c r="DS97"/>
      <c r="DT97"/>
      <c r="DU97"/>
      <c r="DV97"/>
      <c r="DW97"/>
      <c r="DX97"/>
      <c r="DY97"/>
      <c r="DZ97"/>
    </row>
    <row r="98" spans="1:130" s="7" customFormat="1" ht="25.5" customHeight="1" x14ac:dyDescent="0.25">
      <c r="A98" s="92" t="str">
        <f t="shared" si="66"/>
        <v>CK-SWVI [31]</v>
      </c>
      <c r="B98" s="92" t="str">
        <f t="shared" si="67"/>
        <v>Southwest Vancouver Island</v>
      </c>
      <c r="C98" s="93" t="str">
        <f t="shared" si="36"/>
        <v>COUS CREEK_Chinook</v>
      </c>
      <c r="D98" s="128" t="s">
        <v>598</v>
      </c>
      <c r="E98" s="128" t="s">
        <v>598</v>
      </c>
      <c r="F98" s="64">
        <v>23</v>
      </c>
      <c r="G98" s="72" t="s">
        <v>123</v>
      </c>
      <c r="H98" s="65" t="s">
        <v>97</v>
      </c>
      <c r="I98" s="119"/>
      <c r="J98" s="119"/>
      <c r="K98" s="64">
        <v>4</v>
      </c>
      <c r="L98" s="52">
        <v>11</v>
      </c>
      <c r="M98" s="52">
        <v>0</v>
      </c>
      <c r="N98" s="52" t="e">
        <f t="shared" si="37"/>
        <v>#NUM!</v>
      </c>
      <c r="O98" s="52">
        <f t="shared" si="38"/>
        <v>25</v>
      </c>
      <c r="P98" s="52">
        <f t="shared" si="39"/>
        <v>19.807096178377339</v>
      </c>
      <c r="Q98" s="66"/>
      <c r="R98" s="39"/>
      <c r="S98" s="74" t="s">
        <v>327</v>
      </c>
      <c r="T98" s="81" t="e">
        <f t="shared" si="40"/>
        <v>#DIV/0!</v>
      </c>
      <c r="U98" s="81" t="e">
        <f t="shared" si="41"/>
        <v>#DIV/0!</v>
      </c>
      <c r="V98" s="52" t="s">
        <v>102</v>
      </c>
      <c r="W98" s="52" t="s">
        <v>102</v>
      </c>
      <c r="X98" s="52" t="s">
        <v>102</v>
      </c>
      <c r="Y98" s="54" t="s">
        <v>102</v>
      </c>
      <c r="Z98" s="52" t="s">
        <v>102</v>
      </c>
      <c r="AA98" s="52" t="s">
        <v>262</v>
      </c>
      <c r="AB98" s="144" t="s">
        <v>262</v>
      </c>
      <c r="AC98" s="52" t="s">
        <v>102</v>
      </c>
      <c r="AD98" s="52" t="s">
        <v>102</v>
      </c>
      <c r="AE98" s="144" t="s">
        <v>262</v>
      </c>
      <c r="AF98" s="52" t="s">
        <v>262</v>
      </c>
      <c r="AG98" s="53" t="s">
        <v>262</v>
      </c>
      <c r="AH98" s="52" t="s">
        <v>102</v>
      </c>
      <c r="AI98" s="52" t="s">
        <v>102</v>
      </c>
      <c r="AJ98" s="52" t="s">
        <v>102</v>
      </c>
      <c r="AK98" s="52" t="s">
        <v>102</v>
      </c>
      <c r="AL98" s="52" t="s">
        <v>102</v>
      </c>
      <c r="AM98" s="53" t="s">
        <v>262</v>
      </c>
      <c r="AN98" s="53" t="s">
        <v>262</v>
      </c>
      <c r="AO98" s="53" t="s">
        <v>262</v>
      </c>
      <c r="AP98" s="53" t="s">
        <v>262</v>
      </c>
      <c r="AQ98" s="53" t="s">
        <v>262</v>
      </c>
      <c r="AR98" s="53" t="s">
        <v>262</v>
      </c>
      <c r="AS98" s="52" t="s">
        <v>262</v>
      </c>
      <c r="AT98" s="52" t="s">
        <v>262</v>
      </c>
      <c r="AU98" s="52" t="s">
        <v>262</v>
      </c>
      <c r="AV98" s="52" t="s">
        <v>262</v>
      </c>
      <c r="AW98" s="52" t="s">
        <v>262</v>
      </c>
      <c r="AX98" s="51" t="s">
        <v>264</v>
      </c>
      <c r="AY98" s="53" t="s">
        <v>264</v>
      </c>
      <c r="AZ98" s="53" t="s">
        <v>102</v>
      </c>
      <c r="BA98" s="53" t="s">
        <v>102</v>
      </c>
      <c r="BB98" s="53">
        <v>2</v>
      </c>
      <c r="BC98" s="53" t="s">
        <v>102</v>
      </c>
      <c r="BD98" s="53" t="s">
        <v>102</v>
      </c>
      <c r="BE98" s="53" t="s">
        <v>102</v>
      </c>
      <c r="BF98" s="53" t="s">
        <v>102</v>
      </c>
      <c r="BG98" s="53">
        <v>25</v>
      </c>
      <c r="BH98" s="53" t="s">
        <v>262</v>
      </c>
      <c r="BI98" s="53" t="s">
        <v>264</v>
      </c>
      <c r="BJ98" s="53" t="s">
        <v>264</v>
      </c>
      <c r="BK98" s="53" t="s">
        <v>264</v>
      </c>
      <c r="BL98" s="53" t="s">
        <v>102</v>
      </c>
      <c r="BM98" s="53" t="s">
        <v>262</v>
      </c>
      <c r="BN98" s="53" t="s">
        <v>262</v>
      </c>
      <c r="BO98" s="53">
        <v>20</v>
      </c>
      <c r="BP98" s="53">
        <v>15</v>
      </c>
      <c r="BQ98" s="53">
        <v>25</v>
      </c>
      <c r="BR98" s="53">
        <v>25</v>
      </c>
      <c r="BS98" s="53">
        <v>25</v>
      </c>
      <c r="BT98" s="53">
        <v>25</v>
      </c>
      <c r="BU98" s="53">
        <v>25</v>
      </c>
      <c r="BV98" s="53" t="s">
        <v>262</v>
      </c>
      <c r="BW98" s="53">
        <v>25</v>
      </c>
      <c r="BX98" s="53" t="s">
        <v>264</v>
      </c>
      <c r="BY98" s="53">
        <v>25</v>
      </c>
      <c r="BZ98" s="53">
        <v>25</v>
      </c>
      <c r="CA98" s="53">
        <v>25</v>
      </c>
      <c r="CB98" s="53">
        <v>25</v>
      </c>
      <c r="CC98" s="53" t="s">
        <v>264</v>
      </c>
      <c r="CD98" s="53" t="s">
        <v>264</v>
      </c>
      <c r="CE98" s="53" t="s">
        <v>264</v>
      </c>
      <c r="CF98" s="53" t="s">
        <v>264</v>
      </c>
      <c r="CG98" s="53" t="s">
        <v>264</v>
      </c>
      <c r="CH98" s="53" t="s">
        <v>264</v>
      </c>
      <c r="CI98" s="53" t="s">
        <v>264</v>
      </c>
      <c r="CJ98" s="53" t="s">
        <v>264</v>
      </c>
      <c r="CK98" s="53" t="s">
        <v>264</v>
      </c>
      <c r="CL98" s="53" t="s">
        <v>264</v>
      </c>
      <c r="CM98" s="53" t="s">
        <v>264</v>
      </c>
      <c r="CN98" s="206"/>
      <c r="CO98" s="206"/>
      <c r="CP98" s="206"/>
      <c r="CQ98" s="8">
        <f t="shared" si="42"/>
        <v>2</v>
      </c>
      <c r="CR98" s="8">
        <f t="shared" si="43"/>
        <v>25</v>
      </c>
      <c r="CS98" s="8">
        <f t="shared" si="44"/>
        <v>22.285714285714285</v>
      </c>
      <c r="CT98">
        <f t="shared" si="45"/>
        <v>19.807096178377339</v>
      </c>
      <c r="CU98" s="143" t="e">
        <f t="shared" si="46"/>
        <v>#DIV/0!</v>
      </c>
      <c r="CV98" s="143" t="e">
        <f t="shared" si="47"/>
        <v>#DIV/0!</v>
      </c>
      <c r="CW98"/>
      <c r="CX98" s="7">
        <f t="shared" si="48"/>
        <v>10.45</v>
      </c>
      <c r="CY98" s="7">
        <f t="shared" si="49"/>
        <v>19.75</v>
      </c>
      <c r="CZ98" s="7">
        <f t="shared" si="50"/>
        <v>23</v>
      </c>
      <c r="DA98" s="7">
        <f t="shared" si="51"/>
        <v>25</v>
      </c>
      <c r="DB98" s="7">
        <f t="shared" si="52"/>
        <v>25</v>
      </c>
      <c r="DC98" s="7">
        <f t="shared" si="53"/>
        <v>25</v>
      </c>
      <c r="DD98" s="7">
        <f t="shared" si="54"/>
        <v>25</v>
      </c>
      <c r="DE98" s="7">
        <f t="shared" si="55"/>
        <v>25</v>
      </c>
      <c r="DF98" s="7">
        <f t="shared" si="56"/>
        <v>25</v>
      </c>
      <c r="DG98"/>
      <c r="DH98" s="7" t="e">
        <f t="shared" si="57"/>
        <v>#NUM!</v>
      </c>
      <c r="DI98" s="7" t="e">
        <f t="shared" si="58"/>
        <v>#NUM!</v>
      </c>
      <c r="DJ98" s="7" t="e">
        <f t="shared" si="59"/>
        <v>#NUM!</v>
      </c>
      <c r="DK98" s="7" t="e">
        <f t="shared" si="60"/>
        <v>#NUM!</v>
      </c>
      <c r="DL98" s="7" t="e">
        <f t="shared" si="61"/>
        <v>#NUM!</v>
      </c>
      <c r="DM98" s="7" t="e">
        <f t="shared" si="62"/>
        <v>#NUM!</v>
      </c>
      <c r="DN98" s="7" t="e">
        <f t="shared" si="63"/>
        <v>#NUM!</v>
      </c>
      <c r="DO98" s="7" t="e">
        <f t="shared" si="64"/>
        <v>#NUM!</v>
      </c>
      <c r="DP98" s="7" t="e">
        <f t="shared" si="65"/>
        <v>#NUM!</v>
      </c>
      <c r="DQ98"/>
      <c r="DR98"/>
      <c r="DS98"/>
      <c r="DT98"/>
      <c r="DU98"/>
      <c r="DV98"/>
      <c r="DW98"/>
      <c r="DX98"/>
      <c r="DY98"/>
      <c r="DZ98"/>
    </row>
    <row r="99" spans="1:130" s="7" customFormat="1" ht="25.5" hidden="1" customHeight="1" x14ac:dyDescent="0.25">
      <c r="A99" s="92" t="str">
        <f t="shared" si="66"/>
        <v>CM-SWVI [10]</v>
      </c>
      <c r="B99" s="92" t="str">
        <f t="shared" si="67"/>
        <v>Southwest Vancouver Island</v>
      </c>
      <c r="C99" s="93" t="str">
        <f t="shared" si="36"/>
        <v>COUS CREEK_Chum</v>
      </c>
      <c r="D99" s="128" t="s">
        <v>598</v>
      </c>
      <c r="E99" s="128" t="s">
        <v>598</v>
      </c>
      <c r="F99" s="64">
        <v>23</v>
      </c>
      <c r="G99" s="72" t="s">
        <v>123</v>
      </c>
      <c r="H99" s="65" t="s">
        <v>96</v>
      </c>
      <c r="I99" s="119"/>
      <c r="J99" s="119"/>
      <c r="K99" s="64">
        <v>4</v>
      </c>
      <c r="L99" s="52">
        <v>11</v>
      </c>
      <c r="M99" s="52">
        <v>11</v>
      </c>
      <c r="N99" s="52">
        <f t="shared" si="37"/>
        <v>5220.7511459202033</v>
      </c>
      <c r="O99" s="52">
        <f t="shared" si="38"/>
        <v>20000</v>
      </c>
      <c r="P99" s="52">
        <f t="shared" si="39"/>
        <v>582.01502974524658</v>
      </c>
      <c r="Q99" s="66"/>
      <c r="R99" s="39"/>
      <c r="S99" s="76" t="s">
        <v>327</v>
      </c>
      <c r="T99" s="81" t="e">
        <f t="shared" si="40"/>
        <v>#DIV/0!</v>
      </c>
      <c r="U99" s="81">
        <f t="shared" si="41"/>
        <v>3188</v>
      </c>
      <c r="V99" s="52" t="s">
        <v>102</v>
      </c>
      <c r="W99" s="52" t="s">
        <v>102</v>
      </c>
      <c r="X99" s="52" t="s">
        <v>102</v>
      </c>
      <c r="Y99" s="54" t="s">
        <v>102</v>
      </c>
      <c r="Z99" s="52" t="s">
        <v>102</v>
      </c>
      <c r="AA99" s="144">
        <v>44</v>
      </c>
      <c r="AB99" s="144" t="s">
        <v>262</v>
      </c>
      <c r="AC99" s="52" t="s">
        <v>102</v>
      </c>
      <c r="AD99" s="52" t="s">
        <v>102</v>
      </c>
      <c r="AE99" s="144" t="s">
        <v>263</v>
      </c>
      <c r="AF99" s="52">
        <v>3420</v>
      </c>
      <c r="AG99" s="53">
        <v>6100</v>
      </c>
      <c r="AH99" s="142"/>
      <c r="AI99" s="52" t="s">
        <v>102</v>
      </c>
      <c r="AJ99" s="52" t="s">
        <v>102</v>
      </c>
      <c r="AK99" s="52" t="s">
        <v>102</v>
      </c>
      <c r="AL99" s="52" t="s">
        <v>102</v>
      </c>
      <c r="AM99" s="52">
        <v>6352</v>
      </c>
      <c r="AN99" s="53">
        <v>8000</v>
      </c>
      <c r="AO99" s="53">
        <v>6250</v>
      </c>
      <c r="AP99" s="53">
        <v>17215</v>
      </c>
      <c r="AQ99" s="53">
        <v>5000</v>
      </c>
      <c r="AR99" s="53">
        <v>950</v>
      </c>
      <c r="AS99" s="52">
        <v>7500</v>
      </c>
      <c r="AT99" s="52">
        <v>20000</v>
      </c>
      <c r="AU99" s="52">
        <v>5600</v>
      </c>
      <c r="AV99" s="52">
        <v>1800</v>
      </c>
      <c r="AW99" s="52">
        <v>2000</v>
      </c>
      <c r="AX99" s="51">
        <v>1400</v>
      </c>
      <c r="AY99" s="53" t="s">
        <v>263</v>
      </c>
      <c r="AZ99" s="53" t="s">
        <v>102</v>
      </c>
      <c r="BA99" s="53" t="s">
        <v>102</v>
      </c>
      <c r="BB99" s="53">
        <v>12</v>
      </c>
      <c r="BC99" s="53" t="s">
        <v>102</v>
      </c>
      <c r="BD99" s="53" t="s">
        <v>102</v>
      </c>
      <c r="BE99" s="53" t="s">
        <v>102</v>
      </c>
      <c r="BF99" s="53" t="s">
        <v>102</v>
      </c>
      <c r="BG99" s="53">
        <v>600</v>
      </c>
      <c r="BH99" s="53" t="s">
        <v>264</v>
      </c>
      <c r="BI99" s="53">
        <v>700</v>
      </c>
      <c r="BJ99" s="53">
        <v>36</v>
      </c>
      <c r="BK99" s="53" t="s">
        <v>262</v>
      </c>
      <c r="BL99" s="53" t="s">
        <v>102</v>
      </c>
      <c r="BM99" s="53">
        <v>120</v>
      </c>
      <c r="BN99" s="53">
        <v>100</v>
      </c>
      <c r="BO99" s="53">
        <v>380</v>
      </c>
      <c r="BP99" s="53">
        <v>550</v>
      </c>
      <c r="BQ99" s="53">
        <v>400</v>
      </c>
      <c r="BR99" s="53">
        <v>350</v>
      </c>
      <c r="BS99" s="53">
        <v>750</v>
      </c>
      <c r="BT99" s="53">
        <v>1500</v>
      </c>
      <c r="BU99" s="53">
        <v>200</v>
      </c>
      <c r="BV99" s="53">
        <v>750</v>
      </c>
      <c r="BW99" s="53">
        <v>3500</v>
      </c>
      <c r="BX99" s="53">
        <v>400</v>
      </c>
      <c r="BY99" s="53">
        <v>200</v>
      </c>
      <c r="BZ99" s="53">
        <v>400</v>
      </c>
      <c r="CA99" s="53">
        <v>200</v>
      </c>
      <c r="CB99" s="53">
        <v>25</v>
      </c>
      <c r="CC99" s="53">
        <v>75</v>
      </c>
      <c r="CD99" s="53">
        <v>200</v>
      </c>
      <c r="CE99" s="53">
        <v>200</v>
      </c>
      <c r="CF99" s="53">
        <v>75</v>
      </c>
      <c r="CG99" s="53">
        <v>200</v>
      </c>
      <c r="CH99" s="53">
        <v>750</v>
      </c>
      <c r="CI99" s="53">
        <v>200</v>
      </c>
      <c r="CJ99" s="53">
        <v>200</v>
      </c>
      <c r="CK99" s="53" t="s">
        <v>264</v>
      </c>
      <c r="CL99" s="53">
        <v>750</v>
      </c>
      <c r="CM99" s="53">
        <v>200</v>
      </c>
      <c r="CN99" s="206"/>
      <c r="CO99" s="206"/>
      <c r="CP99" s="206"/>
      <c r="CQ99" s="8">
        <f t="shared" si="42"/>
        <v>12</v>
      </c>
      <c r="CR99" s="8">
        <f t="shared" si="43"/>
        <v>20000</v>
      </c>
      <c r="CS99" s="8">
        <f t="shared" si="44"/>
        <v>2347.8666666666668</v>
      </c>
      <c r="CT99">
        <f t="shared" si="45"/>
        <v>602.25273098736398</v>
      </c>
      <c r="CU99" s="143" t="e">
        <f t="shared" si="46"/>
        <v>#DIV/0!</v>
      </c>
      <c r="CV99" s="143">
        <f t="shared" si="47"/>
        <v>3188</v>
      </c>
      <c r="CW99"/>
      <c r="CX99" s="7">
        <f t="shared" si="48"/>
        <v>37.6</v>
      </c>
      <c r="CY99" s="7">
        <f t="shared" si="49"/>
        <v>112</v>
      </c>
      <c r="CZ99" s="7">
        <f t="shared" si="50"/>
        <v>200</v>
      </c>
      <c r="DA99" s="7">
        <f t="shared" si="51"/>
        <v>200</v>
      </c>
      <c r="DB99" s="7">
        <f t="shared" si="52"/>
        <v>550</v>
      </c>
      <c r="DC99" s="7">
        <f t="shared" si="53"/>
        <v>750</v>
      </c>
      <c r="DD99" s="7">
        <f t="shared" si="54"/>
        <v>870.00000000000023</v>
      </c>
      <c r="DE99" s="7">
        <f t="shared" si="55"/>
        <v>2000</v>
      </c>
      <c r="DF99" s="7">
        <f t="shared" si="56"/>
        <v>5799.9999999999991</v>
      </c>
      <c r="DG99"/>
      <c r="DH99" s="7">
        <f t="shared" si="57"/>
        <v>632.89999999999986</v>
      </c>
      <c r="DI99" s="7">
        <f t="shared" si="58"/>
        <v>1757.5</v>
      </c>
      <c r="DJ99" s="7">
        <f t="shared" si="59"/>
        <v>1920</v>
      </c>
      <c r="DK99" s="7">
        <f t="shared" si="60"/>
        <v>2355</v>
      </c>
      <c r="DL99" s="7">
        <f t="shared" si="61"/>
        <v>5850</v>
      </c>
      <c r="DM99" s="7">
        <f t="shared" si="62"/>
        <v>6220</v>
      </c>
      <c r="DN99" s="7">
        <f t="shared" si="63"/>
        <v>6295.9000000000005</v>
      </c>
      <c r="DO99" s="7">
        <f t="shared" si="64"/>
        <v>7213</v>
      </c>
      <c r="DP99" s="7">
        <f t="shared" si="65"/>
        <v>8460.7499999999909</v>
      </c>
      <c r="DQ99"/>
      <c r="DR99"/>
      <c r="DS99"/>
      <c r="DT99"/>
      <c r="DU99"/>
      <c r="DV99"/>
      <c r="DW99"/>
      <c r="DX99"/>
      <c r="DY99"/>
      <c r="DZ99"/>
    </row>
    <row r="100" spans="1:130" s="7" customFormat="1" ht="25.5" hidden="1" customHeight="1" x14ac:dyDescent="0.25">
      <c r="A100" s="92" t="str">
        <f t="shared" si="66"/>
        <v>CO-WVI [17]</v>
      </c>
      <c r="B100" s="92" t="str">
        <f t="shared" si="67"/>
        <v>West Vancouver Island</v>
      </c>
      <c r="C100" s="93" t="str">
        <f t="shared" si="36"/>
        <v>COUS CREEK_Coho</v>
      </c>
      <c r="D100" s="128" t="s">
        <v>598</v>
      </c>
      <c r="E100" s="128" t="s">
        <v>598</v>
      </c>
      <c r="F100" s="64">
        <v>23</v>
      </c>
      <c r="G100" s="72" t="s">
        <v>123</v>
      </c>
      <c r="H100" s="65" t="s">
        <v>93</v>
      </c>
      <c r="I100" s="119"/>
      <c r="J100" s="119"/>
      <c r="K100" s="64">
        <v>4</v>
      </c>
      <c r="L100" s="52">
        <v>11</v>
      </c>
      <c r="M100" s="52">
        <v>2</v>
      </c>
      <c r="N100" s="52">
        <f t="shared" si="37"/>
        <v>79.37005259840997</v>
      </c>
      <c r="O100" s="52">
        <f t="shared" si="38"/>
        <v>750</v>
      </c>
      <c r="P100" s="52">
        <f t="shared" si="39"/>
        <v>97.295643055910745</v>
      </c>
      <c r="Q100" s="66"/>
      <c r="R100" s="39"/>
      <c r="S100" s="76" t="s">
        <v>327</v>
      </c>
      <c r="T100" s="81" t="e">
        <f t="shared" si="40"/>
        <v>#DIV/0!</v>
      </c>
      <c r="U100" s="81" t="e">
        <f t="shared" si="41"/>
        <v>#DIV/0!</v>
      </c>
      <c r="V100" s="52" t="s">
        <v>102</v>
      </c>
      <c r="W100" s="52" t="s">
        <v>102</v>
      </c>
      <c r="X100" s="52" t="s">
        <v>102</v>
      </c>
      <c r="Y100" s="54" t="s">
        <v>102</v>
      </c>
      <c r="Z100" s="52" t="s">
        <v>102</v>
      </c>
      <c r="AA100" s="144" t="s">
        <v>262</v>
      </c>
      <c r="AB100" s="144" t="s">
        <v>262</v>
      </c>
      <c r="AC100" s="52" t="s">
        <v>102</v>
      </c>
      <c r="AD100" s="52" t="s">
        <v>102</v>
      </c>
      <c r="AE100" s="144" t="s">
        <v>262</v>
      </c>
      <c r="AF100" s="52" t="s">
        <v>263</v>
      </c>
      <c r="AG100" s="53" t="s">
        <v>262</v>
      </c>
      <c r="AH100" s="52" t="s">
        <v>102</v>
      </c>
      <c r="AI100" s="52" t="s">
        <v>102</v>
      </c>
      <c r="AJ100" s="52" t="s">
        <v>102</v>
      </c>
      <c r="AK100" s="52" t="s">
        <v>102</v>
      </c>
      <c r="AL100" s="52" t="s">
        <v>102</v>
      </c>
      <c r="AM100" s="53" t="s">
        <v>262</v>
      </c>
      <c r="AN100" s="53" t="s">
        <v>262</v>
      </c>
      <c r="AO100" s="53">
        <v>50</v>
      </c>
      <c r="AP100" s="53" t="s">
        <v>262</v>
      </c>
      <c r="AQ100" s="53" t="s">
        <v>262</v>
      </c>
      <c r="AR100" s="53" t="s">
        <v>262</v>
      </c>
      <c r="AS100" s="52" t="s">
        <v>262</v>
      </c>
      <c r="AT100" s="52">
        <v>500</v>
      </c>
      <c r="AU100" s="52" t="s">
        <v>262</v>
      </c>
      <c r="AV100" s="52">
        <v>20</v>
      </c>
      <c r="AW100" s="52" t="s">
        <v>262</v>
      </c>
      <c r="AX100" s="51" t="s">
        <v>262</v>
      </c>
      <c r="AY100" s="53" t="s">
        <v>264</v>
      </c>
      <c r="AZ100" s="53" t="s">
        <v>102</v>
      </c>
      <c r="BA100" s="53" t="s">
        <v>102</v>
      </c>
      <c r="BB100" s="53" t="s">
        <v>264</v>
      </c>
      <c r="BC100" s="53" t="s">
        <v>102</v>
      </c>
      <c r="BD100" s="53" t="s">
        <v>102</v>
      </c>
      <c r="BE100" s="53" t="s">
        <v>102</v>
      </c>
      <c r="BF100" s="53" t="s">
        <v>102</v>
      </c>
      <c r="BG100" s="53" t="s">
        <v>264</v>
      </c>
      <c r="BH100" s="53" t="s">
        <v>264</v>
      </c>
      <c r="BI100" s="53">
        <v>70</v>
      </c>
      <c r="BJ100" s="53">
        <v>60</v>
      </c>
      <c r="BK100" s="53" t="s">
        <v>262</v>
      </c>
      <c r="BL100" s="53" t="s">
        <v>102</v>
      </c>
      <c r="BM100" s="53">
        <v>50</v>
      </c>
      <c r="BN100" s="53">
        <v>70</v>
      </c>
      <c r="BO100" s="53">
        <v>90</v>
      </c>
      <c r="BP100" s="53">
        <v>85</v>
      </c>
      <c r="BQ100" s="53">
        <v>75</v>
      </c>
      <c r="BR100" s="53">
        <v>75</v>
      </c>
      <c r="BS100" s="53">
        <v>200</v>
      </c>
      <c r="BT100" s="53">
        <v>75</v>
      </c>
      <c r="BU100" s="53">
        <v>75</v>
      </c>
      <c r="BV100" s="53">
        <v>200</v>
      </c>
      <c r="BW100" s="53">
        <v>400</v>
      </c>
      <c r="BX100" s="53">
        <v>400</v>
      </c>
      <c r="BY100" s="53">
        <v>200</v>
      </c>
      <c r="BZ100" s="53">
        <v>750</v>
      </c>
      <c r="CA100" s="53">
        <v>200</v>
      </c>
      <c r="CB100" s="53">
        <v>75</v>
      </c>
      <c r="CC100" s="53">
        <v>75</v>
      </c>
      <c r="CD100" s="53">
        <v>200</v>
      </c>
      <c r="CE100" s="53">
        <v>75</v>
      </c>
      <c r="CF100" s="53">
        <v>75</v>
      </c>
      <c r="CG100" s="53">
        <v>75</v>
      </c>
      <c r="CH100" s="53">
        <v>25</v>
      </c>
      <c r="CI100" s="53">
        <v>25</v>
      </c>
      <c r="CJ100" s="53">
        <v>75</v>
      </c>
      <c r="CK100" s="53" t="s">
        <v>264</v>
      </c>
      <c r="CL100" s="53">
        <v>75</v>
      </c>
      <c r="CM100" s="53">
        <v>75</v>
      </c>
      <c r="CN100" s="206"/>
      <c r="CO100" s="206"/>
      <c r="CP100" s="206"/>
      <c r="CQ100" s="8">
        <f t="shared" si="42"/>
        <v>20</v>
      </c>
      <c r="CR100" s="8">
        <f t="shared" si="43"/>
        <v>750</v>
      </c>
      <c r="CS100" s="8">
        <f t="shared" si="44"/>
        <v>145</v>
      </c>
      <c r="CT100">
        <f t="shared" si="45"/>
        <v>97.295643055910745</v>
      </c>
      <c r="CU100" s="143" t="e">
        <f t="shared" si="46"/>
        <v>#DIV/0!</v>
      </c>
      <c r="CV100" s="143" t="e">
        <f t="shared" si="47"/>
        <v>#DIV/0!</v>
      </c>
      <c r="CW100"/>
      <c r="CX100" s="7">
        <f t="shared" si="48"/>
        <v>25</v>
      </c>
      <c r="CY100" s="7">
        <f t="shared" si="49"/>
        <v>55</v>
      </c>
      <c r="CZ100" s="7">
        <f t="shared" si="50"/>
        <v>70</v>
      </c>
      <c r="DA100" s="7">
        <f t="shared" si="51"/>
        <v>72.5</v>
      </c>
      <c r="DB100" s="7">
        <f t="shared" si="52"/>
        <v>75</v>
      </c>
      <c r="DC100" s="7">
        <f t="shared" si="53"/>
        <v>75</v>
      </c>
      <c r="DD100" s="7">
        <f t="shared" si="54"/>
        <v>80</v>
      </c>
      <c r="DE100" s="7">
        <f t="shared" si="55"/>
        <v>200</v>
      </c>
      <c r="DF100" s="7">
        <f t="shared" si="56"/>
        <v>200</v>
      </c>
      <c r="DG100"/>
      <c r="DH100" s="7">
        <f t="shared" si="57"/>
        <v>23.000000000000004</v>
      </c>
      <c r="DI100" s="7">
        <f t="shared" si="58"/>
        <v>29</v>
      </c>
      <c r="DJ100" s="7">
        <f t="shared" si="59"/>
        <v>31.999999999999996</v>
      </c>
      <c r="DK100" s="7">
        <f t="shared" si="60"/>
        <v>35</v>
      </c>
      <c r="DL100" s="7">
        <f t="shared" si="61"/>
        <v>50</v>
      </c>
      <c r="DM100" s="7">
        <f t="shared" si="62"/>
        <v>140.00000000000009</v>
      </c>
      <c r="DN100" s="7">
        <f t="shared" si="63"/>
        <v>184.99999999999991</v>
      </c>
      <c r="DO100" s="7">
        <f t="shared" si="64"/>
        <v>275</v>
      </c>
      <c r="DP100" s="7">
        <f t="shared" si="65"/>
        <v>365.00000000000006</v>
      </c>
      <c r="DQ100"/>
      <c r="DR100"/>
      <c r="DS100"/>
      <c r="DT100"/>
      <c r="DU100"/>
      <c r="DV100"/>
      <c r="DW100"/>
      <c r="DX100"/>
      <c r="DY100"/>
      <c r="DZ100"/>
    </row>
    <row r="101" spans="1:130" s="7" customFormat="1" ht="25.5" hidden="1" customHeight="1" x14ac:dyDescent="0.25">
      <c r="A101" s="92" t="str">
        <f t="shared" si="66"/>
        <v>CM-SWVI [10]</v>
      </c>
      <c r="B101" s="92" t="str">
        <f t="shared" si="67"/>
        <v>Southwest Vancouver Island</v>
      </c>
      <c r="C101" s="93" t="str">
        <f t="shared" si="36"/>
        <v>DEER CREEK_Chum</v>
      </c>
      <c r="D101" s="128" t="s">
        <v>598</v>
      </c>
      <c r="E101" s="128" t="s">
        <v>598</v>
      </c>
      <c r="F101" s="64">
        <v>23</v>
      </c>
      <c r="G101" s="72" t="s">
        <v>122</v>
      </c>
      <c r="H101" s="65" t="s">
        <v>96</v>
      </c>
      <c r="I101" s="119"/>
      <c r="J101" s="119"/>
      <c r="K101" s="64">
        <v>5</v>
      </c>
      <c r="L101" s="52">
        <v>0</v>
      </c>
      <c r="M101" s="52"/>
      <c r="N101" s="52" t="e">
        <f t="shared" si="37"/>
        <v>#NUM!</v>
      </c>
      <c r="O101" s="52">
        <f t="shared" si="38"/>
        <v>0</v>
      </c>
      <c r="P101" s="52" t="e">
        <f t="shared" si="39"/>
        <v>#NUM!</v>
      </c>
      <c r="Q101" s="66"/>
      <c r="R101" s="37"/>
      <c r="S101" s="74" t="s">
        <v>328</v>
      </c>
      <c r="T101" s="81" t="e">
        <f t="shared" si="40"/>
        <v>#DIV/0!</v>
      </c>
      <c r="U101" s="81" t="e">
        <f t="shared" si="41"/>
        <v>#DIV/0!</v>
      </c>
      <c r="V101" s="52" t="s">
        <v>102</v>
      </c>
      <c r="W101" s="52" t="s">
        <v>102</v>
      </c>
      <c r="X101" s="52" t="s">
        <v>102</v>
      </c>
      <c r="Y101" s="52" t="s">
        <v>102</v>
      </c>
      <c r="Z101" s="52" t="s">
        <v>102</v>
      </c>
      <c r="AA101" s="52" t="s">
        <v>102</v>
      </c>
      <c r="AB101" s="52" t="s">
        <v>102</v>
      </c>
      <c r="AC101" s="52" t="s">
        <v>102</v>
      </c>
      <c r="AD101" s="52" t="s">
        <v>102</v>
      </c>
      <c r="AE101" s="52" t="s">
        <v>102</v>
      </c>
      <c r="AF101" s="52" t="s">
        <v>102</v>
      </c>
      <c r="AG101" s="52" t="s">
        <v>102</v>
      </c>
      <c r="AH101" s="52" t="s">
        <v>102</v>
      </c>
      <c r="AI101" s="52" t="s">
        <v>263</v>
      </c>
      <c r="AJ101" s="52" t="s">
        <v>102</v>
      </c>
      <c r="AK101" s="52" t="s">
        <v>102</v>
      </c>
      <c r="AL101" s="52" t="s">
        <v>102</v>
      </c>
      <c r="AM101" s="52" t="s">
        <v>102</v>
      </c>
      <c r="AN101" s="52" t="s">
        <v>102</v>
      </c>
      <c r="AO101" s="52" t="s">
        <v>102</v>
      </c>
      <c r="AP101" s="52" t="s">
        <v>102</v>
      </c>
      <c r="AQ101" s="52" t="s">
        <v>102</v>
      </c>
      <c r="AR101" s="52" t="s">
        <v>102</v>
      </c>
      <c r="AS101" s="52" t="s">
        <v>102</v>
      </c>
      <c r="AT101" s="52" t="s">
        <v>102</v>
      </c>
      <c r="AU101" s="52" t="s">
        <v>102</v>
      </c>
      <c r="AV101" s="52" t="s">
        <v>102</v>
      </c>
      <c r="AW101" s="52" t="s">
        <v>102</v>
      </c>
      <c r="AX101" s="51" t="s">
        <v>102</v>
      </c>
      <c r="AY101" s="52" t="s">
        <v>262</v>
      </c>
      <c r="AZ101" s="52" t="s">
        <v>102</v>
      </c>
      <c r="BA101" s="52" t="s">
        <v>102</v>
      </c>
      <c r="BB101" s="52" t="s">
        <v>102</v>
      </c>
      <c r="BC101" s="52" t="s">
        <v>262</v>
      </c>
      <c r="BD101" s="52" t="s">
        <v>102</v>
      </c>
      <c r="BE101" s="52" t="s">
        <v>102</v>
      </c>
      <c r="BF101" s="52" t="s">
        <v>102</v>
      </c>
      <c r="BG101" s="52" t="s">
        <v>102</v>
      </c>
      <c r="BH101" s="53" t="s">
        <v>102</v>
      </c>
      <c r="BI101" s="53" t="s">
        <v>102</v>
      </c>
      <c r="BJ101" s="53" t="s">
        <v>102</v>
      </c>
      <c r="BK101" s="53" t="s">
        <v>102</v>
      </c>
      <c r="BL101" s="53" t="s">
        <v>102</v>
      </c>
      <c r="BM101" s="53" t="s">
        <v>102</v>
      </c>
      <c r="BN101" s="53" t="s">
        <v>102</v>
      </c>
      <c r="BO101" s="53" t="s">
        <v>102</v>
      </c>
      <c r="BP101" s="53" t="s">
        <v>102</v>
      </c>
      <c r="BQ101" s="53" t="s">
        <v>102</v>
      </c>
      <c r="BR101" s="53" t="s">
        <v>102</v>
      </c>
      <c r="BS101" s="53" t="s">
        <v>102</v>
      </c>
      <c r="BT101" s="53" t="s">
        <v>102</v>
      </c>
      <c r="BU101" s="53" t="s">
        <v>102</v>
      </c>
      <c r="BV101" s="53" t="s">
        <v>102</v>
      </c>
      <c r="BW101" s="53" t="s">
        <v>102</v>
      </c>
      <c r="BX101" s="53" t="s">
        <v>102</v>
      </c>
      <c r="BY101" s="53" t="s">
        <v>102</v>
      </c>
      <c r="BZ101" s="53" t="s">
        <v>102</v>
      </c>
      <c r="CA101" s="53" t="s">
        <v>102</v>
      </c>
      <c r="CB101" s="53" t="s">
        <v>102</v>
      </c>
      <c r="CC101" s="53" t="s">
        <v>102</v>
      </c>
      <c r="CD101" s="53" t="s">
        <v>102</v>
      </c>
      <c r="CE101" s="53" t="s">
        <v>102</v>
      </c>
      <c r="CF101" s="53" t="s">
        <v>102</v>
      </c>
      <c r="CG101" s="53" t="s">
        <v>102</v>
      </c>
      <c r="CH101" s="53" t="s">
        <v>102</v>
      </c>
      <c r="CI101" s="53" t="s">
        <v>102</v>
      </c>
      <c r="CJ101" s="53" t="s">
        <v>102</v>
      </c>
      <c r="CK101" s="53" t="s">
        <v>102</v>
      </c>
      <c r="CL101" s="53" t="s">
        <v>102</v>
      </c>
      <c r="CM101" s="53" t="s">
        <v>102</v>
      </c>
      <c r="CN101" s="206" t="e">
        <f>IF(ISERROR(AVERAGE(BV101:CM101)),CS101,AVERAGE(BV101:CM101))</f>
        <v>#DIV/0!</v>
      </c>
      <c r="CO101" s="206"/>
      <c r="CP101" s="206"/>
      <c r="CQ101" s="8">
        <f t="shared" si="42"/>
        <v>0</v>
      </c>
      <c r="CR101" s="8">
        <f t="shared" si="43"/>
        <v>0</v>
      </c>
      <c r="CS101" s="8" t="e">
        <f t="shared" si="44"/>
        <v>#DIV/0!</v>
      </c>
      <c r="CT101" t="e">
        <f t="shared" si="45"/>
        <v>#NUM!</v>
      </c>
      <c r="CU101" s="143" t="e">
        <f t="shared" si="46"/>
        <v>#DIV/0!</v>
      </c>
      <c r="CV101" s="143" t="e">
        <f t="shared" si="47"/>
        <v>#DIV/0!</v>
      </c>
      <c r="CW101"/>
      <c r="CX101" s="7" t="e">
        <f t="shared" si="48"/>
        <v>#NUM!</v>
      </c>
      <c r="CY101" s="7" t="e">
        <f t="shared" si="49"/>
        <v>#NUM!</v>
      </c>
      <c r="CZ101" s="7" t="e">
        <f t="shared" si="50"/>
        <v>#NUM!</v>
      </c>
      <c r="DA101" s="7" t="e">
        <f t="shared" si="51"/>
        <v>#NUM!</v>
      </c>
      <c r="DB101" s="7" t="e">
        <f t="shared" si="52"/>
        <v>#NUM!</v>
      </c>
      <c r="DC101" s="7" t="e">
        <f t="shared" si="53"/>
        <v>#NUM!</v>
      </c>
      <c r="DD101" s="7" t="e">
        <f t="shared" si="54"/>
        <v>#NUM!</v>
      </c>
      <c r="DE101" s="7" t="e">
        <f t="shared" si="55"/>
        <v>#NUM!</v>
      </c>
      <c r="DF101" s="7" t="e">
        <f t="shared" si="56"/>
        <v>#NUM!</v>
      </c>
      <c r="DG101"/>
      <c r="DH101" s="7" t="e">
        <f t="shared" si="57"/>
        <v>#NUM!</v>
      </c>
      <c r="DI101" s="7" t="e">
        <f t="shared" si="58"/>
        <v>#NUM!</v>
      </c>
      <c r="DJ101" s="7" t="e">
        <f t="shared" si="59"/>
        <v>#NUM!</v>
      </c>
      <c r="DK101" s="7" t="e">
        <f t="shared" si="60"/>
        <v>#NUM!</v>
      </c>
      <c r="DL101" s="7" t="e">
        <f t="shared" si="61"/>
        <v>#NUM!</v>
      </c>
      <c r="DM101" s="7" t="e">
        <f t="shared" si="62"/>
        <v>#NUM!</v>
      </c>
      <c r="DN101" s="7" t="e">
        <f t="shared" si="63"/>
        <v>#NUM!</v>
      </c>
      <c r="DO101" s="7" t="e">
        <f t="shared" si="64"/>
        <v>#NUM!</v>
      </c>
      <c r="DP101" s="7" t="e">
        <f t="shared" si="65"/>
        <v>#NUM!</v>
      </c>
      <c r="DQ101"/>
      <c r="DR101"/>
      <c r="DS101"/>
      <c r="DT101"/>
      <c r="DU101"/>
      <c r="DV101"/>
      <c r="DW101"/>
      <c r="DX101"/>
      <c r="DY101"/>
      <c r="DZ101"/>
    </row>
    <row r="102" spans="1:130" s="7" customFormat="1" ht="25.5" hidden="1" customHeight="1" x14ac:dyDescent="0.25">
      <c r="A102" s="92" t="str">
        <f t="shared" si="66"/>
        <v>CO-WVI [17]</v>
      </c>
      <c r="B102" s="92" t="str">
        <f t="shared" si="67"/>
        <v>West Vancouver Island</v>
      </c>
      <c r="C102" s="93" t="str">
        <f t="shared" si="36"/>
        <v>DEER CREEK_Coho</v>
      </c>
      <c r="D102" s="128" t="s">
        <v>598</v>
      </c>
      <c r="E102" s="128" t="s">
        <v>598</v>
      </c>
      <c r="F102" s="64">
        <v>23</v>
      </c>
      <c r="G102" s="72" t="s">
        <v>122</v>
      </c>
      <c r="H102" s="65" t="s">
        <v>93</v>
      </c>
      <c r="I102" s="119"/>
      <c r="J102" s="119"/>
      <c r="K102" s="64">
        <v>5</v>
      </c>
      <c r="L102" s="52">
        <v>0</v>
      </c>
      <c r="M102" s="52"/>
      <c r="N102" s="52" t="e">
        <f t="shared" si="37"/>
        <v>#NUM!</v>
      </c>
      <c r="O102" s="52">
        <f t="shared" si="38"/>
        <v>15</v>
      </c>
      <c r="P102" s="52">
        <f t="shared" si="39"/>
        <v>10.954451150103322</v>
      </c>
      <c r="Q102" s="66"/>
      <c r="R102" s="37"/>
      <c r="S102" s="74" t="s">
        <v>328</v>
      </c>
      <c r="T102" s="81" t="e">
        <f t="shared" si="40"/>
        <v>#DIV/0!</v>
      </c>
      <c r="U102" s="81" t="e">
        <f t="shared" si="41"/>
        <v>#DIV/0!</v>
      </c>
      <c r="V102" s="52" t="s">
        <v>102</v>
      </c>
      <c r="W102" s="52" t="s">
        <v>102</v>
      </c>
      <c r="X102" s="52" t="s">
        <v>102</v>
      </c>
      <c r="Y102" s="52" t="s">
        <v>102</v>
      </c>
      <c r="Z102" s="52" t="s">
        <v>102</v>
      </c>
      <c r="AA102" s="52" t="s">
        <v>102</v>
      </c>
      <c r="AB102" s="52" t="s">
        <v>102</v>
      </c>
      <c r="AC102" s="52" t="s">
        <v>102</v>
      </c>
      <c r="AD102" s="52" t="s">
        <v>102</v>
      </c>
      <c r="AE102" s="52" t="s">
        <v>102</v>
      </c>
      <c r="AF102" s="52" t="s">
        <v>102</v>
      </c>
      <c r="AG102" s="52" t="s">
        <v>102</v>
      </c>
      <c r="AH102" s="52" t="s">
        <v>102</v>
      </c>
      <c r="AI102" s="52" t="s">
        <v>263</v>
      </c>
      <c r="AJ102" s="52" t="s">
        <v>102</v>
      </c>
      <c r="AK102" s="52" t="s">
        <v>102</v>
      </c>
      <c r="AL102" s="52" t="s">
        <v>102</v>
      </c>
      <c r="AM102" s="52" t="s">
        <v>102</v>
      </c>
      <c r="AN102" s="52" t="s">
        <v>102</v>
      </c>
      <c r="AO102" s="52" t="s">
        <v>102</v>
      </c>
      <c r="AP102" s="52" t="s">
        <v>102</v>
      </c>
      <c r="AQ102" s="52" t="s">
        <v>102</v>
      </c>
      <c r="AR102" s="52" t="s">
        <v>102</v>
      </c>
      <c r="AS102" s="52" t="s">
        <v>102</v>
      </c>
      <c r="AT102" s="52" t="s">
        <v>102</v>
      </c>
      <c r="AU102" s="52" t="s">
        <v>102</v>
      </c>
      <c r="AV102" s="52" t="s">
        <v>102</v>
      </c>
      <c r="AW102" s="52" t="s">
        <v>102</v>
      </c>
      <c r="AX102" s="51" t="s">
        <v>102</v>
      </c>
      <c r="AY102" s="52">
        <v>15</v>
      </c>
      <c r="AZ102" s="52" t="s">
        <v>102</v>
      </c>
      <c r="BA102" s="52" t="s">
        <v>102</v>
      </c>
      <c r="BB102" s="52" t="s">
        <v>102</v>
      </c>
      <c r="BC102" s="52">
        <v>8</v>
      </c>
      <c r="BD102" s="52" t="s">
        <v>102</v>
      </c>
      <c r="BE102" s="52" t="s">
        <v>102</v>
      </c>
      <c r="BF102" s="52" t="s">
        <v>102</v>
      </c>
      <c r="BG102" s="52" t="s">
        <v>102</v>
      </c>
      <c r="BH102" s="53" t="s">
        <v>102</v>
      </c>
      <c r="BI102" s="53" t="s">
        <v>102</v>
      </c>
      <c r="BJ102" s="53" t="s">
        <v>102</v>
      </c>
      <c r="BK102" s="53" t="s">
        <v>102</v>
      </c>
      <c r="BL102" s="53" t="s">
        <v>102</v>
      </c>
      <c r="BM102" s="53" t="s">
        <v>102</v>
      </c>
      <c r="BN102" s="53" t="s">
        <v>102</v>
      </c>
      <c r="BO102" s="53" t="s">
        <v>102</v>
      </c>
      <c r="BP102" s="53" t="s">
        <v>102</v>
      </c>
      <c r="BQ102" s="53" t="s">
        <v>102</v>
      </c>
      <c r="BR102" s="53" t="s">
        <v>102</v>
      </c>
      <c r="BS102" s="53" t="s">
        <v>102</v>
      </c>
      <c r="BT102" s="53" t="s">
        <v>102</v>
      </c>
      <c r="BU102" s="53" t="s">
        <v>102</v>
      </c>
      <c r="BV102" s="53" t="s">
        <v>102</v>
      </c>
      <c r="BW102" s="53" t="s">
        <v>102</v>
      </c>
      <c r="BX102" s="53" t="s">
        <v>102</v>
      </c>
      <c r="BY102" s="53" t="s">
        <v>102</v>
      </c>
      <c r="BZ102" s="53" t="s">
        <v>102</v>
      </c>
      <c r="CA102" s="53" t="s">
        <v>102</v>
      </c>
      <c r="CB102" s="53" t="s">
        <v>102</v>
      </c>
      <c r="CC102" s="53" t="s">
        <v>102</v>
      </c>
      <c r="CD102" s="53" t="s">
        <v>102</v>
      </c>
      <c r="CE102" s="53" t="s">
        <v>102</v>
      </c>
      <c r="CF102" s="53" t="s">
        <v>102</v>
      </c>
      <c r="CG102" s="53" t="s">
        <v>102</v>
      </c>
      <c r="CH102" s="53" t="s">
        <v>102</v>
      </c>
      <c r="CI102" s="53" t="s">
        <v>102</v>
      </c>
      <c r="CJ102" s="53" t="s">
        <v>102</v>
      </c>
      <c r="CK102" s="53" t="s">
        <v>102</v>
      </c>
      <c r="CL102" s="53" t="s">
        <v>102</v>
      </c>
      <c r="CM102" s="53" t="s">
        <v>102</v>
      </c>
      <c r="CN102" s="206"/>
      <c r="CO102" s="206"/>
      <c r="CP102" s="206"/>
      <c r="CQ102" s="8">
        <f t="shared" si="42"/>
        <v>8</v>
      </c>
      <c r="CR102" s="8">
        <f t="shared" si="43"/>
        <v>15</v>
      </c>
      <c r="CS102" s="8">
        <f t="shared" si="44"/>
        <v>11.5</v>
      </c>
      <c r="CT102">
        <f t="shared" si="45"/>
        <v>10.954451150103322</v>
      </c>
      <c r="CU102" s="143" t="e">
        <f t="shared" si="46"/>
        <v>#DIV/0!</v>
      </c>
      <c r="CV102" s="143" t="e">
        <f t="shared" si="47"/>
        <v>#DIV/0!</v>
      </c>
      <c r="CW102"/>
      <c r="CX102" s="7">
        <f t="shared" si="48"/>
        <v>8.35</v>
      </c>
      <c r="CY102" s="7">
        <f t="shared" si="49"/>
        <v>9.0499999999999989</v>
      </c>
      <c r="CZ102" s="7">
        <f t="shared" si="50"/>
        <v>9.4</v>
      </c>
      <c r="DA102" s="7">
        <f t="shared" si="51"/>
        <v>9.75</v>
      </c>
      <c r="DB102" s="7">
        <f t="shared" si="52"/>
        <v>11.5</v>
      </c>
      <c r="DC102" s="7">
        <f t="shared" si="53"/>
        <v>12.200000000000001</v>
      </c>
      <c r="DD102" s="7">
        <f t="shared" si="54"/>
        <v>12.549999999999999</v>
      </c>
      <c r="DE102" s="7">
        <f t="shared" si="55"/>
        <v>13.25</v>
      </c>
      <c r="DF102" s="7">
        <f t="shared" si="56"/>
        <v>13.950000000000001</v>
      </c>
      <c r="DG102"/>
      <c r="DH102" s="7" t="e">
        <f t="shared" si="57"/>
        <v>#NUM!</v>
      </c>
      <c r="DI102" s="7" t="e">
        <f t="shared" si="58"/>
        <v>#NUM!</v>
      </c>
      <c r="DJ102" s="7" t="e">
        <f t="shared" si="59"/>
        <v>#NUM!</v>
      </c>
      <c r="DK102" s="7" t="e">
        <f t="shared" si="60"/>
        <v>#NUM!</v>
      </c>
      <c r="DL102" s="7" t="e">
        <f t="shared" si="61"/>
        <v>#NUM!</v>
      </c>
      <c r="DM102" s="7" t="e">
        <f t="shared" si="62"/>
        <v>#NUM!</v>
      </c>
      <c r="DN102" s="7" t="e">
        <f t="shared" si="63"/>
        <v>#NUM!</v>
      </c>
      <c r="DO102" s="7" t="e">
        <f t="shared" si="64"/>
        <v>#NUM!</v>
      </c>
      <c r="DP102" s="7" t="e">
        <f t="shared" si="65"/>
        <v>#NUM!</v>
      </c>
      <c r="DQ102"/>
      <c r="DR102"/>
      <c r="DS102"/>
      <c r="DT102"/>
      <c r="DU102"/>
      <c r="DV102"/>
      <c r="DW102"/>
      <c r="DX102"/>
      <c r="DY102"/>
      <c r="DZ102"/>
    </row>
    <row r="103" spans="1:130" s="7" customFormat="1" ht="25.5" hidden="1" customHeight="1" x14ac:dyDescent="0.25">
      <c r="A103" s="92" t="str">
        <f t="shared" si="66"/>
        <v>CM-SWVI [10]</v>
      </c>
      <c r="B103" s="92" t="str">
        <f t="shared" si="67"/>
        <v>Southwest Vancouver Island</v>
      </c>
      <c r="C103" s="93" t="str">
        <f t="shared" si="36"/>
        <v>DUTCH HARBOUR CREEK EAST_Chum</v>
      </c>
      <c r="D103" s="128" t="s">
        <v>598</v>
      </c>
      <c r="E103" s="128" t="s">
        <v>598</v>
      </c>
      <c r="F103" s="64">
        <v>23</v>
      </c>
      <c r="G103" s="72" t="s">
        <v>138</v>
      </c>
      <c r="H103" s="65" t="s">
        <v>96</v>
      </c>
      <c r="I103" s="119"/>
      <c r="J103" s="119"/>
      <c r="K103" s="64">
        <v>4</v>
      </c>
      <c r="L103" s="52">
        <v>8</v>
      </c>
      <c r="M103" s="52">
        <v>2</v>
      </c>
      <c r="N103" s="52">
        <f t="shared" si="37"/>
        <v>20</v>
      </c>
      <c r="O103" s="52">
        <f t="shared" si="38"/>
        <v>7500</v>
      </c>
      <c r="P103" s="52">
        <f t="shared" si="39"/>
        <v>510.98339193720057</v>
      </c>
      <c r="Q103" s="66"/>
      <c r="R103" s="39"/>
      <c r="S103" s="74" t="s">
        <v>327</v>
      </c>
      <c r="T103" s="81" t="e">
        <f t="shared" si="40"/>
        <v>#DIV/0!</v>
      </c>
      <c r="U103" s="81" t="e">
        <f t="shared" si="41"/>
        <v>#DIV/0!</v>
      </c>
      <c r="V103" s="52" t="s">
        <v>102</v>
      </c>
      <c r="W103" s="52" t="s">
        <v>102</v>
      </c>
      <c r="X103" s="52" t="s">
        <v>102</v>
      </c>
      <c r="Y103" s="52" t="s">
        <v>102</v>
      </c>
      <c r="Z103" s="52" t="s">
        <v>102</v>
      </c>
      <c r="AA103" s="52" t="s">
        <v>102</v>
      </c>
      <c r="AB103" s="52" t="s">
        <v>102</v>
      </c>
      <c r="AC103" s="52" t="s">
        <v>102</v>
      </c>
      <c r="AD103" s="52" t="s">
        <v>102</v>
      </c>
      <c r="AE103" s="52" t="s">
        <v>102</v>
      </c>
      <c r="AF103" s="52" t="s">
        <v>102</v>
      </c>
      <c r="AG103" s="52" t="s">
        <v>102</v>
      </c>
      <c r="AH103" s="52" t="s">
        <v>102</v>
      </c>
      <c r="AI103" s="52" t="s">
        <v>102</v>
      </c>
      <c r="AJ103" s="52" t="s">
        <v>102</v>
      </c>
      <c r="AK103" s="52" t="s">
        <v>102</v>
      </c>
      <c r="AL103" s="52" t="s">
        <v>102</v>
      </c>
      <c r="AM103" s="52" t="s">
        <v>102</v>
      </c>
      <c r="AN103" s="57" t="s">
        <v>262</v>
      </c>
      <c r="AO103" s="57" t="s">
        <v>262</v>
      </c>
      <c r="AP103" s="52" t="s">
        <v>102</v>
      </c>
      <c r="AQ103" s="53" t="s">
        <v>262</v>
      </c>
      <c r="AR103" s="53" t="s">
        <v>262</v>
      </c>
      <c r="AS103" s="52" t="s">
        <v>102</v>
      </c>
      <c r="AT103" s="52">
        <v>50</v>
      </c>
      <c r="AU103" s="52" t="s">
        <v>262</v>
      </c>
      <c r="AV103" s="52">
        <v>8</v>
      </c>
      <c r="AW103" s="52" t="s">
        <v>262</v>
      </c>
      <c r="AX103" s="51">
        <v>10</v>
      </c>
      <c r="AY103" s="53" t="s">
        <v>263</v>
      </c>
      <c r="AZ103" s="53" t="s">
        <v>102</v>
      </c>
      <c r="BA103" s="53" t="s">
        <v>102</v>
      </c>
      <c r="BB103" s="53" t="s">
        <v>102</v>
      </c>
      <c r="BC103" s="53" t="s">
        <v>102</v>
      </c>
      <c r="BD103" s="53" t="s">
        <v>102</v>
      </c>
      <c r="BE103" s="53" t="s">
        <v>102</v>
      </c>
      <c r="BF103" s="53">
        <v>300</v>
      </c>
      <c r="BG103" s="53" t="s">
        <v>102</v>
      </c>
      <c r="BH103" s="53" t="s">
        <v>264</v>
      </c>
      <c r="BI103" s="53">
        <v>170</v>
      </c>
      <c r="BJ103" s="53">
        <v>975</v>
      </c>
      <c r="BK103" s="53">
        <v>25</v>
      </c>
      <c r="BL103" s="53">
        <v>3500</v>
      </c>
      <c r="BM103" s="53">
        <v>250</v>
      </c>
      <c r="BN103" s="53">
        <v>400</v>
      </c>
      <c r="BO103" s="53">
        <v>1500</v>
      </c>
      <c r="BP103" s="53">
        <v>1050</v>
      </c>
      <c r="BQ103" s="53">
        <v>200</v>
      </c>
      <c r="BR103" s="53">
        <v>750</v>
      </c>
      <c r="BS103" s="53">
        <v>200</v>
      </c>
      <c r="BT103" s="53">
        <v>1500</v>
      </c>
      <c r="BU103" s="53">
        <v>75</v>
      </c>
      <c r="BV103" s="53">
        <v>1500</v>
      </c>
      <c r="BW103" s="53">
        <v>3500</v>
      </c>
      <c r="BX103" s="53">
        <v>400</v>
      </c>
      <c r="BY103" s="53">
        <v>200</v>
      </c>
      <c r="BZ103" s="53">
        <v>750</v>
      </c>
      <c r="CA103" s="53">
        <v>25</v>
      </c>
      <c r="CB103" s="53">
        <v>400</v>
      </c>
      <c r="CC103" s="53">
        <v>750</v>
      </c>
      <c r="CD103" s="53">
        <v>400</v>
      </c>
      <c r="CE103" s="53">
        <v>750</v>
      </c>
      <c r="CF103" s="53">
        <v>750</v>
      </c>
      <c r="CG103" s="53">
        <v>3500</v>
      </c>
      <c r="CH103" s="53">
        <v>7500</v>
      </c>
      <c r="CI103" s="53">
        <v>3500</v>
      </c>
      <c r="CJ103" s="53">
        <v>3500</v>
      </c>
      <c r="CK103" s="53">
        <v>1500</v>
      </c>
      <c r="CL103" s="53">
        <v>7500</v>
      </c>
      <c r="CM103" s="53">
        <v>3500</v>
      </c>
      <c r="CN103" s="206"/>
      <c r="CO103" s="206"/>
      <c r="CP103" s="206"/>
      <c r="CQ103" s="8">
        <f t="shared" si="42"/>
        <v>8</v>
      </c>
      <c r="CR103" s="8">
        <f t="shared" si="43"/>
        <v>7500</v>
      </c>
      <c r="CS103" s="8">
        <f t="shared" si="44"/>
        <v>1453.9428571428571</v>
      </c>
      <c r="CT103">
        <f t="shared" si="45"/>
        <v>510.98339193720057</v>
      </c>
      <c r="CU103" s="143" t="e">
        <f t="shared" si="46"/>
        <v>#DIV/0!</v>
      </c>
      <c r="CV103" s="143" t="e">
        <f t="shared" si="47"/>
        <v>#DIV/0!</v>
      </c>
      <c r="CW103"/>
      <c r="CX103" s="7">
        <f t="shared" si="48"/>
        <v>20.500000000000004</v>
      </c>
      <c r="CY103" s="7">
        <f t="shared" si="49"/>
        <v>84.499999999999972</v>
      </c>
      <c r="CZ103" s="7">
        <f t="shared" si="50"/>
        <v>194.00000000000003</v>
      </c>
      <c r="DA103" s="7">
        <f t="shared" si="51"/>
        <v>200</v>
      </c>
      <c r="DB103" s="7">
        <f t="shared" si="52"/>
        <v>750</v>
      </c>
      <c r="DC103" s="7">
        <f t="shared" si="53"/>
        <v>839.99999999999966</v>
      </c>
      <c r="DD103" s="7">
        <f t="shared" si="54"/>
        <v>1095.0000000000007</v>
      </c>
      <c r="DE103" s="7">
        <f t="shared" si="55"/>
        <v>1500</v>
      </c>
      <c r="DF103" s="7">
        <f t="shared" si="56"/>
        <v>3500</v>
      </c>
      <c r="DG103"/>
      <c r="DH103" s="7">
        <f t="shared" si="57"/>
        <v>10.100000000000001</v>
      </c>
      <c r="DI103" s="7">
        <f t="shared" si="58"/>
        <v>14.299999999999997</v>
      </c>
      <c r="DJ103" s="7">
        <f t="shared" si="59"/>
        <v>16.399999999999999</v>
      </c>
      <c r="DK103" s="7">
        <f t="shared" si="60"/>
        <v>18.5</v>
      </c>
      <c r="DL103" s="7">
        <f t="shared" si="61"/>
        <v>29</v>
      </c>
      <c r="DM103" s="7">
        <f t="shared" si="62"/>
        <v>33.200000000000003</v>
      </c>
      <c r="DN103" s="7">
        <f t="shared" si="63"/>
        <v>35.299999999999997</v>
      </c>
      <c r="DO103" s="7">
        <f t="shared" si="64"/>
        <v>39.5</v>
      </c>
      <c r="DP103" s="7">
        <f t="shared" si="65"/>
        <v>43.7</v>
      </c>
      <c r="DQ103"/>
      <c r="DR103"/>
      <c r="DS103"/>
      <c r="DT103"/>
      <c r="DU103"/>
      <c r="DV103"/>
      <c r="DW103"/>
      <c r="DX103"/>
      <c r="DY103"/>
      <c r="DZ103"/>
    </row>
    <row r="104" spans="1:130" s="7" customFormat="1" ht="25.5" hidden="1" customHeight="1" x14ac:dyDescent="0.25">
      <c r="A104" s="92" t="str">
        <f t="shared" si="66"/>
        <v>CO-WVI [17]</v>
      </c>
      <c r="B104" s="92" t="str">
        <f t="shared" si="67"/>
        <v>West Vancouver Island</v>
      </c>
      <c r="C104" s="93" t="str">
        <f t="shared" si="36"/>
        <v>DUTCH HARBOUR CREEK EAST_Coho</v>
      </c>
      <c r="D104" s="128" t="s">
        <v>598</v>
      </c>
      <c r="E104" s="128" t="s">
        <v>598</v>
      </c>
      <c r="F104" s="64">
        <v>23</v>
      </c>
      <c r="G104" s="72" t="s">
        <v>138</v>
      </c>
      <c r="H104" s="65" t="s">
        <v>93</v>
      </c>
      <c r="I104" s="119"/>
      <c r="J104" s="119"/>
      <c r="K104" s="64">
        <v>4</v>
      </c>
      <c r="L104" s="52">
        <v>8</v>
      </c>
      <c r="M104" s="52">
        <v>0</v>
      </c>
      <c r="N104" s="52" t="e">
        <f t="shared" si="37"/>
        <v>#NUM!</v>
      </c>
      <c r="O104" s="52">
        <f t="shared" si="38"/>
        <v>400</v>
      </c>
      <c r="P104" s="52">
        <f t="shared" si="39"/>
        <v>43.616101044830337</v>
      </c>
      <c r="Q104" s="66"/>
      <c r="R104" s="39"/>
      <c r="S104" s="76" t="s">
        <v>327</v>
      </c>
      <c r="T104" s="81" t="e">
        <f t="shared" si="40"/>
        <v>#DIV/0!</v>
      </c>
      <c r="U104" s="81" t="e">
        <f t="shared" si="41"/>
        <v>#DIV/0!</v>
      </c>
      <c r="V104" s="52" t="s">
        <v>102</v>
      </c>
      <c r="W104" s="52" t="s">
        <v>102</v>
      </c>
      <c r="X104" s="52" t="s">
        <v>102</v>
      </c>
      <c r="Y104" s="52" t="s">
        <v>102</v>
      </c>
      <c r="Z104" s="52" t="s">
        <v>102</v>
      </c>
      <c r="AA104" s="52" t="s">
        <v>102</v>
      </c>
      <c r="AB104" s="52" t="s">
        <v>102</v>
      </c>
      <c r="AC104" s="52" t="s">
        <v>102</v>
      </c>
      <c r="AD104" s="52" t="s">
        <v>102</v>
      </c>
      <c r="AE104" s="52" t="s">
        <v>102</v>
      </c>
      <c r="AF104" s="52" t="s">
        <v>102</v>
      </c>
      <c r="AG104" s="52" t="s">
        <v>102</v>
      </c>
      <c r="AH104" s="52" t="s">
        <v>102</v>
      </c>
      <c r="AI104" s="52" t="s">
        <v>102</v>
      </c>
      <c r="AJ104" s="52" t="s">
        <v>102</v>
      </c>
      <c r="AK104" s="52" t="s">
        <v>102</v>
      </c>
      <c r="AL104" s="52" t="s">
        <v>102</v>
      </c>
      <c r="AM104" s="52" t="s">
        <v>102</v>
      </c>
      <c r="AN104" s="53" t="s">
        <v>262</v>
      </c>
      <c r="AO104" s="53" t="s">
        <v>262</v>
      </c>
      <c r="AP104" s="52" t="s">
        <v>102</v>
      </c>
      <c r="AQ104" s="53" t="s">
        <v>262</v>
      </c>
      <c r="AR104" s="53" t="s">
        <v>262</v>
      </c>
      <c r="AS104" s="52" t="s">
        <v>102</v>
      </c>
      <c r="AT104" s="52" t="s">
        <v>262</v>
      </c>
      <c r="AU104" s="52" t="s">
        <v>262</v>
      </c>
      <c r="AV104" s="52" t="s">
        <v>262</v>
      </c>
      <c r="AW104" s="52" t="s">
        <v>262</v>
      </c>
      <c r="AX104" s="51">
        <v>10</v>
      </c>
      <c r="AY104" s="53" t="s">
        <v>264</v>
      </c>
      <c r="AZ104" s="53" t="s">
        <v>102</v>
      </c>
      <c r="BA104" s="53" t="s">
        <v>102</v>
      </c>
      <c r="BB104" s="53" t="s">
        <v>102</v>
      </c>
      <c r="BC104" s="53" t="s">
        <v>102</v>
      </c>
      <c r="BD104" s="53" t="s">
        <v>102</v>
      </c>
      <c r="BE104" s="53" t="s">
        <v>102</v>
      </c>
      <c r="BF104" s="53" t="s">
        <v>262</v>
      </c>
      <c r="BG104" s="53" t="s">
        <v>102</v>
      </c>
      <c r="BH104" s="53" t="s">
        <v>264</v>
      </c>
      <c r="BI104" s="53" t="s">
        <v>262</v>
      </c>
      <c r="BJ104" s="53" t="s">
        <v>262</v>
      </c>
      <c r="BK104" s="53">
        <v>4</v>
      </c>
      <c r="BL104" s="53">
        <v>75</v>
      </c>
      <c r="BM104" s="53">
        <v>75</v>
      </c>
      <c r="BN104" s="53">
        <v>80</v>
      </c>
      <c r="BO104" s="53">
        <v>120</v>
      </c>
      <c r="BP104" s="53">
        <v>90</v>
      </c>
      <c r="BQ104" s="53">
        <v>25</v>
      </c>
      <c r="BR104" s="53">
        <v>50</v>
      </c>
      <c r="BS104" s="53">
        <v>200</v>
      </c>
      <c r="BT104" s="53">
        <v>25</v>
      </c>
      <c r="BU104" s="53">
        <v>25</v>
      </c>
      <c r="BV104" s="53">
        <v>400</v>
      </c>
      <c r="BW104" s="53">
        <v>25</v>
      </c>
      <c r="BX104" s="53">
        <v>75</v>
      </c>
      <c r="BY104" s="53">
        <v>25</v>
      </c>
      <c r="BZ104" s="53">
        <v>75</v>
      </c>
      <c r="CA104" s="53">
        <v>25</v>
      </c>
      <c r="CB104" s="53">
        <v>25</v>
      </c>
      <c r="CC104" s="53">
        <v>25</v>
      </c>
      <c r="CD104" s="53">
        <v>25</v>
      </c>
      <c r="CE104" s="53">
        <v>25</v>
      </c>
      <c r="CF104" s="53">
        <v>25</v>
      </c>
      <c r="CG104" s="53">
        <v>75</v>
      </c>
      <c r="CH104" s="53">
        <v>75</v>
      </c>
      <c r="CI104" s="53">
        <v>25</v>
      </c>
      <c r="CJ104" s="53">
        <v>25</v>
      </c>
      <c r="CK104" s="53">
        <v>75</v>
      </c>
      <c r="CL104" s="53">
        <v>75</v>
      </c>
      <c r="CM104" s="53">
        <v>75</v>
      </c>
      <c r="CN104" s="206"/>
      <c r="CO104" s="206"/>
      <c r="CP104" s="206"/>
      <c r="CQ104" s="8">
        <f t="shared" si="42"/>
        <v>4</v>
      </c>
      <c r="CR104" s="8">
        <f t="shared" si="43"/>
        <v>400</v>
      </c>
      <c r="CS104" s="8">
        <f t="shared" si="44"/>
        <v>65.13333333333334</v>
      </c>
      <c r="CT104">
        <f t="shared" si="45"/>
        <v>43.616101044830337</v>
      </c>
      <c r="CU104" s="143" t="e">
        <f t="shared" si="46"/>
        <v>#DIV/0!</v>
      </c>
      <c r="CV104" s="143" t="e">
        <f t="shared" si="47"/>
        <v>#DIV/0!</v>
      </c>
      <c r="CW104"/>
      <c r="CX104" s="7">
        <f t="shared" si="48"/>
        <v>16.750000000000004</v>
      </c>
      <c r="CY104" s="7">
        <f t="shared" si="49"/>
        <v>25</v>
      </c>
      <c r="CZ104" s="7">
        <f t="shared" si="50"/>
        <v>25</v>
      </c>
      <c r="DA104" s="7">
        <f t="shared" si="51"/>
        <v>25</v>
      </c>
      <c r="DB104" s="7">
        <f t="shared" si="52"/>
        <v>37.5</v>
      </c>
      <c r="DC104" s="7">
        <f t="shared" si="53"/>
        <v>75</v>
      </c>
      <c r="DD104" s="7">
        <f t="shared" si="54"/>
        <v>75</v>
      </c>
      <c r="DE104" s="7">
        <f t="shared" si="55"/>
        <v>75</v>
      </c>
      <c r="DF104" s="7">
        <f t="shared" si="56"/>
        <v>78.25</v>
      </c>
      <c r="DG104"/>
      <c r="DH104" s="7" t="e">
        <f t="shared" si="57"/>
        <v>#NUM!</v>
      </c>
      <c r="DI104" s="7" t="e">
        <f t="shared" si="58"/>
        <v>#NUM!</v>
      </c>
      <c r="DJ104" s="7" t="e">
        <f t="shared" si="59"/>
        <v>#NUM!</v>
      </c>
      <c r="DK104" s="7" t="e">
        <f t="shared" si="60"/>
        <v>#NUM!</v>
      </c>
      <c r="DL104" s="7" t="e">
        <f t="shared" si="61"/>
        <v>#NUM!</v>
      </c>
      <c r="DM104" s="7" t="e">
        <f t="shared" si="62"/>
        <v>#NUM!</v>
      </c>
      <c r="DN104" s="7" t="e">
        <f t="shared" si="63"/>
        <v>#NUM!</v>
      </c>
      <c r="DO104" s="7" t="e">
        <f t="shared" si="64"/>
        <v>#NUM!</v>
      </c>
      <c r="DP104" s="7" t="e">
        <f t="shared" si="65"/>
        <v>#NUM!</v>
      </c>
      <c r="DQ104"/>
      <c r="DR104"/>
      <c r="DS104"/>
      <c r="DT104"/>
      <c r="DU104"/>
      <c r="DV104"/>
      <c r="DW104"/>
      <c r="DX104"/>
      <c r="DY104"/>
      <c r="DZ104"/>
    </row>
    <row r="105" spans="1:130" s="7" customFormat="1" ht="25.5" hidden="1" customHeight="1" x14ac:dyDescent="0.25">
      <c r="A105" s="92" t="str">
        <f t="shared" si="66"/>
        <v>CM-SWVI [10]</v>
      </c>
      <c r="B105" s="92" t="str">
        <f t="shared" si="67"/>
        <v>Southwest Vancouver Island</v>
      </c>
      <c r="C105" s="93" t="str">
        <f t="shared" si="36"/>
        <v>DUTCH HARBOUR CREEK WEST_Chum</v>
      </c>
      <c r="D105" s="128" t="s">
        <v>598</v>
      </c>
      <c r="E105" s="128" t="s">
        <v>598</v>
      </c>
      <c r="F105" s="64">
        <v>23</v>
      </c>
      <c r="G105" s="72" t="s">
        <v>139</v>
      </c>
      <c r="H105" s="65" t="s">
        <v>96</v>
      </c>
      <c r="I105" s="119"/>
      <c r="J105" s="119"/>
      <c r="K105" s="64">
        <v>4</v>
      </c>
      <c r="L105" s="52">
        <v>7</v>
      </c>
      <c r="M105" s="52">
        <v>2</v>
      </c>
      <c r="N105" s="52">
        <f t="shared" si="37"/>
        <v>14.142135623730951</v>
      </c>
      <c r="O105" s="52">
        <f t="shared" si="38"/>
        <v>1500</v>
      </c>
      <c r="P105" s="52">
        <f t="shared" si="39"/>
        <v>270.98170163725536</v>
      </c>
      <c r="Q105" s="66"/>
      <c r="R105" s="39"/>
      <c r="S105" s="74" t="s">
        <v>327</v>
      </c>
      <c r="T105" s="81" t="e">
        <f t="shared" si="40"/>
        <v>#DIV/0!</v>
      </c>
      <c r="U105" s="81" t="e">
        <f t="shared" si="41"/>
        <v>#DIV/0!</v>
      </c>
      <c r="V105" s="52" t="s">
        <v>102</v>
      </c>
      <c r="W105" s="52" t="s">
        <v>102</v>
      </c>
      <c r="X105" s="52" t="s">
        <v>102</v>
      </c>
      <c r="Y105" s="52" t="s">
        <v>102</v>
      </c>
      <c r="Z105" s="52" t="s">
        <v>102</v>
      </c>
      <c r="AA105" s="52" t="s">
        <v>102</v>
      </c>
      <c r="AB105" s="52" t="s">
        <v>102</v>
      </c>
      <c r="AC105" s="52" t="s">
        <v>102</v>
      </c>
      <c r="AD105" s="52" t="s">
        <v>102</v>
      </c>
      <c r="AE105" s="52" t="s">
        <v>102</v>
      </c>
      <c r="AF105" s="52" t="s">
        <v>102</v>
      </c>
      <c r="AG105" s="52" t="s">
        <v>102</v>
      </c>
      <c r="AH105" s="52" t="s">
        <v>102</v>
      </c>
      <c r="AI105" s="52" t="s">
        <v>102</v>
      </c>
      <c r="AJ105" s="52" t="s">
        <v>102</v>
      </c>
      <c r="AK105" s="52" t="s">
        <v>102</v>
      </c>
      <c r="AL105" s="52" t="s">
        <v>102</v>
      </c>
      <c r="AM105" s="52" t="s">
        <v>102</v>
      </c>
      <c r="AN105" s="57" t="s">
        <v>262</v>
      </c>
      <c r="AO105" s="57" t="s">
        <v>262</v>
      </c>
      <c r="AP105" s="52" t="s">
        <v>102</v>
      </c>
      <c r="AQ105" s="53" t="s">
        <v>262</v>
      </c>
      <c r="AR105" s="53" t="s">
        <v>262</v>
      </c>
      <c r="AS105" s="52" t="s">
        <v>102</v>
      </c>
      <c r="AT105" s="52">
        <v>50</v>
      </c>
      <c r="AU105" s="52" t="s">
        <v>102</v>
      </c>
      <c r="AV105" s="52">
        <v>4</v>
      </c>
      <c r="AW105" s="52" t="s">
        <v>262</v>
      </c>
      <c r="AX105" s="51">
        <v>10</v>
      </c>
      <c r="AY105" s="53" t="s">
        <v>102</v>
      </c>
      <c r="AZ105" s="53" t="s">
        <v>102</v>
      </c>
      <c r="BA105" s="53" t="s">
        <v>102</v>
      </c>
      <c r="BB105" s="53" t="s">
        <v>102</v>
      </c>
      <c r="BC105" s="53" t="s">
        <v>102</v>
      </c>
      <c r="BD105" s="53" t="s">
        <v>102</v>
      </c>
      <c r="BE105" s="53" t="s">
        <v>102</v>
      </c>
      <c r="BF105" s="53" t="s">
        <v>102</v>
      </c>
      <c r="BG105" s="53" t="s">
        <v>102</v>
      </c>
      <c r="BH105" s="53" t="s">
        <v>102</v>
      </c>
      <c r="BI105" s="53" t="s">
        <v>102</v>
      </c>
      <c r="BJ105" s="53">
        <v>230</v>
      </c>
      <c r="BK105" s="53" t="s">
        <v>102</v>
      </c>
      <c r="BL105" s="53">
        <v>700</v>
      </c>
      <c r="BM105" s="53">
        <v>190</v>
      </c>
      <c r="BN105" s="53">
        <v>150</v>
      </c>
      <c r="BO105" s="53">
        <v>875</v>
      </c>
      <c r="BP105" s="53">
        <v>800</v>
      </c>
      <c r="BQ105" s="53">
        <v>200</v>
      </c>
      <c r="BR105" s="53">
        <v>400</v>
      </c>
      <c r="BS105" s="53">
        <v>400</v>
      </c>
      <c r="BT105" s="53">
        <v>750</v>
      </c>
      <c r="BU105" s="53">
        <v>75</v>
      </c>
      <c r="BV105" s="53">
        <v>750</v>
      </c>
      <c r="BW105" s="53">
        <v>750</v>
      </c>
      <c r="BX105" s="53">
        <v>750</v>
      </c>
      <c r="BY105" s="53">
        <v>200</v>
      </c>
      <c r="BZ105" s="53">
        <v>750</v>
      </c>
      <c r="CA105" s="53">
        <v>75</v>
      </c>
      <c r="CB105" s="53">
        <v>75</v>
      </c>
      <c r="CC105" s="53">
        <v>75</v>
      </c>
      <c r="CD105" s="53">
        <v>75</v>
      </c>
      <c r="CE105" s="53">
        <v>200</v>
      </c>
      <c r="CF105" s="53">
        <v>400</v>
      </c>
      <c r="CG105" s="53">
        <v>1500</v>
      </c>
      <c r="CH105" s="53">
        <v>1500</v>
      </c>
      <c r="CI105" s="53">
        <v>1500</v>
      </c>
      <c r="CJ105" s="53">
        <v>750</v>
      </c>
      <c r="CK105" s="53">
        <v>750</v>
      </c>
      <c r="CL105" s="53">
        <v>750</v>
      </c>
      <c r="CM105" s="53" t="s">
        <v>102</v>
      </c>
      <c r="CN105" s="206"/>
      <c r="CO105" s="206"/>
      <c r="CP105" s="206"/>
      <c r="CQ105" s="8">
        <f t="shared" si="42"/>
        <v>4</v>
      </c>
      <c r="CR105" s="8">
        <f t="shared" si="43"/>
        <v>1500</v>
      </c>
      <c r="CS105" s="8">
        <f t="shared" si="44"/>
        <v>505.93548387096774</v>
      </c>
      <c r="CT105">
        <f t="shared" si="45"/>
        <v>270.98170163725536</v>
      </c>
      <c r="CU105" s="143" t="e">
        <f t="shared" si="46"/>
        <v>#DIV/0!</v>
      </c>
      <c r="CV105" s="143" t="e">
        <f t="shared" si="47"/>
        <v>#DIV/0!</v>
      </c>
      <c r="CW105"/>
      <c r="CX105" s="7">
        <f t="shared" si="48"/>
        <v>30</v>
      </c>
      <c r="CY105" s="7">
        <f t="shared" si="49"/>
        <v>75</v>
      </c>
      <c r="CZ105" s="7">
        <f t="shared" si="50"/>
        <v>75</v>
      </c>
      <c r="DA105" s="7">
        <f t="shared" si="51"/>
        <v>112.5</v>
      </c>
      <c r="DB105" s="7">
        <f t="shared" si="52"/>
        <v>400</v>
      </c>
      <c r="DC105" s="7">
        <f t="shared" si="53"/>
        <v>750</v>
      </c>
      <c r="DD105" s="7">
        <f t="shared" si="54"/>
        <v>750</v>
      </c>
      <c r="DE105" s="7">
        <f t="shared" si="55"/>
        <v>750</v>
      </c>
      <c r="DF105" s="7">
        <f t="shared" si="56"/>
        <v>775</v>
      </c>
      <c r="DG105"/>
      <c r="DH105" s="7">
        <f t="shared" si="57"/>
        <v>6.3000000000000025</v>
      </c>
      <c r="DI105" s="7">
        <f t="shared" si="58"/>
        <v>10.899999999999995</v>
      </c>
      <c r="DJ105" s="7">
        <f t="shared" si="59"/>
        <v>13.199999999999998</v>
      </c>
      <c r="DK105" s="7">
        <f t="shared" si="60"/>
        <v>15.5</v>
      </c>
      <c r="DL105" s="7">
        <f t="shared" si="61"/>
        <v>27</v>
      </c>
      <c r="DM105" s="7">
        <f t="shared" si="62"/>
        <v>31.600000000000005</v>
      </c>
      <c r="DN105" s="7">
        <f t="shared" si="63"/>
        <v>33.899999999999991</v>
      </c>
      <c r="DO105" s="7">
        <f t="shared" si="64"/>
        <v>38.5</v>
      </c>
      <c r="DP105" s="7">
        <f t="shared" si="65"/>
        <v>43.1</v>
      </c>
      <c r="DQ105"/>
      <c r="DR105"/>
      <c r="DS105"/>
      <c r="DT105"/>
      <c r="DU105"/>
      <c r="DV105"/>
      <c r="DW105"/>
      <c r="DX105"/>
      <c r="DY105"/>
      <c r="DZ105"/>
    </row>
    <row r="106" spans="1:130" s="7" customFormat="1" ht="25.5" hidden="1" customHeight="1" x14ac:dyDescent="0.25">
      <c r="A106" s="92" t="str">
        <f t="shared" si="66"/>
        <v>CO-WVI [17]</v>
      </c>
      <c r="B106" s="92" t="str">
        <f t="shared" si="67"/>
        <v>West Vancouver Island</v>
      </c>
      <c r="C106" s="93" t="str">
        <f t="shared" si="36"/>
        <v>DUTCH HARBOUR CREEK WEST_Coho</v>
      </c>
      <c r="D106" s="128" t="s">
        <v>598</v>
      </c>
      <c r="E106" s="128" t="s">
        <v>598</v>
      </c>
      <c r="F106" s="64">
        <v>23</v>
      </c>
      <c r="G106" s="72" t="s">
        <v>139</v>
      </c>
      <c r="H106" s="65" t="s">
        <v>93</v>
      </c>
      <c r="I106" s="119"/>
      <c r="J106" s="119"/>
      <c r="K106" s="64">
        <v>4</v>
      </c>
      <c r="L106" s="52">
        <v>7</v>
      </c>
      <c r="M106" s="52">
        <v>2</v>
      </c>
      <c r="N106" s="52">
        <f t="shared" si="37"/>
        <v>7.0710678118654755</v>
      </c>
      <c r="O106" s="52">
        <f t="shared" si="38"/>
        <v>400</v>
      </c>
      <c r="P106" s="52">
        <f t="shared" si="39"/>
        <v>27.550020260955627</v>
      </c>
      <c r="Q106" s="66"/>
      <c r="R106" s="39"/>
      <c r="S106" s="76" t="s">
        <v>327</v>
      </c>
      <c r="T106" s="81" t="e">
        <f t="shared" si="40"/>
        <v>#DIV/0!</v>
      </c>
      <c r="U106" s="81" t="e">
        <f t="shared" si="41"/>
        <v>#DIV/0!</v>
      </c>
      <c r="V106" s="52" t="s">
        <v>102</v>
      </c>
      <c r="W106" s="52" t="s">
        <v>102</v>
      </c>
      <c r="X106" s="52" t="s">
        <v>102</v>
      </c>
      <c r="Y106" s="52" t="s">
        <v>102</v>
      </c>
      <c r="Z106" s="52" t="s">
        <v>102</v>
      </c>
      <c r="AA106" s="52" t="s">
        <v>102</v>
      </c>
      <c r="AB106" s="52" t="s">
        <v>102</v>
      </c>
      <c r="AC106" s="52" t="s">
        <v>102</v>
      </c>
      <c r="AD106" s="52" t="s">
        <v>102</v>
      </c>
      <c r="AE106" s="52" t="s">
        <v>102</v>
      </c>
      <c r="AF106" s="52" t="s">
        <v>102</v>
      </c>
      <c r="AG106" s="52" t="s">
        <v>102</v>
      </c>
      <c r="AH106" s="52" t="s">
        <v>102</v>
      </c>
      <c r="AI106" s="52" t="s">
        <v>102</v>
      </c>
      <c r="AJ106" s="52" t="s">
        <v>102</v>
      </c>
      <c r="AK106" s="52" t="s">
        <v>102</v>
      </c>
      <c r="AL106" s="52" t="s">
        <v>102</v>
      </c>
      <c r="AM106" s="52" t="s">
        <v>102</v>
      </c>
      <c r="AN106" s="53">
        <v>2</v>
      </c>
      <c r="AO106" s="53" t="s">
        <v>262</v>
      </c>
      <c r="AP106" s="52" t="s">
        <v>102</v>
      </c>
      <c r="AQ106" s="53" t="s">
        <v>262</v>
      </c>
      <c r="AR106" s="53" t="s">
        <v>262</v>
      </c>
      <c r="AS106" s="52" t="s">
        <v>102</v>
      </c>
      <c r="AT106" s="52">
        <v>25</v>
      </c>
      <c r="AU106" s="52" t="s">
        <v>102</v>
      </c>
      <c r="AV106" s="52" t="s">
        <v>262</v>
      </c>
      <c r="AW106" s="52" t="s">
        <v>262</v>
      </c>
      <c r="AX106" s="51" t="s">
        <v>264</v>
      </c>
      <c r="AY106" s="53" t="s">
        <v>102</v>
      </c>
      <c r="AZ106" s="53" t="s">
        <v>102</v>
      </c>
      <c r="BA106" s="53" t="s">
        <v>102</v>
      </c>
      <c r="BB106" s="53" t="s">
        <v>102</v>
      </c>
      <c r="BC106" s="53" t="s">
        <v>102</v>
      </c>
      <c r="BD106" s="53" t="s">
        <v>102</v>
      </c>
      <c r="BE106" s="53" t="s">
        <v>102</v>
      </c>
      <c r="BF106" s="53" t="s">
        <v>102</v>
      </c>
      <c r="BG106" s="53" t="s">
        <v>102</v>
      </c>
      <c r="BH106" s="53" t="s">
        <v>102</v>
      </c>
      <c r="BI106" s="53" t="s">
        <v>102</v>
      </c>
      <c r="BJ106" s="53" t="s">
        <v>262</v>
      </c>
      <c r="BK106" s="53" t="s">
        <v>102</v>
      </c>
      <c r="BL106" s="53">
        <v>30</v>
      </c>
      <c r="BM106" s="53">
        <v>30</v>
      </c>
      <c r="BN106" s="53">
        <v>45</v>
      </c>
      <c r="BO106" s="53">
        <v>30</v>
      </c>
      <c r="BP106" s="53">
        <v>35</v>
      </c>
      <c r="BQ106" s="53">
        <v>25</v>
      </c>
      <c r="BR106" s="53">
        <v>25</v>
      </c>
      <c r="BS106" s="53">
        <v>25</v>
      </c>
      <c r="BT106" s="53">
        <v>25</v>
      </c>
      <c r="BU106" s="53">
        <v>25</v>
      </c>
      <c r="BV106" s="53">
        <v>75</v>
      </c>
      <c r="BW106" s="53">
        <v>25</v>
      </c>
      <c r="BX106" s="53">
        <v>400</v>
      </c>
      <c r="BY106" s="53">
        <v>25</v>
      </c>
      <c r="BZ106" s="53">
        <v>25</v>
      </c>
      <c r="CA106" s="53">
        <v>25</v>
      </c>
      <c r="CB106" s="53">
        <v>25</v>
      </c>
      <c r="CC106" s="53">
        <v>25</v>
      </c>
      <c r="CD106" s="53">
        <v>25</v>
      </c>
      <c r="CE106" s="53">
        <v>25</v>
      </c>
      <c r="CF106" s="53">
        <v>25</v>
      </c>
      <c r="CG106" s="53">
        <v>25</v>
      </c>
      <c r="CH106" s="53">
        <v>25</v>
      </c>
      <c r="CI106" s="53">
        <v>25</v>
      </c>
      <c r="CJ106" s="53">
        <v>25</v>
      </c>
      <c r="CK106" s="53">
        <v>25</v>
      </c>
      <c r="CL106" s="53">
        <v>25</v>
      </c>
      <c r="CM106" s="53" t="s">
        <v>102</v>
      </c>
      <c r="CN106" s="206">
        <f>IF(ISERROR(AVERAGE(BV106:CM106)),CS106,AVERAGE(BV106:CM106))</f>
        <v>50</v>
      </c>
      <c r="CO106" s="206"/>
      <c r="CP106" s="206"/>
      <c r="CQ106" s="8">
        <f t="shared" si="42"/>
        <v>2</v>
      </c>
      <c r="CR106" s="8">
        <f t="shared" si="43"/>
        <v>400</v>
      </c>
      <c r="CS106" s="8">
        <f t="shared" si="44"/>
        <v>40.413793103448278</v>
      </c>
      <c r="CT106">
        <f t="shared" si="45"/>
        <v>27.550020260955627</v>
      </c>
      <c r="CU106" s="143" t="e">
        <f t="shared" si="46"/>
        <v>#DIV/0!</v>
      </c>
      <c r="CV106" s="143" t="e">
        <f t="shared" si="47"/>
        <v>#DIV/0!</v>
      </c>
      <c r="CW106"/>
      <c r="CX106" s="7">
        <f t="shared" si="48"/>
        <v>25</v>
      </c>
      <c r="CY106" s="7">
        <f t="shared" si="49"/>
        <v>25</v>
      </c>
      <c r="CZ106" s="7">
        <f t="shared" si="50"/>
        <v>25</v>
      </c>
      <c r="DA106" s="7">
        <f t="shared" si="51"/>
        <v>25</v>
      </c>
      <c r="DB106" s="7">
        <f t="shared" si="52"/>
        <v>25</v>
      </c>
      <c r="DC106" s="7">
        <f t="shared" si="53"/>
        <v>25</v>
      </c>
      <c r="DD106" s="7">
        <f t="shared" si="54"/>
        <v>25</v>
      </c>
      <c r="DE106" s="7">
        <f t="shared" si="55"/>
        <v>25</v>
      </c>
      <c r="DF106" s="7">
        <f t="shared" si="56"/>
        <v>30</v>
      </c>
      <c r="DG106"/>
      <c r="DH106" s="7">
        <f t="shared" si="57"/>
        <v>3.1500000000000012</v>
      </c>
      <c r="DI106" s="7">
        <f t="shared" si="58"/>
        <v>5.4499999999999975</v>
      </c>
      <c r="DJ106" s="7">
        <f t="shared" si="59"/>
        <v>6.5999999999999988</v>
      </c>
      <c r="DK106" s="7">
        <f t="shared" si="60"/>
        <v>7.75</v>
      </c>
      <c r="DL106" s="7">
        <f t="shared" si="61"/>
        <v>13.5</v>
      </c>
      <c r="DM106" s="7">
        <f t="shared" si="62"/>
        <v>15.800000000000002</v>
      </c>
      <c r="DN106" s="7">
        <f t="shared" si="63"/>
        <v>16.949999999999996</v>
      </c>
      <c r="DO106" s="7">
        <f t="shared" si="64"/>
        <v>19.25</v>
      </c>
      <c r="DP106" s="7">
        <f t="shared" si="65"/>
        <v>21.55</v>
      </c>
      <c r="DQ106"/>
      <c r="DR106"/>
      <c r="DS106"/>
      <c r="DT106"/>
      <c r="DU106"/>
      <c r="DV106"/>
      <c r="DW106"/>
      <c r="DX106"/>
      <c r="DY106"/>
      <c r="DZ106"/>
    </row>
    <row r="107" spans="1:130" s="7" customFormat="1" ht="25.5" customHeight="1" x14ac:dyDescent="0.25">
      <c r="A107" s="92" t="str">
        <f t="shared" si="66"/>
        <v>CK-SWVI [31]</v>
      </c>
      <c r="B107" s="92" t="str">
        <f t="shared" si="67"/>
        <v>Southwest Vancouver Island</v>
      </c>
      <c r="C107" s="93" t="str">
        <f t="shared" si="36"/>
        <v>EFFINGHAM RIVER_Chinook</v>
      </c>
      <c r="D107" s="128" t="s">
        <v>598</v>
      </c>
      <c r="E107" s="128" t="s">
        <v>598</v>
      </c>
      <c r="F107" s="64">
        <v>23</v>
      </c>
      <c r="G107" s="72" t="s">
        <v>134</v>
      </c>
      <c r="H107" s="65" t="s">
        <v>97</v>
      </c>
      <c r="I107" s="119"/>
      <c r="J107" s="119"/>
      <c r="K107" s="64">
        <v>4</v>
      </c>
      <c r="L107" s="52">
        <v>11</v>
      </c>
      <c r="M107" s="52">
        <v>3</v>
      </c>
      <c r="N107" s="52">
        <f t="shared" si="37"/>
        <v>39.148676411688633</v>
      </c>
      <c r="O107" s="52">
        <f t="shared" si="38"/>
        <v>200</v>
      </c>
      <c r="P107" s="52">
        <f t="shared" si="39"/>
        <v>24.75098903106721</v>
      </c>
      <c r="Q107" s="66"/>
      <c r="R107" s="39"/>
      <c r="S107" s="74" t="s">
        <v>327</v>
      </c>
      <c r="T107" s="81">
        <f t="shared" si="40"/>
        <v>12.75</v>
      </c>
      <c r="U107" s="81">
        <f t="shared" si="41"/>
        <v>21.5</v>
      </c>
      <c r="V107" s="233">
        <v>11</v>
      </c>
      <c r="W107" s="52">
        <v>12</v>
      </c>
      <c r="X107" s="52">
        <v>17</v>
      </c>
      <c r="Y107" s="52">
        <v>11</v>
      </c>
      <c r="Z107" s="52">
        <v>5</v>
      </c>
      <c r="AA107" s="52">
        <v>73</v>
      </c>
      <c r="AB107" s="52" t="s">
        <v>102</v>
      </c>
      <c r="AC107" s="52" t="s">
        <v>102</v>
      </c>
      <c r="AD107" s="52" t="s">
        <v>102</v>
      </c>
      <c r="AE107" s="52" t="s">
        <v>102</v>
      </c>
      <c r="AF107" s="52" t="s">
        <v>102</v>
      </c>
      <c r="AG107" s="52" t="s">
        <v>102</v>
      </c>
      <c r="AH107" s="52" t="s">
        <v>102</v>
      </c>
      <c r="AI107" s="52" t="s">
        <v>102</v>
      </c>
      <c r="AJ107" s="52" t="s">
        <v>102</v>
      </c>
      <c r="AK107" s="52" t="s">
        <v>102</v>
      </c>
      <c r="AL107" s="52" t="s">
        <v>102</v>
      </c>
      <c r="AM107" s="57" t="s">
        <v>262</v>
      </c>
      <c r="AN107" s="57" t="s">
        <v>262</v>
      </c>
      <c r="AO107" s="57" t="s">
        <v>262</v>
      </c>
      <c r="AP107" s="53" t="s">
        <v>262</v>
      </c>
      <c r="AQ107" s="53" t="s">
        <v>262</v>
      </c>
      <c r="AR107" s="53" t="s">
        <v>262</v>
      </c>
      <c r="AS107" s="52">
        <v>50</v>
      </c>
      <c r="AT107" s="52">
        <v>200</v>
      </c>
      <c r="AU107" s="52" t="s">
        <v>263</v>
      </c>
      <c r="AV107" s="52">
        <v>6</v>
      </c>
      <c r="AW107" s="52" t="s">
        <v>262</v>
      </c>
      <c r="AX107" s="51" t="s">
        <v>262</v>
      </c>
      <c r="AY107" s="53" t="s">
        <v>264</v>
      </c>
      <c r="AZ107" s="53">
        <v>10</v>
      </c>
      <c r="BA107" s="53">
        <v>10</v>
      </c>
      <c r="BB107" s="53" t="s">
        <v>264</v>
      </c>
      <c r="BC107" s="53">
        <v>10</v>
      </c>
      <c r="BD107" s="53" t="s">
        <v>262</v>
      </c>
      <c r="BE107" s="53" t="s">
        <v>102</v>
      </c>
      <c r="BF107" s="53" t="s">
        <v>102</v>
      </c>
      <c r="BG107" s="53" t="s">
        <v>264</v>
      </c>
      <c r="BH107" s="53" t="s">
        <v>262</v>
      </c>
      <c r="BI107" s="53" t="s">
        <v>262</v>
      </c>
      <c r="BJ107" s="53" t="s">
        <v>264</v>
      </c>
      <c r="BK107" s="53" t="s">
        <v>264</v>
      </c>
      <c r="BL107" s="53" t="s">
        <v>264</v>
      </c>
      <c r="BM107" s="53" t="s">
        <v>264</v>
      </c>
      <c r="BN107" s="53" t="s">
        <v>264</v>
      </c>
      <c r="BO107" s="53" t="s">
        <v>264</v>
      </c>
      <c r="BP107" s="53" t="s">
        <v>262</v>
      </c>
      <c r="BQ107" s="53" t="s">
        <v>262</v>
      </c>
      <c r="BR107" s="53">
        <v>40</v>
      </c>
      <c r="BS107" s="53">
        <v>50</v>
      </c>
      <c r="BT107" s="53">
        <v>25</v>
      </c>
      <c r="BU107" s="53">
        <v>25</v>
      </c>
      <c r="BV107" s="53" t="s">
        <v>262</v>
      </c>
      <c r="BW107" s="53" t="s">
        <v>262</v>
      </c>
      <c r="BX107" s="53">
        <v>25</v>
      </c>
      <c r="BY107" s="53">
        <v>25</v>
      </c>
      <c r="BZ107" s="53">
        <v>25</v>
      </c>
      <c r="CA107" s="53">
        <v>25</v>
      </c>
      <c r="CB107" s="53">
        <v>25</v>
      </c>
      <c r="CC107" s="53">
        <v>25</v>
      </c>
      <c r="CD107" s="53">
        <v>25</v>
      </c>
      <c r="CE107" s="53">
        <v>25</v>
      </c>
      <c r="CF107" s="53">
        <v>25</v>
      </c>
      <c r="CG107" s="53" t="s">
        <v>264</v>
      </c>
      <c r="CH107" s="53">
        <v>25</v>
      </c>
      <c r="CI107" s="53">
        <v>25</v>
      </c>
      <c r="CJ107" s="53">
        <v>25</v>
      </c>
      <c r="CK107" s="53">
        <v>25</v>
      </c>
      <c r="CL107" s="53" t="s">
        <v>264</v>
      </c>
      <c r="CM107" s="53">
        <v>25</v>
      </c>
      <c r="CN107" s="206"/>
      <c r="CO107" s="206"/>
      <c r="CP107" s="206"/>
      <c r="CQ107" s="8">
        <f t="shared" si="42"/>
        <v>5</v>
      </c>
      <c r="CR107" s="8">
        <f t="shared" si="43"/>
        <v>200</v>
      </c>
      <c r="CS107" s="8">
        <f t="shared" si="44"/>
        <v>30.166666666666668</v>
      </c>
      <c r="CT107">
        <f t="shared" si="45"/>
        <v>22.217626396997005</v>
      </c>
      <c r="CU107" s="143">
        <f t="shared" si="46"/>
        <v>11.2</v>
      </c>
      <c r="CV107" s="143">
        <f t="shared" si="47"/>
        <v>21.5</v>
      </c>
      <c r="CW107"/>
      <c r="CX107" s="7">
        <f t="shared" si="48"/>
        <v>7.8000000000000007</v>
      </c>
      <c r="CY107" s="7">
        <f t="shared" si="49"/>
        <v>10.35</v>
      </c>
      <c r="CZ107" s="7">
        <f t="shared" si="50"/>
        <v>11</v>
      </c>
      <c r="DA107" s="7">
        <f t="shared" si="51"/>
        <v>13.25</v>
      </c>
      <c r="DB107" s="7">
        <f t="shared" si="52"/>
        <v>25</v>
      </c>
      <c r="DC107" s="7">
        <f t="shared" si="53"/>
        <v>25</v>
      </c>
      <c r="DD107" s="7">
        <f t="shared" si="54"/>
        <v>25</v>
      </c>
      <c r="DE107" s="7">
        <f t="shared" si="55"/>
        <v>25</v>
      </c>
      <c r="DF107" s="7">
        <f t="shared" si="56"/>
        <v>34.749999999999979</v>
      </c>
      <c r="DG107"/>
      <c r="DH107" s="7">
        <f t="shared" si="57"/>
        <v>5.4</v>
      </c>
      <c r="DI107" s="7">
        <f t="shared" si="58"/>
        <v>7.0000000000000009</v>
      </c>
      <c r="DJ107" s="7">
        <f t="shared" si="59"/>
        <v>9</v>
      </c>
      <c r="DK107" s="7">
        <f t="shared" si="60"/>
        <v>11</v>
      </c>
      <c r="DL107" s="7">
        <f t="shared" si="61"/>
        <v>12</v>
      </c>
      <c r="DM107" s="7">
        <f t="shared" si="62"/>
        <v>16</v>
      </c>
      <c r="DN107" s="7">
        <f t="shared" si="63"/>
        <v>23.600000000000005</v>
      </c>
      <c r="DO107" s="7">
        <f t="shared" si="64"/>
        <v>50</v>
      </c>
      <c r="DP107" s="7">
        <f t="shared" si="65"/>
        <v>68.399999999999991</v>
      </c>
      <c r="DQ107"/>
      <c r="DR107"/>
      <c r="DS107"/>
      <c r="DT107"/>
      <c r="DU107"/>
      <c r="DV107"/>
      <c r="DW107"/>
      <c r="DX107"/>
      <c r="DY107"/>
      <c r="DZ107"/>
    </row>
    <row r="108" spans="1:130" s="7" customFormat="1" ht="25.5" hidden="1" customHeight="1" x14ac:dyDescent="0.25">
      <c r="A108" s="92" t="str">
        <f t="shared" si="66"/>
        <v>CM-SWVI [10]</v>
      </c>
      <c r="B108" s="92" t="str">
        <f t="shared" si="67"/>
        <v>Southwest Vancouver Island</v>
      </c>
      <c r="C108" s="93" t="str">
        <f t="shared" si="36"/>
        <v>EFFINGHAM RIVER_Chum</v>
      </c>
      <c r="D108" s="128" t="s">
        <v>598</v>
      </c>
      <c r="E108" s="128" t="s">
        <v>598</v>
      </c>
      <c r="F108" s="64">
        <v>23</v>
      </c>
      <c r="G108" s="72" t="s">
        <v>134</v>
      </c>
      <c r="H108" s="65" t="s">
        <v>96</v>
      </c>
      <c r="I108" s="119"/>
      <c r="J108" s="119"/>
      <c r="K108" s="64">
        <v>4</v>
      </c>
      <c r="L108" s="52">
        <v>11</v>
      </c>
      <c r="M108" s="52">
        <v>11</v>
      </c>
      <c r="N108" s="52">
        <f t="shared" si="37"/>
        <v>9888.9149903951693</v>
      </c>
      <c r="O108" s="52">
        <f t="shared" si="38"/>
        <v>28982</v>
      </c>
      <c r="P108" s="52">
        <f t="shared" si="39"/>
        <v>4018.7221852699472</v>
      </c>
      <c r="Q108" s="66"/>
      <c r="R108" s="39"/>
      <c r="S108" s="74" t="s">
        <v>327</v>
      </c>
      <c r="T108" s="81">
        <f t="shared" si="40"/>
        <v>871</v>
      </c>
      <c r="U108" s="81">
        <f t="shared" si="41"/>
        <v>683.33333333333337</v>
      </c>
      <c r="V108" s="233">
        <v>421</v>
      </c>
      <c r="W108" s="52">
        <v>308</v>
      </c>
      <c r="X108" s="52">
        <v>2385</v>
      </c>
      <c r="Y108" s="52">
        <v>370</v>
      </c>
      <c r="Z108" s="52">
        <v>7</v>
      </c>
      <c r="AA108" s="52">
        <v>609</v>
      </c>
      <c r="AB108" s="52" t="s">
        <v>102</v>
      </c>
      <c r="AC108" s="52" t="s">
        <v>102</v>
      </c>
      <c r="AD108" s="52" t="s">
        <v>102</v>
      </c>
      <c r="AE108" s="52" t="s">
        <v>102</v>
      </c>
      <c r="AF108" s="52" t="s">
        <v>102</v>
      </c>
      <c r="AG108" s="52" t="s">
        <v>102</v>
      </c>
      <c r="AH108" s="52" t="s">
        <v>102</v>
      </c>
      <c r="AI108" s="52" t="s">
        <v>102</v>
      </c>
      <c r="AJ108" s="52" t="s">
        <v>102</v>
      </c>
      <c r="AK108" s="52" t="s">
        <v>102</v>
      </c>
      <c r="AL108" s="52" t="s">
        <v>102</v>
      </c>
      <c r="AM108" s="53">
        <v>10758</v>
      </c>
      <c r="AN108" s="53">
        <v>14833</v>
      </c>
      <c r="AO108" s="53">
        <v>9286</v>
      </c>
      <c r="AP108" s="53">
        <v>28982</v>
      </c>
      <c r="AQ108" s="53">
        <v>14500</v>
      </c>
      <c r="AR108" s="53">
        <v>2000</v>
      </c>
      <c r="AS108" s="52">
        <v>12000</v>
      </c>
      <c r="AT108" s="52">
        <v>25000</v>
      </c>
      <c r="AU108" s="52">
        <v>10000</v>
      </c>
      <c r="AV108" s="52">
        <v>7890</v>
      </c>
      <c r="AW108" s="52">
        <v>3000</v>
      </c>
      <c r="AX108" s="51">
        <v>9500</v>
      </c>
      <c r="AY108" s="53">
        <v>13000</v>
      </c>
      <c r="AZ108" s="53">
        <v>17000</v>
      </c>
      <c r="BA108" s="53">
        <v>20</v>
      </c>
      <c r="BB108" s="53">
        <v>360</v>
      </c>
      <c r="BC108" s="53">
        <v>5000</v>
      </c>
      <c r="BD108" s="53">
        <v>3500</v>
      </c>
      <c r="BE108" s="53" t="s">
        <v>102</v>
      </c>
      <c r="BF108" s="53" t="s">
        <v>102</v>
      </c>
      <c r="BG108" s="53">
        <v>7200</v>
      </c>
      <c r="BH108" s="53" t="s">
        <v>264</v>
      </c>
      <c r="BI108" s="53">
        <v>560</v>
      </c>
      <c r="BJ108" s="53">
        <v>2700</v>
      </c>
      <c r="BK108" s="53">
        <v>3000</v>
      </c>
      <c r="BL108" s="53">
        <v>500</v>
      </c>
      <c r="BM108" s="53">
        <v>3500</v>
      </c>
      <c r="BN108" s="53">
        <v>5000</v>
      </c>
      <c r="BO108" s="53">
        <v>3500</v>
      </c>
      <c r="BP108" s="53">
        <v>8500</v>
      </c>
      <c r="BQ108" s="53">
        <v>4000</v>
      </c>
      <c r="BR108" s="53">
        <v>8000</v>
      </c>
      <c r="BS108" s="53">
        <v>7500</v>
      </c>
      <c r="BT108" s="53">
        <v>15000</v>
      </c>
      <c r="BU108" s="53">
        <v>200</v>
      </c>
      <c r="BV108" s="53">
        <v>9000</v>
      </c>
      <c r="BW108" s="53">
        <v>3500</v>
      </c>
      <c r="BX108" s="53">
        <v>15000</v>
      </c>
      <c r="BY108" s="53">
        <v>7500</v>
      </c>
      <c r="BZ108" s="53">
        <v>7500</v>
      </c>
      <c r="CA108" s="53">
        <v>1500</v>
      </c>
      <c r="CB108" s="53">
        <v>3500</v>
      </c>
      <c r="CC108" s="53">
        <v>750</v>
      </c>
      <c r="CD108" s="53">
        <v>750</v>
      </c>
      <c r="CE108" s="53">
        <v>1500</v>
      </c>
      <c r="CF108" s="53">
        <v>3500</v>
      </c>
      <c r="CG108" s="53">
        <v>3500</v>
      </c>
      <c r="CH108" s="53">
        <v>7500</v>
      </c>
      <c r="CI108" s="53">
        <v>7500</v>
      </c>
      <c r="CJ108" s="53">
        <v>3500</v>
      </c>
      <c r="CK108" s="53">
        <v>3500</v>
      </c>
      <c r="CL108" s="53">
        <v>7500</v>
      </c>
      <c r="CM108" s="53">
        <v>1500</v>
      </c>
      <c r="CN108" s="206"/>
      <c r="CO108" s="206"/>
      <c r="CP108" s="206"/>
      <c r="CQ108" s="8">
        <f t="shared" si="42"/>
        <v>7</v>
      </c>
      <c r="CR108" s="8">
        <f t="shared" si="43"/>
        <v>28982</v>
      </c>
      <c r="CS108" s="8">
        <f t="shared" si="44"/>
        <v>6221.2321428571431</v>
      </c>
      <c r="CT108">
        <f t="shared" si="45"/>
        <v>3021.5213628159422</v>
      </c>
      <c r="CU108" s="143">
        <f t="shared" si="46"/>
        <v>698.2</v>
      </c>
      <c r="CV108" s="143">
        <f t="shared" si="47"/>
        <v>683.33333333333337</v>
      </c>
      <c r="CW108"/>
      <c r="CX108" s="7">
        <f t="shared" si="48"/>
        <v>281</v>
      </c>
      <c r="CY108" s="7">
        <f t="shared" si="49"/>
        <v>572.25</v>
      </c>
      <c r="CZ108" s="7">
        <f t="shared" si="50"/>
        <v>750</v>
      </c>
      <c r="DA108" s="7">
        <f t="shared" si="51"/>
        <v>1500</v>
      </c>
      <c r="DB108" s="7">
        <f t="shared" si="52"/>
        <v>3500</v>
      </c>
      <c r="DC108" s="7">
        <f t="shared" si="53"/>
        <v>7500</v>
      </c>
      <c r="DD108" s="7">
        <f t="shared" si="54"/>
        <v>7500</v>
      </c>
      <c r="DE108" s="7">
        <f t="shared" si="55"/>
        <v>8625</v>
      </c>
      <c r="DF108" s="7">
        <f t="shared" si="56"/>
        <v>11689.5</v>
      </c>
      <c r="DG108"/>
      <c r="DH108" s="7">
        <f t="shared" si="57"/>
        <v>247.8</v>
      </c>
      <c r="DI108" s="7">
        <f t="shared" si="58"/>
        <v>390.4</v>
      </c>
      <c r="DJ108" s="7">
        <f t="shared" si="59"/>
        <v>458.6</v>
      </c>
      <c r="DK108" s="7">
        <f t="shared" si="60"/>
        <v>609</v>
      </c>
      <c r="DL108" s="7">
        <f t="shared" si="61"/>
        <v>7890</v>
      </c>
      <c r="DM108" s="7">
        <f t="shared" si="62"/>
        <v>9714.4</v>
      </c>
      <c r="DN108" s="7">
        <f t="shared" si="63"/>
        <v>10303.200000000001</v>
      </c>
      <c r="DO108" s="7">
        <f t="shared" si="64"/>
        <v>12000</v>
      </c>
      <c r="DP108" s="7">
        <f t="shared" si="65"/>
        <v>14699.8</v>
      </c>
      <c r="DQ108"/>
      <c r="DR108"/>
      <c r="DS108"/>
      <c r="DT108"/>
      <c r="DU108"/>
      <c r="DV108"/>
      <c r="DW108"/>
      <c r="DX108"/>
      <c r="DY108"/>
      <c r="DZ108"/>
    </row>
    <row r="109" spans="1:130" s="7" customFormat="1" ht="25.5" hidden="1" customHeight="1" x14ac:dyDescent="0.25">
      <c r="A109" s="92" t="str">
        <f t="shared" si="66"/>
        <v>CO-WVI [17]</v>
      </c>
      <c r="B109" s="92" t="str">
        <f t="shared" si="67"/>
        <v>West Vancouver Island</v>
      </c>
      <c r="C109" s="93" t="str">
        <f t="shared" si="36"/>
        <v>EFFINGHAM RIVER_Coho</v>
      </c>
      <c r="D109" s="128" t="s">
        <v>598</v>
      </c>
      <c r="E109" s="128" t="s">
        <v>598</v>
      </c>
      <c r="F109" s="64">
        <v>23</v>
      </c>
      <c r="G109" s="72" t="s">
        <v>134</v>
      </c>
      <c r="H109" s="65" t="s">
        <v>93</v>
      </c>
      <c r="I109" s="119"/>
      <c r="J109" s="119"/>
      <c r="K109" s="64">
        <v>4</v>
      </c>
      <c r="L109" s="52">
        <v>11</v>
      </c>
      <c r="M109" s="52">
        <v>4</v>
      </c>
      <c r="N109" s="52">
        <f t="shared" si="37"/>
        <v>104.66351393921056</v>
      </c>
      <c r="O109" s="52">
        <f t="shared" si="38"/>
        <v>3500</v>
      </c>
      <c r="P109" s="52">
        <f t="shared" si="39"/>
        <v>488.30425795589611</v>
      </c>
      <c r="Q109" s="66"/>
      <c r="R109" s="39"/>
      <c r="S109" s="74" t="s">
        <v>327</v>
      </c>
      <c r="T109" s="81">
        <f t="shared" si="40"/>
        <v>349.25</v>
      </c>
      <c r="U109" s="81">
        <f t="shared" si="41"/>
        <v>297</v>
      </c>
      <c r="V109" s="233">
        <v>674</v>
      </c>
      <c r="W109" s="52">
        <v>381</v>
      </c>
      <c r="X109" s="52">
        <v>131</v>
      </c>
      <c r="Y109" s="52">
        <v>211</v>
      </c>
      <c r="Z109" s="52">
        <v>24</v>
      </c>
      <c r="AA109" s="52">
        <v>361</v>
      </c>
      <c r="AB109" s="52" t="s">
        <v>102</v>
      </c>
      <c r="AC109" s="52" t="s">
        <v>102</v>
      </c>
      <c r="AD109" s="52" t="s">
        <v>102</v>
      </c>
      <c r="AE109" s="52" t="s">
        <v>102</v>
      </c>
      <c r="AF109" s="52" t="s">
        <v>102</v>
      </c>
      <c r="AG109" s="52" t="s">
        <v>102</v>
      </c>
      <c r="AH109" s="52" t="s">
        <v>102</v>
      </c>
      <c r="AI109" s="52" t="s">
        <v>102</v>
      </c>
      <c r="AJ109" s="52" t="s">
        <v>102</v>
      </c>
      <c r="AK109" s="52" t="s">
        <v>102</v>
      </c>
      <c r="AL109" s="52" t="s">
        <v>102</v>
      </c>
      <c r="AM109" s="53" t="s">
        <v>262</v>
      </c>
      <c r="AN109" s="53" t="s">
        <v>262</v>
      </c>
      <c r="AO109" s="53" t="s">
        <v>262</v>
      </c>
      <c r="AP109" s="53" t="s">
        <v>262</v>
      </c>
      <c r="AQ109" s="53" t="s">
        <v>262</v>
      </c>
      <c r="AR109" s="53" t="s">
        <v>262</v>
      </c>
      <c r="AS109" s="52">
        <v>150</v>
      </c>
      <c r="AT109" s="52">
        <v>500</v>
      </c>
      <c r="AU109" s="52" t="s">
        <v>262</v>
      </c>
      <c r="AV109" s="52">
        <v>8</v>
      </c>
      <c r="AW109" s="52">
        <v>200</v>
      </c>
      <c r="AX109" s="51" t="s">
        <v>262</v>
      </c>
      <c r="AY109" s="53" t="s">
        <v>264</v>
      </c>
      <c r="AZ109" s="53">
        <v>300</v>
      </c>
      <c r="BA109" s="53">
        <v>200</v>
      </c>
      <c r="BB109" s="53">
        <v>100</v>
      </c>
      <c r="BC109" s="53" t="s">
        <v>264</v>
      </c>
      <c r="BD109" s="53" t="s">
        <v>262</v>
      </c>
      <c r="BE109" s="53" t="s">
        <v>102</v>
      </c>
      <c r="BF109" s="53" t="s">
        <v>102</v>
      </c>
      <c r="BG109" s="53" t="s">
        <v>264</v>
      </c>
      <c r="BH109" s="53" t="s">
        <v>264</v>
      </c>
      <c r="BI109" s="53" t="s">
        <v>264</v>
      </c>
      <c r="BJ109" s="53" t="s">
        <v>264</v>
      </c>
      <c r="BK109" s="53" t="s">
        <v>264</v>
      </c>
      <c r="BL109" s="53" t="s">
        <v>264</v>
      </c>
      <c r="BM109" s="53">
        <v>500</v>
      </c>
      <c r="BN109" s="53">
        <v>2100</v>
      </c>
      <c r="BO109" s="53">
        <v>1700</v>
      </c>
      <c r="BP109" s="53">
        <v>700</v>
      </c>
      <c r="BQ109" s="53">
        <v>750</v>
      </c>
      <c r="BR109" s="53">
        <v>750</v>
      </c>
      <c r="BS109" s="53">
        <v>1500</v>
      </c>
      <c r="BT109" s="53">
        <v>750</v>
      </c>
      <c r="BU109" s="53">
        <v>750</v>
      </c>
      <c r="BV109" s="53">
        <v>750</v>
      </c>
      <c r="BW109" s="53">
        <v>400</v>
      </c>
      <c r="BX109" s="53">
        <v>750</v>
      </c>
      <c r="BY109" s="53">
        <v>1500</v>
      </c>
      <c r="BZ109" s="53">
        <v>3500</v>
      </c>
      <c r="CA109" s="53">
        <v>3500</v>
      </c>
      <c r="CB109" s="53">
        <v>1500</v>
      </c>
      <c r="CC109" s="53">
        <v>400</v>
      </c>
      <c r="CD109" s="53">
        <v>400</v>
      </c>
      <c r="CE109" s="53">
        <v>750</v>
      </c>
      <c r="CF109" s="53">
        <v>400</v>
      </c>
      <c r="CG109" s="53">
        <v>400</v>
      </c>
      <c r="CH109" s="53">
        <v>400</v>
      </c>
      <c r="CI109" s="53">
        <v>400</v>
      </c>
      <c r="CJ109" s="53">
        <v>200</v>
      </c>
      <c r="CK109" s="53">
        <v>200</v>
      </c>
      <c r="CL109" s="53">
        <v>200</v>
      </c>
      <c r="CM109" s="53">
        <v>400</v>
      </c>
      <c r="CN109" s="206">
        <f>IF(ISERROR(AVERAGE(BV109:CM109)),CS109,AVERAGE(BV109:CM109))</f>
        <v>891.66666666666663</v>
      </c>
      <c r="CO109" s="209"/>
      <c r="CP109" s="209"/>
      <c r="CQ109" s="8">
        <f t="shared" si="42"/>
        <v>8</v>
      </c>
      <c r="CR109" s="8">
        <f t="shared" si="43"/>
        <v>3500</v>
      </c>
      <c r="CS109" s="8">
        <f t="shared" si="44"/>
        <v>719.75</v>
      </c>
      <c r="CT109">
        <f t="shared" si="45"/>
        <v>426.68596838517755</v>
      </c>
      <c r="CU109" s="143">
        <f t="shared" si="46"/>
        <v>284.2</v>
      </c>
      <c r="CV109" s="143">
        <f t="shared" si="47"/>
        <v>297</v>
      </c>
      <c r="CW109"/>
      <c r="CX109" s="7">
        <f t="shared" si="48"/>
        <v>96.200000000000017</v>
      </c>
      <c r="CY109" s="7">
        <f t="shared" si="49"/>
        <v>200</v>
      </c>
      <c r="CZ109" s="7">
        <f t="shared" si="50"/>
        <v>200</v>
      </c>
      <c r="DA109" s="7">
        <f t="shared" si="51"/>
        <v>208.25</v>
      </c>
      <c r="DB109" s="7">
        <f t="shared" si="52"/>
        <v>400</v>
      </c>
      <c r="DC109" s="7">
        <f t="shared" si="53"/>
        <v>569.5999999999998</v>
      </c>
      <c r="DD109" s="7">
        <f t="shared" si="54"/>
        <v>717.50000000000011</v>
      </c>
      <c r="DE109" s="7">
        <f t="shared" si="55"/>
        <v>750</v>
      </c>
      <c r="DF109" s="7">
        <f t="shared" si="56"/>
        <v>1500</v>
      </c>
      <c r="DG109"/>
      <c r="DH109" s="7">
        <f t="shared" si="57"/>
        <v>15.2</v>
      </c>
      <c r="DI109" s="7">
        <f t="shared" si="58"/>
        <v>61.44999999999996</v>
      </c>
      <c r="DJ109" s="7">
        <f t="shared" si="59"/>
        <v>109.59999999999998</v>
      </c>
      <c r="DK109" s="7">
        <f t="shared" si="60"/>
        <v>135.75</v>
      </c>
      <c r="DL109" s="7">
        <f t="shared" si="61"/>
        <v>205.5</v>
      </c>
      <c r="DM109" s="7">
        <f t="shared" si="62"/>
        <v>270.99999999999994</v>
      </c>
      <c r="DN109" s="7">
        <f t="shared" si="63"/>
        <v>338.50000000000011</v>
      </c>
      <c r="DO109" s="7">
        <f t="shared" si="64"/>
        <v>376</v>
      </c>
      <c r="DP109" s="7">
        <f t="shared" si="65"/>
        <v>458.3499999999998</v>
      </c>
      <c r="DQ109"/>
      <c r="DR109" s="7">
        <f>_xlfn.PERCENTILE.INC((Y109:AF109,AH109:AJ109,AL109:AW109),0.05)</f>
        <v>12.8</v>
      </c>
      <c r="DS109" s="7">
        <f>_xlfn.PERCENTILE.INC((Y109:AF109,AH109:AJ109,AL109:AW109),0.15)</f>
        <v>22.4</v>
      </c>
      <c r="DT109" s="7">
        <f>_xlfn.PERCENTILE.INC((Y109:AF109,AH109:AJ109,AL109:AW109),0.2)</f>
        <v>49.200000000000024</v>
      </c>
      <c r="DU109" s="7">
        <f>_xlfn.PERCENTILE.INC((Y109:AF109,AH109:AJ109,AL109:AW109),0.25)</f>
        <v>87</v>
      </c>
      <c r="DV109" s="7">
        <f>_xlfn.PERCENTILE.INC((Y109:AF109,AH109:AJ109,AL109:AW109),0.5)</f>
        <v>200</v>
      </c>
      <c r="DW109" s="7">
        <f>_xlfn.PERCENTILE.INC((Y109:AF109,AH109:AJ109,AL109:AW109),0.6)</f>
        <v>206.6</v>
      </c>
      <c r="DX109" s="7">
        <f>_xlfn.PERCENTILE.INC((Y109:AF109,AH109:AJ109,AL109:AW109),0.65)</f>
        <v>209.9</v>
      </c>
      <c r="DY109" s="7">
        <f>_xlfn.PERCENTILE.INC((Y109:AF109,AH109:AJ109,AL109:AW109),0.75)</f>
        <v>286</v>
      </c>
      <c r="DZ109" s="7">
        <f>_xlfn.PERCENTILE.INC((Y109:AF109,AH109:AJ109,AL109:AW109),0.85)</f>
        <v>374.9</v>
      </c>
    </row>
    <row r="110" spans="1:130" ht="25.5" customHeight="1" x14ac:dyDescent="0.25">
      <c r="A110" s="92" t="str">
        <f t="shared" si="66"/>
        <v>CK-SWVI [31]</v>
      </c>
      <c r="B110" s="92" t="str">
        <f t="shared" si="67"/>
        <v>Southwest Vancouver Island</v>
      </c>
      <c r="C110" s="93" t="str">
        <f t="shared" si="36"/>
        <v>FRANKLIN RIVER_Chinook</v>
      </c>
      <c r="D110" s="128" t="s">
        <v>598</v>
      </c>
      <c r="E110" s="128" t="s">
        <v>598</v>
      </c>
      <c r="F110" s="64">
        <v>23</v>
      </c>
      <c r="G110" s="72" t="s">
        <v>118</v>
      </c>
      <c r="H110" s="65" t="s">
        <v>97</v>
      </c>
      <c r="I110" s="119"/>
      <c r="J110" s="119"/>
      <c r="K110" s="64">
        <v>4</v>
      </c>
      <c r="L110" s="52">
        <v>10</v>
      </c>
      <c r="M110" s="52">
        <v>4</v>
      </c>
      <c r="N110" s="52">
        <f t="shared" si="37"/>
        <v>14.142135623730951</v>
      </c>
      <c r="O110" s="52">
        <f t="shared" si="38"/>
        <v>90</v>
      </c>
      <c r="P110" s="52">
        <f t="shared" si="39"/>
        <v>20.613428976975939</v>
      </c>
      <c r="Q110" s="66"/>
      <c r="R110" s="39"/>
      <c r="S110" s="74" t="s">
        <v>327</v>
      </c>
      <c r="T110" s="81" t="e">
        <f t="shared" si="40"/>
        <v>#DIV/0!</v>
      </c>
      <c r="U110" s="81" t="e">
        <f t="shared" si="41"/>
        <v>#DIV/0!</v>
      </c>
      <c r="V110" s="52" t="s">
        <v>102</v>
      </c>
      <c r="W110" s="52" t="s">
        <v>102</v>
      </c>
      <c r="X110" s="52" t="s">
        <v>102</v>
      </c>
      <c r="Y110" s="54" t="s">
        <v>102</v>
      </c>
      <c r="Z110" s="198" t="s">
        <v>102</v>
      </c>
      <c r="AA110" s="52" t="s">
        <v>262</v>
      </c>
      <c r="AB110" s="52" t="s">
        <v>102</v>
      </c>
      <c r="AC110" s="144" t="s">
        <v>262</v>
      </c>
      <c r="AD110" s="52" t="s">
        <v>102</v>
      </c>
      <c r="AE110" s="144" t="s">
        <v>262</v>
      </c>
      <c r="AF110" s="52" t="s">
        <v>262</v>
      </c>
      <c r="AG110" s="53" t="s">
        <v>262</v>
      </c>
      <c r="AH110" s="52" t="s">
        <v>262</v>
      </c>
      <c r="AI110" s="52" t="s">
        <v>102</v>
      </c>
      <c r="AJ110" s="52" t="s">
        <v>262</v>
      </c>
      <c r="AK110" s="89" t="s">
        <v>262</v>
      </c>
      <c r="AL110" s="89" t="s">
        <v>102</v>
      </c>
      <c r="AM110" s="53" t="s">
        <v>262</v>
      </c>
      <c r="AN110" s="52" t="s">
        <v>102</v>
      </c>
      <c r="AO110" s="57" t="s">
        <v>262</v>
      </c>
      <c r="AP110" s="53" t="s">
        <v>262</v>
      </c>
      <c r="AQ110" s="53">
        <v>10</v>
      </c>
      <c r="AR110" s="53">
        <v>25</v>
      </c>
      <c r="AS110" s="52">
        <v>80</v>
      </c>
      <c r="AT110" s="52" t="s">
        <v>262</v>
      </c>
      <c r="AU110" s="52" t="s">
        <v>262</v>
      </c>
      <c r="AV110" s="52" t="s">
        <v>262</v>
      </c>
      <c r="AW110" s="52">
        <v>2</v>
      </c>
      <c r="AX110" s="51" t="s">
        <v>262</v>
      </c>
      <c r="AY110" s="53" t="s">
        <v>264</v>
      </c>
      <c r="AZ110" s="53" t="s">
        <v>264</v>
      </c>
      <c r="BA110" s="53" t="s">
        <v>264</v>
      </c>
      <c r="BB110" s="53">
        <v>6</v>
      </c>
      <c r="BC110" s="53" t="s">
        <v>102</v>
      </c>
      <c r="BD110" s="53" t="s">
        <v>102</v>
      </c>
      <c r="BE110" s="53" t="s">
        <v>102</v>
      </c>
      <c r="BF110" s="53" t="s">
        <v>102</v>
      </c>
      <c r="BG110" s="53">
        <v>2</v>
      </c>
      <c r="BH110" s="53" t="s">
        <v>264</v>
      </c>
      <c r="BI110" s="53" t="s">
        <v>102</v>
      </c>
      <c r="BJ110" s="53">
        <v>4</v>
      </c>
      <c r="BK110" s="53" t="s">
        <v>102</v>
      </c>
      <c r="BL110" s="53" t="s">
        <v>102</v>
      </c>
      <c r="BM110" s="53" t="s">
        <v>262</v>
      </c>
      <c r="BN110" s="53" t="s">
        <v>262</v>
      </c>
      <c r="BO110" s="53">
        <v>50</v>
      </c>
      <c r="BP110" s="53">
        <v>90</v>
      </c>
      <c r="BQ110" s="53">
        <v>40</v>
      </c>
      <c r="BR110" s="53">
        <v>40</v>
      </c>
      <c r="BS110" s="53">
        <v>75</v>
      </c>
      <c r="BT110" s="53">
        <v>25</v>
      </c>
      <c r="BU110" s="53">
        <v>25</v>
      </c>
      <c r="BV110" s="53">
        <v>25</v>
      </c>
      <c r="BW110" s="53" t="s">
        <v>262</v>
      </c>
      <c r="BX110" s="53">
        <v>25</v>
      </c>
      <c r="BY110" s="53" t="s">
        <v>264</v>
      </c>
      <c r="BZ110" s="53" t="s">
        <v>264</v>
      </c>
      <c r="CA110" s="53" t="s">
        <v>264</v>
      </c>
      <c r="CB110" s="53" t="s">
        <v>264</v>
      </c>
      <c r="CC110" s="53" t="s">
        <v>262</v>
      </c>
      <c r="CD110" s="53">
        <v>25</v>
      </c>
      <c r="CE110" s="53">
        <v>25</v>
      </c>
      <c r="CF110" s="53" t="s">
        <v>262</v>
      </c>
      <c r="CG110" s="53" t="s">
        <v>264</v>
      </c>
      <c r="CH110" s="53">
        <v>25</v>
      </c>
      <c r="CI110" s="53">
        <v>25</v>
      </c>
      <c r="CJ110" s="53">
        <v>25</v>
      </c>
      <c r="CK110" s="53" t="s">
        <v>264</v>
      </c>
      <c r="CL110" s="53" t="s">
        <v>264</v>
      </c>
      <c r="CM110" s="53" t="s">
        <v>264</v>
      </c>
      <c r="CN110" s="206"/>
      <c r="CO110" s="206"/>
      <c r="CP110" s="206"/>
      <c r="CQ110" s="8">
        <f t="shared" si="42"/>
        <v>2</v>
      </c>
      <c r="CR110" s="8">
        <f t="shared" si="43"/>
        <v>90</v>
      </c>
      <c r="CS110" s="8">
        <f t="shared" si="44"/>
        <v>30.904761904761905</v>
      </c>
      <c r="CT110">
        <f t="shared" si="45"/>
        <v>20.613428976975939</v>
      </c>
      <c r="CU110" s="143" t="e">
        <f t="shared" si="46"/>
        <v>#DIV/0!</v>
      </c>
      <c r="CV110" s="143" t="e">
        <f t="shared" si="47"/>
        <v>#DIV/0!</v>
      </c>
      <c r="CX110" s="7">
        <f t="shared" si="48"/>
        <v>2</v>
      </c>
      <c r="CY110" s="7">
        <f t="shared" si="49"/>
        <v>6</v>
      </c>
      <c r="CZ110" s="7">
        <f t="shared" si="50"/>
        <v>10</v>
      </c>
      <c r="DA110" s="7">
        <f t="shared" si="51"/>
        <v>25</v>
      </c>
      <c r="DB110" s="7">
        <f t="shared" si="52"/>
        <v>25</v>
      </c>
      <c r="DC110" s="7">
        <f t="shared" si="53"/>
        <v>25</v>
      </c>
      <c r="DD110" s="7">
        <f t="shared" si="54"/>
        <v>25</v>
      </c>
      <c r="DE110" s="7">
        <f t="shared" si="55"/>
        <v>40</v>
      </c>
      <c r="DF110" s="7">
        <f t="shared" si="56"/>
        <v>50</v>
      </c>
      <c r="DH110" s="7">
        <f t="shared" si="57"/>
        <v>3.1999999999999993</v>
      </c>
      <c r="DI110" s="7">
        <f t="shared" si="58"/>
        <v>5.6</v>
      </c>
      <c r="DJ110" s="7">
        <f t="shared" si="59"/>
        <v>6.8000000000000007</v>
      </c>
      <c r="DK110" s="7">
        <f t="shared" si="60"/>
        <v>8</v>
      </c>
      <c r="DL110" s="7">
        <f t="shared" si="61"/>
        <v>17.5</v>
      </c>
      <c r="DM110" s="7">
        <f t="shared" si="62"/>
        <v>21.999999999999996</v>
      </c>
      <c r="DN110" s="7">
        <f t="shared" si="63"/>
        <v>24.250000000000004</v>
      </c>
      <c r="DO110" s="7">
        <f t="shared" si="64"/>
        <v>38.75</v>
      </c>
      <c r="DP110" s="7">
        <f t="shared" si="65"/>
        <v>55.249999999999986</v>
      </c>
    </row>
    <row r="111" spans="1:130" ht="25.5" hidden="1" customHeight="1" x14ac:dyDescent="0.25">
      <c r="A111" s="92" t="str">
        <f t="shared" si="66"/>
        <v>CM-SWVI [10]</v>
      </c>
      <c r="B111" s="92" t="str">
        <f t="shared" si="67"/>
        <v>Southwest Vancouver Island</v>
      </c>
      <c r="C111" s="93" t="str">
        <f t="shared" si="36"/>
        <v>FRANKLIN RIVER_Chum</v>
      </c>
      <c r="D111" s="128" t="s">
        <v>598</v>
      </c>
      <c r="E111" s="128" t="s">
        <v>598</v>
      </c>
      <c r="F111" s="64">
        <v>23</v>
      </c>
      <c r="G111" s="72" t="s">
        <v>118</v>
      </c>
      <c r="H111" s="65" t="s">
        <v>96</v>
      </c>
      <c r="I111" s="119"/>
      <c r="J111" s="119"/>
      <c r="K111" s="64">
        <v>4</v>
      </c>
      <c r="L111" s="52">
        <v>10</v>
      </c>
      <c r="M111" s="52">
        <v>9</v>
      </c>
      <c r="N111" s="52">
        <f t="shared" si="37"/>
        <v>275.05179057277081</v>
      </c>
      <c r="O111" s="52">
        <f t="shared" si="38"/>
        <v>1853</v>
      </c>
      <c r="P111" s="52">
        <f t="shared" si="39"/>
        <v>119.3816150938729</v>
      </c>
      <c r="Q111" s="66"/>
      <c r="R111" s="39"/>
      <c r="S111" s="76" t="s">
        <v>327</v>
      </c>
      <c r="T111" s="81" t="e">
        <f t="shared" si="40"/>
        <v>#DIV/0!</v>
      </c>
      <c r="U111" s="81">
        <f t="shared" si="41"/>
        <v>62</v>
      </c>
      <c r="V111" s="52" t="s">
        <v>102</v>
      </c>
      <c r="W111" s="52" t="s">
        <v>102</v>
      </c>
      <c r="X111" s="52" t="s">
        <v>102</v>
      </c>
      <c r="Y111" s="54" t="s">
        <v>102</v>
      </c>
      <c r="Z111" s="198" t="s">
        <v>102</v>
      </c>
      <c r="AA111" s="52" t="s">
        <v>262</v>
      </c>
      <c r="AB111" s="52" t="s">
        <v>102</v>
      </c>
      <c r="AC111" s="52">
        <v>30</v>
      </c>
      <c r="AD111" s="52" t="s">
        <v>102</v>
      </c>
      <c r="AE111" s="144">
        <v>12</v>
      </c>
      <c r="AF111" s="52">
        <v>106</v>
      </c>
      <c r="AG111" s="53">
        <v>100</v>
      </c>
      <c r="AH111" s="52">
        <v>22</v>
      </c>
      <c r="AI111" s="52" t="s">
        <v>102</v>
      </c>
      <c r="AJ111" s="142"/>
      <c r="AK111" s="155" t="s">
        <v>263</v>
      </c>
      <c r="AL111" s="155" t="s">
        <v>102</v>
      </c>
      <c r="AM111" s="57">
        <v>310</v>
      </c>
      <c r="AN111" s="52" t="s">
        <v>102</v>
      </c>
      <c r="AO111" s="53">
        <v>275</v>
      </c>
      <c r="AP111" s="53">
        <v>1853</v>
      </c>
      <c r="AQ111" s="53">
        <v>650</v>
      </c>
      <c r="AR111" s="53">
        <v>200</v>
      </c>
      <c r="AS111" s="52">
        <v>650</v>
      </c>
      <c r="AT111" s="52">
        <v>300</v>
      </c>
      <c r="AU111" s="52" t="s">
        <v>263</v>
      </c>
      <c r="AV111" s="52">
        <v>45</v>
      </c>
      <c r="AW111" s="52">
        <v>50</v>
      </c>
      <c r="AX111" s="51">
        <v>250</v>
      </c>
      <c r="AY111" s="53">
        <v>400</v>
      </c>
      <c r="AZ111" s="53" t="s">
        <v>264</v>
      </c>
      <c r="BA111" s="53">
        <v>10</v>
      </c>
      <c r="BB111" s="53">
        <v>20</v>
      </c>
      <c r="BC111" s="53" t="s">
        <v>102</v>
      </c>
      <c r="BD111" s="53" t="s">
        <v>102</v>
      </c>
      <c r="BE111" s="53" t="s">
        <v>102</v>
      </c>
      <c r="BF111" s="53" t="s">
        <v>102</v>
      </c>
      <c r="BG111" s="53">
        <v>50</v>
      </c>
      <c r="BH111" s="53" t="s">
        <v>264</v>
      </c>
      <c r="BI111" s="53" t="s">
        <v>102</v>
      </c>
      <c r="BJ111" s="53">
        <v>5</v>
      </c>
      <c r="BK111" s="53" t="s">
        <v>102</v>
      </c>
      <c r="BL111" s="53" t="s">
        <v>102</v>
      </c>
      <c r="BM111" s="53">
        <v>30</v>
      </c>
      <c r="BN111" s="53" t="s">
        <v>262</v>
      </c>
      <c r="BO111" s="53">
        <v>100</v>
      </c>
      <c r="BP111" s="53">
        <v>250</v>
      </c>
      <c r="BQ111" s="53">
        <v>75</v>
      </c>
      <c r="BR111" s="53">
        <v>150</v>
      </c>
      <c r="BS111" s="53">
        <v>75</v>
      </c>
      <c r="BT111" s="53">
        <v>200</v>
      </c>
      <c r="BU111" s="53">
        <v>25</v>
      </c>
      <c r="BV111" s="53">
        <v>75</v>
      </c>
      <c r="BW111" s="53">
        <v>75</v>
      </c>
      <c r="BX111" s="53">
        <v>750</v>
      </c>
      <c r="BY111" s="53">
        <v>750</v>
      </c>
      <c r="BZ111" s="53">
        <v>1500</v>
      </c>
      <c r="CA111" s="53">
        <v>200</v>
      </c>
      <c r="CB111" s="53">
        <v>400</v>
      </c>
      <c r="CC111" s="53">
        <v>25</v>
      </c>
      <c r="CD111" s="53">
        <v>75</v>
      </c>
      <c r="CE111" s="53">
        <v>25</v>
      </c>
      <c r="CF111" s="53">
        <v>25</v>
      </c>
      <c r="CG111" s="53">
        <v>25</v>
      </c>
      <c r="CH111" s="53">
        <v>200</v>
      </c>
      <c r="CI111" s="53">
        <v>75</v>
      </c>
      <c r="CJ111" s="53">
        <v>200</v>
      </c>
      <c r="CK111" s="53">
        <v>75</v>
      </c>
      <c r="CL111" s="53">
        <v>200</v>
      </c>
      <c r="CM111" s="53">
        <v>200</v>
      </c>
      <c r="CN111" s="206"/>
      <c r="CO111" s="206"/>
      <c r="CP111" s="206"/>
      <c r="CQ111" s="8">
        <f t="shared" si="42"/>
        <v>5</v>
      </c>
      <c r="CR111" s="8">
        <f t="shared" si="43"/>
        <v>1853</v>
      </c>
      <c r="CS111" s="8">
        <f t="shared" si="44"/>
        <v>241.69565217391303</v>
      </c>
      <c r="CT111">
        <f t="shared" si="45"/>
        <v>105.54676431250097</v>
      </c>
      <c r="CU111" s="143" t="e">
        <f t="shared" si="46"/>
        <v>#DIV/0!</v>
      </c>
      <c r="CV111" s="143">
        <f t="shared" si="47"/>
        <v>62</v>
      </c>
      <c r="CX111" s="7">
        <f t="shared" si="48"/>
        <v>14</v>
      </c>
      <c r="CY111" s="7">
        <f t="shared" si="49"/>
        <v>25</v>
      </c>
      <c r="CZ111" s="7">
        <f t="shared" si="50"/>
        <v>25</v>
      </c>
      <c r="DA111" s="7">
        <f t="shared" si="51"/>
        <v>33.75</v>
      </c>
      <c r="DB111" s="7">
        <f t="shared" si="52"/>
        <v>100</v>
      </c>
      <c r="DC111" s="7">
        <f t="shared" si="53"/>
        <v>200</v>
      </c>
      <c r="DD111" s="7">
        <f t="shared" si="54"/>
        <v>200</v>
      </c>
      <c r="DE111" s="7">
        <f t="shared" si="55"/>
        <v>250</v>
      </c>
      <c r="DF111" s="7">
        <f t="shared" si="56"/>
        <v>400</v>
      </c>
      <c r="DH111" s="7">
        <f t="shared" si="57"/>
        <v>18.5</v>
      </c>
      <c r="DI111" s="7">
        <f t="shared" si="58"/>
        <v>29.6</v>
      </c>
      <c r="DJ111" s="7">
        <f t="shared" si="59"/>
        <v>39</v>
      </c>
      <c r="DK111" s="7">
        <f t="shared" si="60"/>
        <v>46.25</v>
      </c>
      <c r="DL111" s="7">
        <f t="shared" si="61"/>
        <v>153</v>
      </c>
      <c r="DM111" s="7">
        <f t="shared" si="62"/>
        <v>260.00000000000006</v>
      </c>
      <c r="DN111" s="7">
        <f t="shared" si="63"/>
        <v>286.25</v>
      </c>
      <c r="DO111" s="7">
        <f t="shared" si="64"/>
        <v>307.5</v>
      </c>
      <c r="DP111" s="7">
        <f t="shared" si="65"/>
        <v>650</v>
      </c>
    </row>
    <row r="112" spans="1:130" ht="25.5" hidden="1" customHeight="1" x14ac:dyDescent="0.25">
      <c r="A112" s="92" t="str">
        <f t="shared" si="66"/>
        <v>CO-WVI [17]</v>
      </c>
      <c r="B112" s="92" t="str">
        <f t="shared" si="67"/>
        <v>West Vancouver Island</v>
      </c>
      <c r="C112" s="93" t="str">
        <f t="shared" si="36"/>
        <v>FRANKLIN RIVER_Coho</v>
      </c>
      <c r="D112" s="128" t="s">
        <v>598</v>
      </c>
      <c r="E112" s="128" t="s">
        <v>598</v>
      </c>
      <c r="F112" s="64">
        <v>23</v>
      </c>
      <c r="G112" s="72" t="s">
        <v>118</v>
      </c>
      <c r="H112" s="65" t="s">
        <v>93</v>
      </c>
      <c r="I112" s="119"/>
      <c r="J112" s="119"/>
      <c r="K112" s="64">
        <v>4</v>
      </c>
      <c r="L112" s="52">
        <v>10</v>
      </c>
      <c r="M112" s="52">
        <v>5</v>
      </c>
      <c r="N112" s="52">
        <f t="shared" si="37"/>
        <v>25.508490012515818</v>
      </c>
      <c r="O112" s="52">
        <f t="shared" si="38"/>
        <v>400</v>
      </c>
      <c r="P112" s="52">
        <f t="shared" si="39"/>
        <v>57.915359834345153</v>
      </c>
      <c r="Q112" s="66"/>
      <c r="R112" s="39"/>
      <c r="S112" s="76" t="s">
        <v>327</v>
      </c>
      <c r="T112" s="81" t="e">
        <f t="shared" si="40"/>
        <v>#DIV/0!</v>
      </c>
      <c r="U112" s="81">
        <f t="shared" si="41"/>
        <v>42.75</v>
      </c>
      <c r="V112" s="52" t="s">
        <v>102</v>
      </c>
      <c r="W112" s="52" t="s">
        <v>102</v>
      </c>
      <c r="X112" s="52" t="s">
        <v>102</v>
      </c>
      <c r="Y112" s="54" t="s">
        <v>102</v>
      </c>
      <c r="Z112" s="198">
        <v>5</v>
      </c>
      <c r="AA112" s="52" t="s">
        <v>262</v>
      </c>
      <c r="AB112" s="52" t="s">
        <v>102</v>
      </c>
      <c r="AC112" s="52">
        <v>150</v>
      </c>
      <c r="AD112" s="52" t="s">
        <v>102</v>
      </c>
      <c r="AE112" s="144">
        <v>12</v>
      </c>
      <c r="AF112" s="52" t="s">
        <v>262</v>
      </c>
      <c r="AG112" s="53">
        <v>4</v>
      </c>
      <c r="AH112" s="52" t="s">
        <v>262</v>
      </c>
      <c r="AI112" s="52" t="s">
        <v>102</v>
      </c>
      <c r="AJ112" s="52" t="s">
        <v>262</v>
      </c>
      <c r="AK112" s="155" t="s">
        <v>262</v>
      </c>
      <c r="AL112" s="155" t="s">
        <v>102</v>
      </c>
      <c r="AM112" s="53" t="s">
        <v>262</v>
      </c>
      <c r="AN112" s="52" t="s">
        <v>102</v>
      </c>
      <c r="AO112" s="53" t="s">
        <v>262</v>
      </c>
      <c r="AP112" s="53" t="s">
        <v>262</v>
      </c>
      <c r="AQ112" s="53">
        <v>20</v>
      </c>
      <c r="AR112" s="53" t="s">
        <v>262</v>
      </c>
      <c r="AS112" s="52">
        <v>300</v>
      </c>
      <c r="AT112" s="52">
        <v>30</v>
      </c>
      <c r="AU112" s="52" t="s">
        <v>262</v>
      </c>
      <c r="AV112" s="52">
        <v>6</v>
      </c>
      <c r="AW112" s="52">
        <v>10</v>
      </c>
      <c r="AX112" s="51">
        <v>1</v>
      </c>
      <c r="AY112" s="53" t="s">
        <v>264</v>
      </c>
      <c r="AZ112" s="53">
        <v>60</v>
      </c>
      <c r="BA112" s="53">
        <v>55</v>
      </c>
      <c r="BB112" s="53">
        <v>10</v>
      </c>
      <c r="BC112" s="53" t="s">
        <v>102</v>
      </c>
      <c r="BD112" s="53" t="s">
        <v>102</v>
      </c>
      <c r="BE112" s="53" t="s">
        <v>102</v>
      </c>
      <c r="BF112" s="53" t="s">
        <v>102</v>
      </c>
      <c r="BG112" s="53" t="s">
        <v>264</v>
      </c>
      <c r="BH112" s="53" t="s">
        <v>264</v>
      </c>
      <c r="BI112" s="53" t="s">
        <v>102</v>
      </c>
      <c r="BJ112" s="53">
        <v>45</v>
      </c>
      <c r="BK112" s="53" t="s">
        <v>102</v>
      </c>
      <c r="BL112" s="53" t="s">
        <v>102</v>
      </c>
      <c r="BM112" s="53">
        <v>100</v>
      </c>
      <c r="BN112" s="53">
        <v>100</v>
      </c>
      <c r="BO112" s="53">
        <v>100</v>
      </c>
      <c r="BP112" s="53">
        <v>125</v>
      </c>
      <c r="BQ112" s="53">
        <v>75</v>
      </c>
      <c r="BR112" s="53">
        <v>150</v>
      </c>
      <c r="BS112" s="53">
        <v>200</v>
      </c>
      <c r="BT112" s="53">
        <v>75</v>
      </c>
      <c r="BU112" s="53">
        <v>25</v>
      </c>
      <c r="BV112" s="53">
        <v>200</v>
      </c>
      <c r="BW112" s="53">
        <v>75</v>
      </c>
      <c r="BX112" s="53">
        <v>400</v>
      </c>
      <c r="BY112" s="53">
        <v>400</v>
      </c>
      <c r="BZ112" s="53">
        <v>400</v>
      </c>
      <c r="CA112" s="53">
        <v>75</v>
      </c>
      <c r="CB112" s="53">
        <v>25</v>
      </c>
      <c r="CC112" s="53">
        <v>25</v>
      </c>
      <c r="CD112" s="53">
        <v>25</v>
      </c>
      <c r="CE112" s="53">
        <v>25</v>
      </c>
      <c r="CF112" s="53">
        <v>25</v>
      </c>
      <c r="CG112" s="53">
        <v>200</v>
      </c>
      <c r="CH112" s="53">
        <v>75</v>
      </c>
      <c r="CI112" s="53">
        <v>75</v>
      </c>
      <c r="CJ112" s="53">
        <v>25</v>
      </c>
      <c r="CK112" s="53">
        <v>200</v>
      </c>
      <c r="CL112" s="53">
        <v>25</v>
      </c>
      <c r="CM112" s="53">
        <v>200</v>
      </c>
      <c r="CN112" s="206"/>
      <c r="CO112" s="206"/>
      <c r="CP112" s="206"/>
      <c r="CQ112" s="8">
        <f t="shared" si="42"/>
        <v>1</v>
      </c>
      <c r="CR112" s="8">
        <f t="shared" si="43"/>
        <v>400</v>
      </c>
      <c r="CS112" s="8">
        <f t="shared" si="44"/>
        <v>100.80487804878049</v>
      </c>
      <c r="CT112">
        <f t="shared" si="45"/>
        <v>50.343477270072938</v>
      </c>
      <c r="CU112" s="143">
        <f t="shared" si="46"/>
        <v>5</v>
      </c>
      <c r="CV112" s="143">
        <f t="shared" si="47"/>
        <v>42.75</v>
      </c>
      <c r="CX112" s="7">
        <f t="shared" si="48"/>
        <v>5</v>
      </c>
      <c r="CY112" s="7">
        <f t="shared" si="49"/>
        <v>12</v>
      </c>
      <c r="CZ112" s="7">
        <f t="shared" si="50"/>
        <v>25</v>
      </c>
      <c r="DA112" s="7">
        <f t="shared" si="51"/>
        <v>25</v>
      </c>
      <c r="DB112" s="7">
        <f t="shared" si="52"/>
        <v>75</v>
      </c>
      <c r="DC112" s="7">
        <f t="shared" si="53"/>
        <v>75</v>
      </c>
      <c r="DD112" s="7">
        <f t="shared" si="54"/>
        <v>100</v>
      </c>
      <c r="DE112" s="7">
        <f t="shared" si="55"/>
        <v>150</v>
      </c>
      <c r="DF112" s="7">
        <f t="shared" si="56"/>
        <v>200</v>
      </c>
      <c r="DH112" s="7">
        <f t="shared" si="57"/>
        <v>4.4000000000000004</v>
      </c>
      <c r="DI112" s="7">
        <f t="shared" si="58"/>
        <v>5.2</v>
      </c>
      <c r="DJ112" s="7">
        <f t="shared" si="59"/>
        <v>5.6</v>
      </c>
      <c r="DK112" s="7">
        <f t="shared" si="60"/>
        <v>6</v>
      </c>
      <c r="DL112" s="7">
        <f t="shared" si="61"/>
        <v>12</v>
      </c>
      <c r="DM112" s="7">
        <f t="shared" si="62"/>
        <v>18.399999999999999</v>
      </c>
      <c r="DN112" s="7">
        <f t="shared" si="63"/>
        <v>22</v>
      </c>
      <c r="DO112" s="7">
        <f t="shared" si="64"/>
        <v>30</v>
      </c>
      <c r="DP112" s="7">
        <f t="shared" si="65"/>
        <v>125.99999999999997</v>
      </c>
    </row>
    <row r="113" spans="1:130" ht="25.5" hidden="1" customHeight="1" x14ac:dyDescent="0.25">
      <c r="A113" s="92" t="str">
        <f t="shared" si="66"/>
        <v>CM-SWVI [10]</v>
      </c>
      <c r="B113" s="92" t="str">
        <f t="shared" si="67"/>
        <v>Southwest Vancouver Island</v>
      </c>
      <c r="C113" s="93" t="str">
        <f t="shared" si="36"/>
        <v>FREDERICK CREEK_Chum</v>
      </c>
      <c r="D113" s="128" t="s">
        <v>598</v>
      </c>
      <c r="E113" s="128" t="s">
        <v>598</v>
      </c>
      <c r="F113" s="64">
        <v>23</v>
      </c>
      <c r="G113" s="72" t="s">
        <v>113</v>
      </c>
      <c r="H113" s="65" t="s">
        <v>96</v>
      </c>
      <c r="I113" s="119"/>
      <c r="J113" s="119"/>
      <c r="K113" s="64">
        <v>5</v>
      </c>
      <c r="L113" s="52">
        <v>0</v>
      </c>
      <c r="M113" s="52"/>
      <c r="N113" s="52" t="e">
        <f t="shared" si="37"/>
        <v>#NUM!</v>
      </c>
      <c r="O113" s="52">
        <f t="shared" si="38"/>
        <v>10800</v>
      </c>
      <c r="P113" s="52">
        <f t="shared" si="39"/>
        <v>538.23126329281513</v>
      </c>
      <c r="Q113" s="66"/>
      <c r="R113" s="37"/>
      <c r="S113" s="76" t="s">
        <v>330</v>
      </c>
      <c r="T113" s="81">
        <f t="shared" si="40"/>
        <v>13</v>
      </c>
      <c r="U113" s="81">
        <f t="shared" si="41"/>
        <v>13</v>
      </c>
      <c r="V113" s="232" t="s">
        <v>263</v>
      </c>
      <c r="W113" s="52">
        <v>13</v>
      </c>
      <c r="X113" s="52" t="s">
        <v>102</v>
      </c>
      <c r="Y113" s="52" t="s">
        <v>102</v>
      </c>
      <c r="Z113" s="52" t="s">
        <v>102</v>
      </c>
      <c r="AA113" s="52" t="s">
        <v>102</v>
      </c>
      <c r="AB113" s="52" t="s">
        <v>102</v>
      </c>
      <c r="AC113" s="52" t="s">
        <v>102</v>
      </c>
      <c r="AD113" s="52" t="s">
        <v>102</v>
      </c>
      <c r="AE113" s="52" t="s">
        <v>102</v>
      </c>
      <c r="AF113" s="52" t="s">
        <v>102</v>
      </c>
      <c r="AG113" s="52" t="s">
        <v>102</v>
      </c>
      <c r="AH113" s="52" t="s">
        <v>102</v>
      </c>
      <c r="AI113" s="52" t="s">
        <v>102</v>
      </c>
      <c r="AJ113" s="52" t="s">
        <v>102</v>
      </c>
      <c r="AK113" s="52" t="s">
        <v>102</v>
      </c>
      <c r="AL113" s="52" t="s">
        <v>102</v>
      </c>
      <c r="AM113" s="52" t="s">
        <v>102</v>
      </c>
      <c r="AN113" s="52" t="s">
        <v>102</v>
      </c>
      <c r="AO113" s="52" t="s">
        <v>102</v>
      </c>
      <c r="AP113" s="52" t="s">
        <v>102</v>
      </c>
      <c r="AQ113" s="52" t="s">
        <v>102</v>
      </c>
      <c r="AR113" s="53" t="s">
        <v>102</v>
      </c>
      <c r="AS113" s="52" t="s">
        <v>102</v>
      </c>
      <c r="AT113" s="52" t="s">
        <v>102</v>
      </c>
      <c r="AU113" s="52" t="s">
        <v>102</v>
      </c>
      <c r="AV113" s="52" t="s">
        <v>102</v>
      </c>
      <c r="AW113" s="52" t="s">
        <v>102</v>
      </c>
      <c r="AX113" s="51" t="s">
        <v>264</v>
      </c>
      <c r="AY113" s="53" t="s">
        <v>102</v>
      </c>
      <c r="AZ113" s="53">
        <v>1000</v>
      </c>
      <c r="BA113" s="53" t="s">
        <v>264</v>
      </c>
      <c r="BB113" s="53" t="s">
        <v>262</v>
      </c>
      <c r="BC113" s="53" t="s">
        <v>102</v>
      </c>
      <c r="BD113" s="53">
        <v>1100</v>
      </c>
      <c r="BE113" s="53" t="s">
        <v>102</v>
      </c>
      <c r="BF113" s="53" t="s">
        <v>102</v>
      </c>
      <c r="BG113" s="53">
        <v>7800</v>
      </c>
      <c r="BH113" s="53">
        <v>50</v>
      </c>
      <c r="BI113" s="53" t="s">
        <v>264</v>
      </c>
      <c r="BJ113" s="53">
        <v>6000</v>
      </c>
      <c r="BK113" s="53">
        <v>6000</v>
      </c>
      <c r="BL113" s="53">
        <v>700</v>
      </c>
      <c r="BM113" s="53">
        <v>1500</v>
      </c>
      <c r="BN113" s="53">
        <v>10800</v>
      </c>
      <c r="BO113" s="53">
        <v>2500</v>
      </c>
      <c r="BP113" s="53">
        <v>2500</v>
      </c>
      <c r="BQ113" s="53">
        <v>750</v>
      </c>
      <c r="BR113" s="53">
        <v>1000</v>
      </c>
      <c r="BS113" s="53">
        <v>1500</v>
      </c>
      <c r="BT113" s="53">
        <v>750</v>
      </c>
      <c r="BU113" s="53">
        <v>750</v>
      </c>
      <c r="BV113" s="53">
        <v>400</v>
      </c>
      <c r="BW113" s="53">
        <v>3500</v>
      </c>
      <c r="BX113" s="53">
        <v>3500</v>
      </c>
      <c r="BY113" s="53">
        <v>3500</v>
      </c>
      <c r="BZ113" s="53">
        <v>200</v>
      </c>
      <c r="CA113" s="53">
        <v>200</v>
      </c>
      <c r="CB113" s="53">
        <v>25</v>
      </c>
      <c r="CC113" s="53">
        <v>25</v>
      </c>
      <c r="CD113" s="53">
        <v>75</v>
      </c>
      <c r="CE113" s="53">
        <v>200</v>
      </c>
      <c r="CF113" s="53">
        <v>25</v>
      </c>
      <c r="CG113" s="53">
        <v>200</v>
      </c>
      <c r="CH113" s="53">
        <v>200</v>
      </c>
      <c r="CI113" s="53">
        <v>200</v>
      </c>
      <c r="CJ113" s="53">
        <v>25</v>
      </c>
      <c r="CK113" s="53">
        <v>400</v>
      </c>
      <c r="CL113" s="53">
        <v>400</v>
      </c>
      <c r="CM113" s="53">
        <v>200</v>
      </c>
      <c r="CN113" s="206"/>
      <c r="CO113" s="206"/>
      <c r="CP113" s="206"/>
      <c r="CQ113" s="8">
        <f t="shared" si="42"/>
        <v>13</v>
      </c>
      <c r="CR113" s="8">
        <f t="shared" si="43"/>
        <v>10800</v>
      </c>
      <c r="CS113" s="8">
        <f t="shared" si="44"/>
        <v>1656.8</v>
      </c>
      <c r="CT113">
        <f t="shared" si="45"/>
        <v>483.91400332854437</v>
      </c>
      <c r="CU113" s="143">
        <f t="shared" si="46"/>
        <v>13</v>
      </c>
      <c r="CV113" s="143">
        <f t="shared" si="47"/>
        <v>13</v>
      </c>
      <c r="CX113" s="7">
        <f t="shared" si="48"/>
        <v>25</v>
      </c>
      <c r="CY113" s="7">
        <f t="shared" si="49"/>
        <v>52.499999999999993</v>
      </c>
      <c r="CZ113" s="7">
        <f t="shared" si="50"/>
        <v>175.00000000000009</v>
      </c>
      <c r="DA113" s="7">
        <f t="shared" si="51"/>
        <v>200</v>
      </c>
      <c r="DB113" s="7">
        <f t="shared" si="52"/>
        <v>700</v>
      </c>
      <c r="DC113" s="7">
        <f t="shared" si="53"/>
        <v>849.99999999999966</v>
      </c>
      <c r="DD113" s="7">
        <f t="shared" si="54"/>
        <v>1010.0000000000001</v>
      </c>
      <c r="DE113" s="7">
        <f t="shared" si="55"/>
        <v>2000</v>
      </c>
      <c r="DF113" s="7">
        <f t="shared" si="56"/>
        <v>3500</v>
      </c>
      <c r="DH113" s="7">
        <f t="shared" si="57"/>
        <v>13</v>
      </c>
      <c r="DI113" s="7">
        <f t="shared" si="58"/>
        <v>13</v>
      </c>
      <c r="DJ113" s="7">
        <f t="shared" si="59"/>
        <v>13</v>
      </c>
      <c r="DK113" s="7">
        <f t="shared" si="60"/>
        <v>13</v>
      </c>
      <c r="DL113" s="7">
        <f t="shared" si="61"/>
        <v>13</v>
      </c>
      <c r="DM113" s="7">
        <f t="shared" si="62"/>
        <v>13</v>
      </c>
      <c r="DN113" s="7">
        <f t="shared" si="63"/>
        <v>13</v>
      </c>
      <c r="DO113" s="7">
        <f t="shared" si="64"/>
        <v>13</v>
      </c>
      <c r="DP113" s="7">
        <f t="shared" si="65"/>
        <v>13</v>
      </c>
    </row>
    <row r="114" spans="1:130" ht="25.5" hidden="1" customHeight="1" x14ac:dyDescent="0.25">
      <c r="A114" s="92" t="str">
        <f t="shared" si="66"/>
        <v>CO-JdF [16]</v>
      </c>
      <c r="B114" s="92" t="str">
        <f t="shared" si="67"/>
        <v>Georgia Strait Mainland</v>
      </c>
      <c r="C114" s="93" t="str">
        <f t="shared" si="36"/>
        <v>FREDERICK CREEK_Coho</v>
      </c>
      <c r="D114" s="128" t="s">
        <v>598</v>
      </c>
      <c r="E114" s="128" t="s">
        <v>598</v>
      </c>
      <c r="F114" s="64">
        <v>23</v>
      </c>
      <c r="G114" s="72" t="s">
        <v>113</v>
      </c>
      <c r="H114" s="65" t="s">
        <v>93</v>
      </c>
      <c r="I114" s="119"/>
      <c r="J114" s="119"/>
      <c r="K114" s="64">
        <v>5</v>
      </c>
      <c r="L114" s="52">
        <v>0</v>
      </c>
      <c r="M114" s="52"/>
      <c r="N114" s="52" t="e">
        <f t="shared" si="37"/>
        <v>#NUM!</v>
      </c>
      <c r="O114" s="52">
        <f t="shared" si="38"/>
        <v>200</v>
      </c>
      <c r="P114" s="52">
        <f t="shared" si="39"/>
        <v>76.430960615104098</v>
      </c>
      <c r="Q114" s="66"/>
      <c r="R114" s="37"/>
      <c r="S114" s="76" t="s">
        <v>330</v>
      </c>
      <c r="T114" s="81">
        <f t="shared" si="40"/>
        <v>11.5</v>
      </c>
      <c r="U114" s="81">
        <f t="shared" si="41"/>
        <v>11.5</v>
      </c>
      <c r="V114" s="233">
        <v>10</v>
      </c>
      <c r="W114" s="52">
        <v>13</v>
      </c>
      <c r="X114" s="52" t="s">
        <v>102</v>
      </c>
      <c r="Y114" s="52" t="s">
        <v>102</v>
      </c>
      <c r="Z114" s="52" t="s">
        <v>102</v>
      </c>
      <c r="AA114" s="52" t="s">
        <v>102</v>
      </c>
      <c r="AB114" s="52" t="s">
        <v>102</v>
      </c>
      <c r="AC114" s="52" t="s">
        <v>102</v>
      </c>
      <c r="AD114" s="52" t="s">
        <v>102</v>
      </c>
      <c r="AE114" s="52" t="s">
        <v>102</v>
      </c>
      <c r="AF114" s="52" t="s">
        <v>102</v>
      </c>
      <c r="AG114" s="52" t="s">
        <v>102</v>
      </c>
      <c r="AH114" s="52" t="s">
        <v>102</v>
      </c>
      <c r="AI114" s="52" t="s">
        <v>102</v>
      </c>
      <c r="AJ114" s="52" t="s">
        <v>102</v>
      </c>
      <c r="AK114" s="52" t="s">
        <v>102</v>
      </c>
      <c r="AL114" s="52" t="s">
        <v>102</v>
      </c>
      <c r="AM114" s="52" t="s">
        <v>102</v>
      </c>
      <c r="AN114" s="52" t="s">
        <v>102</v>
      </c>
      <c r="AO114" s="52" t="s">
        <v>102</v>
      </c>
      <c r="AP114" s="52" t="s">
        <v>102</v>
      </c>
      <c r="AQ114" s="52" t="s">
        <v>102</v>
      </c>
      <c r="AR114" s="53" t="s">
        <v>102</v>
      </c>
      <c r="AS114" s="52" t="s">
        <v>102</v>
      </c>
      <c r="AT114" s="52" t="s">
        <v>102</v>
      </c>
      <c r="AU114" s="52" t="s">
        <v>102</v>
      </c>
      <c r="AV114" s="52" t="s">
        <v>102</v>
      </c>
      <c r="AW114" s="52" t="s">
        <v>102</v>
      </c>
      <c r="AX114" s="51" t="s">
        <v>264</v>
      </c>
      <c r="AY114" s="53" t="s">
        <v>102</v>
      </c>
      <c r="AZ114" s="53" t="s">
        <v>264</v>
      </c>
      <c r="BA114" s="53" t="s">
        <v>264</v>
      </c>
      <c r="BB114" s="53" t="s">
        <v>262</v>
      </c>
      <c r="BC114" s="53" t="s">
        <v>102</v>
      </c>
      <c r="BD114" s="53">
        <v>2</v>
      </c>
      <c r="BE114" s="53" t="s">
        <v>102</v>
      </c>
      <c r="BF114" s="53" t="s">
        <v>102</v>
      </c>
      <c r="BG114" s="53">
        <v>12</v>
      </c>
      <c r="BH114" s="53" t="s">
        <v>264</v>
      </c>
      <c r="BI114" s="53" t="s">
        <v>264</v>
      </c>
      <c r="BJ114" s="53">
        <v>180</v>
      </c>
      <c r="BK114" s="53">
        <v>25</v>
      </c>
      <c r="BL114" s="53">
        <v>100</v>
      </c>
      <c r="BM114" s="53">
        <v>100</v>
      </c>
      <c r="BN114" s="53">
        <v>120</v>
      </c>
      <c r="BO114" s="53">
        <v>90</v>
      </c>
      <c r="BP114" s="53">
        <v>70</v>
      </c>
      <c r="BQ114" s="53">
        <v>75</v>
      </c>
      <c r="BR114" s="53">
        <v>150</v>
      </c>
      <c r="BS114" s="53">
        <v>200</v>
      </c>
      <c r="BT114" s="53">
        <v>25</v>
      </c>
      <c r="BU114" s="53">
        <v>75</v>
      </c>
      <c r="BV114" s="53">
        <v>200</v>
      </c>
      <c r="BW114" s="53">
        <v>25</v>
      </c>
      <c r="BX114" s="53">
        <v>200</v>
      </c>
      <c r="BY114" s="53">
        <v>200</v>
      </c>
      <c r="BZ114" s="53">
        <v>75</v>
      </c>
      <c r="CA114" s="53">
        <v>75</v>
      </c>
      <c r="CB114" s="53">
        <v>200</v>
      </c>
      <c r="CC114" s="53">
        <v>25</v>
      </c>
      <c r="CD114" s="53">
        <v>75</v>
      </c>
      <c r="CE114" s="53">
        <v>200</v>
      </c>
      <c r="CF114" s="53">
        <v>25</v>
      </c>
      <c r="CG114" s="53">
        <v>75</v>
      </c>
      <c r="CH114" s="53">
        <v>75</v>
      </c>
      <c r="CI114" s="53">
        <v>200</v>
      </c>
      <c r="CJ114" s="53">
        <v>75</v>
      </c>
      <c r="CK114" s="53">
        <v>75</v>
      </c>
      <c r="CL114" s="53">
        <v>200</v>
      </c>
      <c r="CM114" s="53">
        <v>200</v>
      </c>
      <c r="CN114" s="206"/>
      <c r="CO114" s="206"/>
      <c r="CP114" s="206"/>
      <c r="CQ114" s="8">
        <f t="shared" si="42"/>
        <v>2</v>
      </c>
      <c r="CR114" s="8">
        <f t="shared" si="43"/>
        <v>200</v>
      </c>
      <c r="CS114" s="8">
        <f t="shared" si="44"/>
        <v>101.38235294117646</v>
      </c>
      <c r="CT114">
        <f t="shared" si="45"/>
        <v>68.33820611998118</v>
      </c>
      <c r="CU114" s="143">
        <f t="shared" si="46"/>
        <v>11.5</v>
      </c>
      <c r="CV114" s="143">
        <f t="shared" si="47"/>
        <v>11.5</v>
      </c>
      <c r="CX114" s="7">
        <f t="shared" si="48"/>
        <v>11.3</v>
      </c>
      <c r="CY114" s="7">
        <f t="shared" si="49"/>
        <v>25</v>
      </c>
      <c r="CZ114" s="7">
        <f t="shared" si="50"/>
        <v>25</v>
      </c>
      <c r="DA114" s="7">
        <f t="shared" si="51"/>
        <v>36.25</v>
      </c>
      <c r="DB114" s="7">
        <f t="shared" si="52"/>
        <v>75</v>
      </c>
      <c r="DC114" s="7">
        <f t="shared" si="53"/>
        <v>98</v>
      </c>
      <c r="DD114" s="7">
        <f t="shared" si="54"/>
        <v>108.99999999999999</v>
      </c>
      <c r="DE114" s="7">
        <f t="shared" si="55"/>
        <v>195</v>
      </c>
      <c r="DF114" s="7">
        <f t="shared" si="56"/>
        <v>200</v>
      </c>
      <c r="DH114" s="7">
        <f t="shared" si="57"/>
        <v>10.15</v>
      </c>
      <c r="DI114" s="7">
        <f t="shared" si="58"/>
        <v>10.45</v>
      </c>
      <c r="DJ114" s="7">
        <f t="shared" si="59"/>
        <v>10.6</v>
      </c>
      <c r="DK114" s="7">
        <f t="shared" si="60"/>
        <v>10.75</v>
      </c>
      <c r="DL114" s="7">
        <f t="shared" si="61"/>
        <v>11.5</v>
      </c>
      <c r="DM114" s="7">
        <f t="shared" si="62"/>
        <v>11.8</v>
      </c>
      <c r="DN114" s="7">
        <f t="shared" si="63"/>
        <v>11.95</v>
      </c>
      <c r="DO114" s="7">
        <f t="shared" si="64"/>
        <v>12.25</v>
      </c>
      <c r="DP114" s="7">
        <f t="shared" si="65"/>
        <v>12.55</v>
      </c>
    </row>
    <row r="115" spans="1:130" ht="25.5" customHeight="1" x14ac:dyDescent="0.25">
      <c r="A115" s="92" t="str">
        <f t="shared" si="66"/>
        <v>CK-SWVI [31]</v>
      </c>
      <c r="B115" s="92" t="str">
        <f t="shared" si="67"/>
        <v>Southwest Vancouver Island</v>
      </c>
      <c r="C115" s="93" t="str">
        <f t="shared" si="36"/>
        <v>HENDERSON LAKE_Chinook</v>
      </c>
      <c r="D115" s="128" t="s">
        <v>598</v>
      </c>
      <c r="E115" s="128" t="s">
        <v>598</v>
      </c>
      <c r="F115" s="64">
        <v>23</v>
      </c>
      <c r="G115" s="72" t="s">
        <v>107</v>
      </c>
      <c r="H115" s="65" t="s">
        <v>97</v>
      </c>
      <c r="I115" s="119"/>
      <c r="J115" s="119"/>
      <c r="K115" s="64">
        <v>3</v>
      </c>
      <c r="L115" s="52">
        <v>3</v>
      </c>
      <c r="M115" s="52">
        <v>1</v>
      </c>
      <c r="N115" s="52">
        <f t="shared" si="37"/>
        <v>2</v>
      </c>
      <c r="O115" s="52">
        <f t="shared" si="38"/>
        <v>1500</v>
      </c>
      <c r="P115" s="52">
        <f t="shared" si="39"/>
        <v>281.26811568542405</v>
      </c>
      <c r="Q115" s="66"/>
      <c r="R115" s="37"/>
      <c r="S115" s="74" t="s">
        <v>331</v>
      </c>
      <c r="T115" s="81" t="e">
        <f t="shared" si="40"/>
        <v>#DIV/0!</v>
      </c>
      <c r="U115" s="81" t="e">
        <f t="shared" si="41"/>
        <v>#DIV/0!</v>
      </c>
      <c r="V115" s="232" t="s">
        <v>102</v>
      </c>
      <c r="W115" s="52" t="s">
        <v>102</v>
      </c>
      <c r="X115" s="52" t="s">
        <v>102</v>
      </c>
      <c r="Y115" s="52" t="s">
        <v>102</v>
      </c>
      <c r="Z115" s="52" t="s">
        <v>102</v>
      </c>
      <c r="AA115" s="52" t="s">
        <v>102</v>
      </c>
      <c r="AB115" s="52" t="s">
        <v>102</v>
      </c>
      <c r="AC115" s="52" t="s">
        <v>102</v>
      </c>
      <c r="AD115" s="52" t="s">
        <v>102</v>
      </c>
      <c r="AE115" s="52" t="s">
        <v>102</v>
      </c>
      <c r="AF115" s="52" t="s">
        <v>102</v>
      </c>
      <c r="AG115" s="52" t="s">
        <v>102</v>
      </c>
      <c r="AH115" s="52" t="s">
        <v>102</v>
      </c>
      <c r="AI115" s="52" t="s">
        <v>102</v>
      </c>
      <c r="AJ115" s="52" t="s">
        <v>102</v>
      </c>
      <c r="AK115" s="52" t="s">
        <v>102</v>
      </c>
      <c r="AL115" s="52" t="s">
        <v>102</v>
      </c>
      <c r="AM115" s="52" t="s">
        <v>102</v>
      </c>
      <c r="AN115" s="52" t="s">
        <v>102</v>
      </c>
      <c r="AO115" s="52" t="s">
        <v>102</v>
      </c>
      <c r="AP115" s="53" t="s">
        <v>262</v>
      </c>
      <c r="AQ115" s="53" t="s">
        <v>102</v>
      </c>
      <c r="AR115" s="52" t="s">
        <v>102</v>
      </c>
      <c r="AS115" s="52" t="s">
        <v>102</v>
      </c>
      <c r="AT115" s="52" t="s">
        <v>262</v>
      </c>
      <c r="AU115" s="52" t="s">
        <v>102</v>
      </c>
      <c r="AV115" s="52" t="s">
        <v>102</v>
      </c>
      <c r="AW115" s="52">
        <v>2</v>
      </c>
      <c r="AX115" s="51">
        <v>10</v>
      </c>
      <c r="AY115" s="53" t="s">
        <v>264</v>
      </c>
      <c r="AZ115" s="53">
        <v>50</v>
      </c>
      <c r="BA115" s="53" t="s">
        <v>264</v>
      </c>
      <c r="BB115" s="53" t="s">
        <v>264</v>
      </c>
      <c r="BC115" s="53" t="s">
        <v>102</v>
      </c>
      <c r="BD115" s="53" t="s">
        <v>264</v>
      </c>
      <c r="BE115" s="53" t="s">
        <v>264</v>
      </c>
      <c r="BF115" s="53" t="s">
        <v>102</v>
      </c>
      <c r="BG115" s="53" t="s">
        <v>264</v>
      </c>
      <c r="BH115" s="53" t="s">
        <v>262</v>
      </c>
      <c r="BI115" s="53" t="s">
        <v>102</v>
      </c>
      <c r="BJ115" s="53" t="s">
        <v>264</v>
      </c>
      <c r="BK115" s="53">
        <v>10</v>
      </c>
      <c r="BL115" s="53" t="s">
        <v>264</v>
      </c>
      <c r="BM115" s="53">
        <v>250</v>
      </c>
      <c r="BN115" s="53">
        <v>150</v>
      </c>
      <c r="BO115" s="53">
        <v>210</v>
      </c>
      <c r="BP115" s="53">
        <v>320</v>
      </c>
      <c r="BQ115" s="53">
        <v>400</v>
      </c>
      <c r="BR115" s="53">
        <v>150</v>
      </c>
      <c r="BS115" s="53">
        <v>250</v>
      </c>
      <c r="BT115" s="53">
        <v>400</v>
      </c>
      <c r="BU115" s="53">
        <v>750</v>
      </c>
      <c r="BV115" s="53">
        <v>200</v>
      </c>
      <c r="BW115" s="53">
        <v>200</v>
      </c>
      <c r="BX115" s="53">
        <v>400</v>
      </c>
      <c r="BY115" s="53">
        <v>400</v>
      </c>
      <c r="BZ115" s="53">
        <v>750</v>
      </c>
      <c r="CA115" s="53">
        <v>750</v>
      </c>
      <c r="CB115" s="53">
        <v>400</v>
      </c>
      <c r="CC115" s="53">
        <v>400</v>
      </c>
      <c r="CD115" s="53">
        <v>750</v>
      </c>
      <c r="CE115" s="53">
        <v>1500</v>
      </c>
      <c r="CF115" s="53">
        <v>400</v>
      </c>
      <c r="CG115" s="53">
        <v>750</v>
      </c>
      <c r="CH115" s="53">
        <v>1500</v>
      </c>
      <c r="CI115" s="53">
        <v>750</v>
      </c>
      <c r="CJ115" s="53">
        <v>750</v>
      </c>
      <c r="CK115" s="53">
        <v>750</v>
      </c>
      <c r="CL115" s="53">
        <v>400</v>
      </c>
      <c r="CM115" s="53">
        <v>1500</v>
      </c>
      <c r="CN115" s="206"/>
      <c r="CO115" s="206"/>
      <c r="CP115" s="206"/>
      <c r="CQ115" s="8">
        <f t="shared" si="42"/>
        <v>2</v>
      </c>
      <c r="CR115" s="8">
        <f t="shared" si="43"/>
        <v>1500</v>
      </c>
      <c r="CS115" s="8">
        <f t="shared" si="44"/>
        <v>500.06451612903226</v>
      </c>
      <c r="CT115">
        <f t="shared" si="45"/>
        <v>281.26811568542405</v>
      </c>
      <c r="CU115" s="143" t="e">
        <f t="shared" si="46"/>
        <v>#DIV/0!</v>
      </c>
      <c r="CV115" s="143" t="e">
        <f t="shared" si="47"/>
        <v>#DIV/0!</v>
      </c>
      <c r="CX115" s="7">
        <f t="shared" si="48"/>
        <v>10</v>
      </c>
      <c r="CY115" s="7">
        <f t="shared" si="49"/>
        <v>150</v>
      </c>
      <c r="CZ115" s="7">
        <f t="shared" si="50"/>
        <v>200</v>
      </c>
      <c r="DA115" s="7">
        <f t="shared" si="51"/>
        <v>205</v>
      </c>
      <c r="DB115" s="7">
        <f t="shared" si="52"/>
        <v>400</v>
      </c>
      <c r="DC115" s="7">
        <f t="shared" si="53"/>
        <v>400</v>
      </c>
      <c r="DD115" s="7">
        <f t="shared" si="54"/>
        <v>575</v>
      </c>
      <c r="DE115" s="7">
        <f t="shared" si="55"/>
        <v>750</v>
      </c>
      <c r="DF115" s="7">
        <f t="shared" si="56"/>
        <v>750</v>
      </c>
      <c r="DH115" s="7">
        <f t="shared" si="57"/>
        <v>2</v>
      </c>
      <c r="DI115" s="7">
        <f t="shared" si="58"/>
        <v>2</v>
      </c>
      <c r="DJ115" s="7">
        <f t="shared" si="59"/>
        <v>2</v>
      </c>
      <c r="DK115" s="7">
        <f t="shared" si="60"/>
        <v>2</v>
      </c>
      <c r="DL115" s="7">
        <f t="shared" si="61"/>
        <v>2</v>
      </c>
      <c r="DM115" s="7">
        <f t="shared" si="62"/>
        <v>2</v>
      </c>
      <c r="DN115" s="7">
        <f t="shared" si="63"/>
        <v>2</v>
      </c>
      <c r="DO115" s="7">
        <f t="shared" si="64"/>
        <v>2</v>
      </c>
      <c r="DP115" s="7">
        <f t="shared" si="65"/>
        <v>2</v>
      </c>
    </row>
    <row r="116" spans="1:130" ht="25.5" hidden="1" customHeight="1" x14ac:dyDescent="0.25">
      <c r="A116" s="92" t="str">
        <f t="shared" si="66"/>
        <v>CM-SWVI [10]</v>
      </c>
      <c r="B116" s="92" t="str">
        <f t="shared" si="67"/>
        <v>Southwest Vancouver Island</v>
      </c>
      <c r="C116" s="93" t="str">
        <f t="shared" si="36"/>
        <v>HENDERSON LAKE_Chum</v>
      </c>
      <c r="D116" s="128" t="s">
        <v>598</v>
      </c>
      <c r="E116" s="128" t="s">
        <v>598</v>
      </c>
      <c r="F116" s="64">
        <v>23</v>
      </c>
      <c r="G116" s="72" t="s">
        <v>107</v>
      </c>
      <c r="H116" s="65" t="s">
        <v>96</v>
      </c>
      <c r="I116" s="119"/>
      <c r="J116" s="119"/>
      <c r="K116" s="64">
        <v>3</v>
      </c>
      <c r="L116" s="52">
        <v>3</v>
      </c>
      <c r="M116" s="52">
        <v>3</v>
      </c>
      <c r="N116" s="52">
        <f t="shared" si="37"/>
        <v>269.81475126464085</v>
      </c>
      <c r="O116" s="52">
        <f t="shared" si="38"/>
        <v>35000</v>
      </c>
      <c r="P116" s="52">
        <f t="shared" si="39"/>
        <v>2076.5664249108904</v>
      </c>
      <c r="Q116" s="66"/>
      <c r="R116" s="37"/>
      <c r="S116" s="74" t="s">
        <v>331</v>
      </c>
      <c r="T116" s="81" t="e">
        <f t="shared" si="40"/>
        <v>#DIV/0!</v>
      </c>
      <c r="U116" s="81" t="e">
        <f t="shared" si="41"/>
        <v>#DIV/0!</v>
      </c>
      <c r="V116" s="232" t="s">
        <v>102</v>
      </c>
      <c r="W116" s="52" t="s">
        <v>102</v>
      </c>
      <c r="X116" s="52" t="s">
        <v>102</v>
      </c>
      <c r="Y116" s="52" t="s">
        <v>102</v>
      </c>
      <c r="Z116" s="52" t="s">
        <v>102</v>
      </c>
      <c r="AA116" s="52" t="s">
        <v>102</v>
      </c>
      <c r="AB116" s="52" t="s">
        <v>102</v>
      </c>
      <c r="AC116" s="52" t="s">
        <v>102</v>
      </c>
      <c r="AD116" s="52" t="s">
        <v>102</v>
      </c>
      <c r="AE116" s="52" t="s">
        <v>102</v>
      </c>
      <c r="AF116" s="52" t="s">
        <v>102</v>
      </c>
      <c r="AG116" s="52" t="s">
        <v>102</v>
      </c>
      <c r="AH116" s="52" t="s">
        <v>102</v>
      </c>
      <c r="AI116" s="52" t="s">
        <v>102</v>
      </c>
      <c r="AJ116" s="52" t="s">
        <v>102</v>
      </c>
      <c r="AK116" s="52" t="s">
        <v>102</v>
      </c>
      <c r="AL116" s="52" t="s">
        <v>102</v>
      </c>
      <c r="AM116" s="52" t="s">
        <v>102</v>
      </c>
      <c r="AN116" s="52" t="s">
        <v>102</v>
      </c>
      <c r="AO116" s="52" t="s">
        <v>102</v>
      </c>
      <c r="AP116" s="123" t="s">
        <v>263</v>
      </c>
      <c r="AQ116" s="53" t="s">
        <v>102</v>
      </c>
      <c r="AR116" s="52" t="s">
        <v>102</v>
      </c>
      <c r="AS116" s="52" t="s">
        <v>102</v>
      </c>
      <c r="AT116" s="52">
        <v>400</v>
      </c>
      <c r="AU116" s="52" t="s">
        <v>102</v>
      </c>
      <c r="AV116" s="52" t="s">
        <v>102</v>
      </c>
      <c r="AW116" s="52">
        <v>182</v>
      </c>
      <c r="AX116" s="51" t="s">
        <v>264</v>
      </c>
      <c r="AY116" s="53" t="s">
        <v>264</v>
      </c>
      <c r="AZ116" s="53" t="s">
        <v>264</v>
      </c>
      <c r="BA116" s="53" t="s">
        <v>264</v>
      </c>
      <c r="BB116" s="53">
        <v>215</v>
      </c>
      <c r="BC116" s="53" t="s">
        <v>102</v>
      </c>
      <c r="BD116" s="53" t="s">
        <v>264</v>
      </c>
      <c r="BE116" s="53" t="s">
        <v>264</v>
      </c>
      <c r="BF116" s="53" t="s">
        <v>102</v>
      </c>
      <c r="BG116" s="53" t="s">
        <v>264</v>
      </c>
      <c r="BH116" s="53" t="s">
        <v>264</v>
      </c>
      <c r="BI116" s="53" t="s">
        <v>102</v>
      </c>
      <c r="BJ116" s="53" t="s">
        <v>262</v>
      </c>
      <c r="BK116" s="53">
        <v>400</v>
      </c>
      <c r="BL116" s="53">
        <v>4000</v>
      </c>
      <c r="BM116" s="53">
        <v>600</v>
      </c>
      <c r="BN116" s="53">
        <v>1000</v>
      </c>
      <c r="BO116" s="53">
        <v>850</v>
      </c>
      <c r="BP116" s="53">
        <v>4200</v>
      </c>
      <c r="BQ116" s="53">
        <v>750</v>
      </c>
      <c r="BR116" s="53">
        <v>3500</v>
      </c>
      <c r="BS116" s="53">
        <v>750</v>
      </c>
      <c r="BT116" s="53">
        <v>3500</v>
      </c>
      <c r="BU116" s="53">
        <v>750</v>
      </c>
      <c r="BV116" s="53">
        <v>3500</v>
      </c>
      <c r="BW116" s="53">
        <v>3500</v>
      </c>
      <c r="BX116" s="53">
        <v>7500</v>
      </c>
      <c r="BY116" s="53">
        <v>3500</v>
      </c>
      <c r="BZ116" s="53">
        <v>3500</v>
      </c>
      <c r="CA116" s="53">
        <v>3500</v>
      </c>
      <c r="CB116" s="53">
        <v>3500</v>
      </c>
      <c r="CC116" s="53">
        <v>750</v>
      </c>
      <c r="CD116" s="53">
        <v>1500</v>
      </c>
      <c r="CE116" s="53">
        <v>3500</v>
      </c>
      <c r="CF116" s="53">
        <v>3500</v>
      </c>
      <c r="CG116" s="53">
        <v>3500</v>
      </c>
      <c r="CH116" s="53">
        <v>7500</v>
      </c>
      <c r="CI116" s="53">
        <v>7500</v>
      </c>
      <c r="CJ116" s="53">
        <v>3500</v>
      </c>
      <c r="CK116" s="53">
        <v>1500</v>
      </c>
      <c r="CL116" s="53">
        <v>7500</v>
      </c>
      <c r="CM116" s="53">
        <v>35000</v>
      </c>
      <c r="CN116" s="206"/>
      <c r="CO116" s="206"/>
      <c r="CP116" s="206"/>
      <c r="CQ116" s="8">
        <f t="shared" si="42"/>
        <v>182</v>
      </c>
      <c r="CR116" s="8">
        <f t="shared" si="43"/>
        <v>35000</v>
      </c>
      <c r="CS116" s="8">
        <f t="shared" si="44"/>
        <v>3901.46875</v>
      </c>
      <c r="CT116">
        <f t="shared" si="45"/>
        <v>2076.5664249108904</v>
      </c>
      <c r="CU116" s="143" t="e">
        <f t="shared" si="46"/>
        <v>#DIV/0!</v>
      </c>
      <c r="CV116" s="143" t="e">
        <f t="shared" si="47"/>
        <v>#DIV/0!</v>
      </c>
      <c r="CX116" s="7">
        <f t="shared" si="48"/>
        <v>316.75</v>
      </c>
      <c r="CY116" s="7">
        <f t="shared" si="49"/>
        <v>697.49999999999989</v>
      </c>
      <c r="CZ116" s="7">
        <f t="shared" si="50"/>
        <v>750</v>
      </c>
      <c r="DA116" s="7">
        <f t="shared" si="51"/>
        <v>750</v>
      </c>
      <c r="DB116" s="7">
        <f t="shared" si="52"/>
        <v>3500</v>
      </c>
      <c r="DC116" s="7">
        <f t="shared" si="53"/>
        <v>3500</v>
      </c>
      <c r="DD116" s="7">
        <f t="shared" si="54"/>
        <v>3500</v>
      </c>
      <c r="DE116" s="7">
        <f t="shared" si="55"/>
        <v>3500</v>
      </c>
      <c r="DF116" s="7">
        <f t="shared" si="56"/>
        <v>5354.9999999999927</v>
      </c>
      <c r="DH116" s="7">
        <f t="shared" si="57"/>
        <v>192.9</v>
      </c>
      <c r="DI116" s="7">
        <f t="shared" si="58"/>
        <v>214.7</v>
      </c>
      <c r="DJ116" s="7">
        <f t="shared" si="59"/>
        <v>225.6</v>
      </c>
      <c r="DK116" s="7">
        <f t="shared" si="60"/>
        <v>236.5</v>
      </c>
      <c r="DL116" s="7">
        <f t="shared" si="61"/>
        <v>291</v>
      </c>
      <c r="DM116" s="7">
        <f t="shared" si="62"/>
        <v>312.8</v>
      </c>
      <c r="DN116" s="7">
        <f t="shared" si="63"/>
        <v>323.7</v>
      </c>
      <c r="DO116" s="7">
        <f t="shared" si="64"/>
        <v>345.5</v>
      </c>
      <c r="DP116" s="7">
        <f t="shared" si="65"/>
        <v>367.3</v>
      </c>
    </row>
    <row r="117" spans="1:130" ht="25.5" hidden="1" customHeight="1" x14ac:dyDescent="0.25">
      <c r="A117" s="92" t="str">
        <f t="shared" si="66"/>
        <v>CO-WVI [17]</v>
      </c>
      <c r="B117" s="92" t="str">
        <f t="shared" si="67"/>
        <v>West Vancouver Island</v>
      </c>
      <c r="C117" s="93" t="str">
        <f t="shared" si="36"/>
        <v>HENDERSON LAKE_Coho</v>
      </c>
      <c r="D117" s="128" t="s">
        <v>598</v>
      </c>
      <c r="E117" s="128" t="s">
        <v>598</v>
      </c>
      <c r="F117" s="64">
        <v>23</v>
      </c>
      <c r="G117" s="72" t="s">
        <v>107</v>
      </c>
      <c r="H117" s="65" t="s">
        <v>93</v>
      </c>
      <c r="I117" s="119"/>
      <c r="J117" s="119"/>
      <c r="K117" s="64">
        <v>3</v>
      </c>
      <c r="L117" s="52">
        <v>3</v>
      </c>
      <c r="M117" s="52">
        <v>0</v>
      </c>
      <c r="N117" s="52" t="e">
        <f t="shared" si="37"/>
        <v>#NUM!</v>
      </c>
      <c r="O117" s="52">
        <f t="shared" si="38"/>
        <v>3500</v>
      </c>
      <c r="P117" s="52">
        <f t="shared" si="39"/>
        <v>890.97345706065539</v>
      </c>
      <c r="Q117" s="66"/>
      <c r="R117" s="37"/>
      <c r="S117" s="74" t="s">
        <v>331</v>
      </c>
      <c r="T117" s="81" t="e">
        <f t="shared" si="40"/>
        <v>#DIV/0!</v>
      </c>
      <c r="U117" s="81" t="e">
        <f t="shared" si="41"/>
        <v>#DIV/0!</v>
      </c>
      <c r="V117" s="232" t="s">
        <v>102</v>
      </c>
      <c r="W117" s="52" t="s">
        <v>102</v>
      </c>
      <c r="X117" s="52" t="s">
        <v>102</v>
      </c>
      <c r="Y117" s="52" t="s">
        <v>102</v>
      </c>
      <c r="Z117" s="52" t="s">
        <v>102</v>
      </c>
      <c r="AA117" s="52" t="s">
        <v>102</v>
      </c>
      <c r="AB117" s="52" t="s">
        <v>102</v>
      </c>
      <c r="AC117" s="52" t="s">
        <v>102</v>
      </c>
      <c r="AD117" s="52" t="s">
        <v>102</v>
      </c>
      <c r="AE117" s="52" t="s">
        <v>102</v>
      </c>
      <c r="AF117" s="52" t="s">
        <v>102</v>
      </c>
      <c r="AG117" s="52" t="s">
        <v>102</v>
      </c>
      <c r="AH117" s="52" t="s">
        <v>102</v>
      </c>
      <c r="AI117" s="52" t="s">
        <v>102</v>
      </c>
      <c r="AJ117" s="52" t="s">
        <v>102</v>
      </c>
      <c r="AK117" s="52" t="s">
        <v>102</v>
      </c>
      <c r="AL117" s="52" t="s">
        <v>102</v>
      </c>
      <c r="AM117" s="52" t="s">
        <v>102</v>
      </c>
      <c r="AN117" s="52" t="s">
        <v>102</v>
      </c>
      <c r="AO117" s="52" t="s">
        <v>102</v>
      </c>
      <c r="AP117" s="53" t="s">
        <v>262</v>
      </c>
      <c r="AQ117" s="53" t="s">
        <v>102</v>
      </c>
      <c r="AR117" s="52" t="s">
        <v>102</v>
      </c>
      <c r="AS117" s="52" t="s">
        <v>102</v>
      </c>
      <c r="AT117" s="52" t="s">
        <v>262</v>
      </c>
      <c r="AU117" s="52" t="s">
        <v>102</v>
      </c>
      <c r="AV117" s="52" t="s">
        <v>102</v>
      </c>
      <c r="AW117" s="52" t="s">
        <v>262</v>
      </c>
      <c r="AX117" s="51" t="s">
        <v>264</v>
      </c>
      <c r="AY117" s="53" t="s">
        <v>264</v>
      </c>
      <c r="AZ117" s="53" t="s">
        <v>264</v>
      </c>
      <c r="BA117" s="53" t="s">
        <v>264</v>
      </c>
      <c r="BB117" s="53" t="s">
        <v>264</v>
      </c>
      <c r="BC117" s="53" t="s">
        <v>102</v>
      </c>
      <c r="BD117" s="53" t="s">
        <v>264</v>
      </c>
      <c r="BE117" s="53" t="s">
        <v>264</v>
      </c>
      <c r="BF117" s="53" t="s">
        <v>102</v>
      </c>
      <c r="BG117" s="53" t="s">
        <v>264</v>
      </c>
      <c r="BH117" s="53" t="s">
        <v>264</v>
      </c>
      <c r="BI117" s="53" t="s">
        <v>102</v>
      </c>
      <c r="BJ117" s="53" t="s">
        <v>264</v>
      </c>
      <c r="BK117" s="53" t="s">
        <v>264</v>
      </c>
      <c r="BL117" s="53" t="s">
        <v>264</v>
      </c>
      <c r="BM117" s="53">
        <v>375</v>
      </c>
      <c r="BN117" s="53">
        <v>500</v>
      </c>
      <c r="BO117" s="53">
        <v>325</v>
      </c>
      <c r="BP117" s="53">
        <v>250</v>
      </c>
      <c r="BQ117" s="53">
        <v>400</v>
      </c>
      <c r="BR117" s="53">
        <v>400</v>
      </c>
      <c r="BS117" s="53">
        <v>500</v>
      </c>
      <c r="BT117" s="53">
        <v>200</v>
      </c>
      <c r="BU117" s="53">
        <v>400</v>
      </c>
      <c r="BV117" s="53">
        <v>400</v>
      </c>
      <c r="BW117" s="53">
        <v>400</v>
      </c>
      <c r="BX117" s="53">
        <v>1500</v>
      </c>
      <c r="BY117" s="53">
        <v>750</v>
      </c>
      <c r="BZ117" s="53">
        <v>1500</v>
      </c>
      <c r="CA117" s="53">
        <v>1500</v>
      </c>
      <c r="CB117" s="53">
        <v>3500</v>
      </c>
      <c r="CC117" s="53">
        <v>1500</v>
      </c>
      <c r="CD117" s="53">
        <v>1500</v>
      </c>
      <c r="CE117" s="53">
        <v>3500</v>
      </c>
      <c r="CF117" s="53">
        <v>750</v>
      </c>
      <c r="CG117" s="53">
        <v>1500</v>
      </c>
      <c r="CH117" s="53">
        <v>1500</v>
      </c>
      <c r="CI117" s="53">
        <v>750</v>
      </c>
      <c r="CJ117" s="53">
        <v>3500</v>
      </c>
      <c r="CK117" s="53">
        <v>3500</v>
      </c>
      <c r="CL117" s="53">
        <v>750</v>
      </c>
      <c r="CM117" s="53">
        <v>3500</v>
      </c>
      <c r="CN117" s="206"/>
      <c r="CO117" s="206"/>
      <c r="CP117" s="206"/>
      <c r="CQ117" s="8">
        <f t="shared" si="42"/>
        <v>200</v>
      </c>
      <c r="CR117" s="8">
        <f t="shared" si="43"/>
        <v>3500</v>
      </c>
      <c r="CS117" s="8">
        <f t="shared" si="44"/>
        <v>1301.851851851852</v>
      </c>
      <c r="CT117">
        <f t="shared" si="45"/>
        <v>890.97345706065539</v>
      </c>
      <c r="CU117" s="143" t="e">
        <f t="shared" si="46"/>
        <v>#DIV/0!</v>
      </c>
      <c r="CV117" s="143" t="e">
        <f t="shared" si="47"/>
        <v>#DIV/0!</v>
      </c>
      <c r="CX117" s="7">
        <f t="shared" si="48"/>
        <v>272.5</v>
      </c>
      <c r="CY117" s="7">
        <f t="shared" si="49"/>
        <v>397.5</v>
      </c>
      <c r="CZ117" s="7">
        <f t="shared" si="50"/>
        <v>400</v>
      </c>
      <c r="DA117" s="7">
        <f t="shared" si="51"/>
        <v>400</v>
      </c>
      <c r="DB117" s="7">
        <f t="shared" si="52"/>
        <v>750</v>
      </c>
      <c r="DC117" s="7">
        <f t="shared" si="53"/>
        <v>1500</v>
      </c>
      <c r="DD117" s="7">
        <f t="shared" si="54"/>
        <v>1500</v>
      </c>
      <c r="DE117" s="7">
        <f t="shared" si="55"/>
        <v>1500</v>
      </c>
      <c r="DF117" s="7">
        <f t="shared" si="56"/>
        <v>3500</v>
      </c>
      <c r="DH117" s="7" t="e">
        <f t="shared" si="57"/>
        <v>#NUM!</v>
      </c>
      <c r="DI117" s="7" t="e">
        <f t="shared" si="58"/>
        <v>#NUM!</v>
      </c>
      <c r="DJ117" s="7" t="e">
        <f t="shared" si="59"/>
        <v>#NUM!</v>
      </c>
      <c r="DK117" s="7" t="e">
        <f t="shared" si="60"/>
        <v>#NUM!</v>
      </c>
      <c r="DL117" s="7" t="e">
        <f t="shared" si="61"/>
        <v>#NUM!</v>
      </c>
      <c r="DM117" s="7" t="e">
        <f t="shared" si="62"/>
        <v>#NUM!</v>
      </c>
      <c r="DN117" s="7" t="e">
        <f t="shared" si="63"/>
        <v>#NUM!</v>
      </c>
      <c r="DO117" s="7" t="e">
        <f t="shared" si="64"/>
        <v>#NUM!</v>
      </c>
      <c r="DP117" s="7" t="e">
        <f t="shared" si="65"/>
        <v>#NUM!</v>
      </c>
    </row>
    <row r="118" spans="1:130" ht="25.5" hidden="1" customHeight="1" x14ac:dyDescent="0.25">
      <c r="A118" s="92" t="str">
        <f t="shared" si="66"/>
        <v>SK-L-13-11</v>
      </c>
      <c r="B118" s="92" t="str">
        <f t="shared" si="67"/>
        <v>Henderson</v>
      </c>
      <c r="C118" s="93" t="str">
        <f t="shared" si="36"/>
        <v>HENDERSON LAKE_Sockeye</v>
      </c>
      <c r="D118" s="128" t="s">
        <v>598</v>
      </c>
      <c r="E118" s="128" t="s">
        <v>598</v>
      </c>
      <c r="F118" s="64">
        <v>23</v>
      </c>
      <c r="G118" s="72" t="s">
        <v>107</v>
      </c>
      <c r="H118" s="65" t="s">
        <v>91</v>
      </c>
      <c r="I118" s="119"/>
      <c r="J118" s="119"/>
      <c r="K118" s="64">
        <v>3</v>
      </c>
      <c r="L118" s="52">
        <v>3</v>
      </c>
      <c r="M118" s="52">
        <v>3</v>
      </c>
      <c r="N118" s="52">
        <f t="shared" si="37"/>
        <v>1889.7029463327378</v>
      </c>
      <c r="O118" s="52">
        <f t="shared" si="38"/>
        <v>123913</v>
      </c>
      <c r="P118" s="52">
        <f t="shared" si="39"/>
        <v>10778.491657448674</v>
      </c>
      <c r="Q118" s="66"/>
      <c r="R118" s="37"/>
      <c r="S118" s="74" t="s">
        <v>331</v>
      </c>
      <c r="T118" s="81">
        <f t="shared" si="40"/>
        <v>10461.75</v>
      </c>
      <c r="U118" s="81">
        <f t="shared" si="41"/>
        <v>12800</v>
      </c>
      <c r="V118" s="228">
        <v>18659</v>
      </c>
      <c r="W118" s="52">
        <v>13335</v>
      </c>
      <c r="X118" s="52">
        <v>4041</v>
      </c>
      <c r="Y118" s="52">
        <v>5812</v>
      </c>
      <c r="Z118" s="52">
        <v>12203</v>
      </c>
      <c r="AA118" s="52">
        <v>22704</v>
      </c>
      <c r="AB118" s="52">
        <v>9681</v>
      </c>
      <c r="AC118" s="52">
        <v>1966</v>
      </c>
      <c r="AD118" s="52">
        <v>11837</v>
      </c>
      <c r="AE118" s="52">
        <v>15808</v>
      </c>
      <c r="AF118" s="52">
        <v>17132</v>
      </c>
      <c r="AG118" s="52">
        <v>20422</v>
      </c>
      <c r="AH118" s="52">
        <v>45000</v>
      </c>
      <c r="AI118" s="52">
        <v>30000</v>
      </c>
      <c r="AJ118" s="52">
        <v>10547</v>
      </c>
      <c r="AK118" s="52">
        <v>8920</v>
      </c>
      <c r="AL118" s="52">
        <v>1465</v>
      </c>
      <c r="AM118" s="52">
        <v>1800</v>
      </c>
      <c r="AN118" s="52" t="s">
        <v>102</v>
      </c>
      <c r="AO118" s="52">
        <v>2456</v>
      </c>
      <c r="AP118" s="52">
        <v>17792</v>
      </c>
      <c r="AQ118" s="53" t="s">
        <v>102</v>
      </c>
      <c r="AR118" s="52" t="s">
        <v>102</v>
      </c>
      <c r="AS118" s="52" t="s">
        <v>102</v>
      </c>
      <c r="AT118" s="52">
        <v>1500</v>
      </c>
      <c r="AU118" s="52" t="s">
        <v>102</v>
      </c>
      <c r="AV118" s="52" t="s">
        <v>102</v>
      </c>
      <c r="AW118" s="52">
        <v>10</v>
      </c>
      <c r="AX118" s="51">
        <v>7559</v>
      </c>
      <c r="AY118" s="53">
        <v>123913</v>
      </c>
      <c r="AZ118" s="53">
        <v>27000</v>
      </c>
      <c r="BA118" s="53">
        <v>51400</v>
      </c>
      <c r="BB118" s="53">
        <v>100</v>
      </c>
      <c r="BC118" s="53" t="s">
        <v>102</v>
      </c>
      <c r="BD118" s="53">
        <v>27000</v>
      </c>
      <c r="BE118" s="53" t="s">
        <v>264</v>
      </c>
      <c r="BF118" s="53" t="s">
        <v>102</v>
      </c>
      <c r="BG118" s="53">
        <v>25000</v>
      </c>
      <c r="BH118" s="53">
        <v>45000</v>
      </c>
      <c r="BI118" s="53" t="s">
        <v>102</v>
      </c>
      <c r="BJ118" s="53">
        <v>57500</v>
      </c>
      <c r="BK118" s="53">
        <v>35000</v>
      </c>
      <c r="BL118" s="53">
        <v>20000</v>
      </c>
      <c r="BM118" s="53">
        <v>20000</v>
      </c>
      <c r="BN118" s="53">
        <v>7000</v>
      </c>
      <c r="BO118" s="53">
        <v>4800</v>
      </c>
      <c r="BP118" s="53">
        <v>3500</v>
      </c>
      <c r="BQ118" s="53">
        <v>10000</v>
      </c>
      <c r="BR118" s="53">
        <v>6000</v>
      </c>
      <c r="BS118" s="53">
        <v>40000</v>
      </c>
      <c r="BT118" s="53">
        <v>3500</v>
      </c>
      <c r="BU118" s="53">
        <v>7500</v>
      </c>
      <c r="BV118" s="53">
        <v>9000</v>
      </c>
      <c r="BW118" s="53">
        <v>15000</v>
      </c>
      <c r="BX118" s="53">
        <v>35000</v>
      </c>
      <c r="BY118" s="53">
        <v>75000</v>
      </c>
      <c r="BZ118" s="53">
        <v>75000</v>
      </c>
      <c r="CA118" s="53">
        <v>15000</v>
      </c>
      <c r="CB118" s="53">
        <v>35000</v>
      </c>
      <c r="CC118" s="53">
        <v>15000</v>
      </c>
      <c r="CD118" s="53">
        <v>35000</v>
      </c>
      <c r="CE118" s="53">
        <v>15000</v>
      </c>
      <c r="CF118" s="53">
        <v>7500</v>
      </c>
      <c r="CG118" s="53">
        <v>15000</v>
      </c>
      <c r="CH118" s="53">
        <v>15000</v>
      </c>
      <c r="CI118" s="53">
        <v>7500</v>
      </c>
      <c r="CJ118" s="53">
        <v>7500</v>
      </c>
      <c r="CK118" s="53">
        <v>15000</v>
      </c>
      <c r="CL118" s="53">
        <v>35000</v>
      </c>
      <c r="CM118" s="53">
        <v>15000</v>
      </c>
      <c r="CN118" s="206"/>
      <c r="CO118" s="206"/>
      <c r="CP118" s="206"/>
      <c r="CQ118" s="8">
        <f t="shared" si="42"/>
        <v>10</v>
      </c>
      <c r="CR118" s="8">
        <f t="shared" si="43"/>
        <v>123913</v>
      </c>
      <c r="CS118" s="8">
        <f t="shared" si="44"/>
        <v>20606.033333333333</v>
      </c>
      <c r="CT118">
        <f t="shared" si="45"/>
        <v>11191.283899255461</v>
      </c>
      <c r="CU118" s="143">
        <f t="shared" si="46"/>
        <v>10810</v>
      </c>
      <c r="CV118" s="143">
        <f t="shared" si="47"/>
        <v>12800</v>
      </c>
      <c r="CX118" s="7">
        <f t="shared" si="48"/>
        <v>1498.25</v>
      </c>
      <c r="CY118" s="7">
        <f t="shared" si="49"/>
        <v>3959.85</v>
      </c>
      <c r="CZ118" s="7">
        <f t="shared" si="50"/>
        <v>5962.4000000000005</v>
      </c>
      <c r="DA118" s="7">
        <f t="shared" si="51"/>
        <v>7500</v>
      </c>
      <c r="DB118" s="7">
        <f t="shared" si="52"/>
        <v>15000</v>
      </c>
      <c r="DC118" s="7">
        <f t="shared" si="53"/>
        <v>16337.599999999999</v>
      </c>
      <c r="DD118" s="7">
        <f t="shared" si="54"/>
        <v>19128.350000000002</v>
      </c>
      <c r="DE118" s="7">
        <f t="shared" si="55"/>
        <v>27000</v>
      </c>
      <c r="DF118" s="7">
        <f t="shared" si="56"/>
        <v>35000</v>
      </c>
      <c r="DH118" s="7">
        <f t="shared" si="57"/>
        <v>1466.75</v>
      </c>
      <c r="DI118" s="7">
        <f t="shared" si="58"/>
        <v>1824.9</v>
      </c>
      <c r="DJ118" s="7">
        <f t="shared" si="59"/>
        <v>2064</v>
      </c>
      <c r="DK118" s="7">
        <f t="shared" si="60"/>
        <v>2852.25</v>
      </c>
      <c r="DL118" s="7">
        <f t="shared" si="61"/>
        <v>11192</v>
      </c>
      <c r="DM118" s="7">
        <f t="shared" si="62"/>
        <v>12882.199999999999</v>
      </c>
      <c r="DN118" s="7">
        <f t="shared" si="63"/>
        <v>14942.45</v>
      </c>
      <c r="DO118" s="7">
        <f t="shared" si="64"/>
        <v>17627</v>
      </c>
      <c r="DP118" s="7">
        <f t="shared" si="65"/>
        <v>20157.549999999996</v>
      </c>
    </row>
    <row r="119" spans="1:130" ht="25.5" hidden="1" customHeight="1" x14ac:dyDescent="0.25">
      <c r="A119" s="92" t="str">
        <f t="shared" si="66"/>
        <v>CM-SWVI [10]</v>
      </c>
      <c r="B119" s="92" t="str">
        <f t="shared" si="67"/>
        <v>Southwest Vancouver Island</v>
      </c>
      <c r="C119" s="93" t="str">
        <f t="shared" si="36"/>
        <v>HILLIER CREEK_Chum</v>
      </c>
      <c r="D119" s="128" t="s">
        <v>598</v>
      </c>
      <c r="E119" s="128" t="s">
        <v>598</v>
      </c>
      <c r="F119" s="64">
        <v>23</v>
      </c>
      <c r="G119" s="72" t="s">
        <v>150</v>
      </c>
      <c r="H119" s="65" t="s">
        <v>96</v>
      </c>
      <c r="I119" s="119"/>
      <c r="J119" s="119"/>
      <c r="K119" s="64">
        <v>5</v>
      </c>
      <c r="L119" s="52">
        <v>10</v>
      </c>
      <c r="M119" s="52">
        <v>8</v>
      </c>
      <c r="N119" s="52">
        <f t="shared" si="37"/>
        <v>61.988078922896669</v>
      </c>
      <c r="O119" s="52">
        <f t="shared" si="38"/>
        <v>3500</v>
      </c>
      <c r="P119" s="52">
        <f t="shared" si="39"/>
        <v>302.56171002004993</v>
      </c>
      <c r="Q119" s="66"/>
      <c r="R119" s="37"/>
      <c r="S119" s="74" t="s">
        <v>327</v>
      </c>
      <c r="T119" s="81" t="e">
        <f t="shared" si="40"/>
        <v>#DIV/0!</v>
      </c>
      <c r="U119" s="81" t="e">
        <f t="shared" si="41"/>
        <v>#DIV/0!</v>
      </c>
      <c r="V119" s="52" t="s">
        <v>102</v>
      </c>
      <c r="W119" s="52" t="s">
        <v>102</v>
      </c>
      <c r="X119" s="52" t="s">
        <v>102</v>
      </c>
      <c r="Y119" s="52" t="s">
        <v>102</v>
      </c>
      <c r="Z119" s="52" t="s">
        <v>102</v>
      </c>
      <c r="AA119" s="52" t="s">
        <v>102</v>
      </c>
      <c r="AB119" s="52" t="s">
        <v>102</v>
      </c>
      <c r="AC119" s="52" t="s">
        <v>102</v>
      </c>
      <c r="AD119" s="52" t="s">
        <v>102</v>
      </c>
      <c r="AE119" s="52" t="s">
        <v>102</v>
      </c>
      <c r="AF119" s="52" t="s">
        <v>102</v>
      </c>
      <c r="AG119" s="52" t="s">
        <v>102</v>
      </c>
      <c r="AH119" s="52" t="s">
        <v>102</v>
      </c>
      <c r="AI119" s="52" t="s">
        <v>102</v>
      </c>
      <c r="AJ119" s="52" t="s">
        <v>102</v>
      </c>
      <c r="AK119" s="121" t="s">
        <v>262</v>
      </c>
      <c r="AL119" s="89" t="s">
        <v>262</v>
      </c>
      <c r="AM119" s="52">
        <v>160</v>
      </c>
      <c r="AN119" s="53">
        <v>190</v>
      </c>
      <c r="AO119" s="52" t="s">
        <v>102</v>
      </c>
      <c r="AP119" s="53">
        <v>100</v>
      </c>
      <c r="AQ119" s="52">
        <v>83</v>
      </c>
      <c r="AR119" s="52" t="s">
        <v>262</v>
      </c>
      <c r="AS119" s="52">
        <v>5</v>
      </c>
      <c r="AT119" s="52">
        <v>128</v>
      </c>
      <c r="AU119" s="52">
        <v>50</v>
      </c>
      <c r="AV119" s="52">
        <v>27</v>
      </c>
      <c r="AW119" s="52" t="s">
        <v>262</v>
      </c>
      <c r="AX119" s="51">
        <v>2</v>
      </c>
      <c r="AY119" s="53" t="s">
        <v>263</v>
      </c>
      <c r="AZ119" s="53">
        <v>100</v>
      </c>
      <c r="BA119" s="53" t="s">
        <v>102</v>
      </c>
      <c r="BB119" s="53" t="s">
        <v>262</v>
      </c>
      <c r="BC119" s="53" t="s">
        <v>102</v>
      </c>
      <c r="BD119" s="53" t="s">
        <v>102</v>
      </c>
      <c r="BE119" s="53" t="s">
        <v>102</v>
      </c>
      <c r="BF119" s="53" t="s">
        <v>102</v>
      </c>
      <c r="BG119" s="53">
        <v>3400</v>
      </c>
      <c r="BH119" s="53" t="s">
        <v>264</v>
      </c>
      <c r="BI119" s="53" t="s">
        <v>264</v>
      </c>
      <c r="BJ119" s="53" t="s">
        <v>102</v>
      </c>
      <c r="BK119" s="53" t="s">
        <v>102</v>
      </c>
      <c r="BL119" s="53" t="s">
        <v>102</v>
      </c>
      <c r="BM119" s="53">
        <v>200</v>
      </c>
      <c r="BN119" s="53">
        <v>500</v>
      </c>
      <c r="BO119" s="53">
        <v>550</v>
      </c>
      <c r="BP119" s="53">
        <v>1200</v>
      </c>
      <c r="BQ119" s="53">
        <v>75</v>
      </c>
      <c r="BR119" s="53">
        <v>750</v>
      </c>
      <c r="BS119" s="53">
        <v>750</v>
      </c>
      <c r="BT119" s="53">
        <v>1500</v>
      </c>
      <c r="BU119" s="53">
        <v>400</v>
      </c>
      <c r="BV119" s="53">
        <v>1500</v>
      </c>
      <c r="BW119" s="53">
        <v>3500</v>
      </c>
      <c r="BX119" s="53">
        <v>750</v>
      </c>
      <c r="BY119" s="53">
        <v>750</v>
      </c>
      <c r="BZ119" s="53">
        <v>3500</v>
      </c>
      <c r="CA119" s="53">
        <v>200</v>
      </c>
      <c r="CB119" s="53">
        <v>750</v>
      </c>
      <c r="CC119" s="53">
        <v>200</v>
      </c>
      <c r="CD119" s="53">
        <v>400</v>
      </c>
      <c r="CE119" s="53">
        <v>400</v>
      </c>
      <c r="CF119" s="53">
        <v>75</v>
      </c>
      <c r="CG119" s="53">
        <v>750</v>
      </c>
      <c r="CH119" s="53">
        <v>750</v>
      </c>
      <c r="CI119" s="53">
        <v>400</v>
      </c>
      <c r="CJ119" s="53">
        <v>400</v>
      </c>
      <c r="CK119" s="53">
        <v>200</v>
      </c>
      <c r="CL119" s="53">
        <v>1500</v>
      </c>
      <c r="CM119" s="53">
        <v>750</v>
      </c>
      <c r="CN119" s="206"/>
      <c r="CO119" s="206"/>
      <c r="CP119" s="206"/>
      <c r="CQ119" s="8">
        <f t="shared" si="42"/>
        <v>2</v>
      </c>
      <c r="CR119" s="8">
        <f t="shared" si="43"/>
        <v>3500</v>
      </c>
      <c r="CS119" s="8">
        <f t="shared" si="44"/>
        <v>709.07894736842104</v>
      </c>
      <c r="CT119">
        <f t="shared" si="45"/>
        <v>302.56171002004993</v>
      </c>
      <c r="CU119" s="143" t="e">
        <f t="shared" si="46"/>
        <v>#DIV/0!</v>
      </c>
      <c r="CV119" s="143" t="e">
        <f t="shared" si="47"/>
        <v>#DIV/0!</v>
      </c>
      <c r="CX119" s="7">
        <f t="shared" si="48"/>
        <v>23.700000000000003</v>
      </c>
      <c r="CY119" s="7">
        <f t="shared" si="49"/>
        <v>79.400000000000006</v>
      </c>
      <c r="CZ119" s="7">
        <f t="shared" si="50"/>
        <v>100</v>
      </c>
      <c r="DA119" s="7">
        <f t="shared" si="51"/>
        <v>136</v>
      </c>
      <c r="DB119" s="7">
        <f t="shared" si="52"/>
        <v>400</v>
      </c>
      <c r="DC119" s="7">
        <f t="shared" si="53"/>
        <v>589.99999999999989</v>
      </c>
      <c r="DD119" s="7">
        <f t="shared" si="54"/>
        <v>750</v>
      </c>
      <c r="DE119" s="7">
        <f t="shared" si="55"/>
        <v>750</v>
      </c>
      <c r="DF119" s="7">
        <f t="shared" si="56"/>
        <v>1335.0000000000009</v>
      </c>
      <c r="DH119" s="7">
        <f t="shared" si="57"/>
        <v>12.700000000000003</v>
      </c>
      <c r="DI119" s="7">
        <f t="shared" si="58"/>
        <v>28.149999999999995</v>
      </c>
      <c r="DJ119" s="7">
        <f t="shared" si="59"/>
        <v>36.20000000000001</v>
      </c>
      <c r="DK119" s="7">
        <f t="shared" si="60"/>
        <v>44.25</v>
      </c>
      <c r="DL119" s="7">
        <f t="shared" si="61"/>
        <v>91.5</v>
      </c>
      <c r="DM119" s="7">
        <f t="shared" si="62"/>
        <v>105.60000000000001</v>
      </c>
      <c r="DN119" s="7">
        <f t="shared" si="63"/>
        <v>115.39999999999999</v>
      </c>
      <c r="DO119" s="7">
        <f t="shared" si="64"/>
        <v>136</v>
      </c>
      <c r="DP119" s="7">
        <f t="shared" si="65"/>
        <v>158.4</v>
      </c>
    </row>
    <row r="120" spans="1:130" ht="25.5" hidden="1" customHeight="1" x14ac:dyDescent="0.25">
      <c r="A120" s="92" t="str">
        <f t="shared" si="66"/>
        <v>CO-WVI [17]</v>
      </c>
      <c r="B120" s="92" t="str">
        <f t="shared" si="67"/>
        <v>West Vancouver Island</v>
      </c>
      <c r="C120" s="93" t="str">
        <f t="shared" si="36"/>
        <v>HILLIER CREEK_Coho</v>
      </c>
      <c r="D120" s="128" t="s">
        <v>598</v>
      </c>
      <c r="E120" s="128" t="s">
        <v>598</v>
      </c>
      <c r="F120" s="64">
        <v>23</v>
      </c>
      <c r="G120" s="72" t="s">
        <v>150</v>
      </c>
      <c r="H120" s="65" t="s">
        <v>93</v>
      </c>
      <c r="I120" s="119"/>
      <c r="J120" s="119"/>
      <c r="K120" s="64">
        <v>5</v>
      </c>
      <c r="L120" s="52">
        <v>10</v>
      </c>
      <c r="M120" s="52">
        <v>2</v>
      </c>
      <c r="N120" s="52">
        <f t="shared" si="37"/>
        <v>5.4772255750516612</v>
      </c>
      <c r="O120" s="52">
        <f t="shared" si="38"/>
        <v>10</v>
      </c>
      <c r="P120" s="52">
        <f t="shared" si="39"/>
        <v>5.4772255750516612</v>
      </c>
      <c r="Q120" s="66"/>
      <c r="R120" s="37"/>
      <c r="S120" s="74" t="s">
        <v>327</v>
      </c>
      <c r="T120" s="81" t="e">
        <f t="shared" si="40"/>
        <v>#DIV/0!</v>
      </c>
      <c r="U120" s="81" t="e">
        <f t="shared" si="41"/>
        <v>#DIV/0!</v>
      </c>
      <c r="V120" s="52" t="s">
        <v>102</v>
      </c>
      <c r="W120" s="52" t="s">
        <v>102</v>
      </c>
      <c r="X120" s="52" t="s">
        <v>102</v>
      </c>
      <c r="Y120" s="52" t="s">
        <v>102</v>
      </c>
      <c r="Z120" s="52" t="s">
        <v>102</v>
      </c>
      <c r="AA120" s="52" t="s">
        <v>102</v>
      </c>
      <c r="AB120" s="52" t="s">
        <v>102</v>
      </c>
      <c r="AC120" s="52" t="s">
        <v>102</v>
      </c>
      <c r="AD120" s="52" t="s">
        <v>102</v>
      </c>
      <c r="AE120" s="52" t="s">
        <v>102</v>
      </c>
      <c r="AF120" s="52" t="s">
        <v>102</v>
      </c>
      <c r="AG120" s="52" t="s">
        <v>102</v>
      </c>
      <c r="AH120" s="52" t="s">
        <v>102</v>
      </c>
      <c r="AI120" s="52" t="s">
        <v>102</v>
      </c>
      <c r="AJ120" s="52" t="s">
        <v>102</v>
      </c>
      <c r="AK120" s="52" t="s">
        <v>102</v>
      </c>
      <c r="AL120" s="89" t="s">
        <v>262</v>
      </c>
      <c r="AM120" s="52" t="s">
        <v>262</v>
      </c>
      <c r="AN120" s="52" t="s">
        <v>262</v>
      </c>
      <c r="AO120" s="52" t="s">
        <v>102</v>
      </c>
      <c r="AP120" s="53">
        <v>10</v>
      </c>
      <c r="AQ120" s="52" t="s">
        <v>262</v>
      </c>
      <c r="AR120" s="52" t="s">
        <v>262</v>
      </c>
      <c r="AS120" s="52" t="s">
        <v>262</v>
      </c>
      <c r="AT120" s="52">
        <v>3</v>
      </c>
      <c r="AU120" s="52" t="s">
        <v>262</v>
      </c>
      <c r="AV120" s="52" t="s">
        <v>262</v>
      </c>
      <c r="AW120" s="52" t="s">
        <v>262</v>
      </c>
      <c r="AX120" s="51" t="s">
        <v>264</v>
      </c>
      <c r="AY120" s="53" t="s">
        <v>264</v>
      </c>
      <c r="AZ120" s="53" t="s">
        <v>264</v>
      </c>
      <c r="BA120" s="53" t="s">
        <v>102</v>
      </c>
      <c r="BB120" s="53" t="s">
        <v>262</v>
      </c>
      <c r="BC120" s="53" t="s">
        <v>102</v>
      </c>
      <c r="BD120" s="53" t="s">
        <v>102</v>
      </c>
      <c r="BE120" s="53" t="s">
        <v>102</v>
      </c>
      <c r="BF120" s="53" t="s">
        <v>102</v>
      </c>
      <c r="BG120" s="53" t="s">
        <v>264</v>
      </c>
      <c r="BH120" s="53" t="s">
        <v>262</v>
      </c>
      <c r="BI120" s="53" t="s">
        <v>264</v>
      </c>
      <c r="BJ120" s="53" t="s">
        <v>102</v>
      </c>
      <c r="BK120" s="53" t="s">
        <v>102</v>
      </c>
      <c r="BL120" s="53" t="s">
        <v>102</v>
      </c>
      <c r="BM120" s="53" t="s">
        <v>264</v>
      </c>
      <c r="BN120" s="53" t="s">
        <v>264</v>
      </c>
      <c r="BO120" s="53" t="s">
        <v>264</v>
      </c>
      <c r="BP120" s="53" t="s">
        <v>264</v>
      </c>
      <c r="BQ120" s="53" t="s">
        <v>264</v>
      </c>
      <c r="BR120" s="53" t="s">
        <v>264</v>
      </c>
      <c r="BS120" s="53" t="s">
        <v>264</v>
      </c>
      <c r="BT120" s="53" t="s">
        <v>264</v>
      </c>
      <c r="BU120" s="53" t="s">
        <v>264</v>
      </c>
      <c r="BV120" s="53" t="s">
        <v>264</v>
      </c>
      <c r="BW120" s="53" t="s">
        <v>264</v>
      </c>
      <c r="BX120" s="53" t="s">
        <v>264</v>
      </c>
      <c r="BY120" s="53" t="s">
        <v>264</v>
      </c>
      <c r="BZ120" s="53" t="s">
        <v>264</v>
      </c>
      <c r="CA120" s="53" t="s">
        <v>264</v>
      </c>
      <c r="CB120" s="53" t="s">
        <v>264</v>
      </c>
      <c r="CC120" s="53" t="s">
        <v>264</v>
      </c>
      <c r="CD120" s="53" t="s">
        <v>264</v>
      </c>
      <c r="CE120" s="53" t="s">
        <v>264</v>
      </c>
      <c r="CF120" s="53" t="s">
        <v>264</v>
      </c>
      <c r="CG120" s="53" t="s">
        <v>264</v>
      </c>
      <c r="CH120" s="53" t="s">
        <v>264</v>
      </c>
      <c r="CI120" s="53" t="s">
        <v>264</v>
      </c>
      <c r="CJ120" s="53" t="s">
        <v>264</v>
      </c>
      <c r="CK120" s="53" t="s">
        <v>264</v>
      </c>
      <c r="CL120" s="53" t="s">
        <v>264</v>
      </c>
      <c r="CM120" s="53" t="s">
        <v>264</v>
      </c>
      <c r="CN120" s="206"/>
      <c r="CO120" s="206"/>
      <c r="CP120" s="206"/>
      <c r="CQ120" s="8">
        <f t="shared" si="42"/>
        <v>3</v>
      </c>
      <c r="CR120" s="8">
        <f t="shared" si="43"/>
        <v>10</v>
      </c>
      <c r="CS120" s="8">
        <f t="shared" si="44"/>
        <v>6.5</v>
      </c>
      <c r="CT120">
        <f t="shared" si="45"/>
        <v>5.4772255750516612</v>
      </c>
      <c r="CU120" s="143" t="e">
        <f t="shared" si="46"/>
        <v>#DIV/0!</v>
      </c>
      <c r="CV120" s="143" t="e">
        <f t="shared" si="47"/>
        <v>#DIV/0!</v>
      </c>
      <c r="CX120" s="7">
        <f t="shared" si="48"/>
        <v>3.3500000000000005</v>
      </c>
      <c r="CY120" s="7">
        <f t="shared" si="49"/>
        <v>4.0499999999999989</v>
      </c>
      <c r="CZ120" s="7">
        <f t="shared" si="50"/>
        <v>4.3999999999999995</v>
      </c>
      <c r="DA120" s="7">
        <f t="shared" si="51"/>
        <v>4.75</v>
      </c>
      <c r="DB120" s="7">
        <f t="shared" si="52"/>
        <v>6.5</v>
      </c>
      <c r="DC120" s="7">
        <f t="shared" si="53"/>
        <v>7.2000000000000011</v>
      </c>
      <c r="DD120" s="7">
        <f t="shared" si="54"/>
        <v>7.5499999999999989</v>
      </c>
      <c r="DE120" s="7">
        <f t="shared" si="55"/>
        <v>8.25</v>
      </c>
      <c r="DF120" s="7">
        <f t="shared" si="56"/>
        <v>8.9500000000000011</v>
      </c>
      <c r="DH120" s="7">
        <f t="shared" si="57"/>
        <v>3.3500000000000005</v>
      </c>
      <c r="DI120" s="7">
        <f t="shared" si="58"/>
        <v>4.0499999999999989</v>
      </c>
      <c r="DJ120" s="7">
        <f t="shared" si="59"/>
        <v>4.3999999999999995</v>
      </c>
      <c r="DK120" s="7">
        <f t="shared" si="60"/>
        <v>4.75</v>
      </c>
      <c r="DL120" s="7">
        <f t="shared" si="61"/>
        <v>6.5</v>
      </c>
      <c r="DM120" s="7">
        <f t="shared" si="62"/>
        <v>7.2000000000000011</v>
      </c>
      <c r="DN120" s="7">
        <f t="shared" si="63"/>
        <v>7.5499999999999989</v>
      </c>
      <c r="DO120" s="7">
        <f t="shared" si="64"/>
        <v>8.25</v>
      </c>
      <c r="DP120" s="7">
        <f t="shared" si="65"/>
        <v>8.9500000000000011</v>
      </c>
    </row>
    <row r="121" spans="1:130" ht="25.5" hidden="1" customHeight="1" x14ac:dyDescent="0.25">
      <c r="A121" s="92" t="str">
        <f t="shared" si="66"/>
        <v>CM-SWVI [10]</v>
      </c>
      <c r="B121" s="92" t="str">
        <f t="shared" si="67"/>
        <v>Southwest Vancouver Island</v>
      </c>
      <c r="C121" s="93" t="str">
        <f t="shared" si="36"/>
        <v>HOLFORD CREEK_Chum</v>
      </c>
      <c r="D121" s="128" t="s">
        <v>598</v>
      </c>
      <c r="E121" s="128" t="s">
        <v>598</v>
      </c>
      <c r="F121" s="64">
        <v>23</v>
      </c>
      <c r="G121" s="72" t="s">
        <v>130</v>
      </c>
      <c r="H121" s="65" t="s">
        <v>96</v>
      </c>
      <c r="I121" s="119"/>
      <c r="J121" s="119"/>
      <c r="K121" s="64">
        <v>4</v>
      </c>
      <c r="L121" s="52">
        <v>7</v>
      </c>
      <c r="M121" s="52">
        <v>1</v>
      </c>
      <c r="N121" s="52">
        <f t="shared" si="37"/>
        <v>50</v>
      </c>
      <c r="O121" s="52">
        <f t="shared" si="38"/>
        <v>3500</v>
      </c>
      <c r="P121" s="52">
        <f t="shared" si="39"/>
        <v>586.29739535583576</v>
      </c>
      <c r="Q121" s="66"/>
      <c r="R121" s="39"/>
      <c r="S121" s="74" t="s">
        <v>332</v>
      </c>
      <c r="T121" s="81" t="e">
        <f t="shared" si="40"/>
        <v>#DIV/0!</v>
      </c>
      <c r="U121" s="81" t="e">
        <f t="shared" si="41"/>
        <v>#DIV/0!</v>
      </c>
      <c r="V121" s="52" t="s">
        <v>102</v>
      </c>
      <c r="W121" s="52" t="s">
        <v>102</v>
      </c>
      <c r="X121" s="52" t="s">
        <v>102</v>
      </c>
      <c r="Y121" s="52" t="s">
        <v>102</v>
      </c>
      <c r="Z121" s="52" t="s">
        <v>102</v>
      </c>
      <c r="AA121" s="52" t="s">
        <v>102</v>
      </c>
      <c r="AB121" s="52" t="s">
        <v>102</v>
      </c>
      <c r="AC121" s="52" t="s">
        <v>102</v>
      </c>
      <c r="AD121" s="52" t="s">
        <v>102</v>
      </c>
      <c r="AE121" s="52" t="s">
        <v>102</v>
      </c>
      <c r="AF121" s="52" t="s">
        <v>102</v>
      </c>
      <c r="AG121" s="52" t="s">
        <v>102</v>
      </c>
      <c r="AH121" s="52" t="s">
        <v>102</v>
      </c>
      <c r="AI121" s="52" t="s">
        <v>102</v>
      </c>
      <c r="AJ121" s="52" t="s">
        <v>102</v>
      </c>
      <c r="AK121" s="52" t="s">
        <v>102</v>
      </c>
      <c r="AL121" s="52" t="s">
        <v>102</v>
      </c>
      <c r="AM121" s="52" t="s">
        <v>102</v>
      </c>
      <c r="AN121" s="52" t="s">
        <v>102</v>
      </c>
      <c r="AO121" s="52" t="s">
        <v>102</v>
      </c>
      <c r="AP121" s="53" t="s">
        <v>262</v>
      </c>
      <c r="AQ121" s="53" t="s">
        <v>262</v>
      </c>
      <c r="AR121" s="53" t="s">
        <v>262</v>
      </c>
      <c r="AS121" s="52" t="s">
        <v>102</v>
      </c>
      <c r="AT121" s="52">
        <v>50</v>
      </c>
      <c r="AU121" s="52" t="s">
        <v>262</v>
      </c>
      <c r="AV121" s="52" t="s">
        <v>262</v>
      </c>
      <c r="AW121" s="52" t="s">
        <v>262</v>
      </c>
      <c r="AX121" s="51">
        <v>8</v>
      </c>
      <c r="AY121" s="53" t="s">
        <v>263</v>
      </c>
      <c r="AZ121" s="53" t="s">
        <v>102</v>
      </c>
      <c r="BA121" s="53" t="s">
        <v>102</v>
      </c>
      <c r="BB121" s="53" t="s">
        <v>102</v>
      </c>
      <c r="BC121" s="53" t="s">
        <v>102</v>
      </c>
      <c r="BD121" s="53" t="s">
        <v>102</v>
      </c>
      <c r="BE121" s="53" t="s">
        <v>102</v>
      </c>
      <c r="BF121" s="53" t="s">
        <v>102</v>
      </c>
      <c r="BG121" s="53">
        <v>450</v>
      </c>
      <c r="BH121" s="53" t="s">
        <v>264</v>
      </c>
      <c r="BI121" s="53">
        <v>95</v>
      </c>
      <c r="BJ121" s="53">
        <v>700</v>
      </c>
      <c r="BK121" s="53" t="s">
        <v>102</v>
      </c>
      <c r="BL121" s="53">
        <v>2000</v>
      </c>
      <c r="BM121" s="53">
        <v>1000</v>
      </c>
      <c r="BN121" s="53">
        <v>2200</v>
      </c>
      <c r="BO121" s="53">
        <v>1150</v>
      </c>
      <c r="BP121" s="53">
        <v>800</v>
      </c>
      <c r="BQ121" s="53">
        <v>900</v>
      </c>
      <c r="BR121" s="53">
        <v>750</v>
      </c>
      <c r="BS121" s="53">
        <v>1000</v>
      </c>
      <c r="BT121" s="53">
        <v>750</v>
      </c>
      <c r="BU121" s="53">
        <v>200</v>
      </c>
      <c r="BV121" s="53">
        <v>400</v>
      </c>
      <c r="BW121" s="53">
        <v>3500</v>
      </c>
      <c r="BX121" s="53">
        <v>750</v>
      </c>
      <c r="BY121" s="53">
        <v>1500</v>
      </c>
      <c r="BZ121" s="53">
        <v>750</v>
      </c>
      <c r="CA121" s="53">
        <v>750</v>
      </c>
      <c r="CB121" s="53">
        <v>750</v>
      </c>
      <c r="CC121" s="53">
        <v>400</v>
      </c>
      <c r="CD121" s="53">
        <v>200</v>
      </c>
      <c r="CE121" s="53">
        <v>750</v>
      </c>
      <c r="CF121" s="53">
        <v>750</v>
      </c>
      <c r="CG121" s="53">
        <v>400</v>
      </c>
      <c r="CH121" s="53">
        <v>750</v>
      </c>
      <c r="CI121" s="53">
        <v>750</v>
      </c>
      <c r="CJ121" s="53">
        <v>400</v>
      </c>
      <c r="CK121" s="53">
        <v>1500</v>
      </c>
      <c r="CL121" s="53">
        <v>1500</v>
      </c>
      <c r="CM121" s="53">
        <v>750</v>
      </c>
      <c r="CN121" s="206"/>
      <c r="CO121" s="206"/>
      <c r="CP121" s="206"/>
      <c r="CQ121" s="8">
        <f t="shared" si="42"/>
        <v>8</v>
      </c>
      <c r="CR121" s="8">
        <f t="shared" si="43"/>
        <v>3500</v>
      </c>
      <c r="CS121" s="8">
        <f t="shared" si="44"/>
        <v>866.75757575757575</v>
      </c>
      <c r="CT121">
        <f t="shared" si="45"/>
        <v>586.29739535583576</v>
      </c>
      <c r="CU121" s="143" t="e">
        <f t="shared" si="46"/>
        <v>#DIV/0!</v>
      </c>
      <c r="CV121" s="143" t="e">
        <f t="shared" si="47"/>
        <v>#DIV/0!</v>
      </c>
      <c r="CX121" s="7">
        <f t="shared" si="48"/>
        <v>77</v>
      </c>
      <c r="CY121" s="7">
        <f t="shared" si="49"/>
        <v>360</v>
      </c>
      <c r="CZ121" s="7">
        <f t="shared" si="50"/>
        <v>400</v>
      </c>
      <c r="DA121" s="7">
        <f t="shared" si="51"/>
        <v>400</v>
      </c>
      <c r="DB121" s="7">
        <f t="shared" si="52"/>
        <v>750</v>
      </c>
      <c r="DC121" s="7">
        <f t="shared" si="53"/>
        <v>750</v>
      </c>
      <c r="DD121" s="7">
        <f t="shared" si="54"/>
        <v>750</v>
      </c>
      <c r="DE121" s="7">
        <f t="shared" si="55"/>
        <v>1000</v>
      </c>
      <c r="DF121" s="7">
        <f t="shared" si="56"/>
        <v>1500</v>
      </c>
      <c r="DH121" s="7">
        <f t="shared" si="57"/>
        <v>50</v>
      </c>
      <c r="DI121" s="7">
        <f t="shared" si="58"/>
        <v>50</v>
      </c>
      <c r="DJ121" s="7">
        <f t="shared" si="59"/>
        <v>50</v>
      </c>
      <c r="DK121" s="7">
        <f t="shared" si="60"/>
        <v>50</v>
      </c>
      <c r="DL121" s="7">
        <f t="shared" si="61"/>
        <v>50</v>
      </c>
      <c r="DM121" s="7">
        <f t="shared" si="62"/>
        <v>50</v>
      </c>
      <c r="DN121" s="7">
        <f t="shared" si="63"/>
        <v>50</v>
      </c>
      <c r="DO121" s="7">
        <f t="shared" si="64"/>
        <v>50</v>
      </c>
      <c r="DP121" s="7">
        <f t="shared" si="65"/>
        <v>50</v>
      </c>
    </row>
    <row r="122" spans="1:130" ht="25.5" hidden="1" customHeight="1" x14ac:dyDescent="0.25">
      <c r="A122" s="92" t="str">
        <f t="shared" si="66"/>
        <v>CO-WVI [17]</v>
      </c>
      <c r="B122" s="92" t="str">
        <f t="shared" si="67"/>
        <v>West Vancouver Island</v>
      </c>
      <c r="C122" s="93" t="str">
        <f t="shared" si="36"/>
        <v>HOLFORD CREEK_Coho</v>
      </c>
      <c r="D122" s="128" t="s">
        <v>598</v>
      </c>
      <c r="E122" s="128" t="s">
        <v>598</v>
      </c>
      <c r="F122" s="64">
        <v>23</v>
      </c>
      <c r="G122" s="72" t="s">
        <v>130</v>
      </c>
      <c r="H122" s="65" t="s">
        <v>93</v>
      </c>
      <c r="I122" s="119"/>
      <c r="J122" s="119"/>
      <c r="K122" s="64">
        <v>4</v>
      </c>
      <c r="L122" s="52">
        <v>7</v>
      </c>
      <c r="M122" s="52">
        <v>0</v>
      </c>
      <c r="N122" s="52" t="e">
        <f t="shared" si="37"/>
        <v>#NUM!</v>
      </c>
      <c r="O122" s="52">
        <f t="shared" si="38"/>
        <v>75</v>
      </c>
      <c r="P122" s="52">
        <f t="shared" si="39"/>
        <v>34.099885730166683</v>
      </c>
      <c r="Q122" s="66"/>
      <c r="R122" s="39"/>
      <c r="S122" s="76" t="s">
        <v>327</v>
      </c>
      <c r="T122" s="81" t="e">
        <f t="shared" si="40"/>
        <v>#DIV/0!</v>
      </c>
      <c r="U122" s="81" t="e">
        <f t="shared" si="41"/>
        <v>#DIV/0!</v>
      </c>
      <c r="V122" s="52" t="s">
        <v>102</v>
      </c>
      <c r="W122" s="52" t="s">
        <v>102</v>
      </c>
      <c r="X122" s="52" t="s">
        <v>102</v>
      </c>
      <c r="Y122" s="52" t="s">
        <v>102</v>
      </c>
      <c r="Z122" s="52" t="s">
        <v>102</v>
      </c>
      <c r="AA122" s="52" t="s">
        <v>102</v>
      </c>
      <c r="AB122" s="52" t="s">
        <v>102</v>
      </c>
      <c r="AC122" s="52" t="s">
        <v>102</v>
      </c>
      <c r="AD122" s="52" t="s">
        <v>102</v>
      </c>
      <c r="AE122" s="52" t="s">
        <v>102</v>
      </c>
      <c r="AF122" s="52" t="s">
        <v>102</v>
      </c>
      <c r="AG122" s="52" t="s">
        <v>102</v>
      </c>
      <c r="AH122" s="52" t="s">
        <v>102</v>
      </c>
      <c r="AI122" s="52" t="s">
        <v>102</v>
      </c>
      <c r="AJ122" s="52" t="s">
        <v>102</v>
      </c>
      <c r="AK122" s="52" t="s">
        <v>102</v>
      </c>
      <c r="AL122" s="52" t="s">
        <v>102</v>
      </c>
      <c r="AM122" s="52" t="s">
        <v>102</v>
      </c>
      <c r="AN122" s="52" t="s">
        <v>102</v>
      </c>
      <c r="AO122" s="52" t="s">
        <v>102</v>
      </c>
      <c r="AP122" s="53" t="s">
        <v>262</v>
      </c>
      <c r="AQ122" s="53" t="s">
        <v>262</v>
      </c>
      <c r="AR122" s="53" t="s">
        <v>262</v>
      </c>
      <c r="AS122" s="52" t="s">
        <v>102</v>
      </c>
      <c r="AT122" s="52" t="s">
        <v>262</v>
      </c>
      <c r="AU122" s="52" t="s">
        <v>262</v>
      </c>
      <c r="AV122" s="52" t="s">
        <v>262</v>
      </c>
      <c r="AW122" s="52" t="s">
        <v>262</v>
      </c>
      <c r="AX122" s="51" t="s">
        <v>262</v>
      </c>
      <c r="AY122" s="53" t="s">
        <v>264</v>
      </c>
      <c r="AZ122" s="53" t="s">
        <v>102</v>
      </c>
      <c r="BA122" s="53" t="s">
        <v>102</v>
      </c>
      <c r="BB122" s="53" t="s">
        <v>102</v>
      </c>
      <c r="BC122" s="53" t="s">
        <v>102</v>
      </c>
      <c r="BD122" s="53" t="s">
        <v>102</v>
      </c>
      <c r="BE122" s="53" t="s">
        <v>102</v>
      </c>
      <c r="BF122" s="53" t="s">
        <v>102</v>
      </c>
      <c r="BG122" s="53" t="s">
        <v>264</v>
      </c>
      <c r="BH122" s="53" t="s">
        <v>264</v>
      </c>
      <c r="BI122" s="53" t="s">
        <v>262</v>
      </c>
      <c r="BJ122" s="53" t="s">
        <v>262</v>
      </c>
      <c r="BK122" s="53" t="s">
        <v>102</v>
      </c>
      <c r="BL122" s="53">
        <v>25</v>
      </c>
      <c r="BM122" s="53">
        <v>30</v>
      </c>
      <c r="BN122" s="53">
        <v>25</v>
      </c>
      <c r="BO122" s="53">
        <v>20</v>
      </c>
      <c r="BP122" s="53">
        <v>40</v>
      </c>
      <c r="BQ122" s="53">
        <v>25</v>
      </c>
      <c r="BR122" s="53">
        <v>25</v>
      </c>
      <c r="BS122" s="53">
        <v>75</v>
      </c>
      <c r="BT122" s="53">
        <v>25</v>
      </c>
      <c r="BU122" s="53">
        <v>25</v>
      </c>
      <c r="BV122" s="53">
        <v>75</v>
      </c>
      <c r="BW122" s="53">
        <v>75</v>
      </c>
      <c r="BX122" s="53" t="s">
        <v>264</v>
      </c>
      <c r="BY122" s="53" t="s">
        <v>264</v>
      </c>
      <c r="BZ122" s="53" t="s">
        <v>264</v>
      </c>
      <c r="CA122" s="53" t="s">
        <v>264</v>
      </c>
      <c r="CB122" s="53" t="s">
        <v>264</v>
      </c>
      <c r="CC122" s="53" t="s">
        <v>264</v>
      </c>
      <c r="CD122" s="53" t="s">
        <v>264</v>
      </c>
      <c r="CE122" s="53" t="s">
        <v>264</v>
      </c>
      <c r="CF122" s="53" t="s">
        <v>264</v>
      </c>
      <c r="CG122" s="53" t="s">
        <v>264</v>
      </c>
      <c r="CH122" s="53" t="s">
        <v>264</v>
      </c>
      <c r="CI122" s="53" t="s">
        <v>264</v>
      </c>
      <c r="CJ122" s="53" t="s">
        <v>264</v>
      </c>
      <c r="CK122" s="53" t="s">
        <v>264</v>
      </c>
      <c r="CL122" s="53" t="s">
        <v>264</v>
      </c>
      <c r="CM122" s="53" t="s">
        <v>264</v>
      </c>
      <c r="CN122" s="206">
        <f>IF(ISERROR(AVERAGE(BV122:CM122)),CS122,AVERAGE(BV122:CM122))</f>
        <v>75</v>
      </c>
      <c r="CO122" s="209"/>
      <c r="CP122" s="209"/>
      <c r="CQ122" s="8">
        <f t="shared" si="42"/>
        <v>20</v>
      </c>
      <c r="CR122" s="8">
        <f t="shared" si="43"/>
        <v>75</v>
      </c>
      <c r="CS122" s="8">
        <f t="shared" si="44"/>
        <v>38.75</v>
      </c>
      <c r="CT122">
        <f t="shared" si="45"/>
        <v>34.099885730166683</v>
      </c>
      <c r="CU122" s="143" t="e">
        <f t="shared" si="46"/>
        <v>#DIV/0!</v>
      </c>
      <c r="CV122" s="143" t="e">
        <f t="shared" si="47"/>
        <v>#DIV/0!</v>
      </c>
      <c r="CX122" s="7">
        <f t="shared" si="48"/>
        <v>22.75</v>
      </c>
      <c r="CY122" s="7">
        <f t="shared" si="49"/>
        <v>25</v>
      </c>
      <c r="CZ122" s="7">
        <f t="shared" si="50"/>
        <v>25</v>
      </c>
      <c r="DA122" s="7">
        <f t="shared" si="51"/>
        <v>25</v>
      </c>
      <c r="DB122" s="7">
        <f t="shared" si="52"/>
        <v>25</v>
      </c>
      <c r="DC122" s="7">
        <f t="shared" si="53"/>
        <v>28</v>
      </c>
      <c r="DD122" s="7">
        <f t="shared" si="54"/>
        <v>31.500000000000004</v>
      </c>
      <c r="DE122" s="7">
        <f t="shared" si="55"/>
        <v>48.75</v>
      </c>
      <c r="DF122" s="7">
        <f t="shared" si="56"/>
        <v>75</v>
      </c>
      <c r="DH122" s="7" t="e">
        <f t="shared" si="57"/>
        <v>#NUM!</v>
      </c>
      <c r="DI122" s="7" t="e">
        <f t="shared" si="58"/>
        <v>#NUM!</v>
      </c>
      <c r="DJ122" s="7" t="e">
        <f t="shared" si="59"/>
        <v>#NUM!</v>
      </c>
      <c r="DK122" s="7" t="e">
        <f t="shared" si="60"/>
        <v>#NUM!</v>
      </c>
      <c r="DL122" s="7" t="e">
        <f t="shared" si="61"/>
        <v>#NUM!</v>
      </c>
      <c r="DM122" s="7" t="e">
        <f t="shared" si="62"/>
        <v>#NUM!</v>
      </c>
      <c r="DN122" s="7" t="e">
        <f t="shared" si="63"/>
        <v>#NUM!</v>
      </c>
      <c r="DO122" s="7" t="e">
        <f t="shared" si="64"/>
        <v>#NUM!</v>
      </c>
      <c r="DP122" s="7" t="e">
        <f t="shared" si="65"/>
        <v>#NUM!</v>
      </c>
      <c r="DR122" s="7" t="e">
        <f>_xlfn.PERCENTILE.INC((Y122:AF122,AH122,AJ122,AL122,AO122:AW122),0.05)</f>
        <v>#NUM!</v>
      </c>
      <c r="DS122" s="7" t="e">
        <f>_xlfn.PERCENTILE.INC((Y122:AF122,AH122,AJ122,AL122,AO122:AW122),0.15)</f>
        <v>#NUM!</v>
      </c>
      <c r="DT122" s="7" t="e">
        <f>_xlfn.PERCENTILE.INC((Y122:AF122,AH122,AJ122,AL122,AO122:AW122),0.2)</f>
        <v>#NUM!</v>
      </c>
      <c r="DU122" s="7" t="e">
        <f>_xlfn.PERCENTILE.INC((Y122:AF122,AH122,AJ122,AL122,AO122:AW122),0.25)</f>
        <v>#NUM!</v>
      </c>
      <c r="DV122" s="7" t="e">
        <f>_xlfn.PERCENTILE.INC((Y122:AF122,AH122,AJ122,AL122,AO122:AW122),0.5)</f>
        <v>#NUM!</v>
      </c>
      <c r="DW122" s="7" t="e">
        <f>_xlfn.PERCENTILE.INC((Y122:AF122,AH122,AJ122,AL122,AO122:AW122),0.6)</f>
        <v>#NUM!</v>
      </c>
      <c r="DX122" s="7" t="e">
        <f>_xlfn.PERCENTILE.INC((Y122:AF122,AH122,AJ122,AL122,AO122:AW122),0.65)</f>
        <v>#NUM!</v>
      </c>
      <c r="DY122" s="7" t="e">
        <f>_xlfn.PERCENTILE.INC((Y122:AF122,AH122,AJ122,AL122,AO122:AW122),0.75)</f>
        <v>#NUM!</v>
      </c>
      <c r="DZ122" s="7" t="e">
        <f>_xlfn.PERCENTILE.INC((Y122:AF122,AH122,AJ122,AL122,AO122:AW122),0.85)</f>
        <v>#NUM!</v>
      </c>
    </row>
    <row r="123" spans="1:130" ht="25.5" hidden="1" customHeight="1" x14ac:dyDescent="0.25">
      <c r="A123" s="92" t="str">
        <f t="shared" si="66"/>
        <v>CM-SWVI [10]</v>
      </c>
      <c r="B123" s="92" t="str">
        <f t="shared" si="67"/>
        <v>Southwest Vancouver Island</v>
      </c>
      <c r="C123" s="93" t="str">
        <f t="shared" si="36"/>
        <v>ITATSOO CREEK_Chum</v>
      </c>
      <c r="D123" s="128" t="s">
        <v>598</v>
      </c>
      <c r="E123" s="128" t="s">
        <v>598</v>
      </c>
      <c r="F123" s="64">
        <v>23</v>
      </c>
      <c r="G123" s="72" t="s">
        <v>149</v>
      </c>
      <c r="H123" s="65" t="s">
        <v>96</v>
      </c>
      <c r="I123" s="119"/>
      <c r="J123" s="119"/>
      <c r="K123" s="64">
        <v>5</v>
      </c>
      <c r="L123" s="52">
        <v>4</v>
      </c>
      <c r="M123" s="52">
        <v>4</v>
      </c>
      <c r="N123" s="52">
        <f t="shared" si="37"/>
        <v>12.009248561777692</v>
      </c>
      <c r="O123" s="52">
        <f t="shared" si="38"/>
        <v>450</v>
      </c>
      <c r="P123" s="52">
        <f t="shared" si="39"/>
        <v>135.06160219184326</v>
      </c>
      <c r="Q123" s="66"/>
      <c r="R123" s="37"/>
      <c r="S123" s="76" t="s">
        <v>333</v>
      </c>
      <c r="T123" s="81" t="e">
        <f t="shared" si="40"/>
        <v>#DIV/0!</v>
      </c>
      <c r="U123" s="81" t="e">
        <f t="shared" si="41"/>
        <v>#DIV/0!</v>
      </c>
      <c r="V123" s="52" t="s">
        <v>102</v>
      </c>
      <c r="W123" s="52" t="s">
        <v>102</v>
      </c>
      <c r="X123" s="52" t="s">
        <v>102</v>
      </c>
      <c r="Y123" s="52" t="s">
        <v>102</v>
      </c>
      <c r="Z123" s="52" t="s">
        <v>102</v>
      </c>
      <c r="AA123" s="52" t="s">
        <v>102</v>
      </c>
      <c r="AB123" s="52" t="s">
        <v>102</v>
      </c>
      <c r="AC123" s="52" t="s">
        <v>102</v>
      </c>
      <c r="AD123" s="52" t="s">
        <v>102</v>
      </c>
      <c r="AE123" s="52" t="s">
        <v>102</v>
      </c>
      <c r="AF123" s="52" t="s">
        <v>102</v>
      </c>
      <c r="AG123" s="52" t="s">
        <v>102</v>
      </c>
      <c r="AH123" s="52" t="s">
        <v>102</v>
      </c>
      <c r="AI123" s="52" t="s">
        <v>102</v>
      </c>
      <c r="AJ123" s="52" t="s">
        <v>102</v>
      </c>
      <c r="AK123" s="52" t="s">
        <v>102</v>
      </c>
      <c r="AL123" s="52" t="s">
        <v>102</v>
      </c>
      <c r="AM123" s="52" t="s">
        <v>102</v>
      </c>
      <c r="AN123" s="52" t="s">
        <v>102</v>
      </c>
      <c r="AO123" s="52" t="s">
        <v>102</v>
      </c>
      <c r="AP123" s="52" t="s">
        <v>102</v>
      </c>
      <c r="AQ123" s="53" t="s">
        <v>102</v>
      </c>
      <c r="AR123" s="52" t="s">
        <v>102</v>
      </c>
      <c r="AS123" s="52">
        <v>1</v>
      </c>
      <c r="AT123" s="52">
        <v>20</v>
      </c>
      <c r="AU123" s="52">
        <v>80</v>
      </c>
      <c r="AV123" s="52">
        <v>13</v>
      </c>
      <c r="AW123" s="52" t="s">
        <v>102</v>
      </c>
      <c r="AX123" s="51" t="s">
        <v>102</v>
      </c>
      <c r="AY123" s="53" t="s">
        <v>102</v>
      </c>
      <c r="AZ123" s="53" t="s">
        <v>102</v>
      </c>
      <c r="BA123" s="53" t="s">
        <v>264</v>
      </c>
      <c r="BB123" s="53" t="s">
        <v>102</v>
      </c>
      <c r="BC123" s="53" t="s">
        <v>102</v>
      </c>
      <c r="BD123" s="53" t="s">
        <v>102</v>
      </c>
      <c r="BE123" s="53" t="s">
        <v>102</v>
      </c>
      <c r="BF123" s="53" t="s">
        <v>102</v>
      </c>
      <c r="BG123" s="53" t="s">
        <v>102</v>
      </c>
      <c r="BH123" s="53" t="s">
        <v>102</v>
      </c>
      <c r="BI123" s="53" t="s">
        <v>264</v>
      </c>
      <c r="BJ123" s="53" t="s">
        <v>102</v>
      </c>
      <c r="BK123" s="53" t="s">
        <v>102</v>
      </c>
      <c r="BL123" s="53" t="s">
        <v>102</v>
      </c>
      <c r="BM123" s="53">
        <v>120</v>
      </c>
      <c r="BN123" s="53">
        <v>200</v>
      </c>
      <c r="BO123" s="53">
        <v>280</v>
      </c>
      <c r="BP123" s="53">
        <v>450</v>
      </c>
      <c r="BQ123" s="53">
        <v>400</v>
      </c>
      <c r="BR123" s="53">
        <v>400</v>
      </c>
      <c r="BS123" s="53">
        <v>200</v>
      </c>
      <c r="BT123" s="53">
        <v>400</v>
      </c>
      <c r="BU123" s="53">
        <v>200</v>
      </c>
      <c r="BV123" s="53">
        <v>400</v>
      </c>
      <c r="BW123" s="53">
        <v>75</v>
      </c>
      <c r="BX123" s="53">
        <v>400</v>
      </c>
      <c r="BY123" s="53">
        <v>200</v>
      </c>
      <c r="BZ123" s="53">
        <v>200</v>
      </c>
      <c r="CA123" s="53">
        <v>200</v>
      </c>
      <c r="CB123" s="53">
        <v>75</v>
      </c>
      <c r="CC123" s="53">
        <v>25</v>
      </c>
      <c r="CD123" s="53">
        <v>25</v>
      </c>
      <c r="CE123" s="53">
        <v>200</v>
      </c>
      <c r="CF123" s="53">
        <v>200</v>
      </c>
      <c r="CG123" s="53">
        <v>400</v>
      </c>
      <c r="CH123" s="53">
        <v>400</v>
      </c>
      <c r="CI123" s="53">
        <v>400</v>
      </c>
      <c r="CJ123" s="53">
        <v>200</v>
      </c>
      <c r="CK123" s="53">
        <v>200</v>
      </c>
      <c r="CL123" s="53">
        <v>200</v>
      </c>
      <c r="CM123" s="53">
        <v>75</v>
      </c>
      <c r="CN123" s="206"/>
      <c r="CO123" s="206"/>
      <c r="CP123" s="206"/>
      <c r="CQ123" s="8">
        <f t="shared" si="42"/>
        <v>1</v>
      </c>
      <c r="CR123" s="8">
        <f t="shared" si="43"/>
        <v>450</v>
      </c>
      <c r="CS123" s="8">
        <f t="shared" si="44"/>
        <v>214.16129032258064</v>
      </c>
      <c r="CT123">
        <f t="shared" si="45"/>
        <v>135.06160219184326</v>
      </c>
      <c r="CU123" s="143" t="e">
        <f t="shared" si="46"/>
        <v>#DIV/0!</v>
      </c>
      <c r="CV123" s="143" t="e">
        <f t="shared" si="47"/>
        <v>#DIV/0!</v>
      </c>
      <c r="CX123" s="7">
        <f t="shared" si="48"/>
        <v>16.5</v>
      </c>
      <c r="CY123" s="7">
        <f t="shared" si="49"/>
        <v>50</v>
      </c>
      <c r="CZ123" s="7">
        <f t="shared" si="50"/>
        <v>75</v>
      </c>
      <c r="DA123" s="7">
        <f t="shared" si="51"/>
        <v>77.5</v>
      </c>
      <c r="DB123" s="7">
        <f t="shared" si="52"/>
        <v>200</v>
      </c>
      <c r="DC123" s="7">
        <f t="shared" si="53"/>
        <v>200</v>
      </c>
      <c r="DD123" s="7">
        <f t="shared" si="54"/>
        <v>200</v>
      </c>
      <c r="DE123" s="7">
        <f t="shared" si="55"/>
        <v>400</v>
      </c>
      <c r="DF123" s="7">
        <f t="shared" si="56"/>
        <v>400</v>
      </c>
      <c r="DH123" s="7">
        <f t="shared" si="57"/>
        <v>2.7999999999999989</v>
      </c>
      <c r="DI123" s="7">
        <f t="shared" si="58"/>
        <v>6.3999999999999995</v>
      </c>
      <c r="DJ123" s="7">
        <f t="shared" si="59"/>
        <v>8.2000000000000011</v>
      </c>
      <c r="DK123" s="7">
        <f t="shared" si="60"/>
        <v>10</v>
      </c>
      <c r="DL123" s="7">
        <f t="shared" si="61"/>
        <v>16.5</v>
      </c>
      <c r="DM123" s="7">
        <f t="shared" si="62"/>
        <v>18.599999999999998</v>
      </c>
      <c r="DN123" s="7">
        <f t="shared" si="63"/>
        <v>19.650000000000002</v>
      </c>
      <c r="DO123" s="7">
        <f t="shared" si="64"/>
        <v>35</v>
      </c>
      <c r="DP123" s="7">
        <f t="shared" si="65"/>
        <v>52.999999999999986</v>
      </c>
    </row>
    <row r="124" spans="1:130" ht="25.5" hidden="1" customHeight="1" x14ac:dyDescent="0.25">
      <c r="A124" s="92" t="str">
        <f t="shared" si="66"/>
        <v>CO-WVI [17]</v>
      </c>
      <c r="B124" s="92" t="str">
        <f t="shared" si="67"/>
        <v>West Vancouver Island</v>
      </c>
      <c r="C124" s="93" t="str">
        <f t="shared" si="36"/>
        <v>ITATSOO CREEK_Coho</v>
      </c>
      <c r="D124" s="128" t="s">
        <v>598</v>
      </c>
      <c r="E124" s="128" t="s">
        <v>598</v>
      </c>
      <c r="F124" s="64">
        <v>23</v>
      </c>
      <c r="G124" s="72" t="s">
        <v>149</v>
      </c>
      <c r="H124" s="65" t="s">
        <v>93</v>
      </c>
      <c r="I124" s="119"/>
      <c r="J124" s="119"/>
      <c r="K124" s="64">
        <v>5</v>
      </c>
      <c r="L124" s="52">
        <v>4</v>
      </c>
      <c r="M124" s="52">
        <v>3</v>
      </c>
      <c r="N124" s="52">
        <f t="shared" si="37"/>
        <v>67.221071198357464</v>
      </c>
      <c r="O124" s="52">
        <f t="shared" si="38"/>
        <v>150</v>
      </c>
      <c r="P124" s="52">
        <f t="shared" si="39"/>
        <v>67.221071198357464</v>
      </c>
      <c r="Q124" s="66"/>
      <c r="R124" s="37"/>
      <c r="S124" s="76" t="s">
        <v>333</v>
      </c>
      <c r="T124" s="81" t="e">
        <f t="shared" si="40"/>
        <v>#DIV/0!</v>
      </c>
      <c r="U124" s="81" t="e">
        <f t="shared" si="41"/>
        <v>#DIV/0!</v>
      </c>
      <c r="V124" s="52" t="s">
        <v>102</v>
      </c>
      <c r="W124" s="52" t="s">
        <v>102</v>
      </c>
      <c r="X124" s="52" t="s">
        <v>102</v>
      </c>
      <c r="Y124" s="52" t="s">
        <v>102</v>
      </c>
      <c r="Z124" s="52" t="s">
        <v>102</v>
      </c>
      <c r="AA124" s="52" t="s">
        <v>102</v>
      </c>
      <c r="AB124" s="52" t="s">
        <v>102</v>
      </c>
      <c r="AC124" s="52" t="s">
        <v>102</v>
      </c>
      <c r="AD124" s="52" t="s">
        <v>102</v>
      </c>
      <c r="AE124" s="52" t="s">
        <v>102</v>
      </c>
      <c r="AF124" s="52" t="s">
        <v>102</v>
      </c>
      <c r="AG124" s="52" t="s">
        <v>102</v>
      </c>
      <c r="AH124" s="52" t="s">
        <v>102</v>
      </c>
      <c r="AI124" s="52" t="s">
        <v>102</v>
      </c>
      <c r="AJ124" s="52" t="s">
        <v>102</v>
      </c>
      <c r="AK124" s="52" t="s">
        <v>102</v>
      </c>
      <c r="AL124" s="52" t="s">
        <v>102</v>
      </c>
      <c r="AM124" s="52" t="s">
        <v>102</v>
      </c>
      <c r="AN124" s="52" t="s">
        <v>102</v>
      </c>
      <c r="AO124" s="52" t="s">
        <v>102</v>
      </c>
      <c r="AP124" s="52" t="s">
        <v>102</v>
      </c>
      <c r="AQ124" s="53" t="s">
        <v>102</v>
      </c>
      <c r="AR124" s="52" t="s">
        <v>102</v>
      </c>
      <c r="AS124" s="52">
        <v>45</v>
      </c>
      <c r="AT124" s="52">
        <v>150</v>
      </c>
      <c r="AU124" s="52">
        <v>45</v>
      </c>
      <c r="AV124" s="52" t="s">
        <v>262</v>
      </c>
      <c r="AW124" s="52" t="s">
        <v>102</v>
      </c>
      <c r="AX124" s="51" t="s">
        <v>102</v>
      </c>
      <c r="AY124" s="53" t="s">
        <v>102</v>
      </c>
      <c r="AZ124" s="53" t="s">
        <v>102</v>
      </c>
      <c r="BA124" s="53" t="s">
        <v>262</v>
      </c>
      <c r="BB124" s="53" t="s">
        <v>102</v>
      </c>
      <c r="BC124" s="53" t="s">
        <v>102</v>
      </c>
      <c r="BD124" s="53" t="s">
        <v>102</v>
      </c>
      <c r="BE124" s="53" t="s">
        <v>102</v>
      </c>
      <c r="BF124" s="53" t="s">
        <v>102</v>
      </c>
      <c r="BG124" s="53" t="s">
        <v>102</v>
      </c>
      <c r="BH124" s="53" t="s">
        <v>102</v>
      </c>
      <c r="BI124" s="53" t="s">
        <v>264</v>
      </c>
      <c r="BJ124" s="53" t="s">
        <v>102</v>
      </c>
      <c r="BK124" s="53" t="s">
        <v>102</v>
      </c>
      <c r="BL124" s="53" t="s">
        <v>102</v>
      </c>
      <c r="BM124" s="53" t="s">
        <v>264</v>
      </c>
      <c r="BN124" s="53" t="s">
        <v>264</v>
      </c>
      <c r="BO124" s="53" t="s">
        <v>264</v>
      </c>
      <c r="BP124" s="53" t="s">
        <v>264</v>
      </c>
      <c r="BQ124" s="53" t="s">
        <v>264</v>
      </c>
      <c r="BR124" s="53" t="s">
        <v>264</v>
      </c>
      <c r="BS124" s="53" t="s">
        <v>264</v>
      </c>
      <c r="BT124" s="53" t="s">
        <v>264</v>
      </c>
      <c r="BU124" s="53" t="s">
        <v>264</v>
      </c>
      <c r="BV124" s="53" t="s">
        <v>264</v>
      </c>
      <c r="BW124" s="53" t="s">
        <v>264</v>
      </c>
      <c r="BX124" s="53" t="s">
        <v>264</v>
      </c>
      <c r="BY124" s="53" t="s">
        <v>264</v>
      </c>
      <c r="BZ124" s="53" t="s">
        <v>264</v>
      </c>
      <c r="CA124" s="53" t="s">
        <v>264</v>
      </c>
      <c r="CB124" s="53" t="s">
        <v>264</v>
      </c>
      <c r="CC124" s="53" t="s">
        <v>264</v>
      </c>
      <c r="CD124" s="53" t="s">
        <v>264</v>
      </c>
      <c r="CE124" s="53" t="s">
        <v>264</v>
      </c>
      <c r="CF124" s="53" t="s">
        <v>264</v>
      </c>
      <c r="CG124" s="53" t="s">
        <v>264</v>
      </c>
      <c r="CH124" s="53" t="s">
        <v>264</v>
      </c>
      <c r="CI124" s="53" t="s">
        <v>264</v>
      </c>
      <c r="CJ124" s="53" t="s">
        <v>264</v>
      </c>
      <c r="CK124" s="53" t="s">
        <v>264</v>
      </c>
      <c r="CL124" s="53" t="s">
        <v>264</v>
      </c>
      <c r="CM124" s="53" t="s">
        <v>264</v>
      </c>
      <c r="CN124" s="206"/>
      <c r="CO124" s="206"/>
      <c r="CP124" s="206"/>
      <c r="CQ124" s="8">
        <f t="shared" si="42"/>
        <v>45</v>
      </c>
      <c r="CR124" s="8">
        <f t="shared" si="43"/>
        <v>150</v>
      </c>
      <c r="CS124" s="8">
        <f t="shared" si="44"/>
        <v>80</v>
      </c>
      <c r="CT124">
        <f t="shared" si="45"/>
        <v>67.221071198357464</v>
      </c>
      <c r="CU124" s="143" t="e">
        <f t="shared" si="46"/>
        <v>#DIV/0!</v>
      </c>
      <c r="CV124" s="143" t="e">
        <f t="shared" si="47"/>
        <v>#DIV/0!</v>
      </c>
      <c r="CX124" s="7">
        <f t="shared" si="48"/>
        <v>45</v>
      </c>
      <c r="CY124" s="7">
        <f t="shared" si="49"/>
        <v>45</v>
      </c>
      <c r="CZ124" s="7">
        <f t="shared" si="50"/>
        <v>45</v>
      </c>
      <c r="DA124" s="7">
        <f t="shared" si="51"/>
        <v>45</v>
      </c>
      <c r="DB124" s="7">
        <f t="shared" si="52"/>
        <v>45</v>
      </c>
      <c r="DC124" s="7">
        <f t="shared" si="53"/>
        <v>66.000000000000014</v>
      </c>
      <c r="DD124" s="7">
        <f t="shared" si="54"/>
        <v>76.499999999999986</v>
      </c>
      <c r="DE124" s="7">
        <f t="shared" si="55"/>
        <v>97.5</v>
      </c>
      <c r="DF124" s="7">
        <f t="shared" si="56"/>
        <v>118.50000000000001</v>
      </c>
      <c r="DH124" s="7">
        <f t="shared" si="57"/>
        <v>45</v>
      </c>
      <c r="DI124" s="7">
        <f t="shared" si="58"/>
        <v>45</v>
      </c>
      <c r="DJ124" s="7">
        <f t="shared" si="59"/>
        <v>45</v>
      </c>
      <c r="DK124" s="7">
        <f t="shared" si="60"/>
        <v>45</v>
      </c>
      <c r="DL124" s="7">
        <f t="shared" si="61"/>
        <v>45</v>
      </c>
      <c r="DM124" s="7">
        <f t="shared" si="62"/>
        <v>66.000000000000014</v>
      </c>
      <c r="DN124" s="7">
        <f t="shared" si="63"/>
        <v>76.499999999999986</v>
      </c>
      <c r="DO124" s="7">
        <f t="shared" si="64"/>
        <v>97.5</v>
      </c>
      <c r="DP124" s="7">
        <f t="shared" si="65"/>
        <v>118.50000000000001</v>
      </c>
    </row>
    <row r="125" spans="1:130" ht="25.5" hidden="1" customHeight="1" x14ac:dyDescent="0.25">
      <c r="A125" s="92" t="str">
        <f t="shared" si="66"/>
        <v>SK-WVI [R10]</v>
      </c>
      <c r="B125" s="92" t="str">
        <f t="shared" si="67"/>
        <v>West Vancouver Island</v>
      </c>
      <c r="C125" s="93" t="str">
        <f t="shared" si="36"/>
        <v>ITATSOO CREEK_Sockeye</v>
      </c>
      <c r="D125" s="128" t="s">
        <v>598</v>
      </c>
      <c r="E125" s="128" t="s">
        <v>598</v>
      </c>
      <c r="F125" s="64">
        <v>23</v>
      </c>
      <c r="G125" s="72" t="s">
        <v>149</v>
      </c>
      <c r="H125" s="65" t="s">
        <v>91</v>
      </c>
      <c r="I125" s="119"/>
      <c r="J125" s="119"/>
      <c r="K125" s="64">
        <v>5</v>
      </c>
      <c r="L125" s="52">
        <v>4</v>
      </c>
      <c r="M125" s="52">
        <v>1</v>
      </c>
      <c r="N125" s="52">
        <f t="shared" si="37"/>
        <v>132</v>
      </c>
      <c r="O125" s="52">
        <f t="shared" si="38"/>
        <v>132</v>
      </c>
      <c r="P125" s="52">
        <f t="shared" si="39"/>
        <v>132</v>
      </c>
      <c r="Q125" s="66"/>
      <c r="R125" s="37"/>
      <c r="S125" s="76" t="s">
        <v>333</v>
      </c>
      <c r="T125" s="81" t="e">
        <f t="shared" si="40"/>
        <v>#DIV/0!</v>
      </c>
      <c r="U125" s="81" t="e">
        <f t="shared" si="41"/>
        <v>#DIV/0!</v>
      </c>
      <c r="V125" s="52" t="s">
        <v>102</v>
      </c>
      <c r="W125" s="52" t="s">
        <v>102</v>
      </c>
      <c r="X125" s="52" t="s">
        <v>102</v>
      </c>
      <c r="Y125" s="52" t="s">
        <v>102</v>
      </c>
      <c r="Z125" s="52" t="s">
        <v>102</v>
      </c>
      <c r="AA125" s="52" t="s">
        <v>102</v>
      </c>
      <c r="AB125" s="52" t="s">
        <v>102</v>
      </c>
      <c r="AC125" s="52" t="s">
        <v>102</v>
      </c>
      <c r="AD125" s="52" t="s">
        <v>102</v>
      </c>
      <c r="AE125" s="52" t="s">
        <v>102</v>
      </c>
      <c r="AF125" s="52" t="s">
        <v>102</v>
      </c>
      <c r="AG125" s="52" t="s">
        <v>102</v>
      </c>
      <c r="AH125" s="52" t="s">
        <v>102</v>
      </c>
      <c r="AI125" s="52" t="s">
        <v>102</v>
      </c>
      <c r="AJ125" s="52" t="s">
        <v>102</v>
      </c>
      <c r="AK125" s="52" t="s">
        <v>102</v>
      </c>
      <c r="AL125" s="52" t="s">
        <v>102</v>
      </c>
      <c r="AM125" s="52" t="s">
        <v>102</v>
      </c>
      <c r="AN125" s="52" t="s">
        <v>102</v>
      </c>
      <c r="AO125" s="52" t="s">
        <v>102</v>
      </c>
      <c r="AP125" s="52" t="s">
        <v>102</v>
      </c>
      <c r="AQ125" s="53" t="s">
        <v>102</v>
      </c>
      <c r="AR125" s="52" t="s">
        <v>102</v>
      </c>
      <c r="AS125" s="52" t="s">
        <v>262</v>
      </c>
      <c r="AT125" s="52" t="s">
        <v>262</v>
      </c>
      <c r="AU125" s="52">
        <v>132</v>
      </c>
      <c r="AV125" s="52" t="s">
        <v>262</v>
      </c>
      <c r="AW125" s="52" t="s">
        <v>102</v>
      </c>
      <c r="AX125" s="51" t="s">
        <v>102</v>
      </c>
      <c r="AY125" s="53" t="s">
        <v>102</v>
      </c>
      <c r="AZ125" s="53" t="s">
        <v>102</v>
      </c>
      <c r="BA125" s="53" t="s">
        <v>264</v>
      </c>
      <c r="BB125" s="53" t="s">
        <v>102</v>
      </c>
      <c r="BC125" s="53" t="s">
        <v>102</v>
      </c>
      <c r="BD125" s="53" t="s">
        <v>102</v>
      </c>
      <c r="BE125" s="53" t="s">
        <v>102</v>
      </c>
      <c r="BF125" s="53" t="s">
        <v>102</v>
      </c>
      <c r="BG125" s="53" t="s">
        <v>102</v>
      </c>
      <c r="BH125" s="53" t="s">
        <v>102</v>
      </c>
      <c r="BI125" s="53" t="s">
        <v>264</v>
      </c>
      <c r="BJ125" s="53" t="s">
        <v>102</v>
      </c>
      <c r="BK125" s="53" t="s">
        <v>102</v>
      </c>
      <c r="BL125" s="53" t="s">
        <v>102</v>
      </c>
      <c r="BM125" s="53" t="s">
        <v>264</v>
      </c>
      <c r="BN125" s="53" t="s">
        <v>264</v>
      </c>
      <c r="BO125" s="53" t="s">
        <v>264</v>
      </c>
      <c r="BP125" s="53" t="s">
        <v>264</v>
      </c>
      <c r="BQ125" s="53" t="s">
        <v>264</v>
      </c>
      <c r="BR125" s="53" t="s">
        <v>264</v>
      </c>
      <c r="BS125" s="53" t="s">
        <v>264</v>
      </c>
      <c r="BT125" s="53" t="s">
        <v>264</v>
      </c>
      <c r="BU125" s="53" t="s">
        <v>264</v>
      </c>
      <c r="BV125" s="53" t="s">
        <v>264</v>
      </c>
      <c r="BW125" s="53" t="s">
        <v>264</v>
      </c>
      <c r="BX125" s="53" t="s">
        <v>264</v>
      </c>
      <c r="BY125" s="53" t="s">
        <v>264</v>
      </c>
      <c r="BZ125" s="53" t="s">
        <v>264</v>
      </c>
      <c r="CA125" s="53" t="s">
        <v>264</v>
      </c>
      <c r="CB125" s="53" t="s">
        <v>264</v>
      </c>
      <c r="CC125" s="53" t="s">
        <v>264</v>
      </c>
      <c r="CD125" s="53" t="s">
        <v>264</v>
      </c>
      <c r="CE125" s="53" t="s">
        <v>264</v>
      </c>
      <c r="CF125" s="53" t="s">
        <v>264</v>
      </c>
      <c r="CG125" s="53" t="s">
        <v>264</v>
      </c>
      <c r="CH125" s="53" t="s">
        <v>264</v>
      </c>
      <c r="CI125" s="53" t="s">
        <v>264</v>
      </c>
      <c r="CJ125" s="53" t="s">
        <v>264</v>
      </c>
      <c r="CK125" s="53" t="s">
        <v>264</v>
      </c>
      <c r="CL125" s="53" t="s">
        <v>264</v>
      </c>
      <c r="CM125" s="53" t="s">
        <v>264</v>
      </c>
      <c r="CN125" s="206"/>
      <c r="CO125" s="206"/>
      <c r="CP125" s="206"/>
      <c r="CQ125" s="8">
        <f t="shared" si="42"/>
        <v>132</v>
      </c>
      <c r="CR125" s="8">
        <f t="shared" si="43"/>
        <v>132</v>
      </c>
      <c r="CS125" s="8">
        <f t="shared" si="44"/>
        <v>132</v>
      </c>
      <c r="CT125">
        <f t="shared" si="45"/>
        <v>132</v>
      </c>
      <c r="CU125" s="143" t="e">
        <f t="shared" si="46"/>
        <v>#DIV/0!</v>
      </c>
      <c r="CV125" s="143" t="e">
        <f t="shared" si="47"/>
        <v>#DIV/0!</v>
      </c>
      <c r="CX125" s="7">
        <f t="shared" si="48"/>
        <v>132</v>
      </c>
      <c r="CY125" s="7">
        <f t="shared" si="49"/>
        <v>132</v>
      </c>
      <c r="CZ125" s="7">
        <f t="shared" si="50"/>
        <v>132</v>
      </c>
      <c r="DA125" s="7">
        <f t="shared" si="51"/>
        <v>132</v>
      </c>
      <c r="DB125" s="7">
        <f t="shared" si="52"/>
        <v>132</v>
      </c>
      <c r="DC125" s="7">
        <f t="shared" si="53"/>
        <v>132</v>
      </c>
      <c r="DD125" s="7">
        <f t="shared" si="54"/>
        <v>132</v>
      </c>
      <c r="DE125" s="7">
        <f t="shared" si="55"/>
        <v>132</v>
      </c>
      <c r="DF125" s="7">
        <f t="shared" si="56"/>
        <v>132</v>
      </c>
      <c r="DH125" s="7">
        <f t="shared" si="57"/>
        <v>132</v>
      </c>
      <c r="DI125" s="7">
        <f t="shared" si="58"/>
        <v>132</v>
      </c>
      <c r="DJ125" s="7">
        <f t="shared" si="59"/>
        <v>132</v>
      </c>
      <c r="DK125" s="7">
        <f t="shared" si="60"/>
        <v>132</v>
      </c>
      <c r="DL125" s="7">
        <f t="shared" si="61"/>
        <v>132</v>
      </c>
      <c r="DM125" s="7">
        <f t="shared" si="62"/>
        <v>132</v>
      </c>
      <c r="DN125" s="7">
        <f t="shared" si="63"/>
        <v>132</v>
      </c>
      <c r="DO125" s="7">
        <f t="shared" si="64"/>
        <v>132</v>
      </c>
      <c r="DP125" s="7">
        <f t="shared" si="65"/>
        <v>132</v>
      </c>
    </row>
    <row r="126" spans="1:130" ht="25.5" hidden="1" customHeight="1" x14ac:dyDescent="0.25">
      <c r="A126" s="92" t="str">
        <f t="shared" si="66"/>
        <v>CM-SWVI [10]</v>
      </c>
      <c r="B126" s="92" t="str">
        <f t="shared" si="67"/>
        <v>Southwest Vancouver Island</v>
      </c>
      <c r="C126" s="93" t="str">
        <f t="shared" si="36"/>
        <v>KITSUCKSUS CREEK_Chum</v>
      </c>
      <c r="D126" s="128" t="s">
        <v>598</v>
      </c>
      <c r="E126" s="128" t="s">
        <v>598</v>
      </c>
      <c r="F126" s="64">
        <v>23</v>
      </c>
      <c r="G126" s="72" t="s">
        <v>39</v>
      </c>
      <c r="H126" s="65" t="s">
        <v>96</v>
      </c>
      <c r="I126" s="119"/>
      <c r="J126" s="119"/>
      <c r="K126" s="64">
        <v>3</v>
      </c>
      <c r="L126" s="52">
        <v>0</v>
      </c>
      <c r="M126" s="52"/>
      <c r="N126" s="52" t="e">
        <f t="shared" si="37"/>
        <v>#NUM!</v>
      </c>
      <c r="O126" s="52">
        <f t="shared" si="38"/>
        <v>0</v>
      </c>
      <c r="P126" s="52" t="e">
        <f t="shared" si="39"/>
        <v>#NUM!</v>
      </c>
      <c r="Q126" s="66"/>
      <c r="R126" s="37"/>
      <c r="S126" s="74" t="s">
        <v>335</v>
      </c>
      <c r="T126" s="81" t="e">
        <f t="shared" si="40"/>
        <v>#DIV/0!</v>
      </c>
      <c r="U126" s="81">
        <f t="shared" si="41"/>
        <v>42</v>
      </c>
      <c r="V126" s="52" t="s">
        <v>102</v>
      </c>
      <c r="W126" s="52" t="s">
        <v>102</v>
      </c>
      <c r="X126" s="52" t="s">
        <v>102</v>
      </c>
      <c r="Y126" s="52" t="s">
        <v>102</v>
      </c>
      <c r="Z126" s="52" t="s">
        <v>102</v>
      </c>
      <c r="AA126" s="52" t="s">
        <v>102</v>
      </c>
      <c r="AB126" s="52" t="s">
        <v>102</v>
      </c>
      <c r="AC126" s="52" t="s">
        <v>102</v>
      </c>
      <c r="AD126" s="52" t="s">
        <v>102</v>
      </c>
      <c r="AE126" s="52" t="s">
        <v>102</v>
      </c>
      <c r="AF126" s="52">
        <v>42</v>
      </c>
      <c r="AG126" s="52" t="s">
        <v>262</v>
      </c>
      <c r="AH126" s="52" t="s">
        <v>102</v>
      </c>
      <c r="AI126" s="52" t="s">
        <v>102</v>
      </c>
      <c r="AJ126" s="52" t="s">
        <v>102</v>
      </c>
      <c r="AK126" s="52" t="s">
        <v>102</v>
      </c>
      <c r="AL126" s="89" t="s">
        <v>102</v>
      </c>
      <c r="AM126" s="52" t="s">
        <v>102</v>
      </c>
      <c r="AN126" s="52" t="s">
        <v>102</v>
      </c>
      <c r="AO126" s="52" t="s">
        <v>102</v>
      </c>
      <c r="AP126" s="52" t="s">
        <v>102</v>
      </c>
      <c r="AQ126" s="52" t="s">
        <v>102</v>
      </c>
      <c r="AR126" s="52" t="s">
        <v>102</v>
      </c>
      <c r="AS126" s="52" t="s">
        <v>102</v>
      </c>
      <c r="AT126" s="52" t="s">
        <v>102</v>
      </c>
      <c r="AU126" s="52" t="s">
        <v>102</v>
      </c>
      <c r="AV126" s="52" t="s">
        <v>102</v>
      </c>
      <c r="AW126" s="52" t="s">
        <v>102</v>
      </c>
      <c r="AX126" s="51" t="s">
        <v>102</v>
      </c>
      <c r="AY126" s="52" t="s">
        <v>102</v>
      </c>
      <c r="AZ126" s="52" t="s">
        <v>102</v>
      </c>
      <c r="BA126" s="52" t="s">
        <v>102</v>
      </c>
      <c r="BB126" s="52" t="s">
        <v>102</v>
      </c>
      <c r="BC126" s="52" t="s">
        <v>102</v>
      </c>
      <c r="BD126" s="52" t="s">
        <v>102</v>
      </c>
      <c r="BE126" s="52" t="s">
        <v>102</v>
      </c>
      <c r="BF126" s="52" t="s">
        <v>102</v>
      </c>
      <c r="BG126" s="52" t="s">
        <v>102</v>
      </c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206"/>
      <c r="CO126" s="206"/>
      <c r="CP126" s="206"/>
      <c r="CQ126" s="8">
        <f t="shared" si="42"/>
        <v>42</v>
      </c>
      <c r="CR126" s="8">
        <f t="shared" si="43"/>
        <v>42</v>
      </c>
      <c r="CS126" s="8">
        <f t="shared" si="44"/>
        <v>42</v>
      </c>
      <c r="CT126">
        <f t="shared" si="45"/>
        <v>42</v>
      </c>
      <c r="CU126" s="143" t="e">
        <f t="shared" si="46"/>
        <v>#DIV/0!</v>
      </c>
      <c r="CV126" s="143">
        <f t="shared" si="47"/>
        <v>42</v>
      </c>
      <c r="CX126" s="7">
        <f t="shared" si="48"/>
        <v>42</v>
      </c>
      <c r="CY126" s="7">
        <f t="shared" si="49"/>
        <v>42</v>
      </c>
      <c r="CZ126" s="7">
        <f t="shared" si="50"/>
        <v>42</v>
      </c>
      <c r="DA126" s="7">
        <f t="shared" si="51"/>
        <v>42</v>
      </c>
      <c r="DB126" s="7">
        <f t="shared" si="52"/>
        <v>42</v>
      </c>
      <c r="DC126" s="7">
        <f t="shared" si="53"/>
        <v>42</v>
      </c>
      <c r="DD126" s="7">
        <f t="shared" si="54"/>
        <v>42</v>
      </c>
      <c r="DE126" s="7">
        <f t="shared" si="55"/>
        <v>42</v>
      </c>
      <c r="DF126" s="7">
        <f t="shared" si="56"/>
        <v>42</v>
      </c>
      <c r="DH126" s="7">
        <f t="shared" si="57"/>
        <v>42</v>
      </c>
      <c r="DI126" s="7">
        <f t="shared" si="58"/>
        <v>42</v>
      </c>
      <c r="DJ126" s="7">
        <f t="shared" si="59"/>
        <v>42</v>
      </c>
      <c r="DK126" s="7">
        <f t="shared" si="60"/>
        <v>42</v>
      </c>
      <c r="DL126" s="7">
        <f t="shared" si="61"/>
        <v>42</v>
      </c>
      <c r="DM126" s="7">
        <f t="shared" si="62"/>
        <v>42</v>
      </c>
      <c r="DN126" s="7">
        <f t="shared" si="63"/>
        <v>42</v>
      </c>
      <c r="DO126" s="7">
        <f t="shared" si="64"/>
        <v>42</v>
      </c>
      <c r="DP126" s="7">
        <f t="shared" si="65"/>
        <v>42</v>
      </c>
    </row>
    <row r="127" spans="1:130" ht="25.5" hidden="1" customHeight="1" x14ac:dyDescent="0.25">
      <c r="A127" s="92" t="str">
        <f t="shared" si="66"/>
        <v>CO-WVI [17]</v>
      </c>
      <c r="B127" s="92" t="str">
        <f t="shared" si="67"/>
        <v>West Vancouver Island</v>
      </c>
      <c r="C127" s="93" t="str">
        <f t="shared" si="36"/>
        <v>KITSUCKSUS CREEK_Coho</v>
      </c>
      <c r="D127" s="128" t="s">
        <v>598</v>
      </c>
      <c r="E127" s="128" t="s">
        <v>598</v>
      </c>
      <c r="F127" s="64">
        <v>23</v>
      </c>
      <c r="G127" s="72" t="s">
        <v>39</v>
      </c>
      <c r="H127" s="65" t="s">
        <v>93</v>
      </c>
      <c r="I127" s="119"/>
      <c r="J127" s="119"/>
      <c r="K127" s="64">
        <v>3</v>
      </c>
      <c r="L127" s="52">
        <v>3</v>
      </c>
      <c r="M127" s="52">
        <v>3</v>
      </c>
      <c r="N127" s="52">
        <f t="shared" si="37"/>
        <v>944.07780363352128</v>
      </c>
      <c r="O127" s="52">
        <f t="shared" si="38"/>
        <v>1991</v>
      </c>
      <c r="P127" s="52">
        <f t="shared" si="39"/>
        <v>944.07780363352128</v>
      </c>
      <c r="Q127" s="66"/>
      <c r="R127" s="37"/>
      <c r="S127" s="74" t="s">
        <v>334</v>
      </c>
      <c r="T127" s="81" t="e">
        <f t="shared" si="40"/>
        <v>#DIV/0!</v>
      </c>
      <c r="U127" s="81">
        <f t="shared" si="41"/>
        <v>43</v>
      </c>
      <c r="V127" s="52" t="s">
        <v>102</v>
      </c>
      <c r="W127" s="52" t="s">
        <v>102</v>
      </c>
      <c r="X127" s="52" t="s">
        <v>102</v>
      </c>
      <c r="Y127" s="52" t="s">
        <v>102</v>
      </c>
      <c r="Z127" s="52" t="s">
        <v>102</v>
      </c>
      <c r="AA127" s="52" t="s">
        <v>102</v>
      </c>
      <c r="AB127" s="52" t="s">
        <v>102</v>
      </c>
      <c r="AC127" s="52" t="s">
        <v>102</v>
      </c>
      <c r="AD127" s="52" t="s">
        <v>102</v>
      </c>
      <c r="AE127" s="52" t="s">
        <v>102</v>
      </c>
      <c r="AF127" s="52">
        <v>40</v>
      </c>
      <c r="AG127" s="144">
        <v>46</v>
      </c>
      <c r="AH127" s="52" t="s">
        <v>102</v>
      </c>
      <c r="AI127" s="52" t="s">
        <v>102</v>
      </c>
      <c r="AJ127" s="52" t="s">
        <v>102</v>
      </c>
      <c r="AK127" s="52" t="s">
        <v>102</v>
      </c>
      <c r="AL127" s="155" t="s">
        <v>102</v>
      </c>
      <c r="AM127" s="52">
        <v>886</v>
      </c>
      <c r="AN127" s="52">
        <v>477</v>
      </c>
      <c r="AO127" s="52">
        <v>1991</v>
      </c>
      <c r="AP127" s="52" t="s">
        <v>102</v>
      </c>
      <c r="AQ127" s="52" t="s">
        <v>102</v>
      </c>
      <c r="AR127" s="52" t="s">
        <v>102</v>
      </c>
      <c r="AS127" s="52" t="s">
        <v>102</v>
      </c>
      <c r="AT127" s="52" t="s">
        <v>102</v>
      </c>
      <c r="AU127" s="52" t="s">
        <v>102</v>
      </c>
      <c r="AV127" s="52" t="s">
        <v>102</v>
      </c>
      <c r="AW127" s="52" t="s">
        <v>102</v>
      </c>
      <c r="AX127" s="51" t="s">
        <v>102</v>
      </c>
      <c r="AY127" s="52" t="s">
        <v>102</v>
      </c>
      <c r="AZ127" s="52" t="s">
        <v>102</v>
      </c>
      <c r="BA127" s="52" t="s">
        <v>102</v>
      </c>
      <c r="BB127" s="52" t="s">
        <v>102</v>
      </c>
      <c r="BC127" s="52" t="s">
        <v>102</v>
      </c>
      <c r="BD127" s="52" t="s">
        <v>102</v>
      </c>
      <c r="BE127" s="52" t="s">
        <v>102</v>
      </c>
      <c r="BF127" s="52" t="s">
        <v>102</v>
      </c>
      <c r="BG127" s="52" t="s">
        <v>102</v>
      </c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206"/>
      <c r="CO127" s="206"/>
      <c r="CP127" s="206"/>
      <c r="CQ127" s="8">
        <f t="shared" si="42"/>
        <v>40</v>
      </c>
      <c r="CR127" s="8">
        <f t="shared" si="43"/>
        <v>1991</v>
      </c>
      <c r="CS127" s="8">
        <f t="shared" si="44"/>
        <v>688</v>
      </c>
      <c r="CT127">
        <f t="shared" si="45"/>
        <v>274.1373667413842</v>
      </c>
      <c r="CU127" s="143" t="e">
        <f t="shared" si="46"/>
        <v>#DIV/0!</v>
      </c>
      <c r="CV127" s="143">
        <f t="shared" si="47"/>
        <v>43</v>
      </c>
      <c r="CX127" s="7">
        <f t="shared" si="48"/>
        <v>41.2</v>
      </c>
      <c r="CY127" s="7">
        <f t="shared" si="49"/>
        <v>43.6</v>
      </c>
      <c r="CZ127" s="7">
        <f t="shared" si="50"/>
        <v>44.8</v>
      </c>
      <c r="DA127" s="7">
        <f t="shared" si="51"/>
        <v>46</v>
      </c>
      <c r="DB127" s="7">
        <f t="shared" si="52"/>
        <v>477</v>
      </c>
      <c r="DC127" s="7">
        <f t="shared" si="53"/>
        <v>640.59999999999991</v>
      </c>
      <c r="DD127" s="7">
        <f t="shared" si="54"/>
        <v>722.40000000000009</v>
      </c>
      <c r="DE127" s="7">
        <f t="shared" si="55"/>
        <v>886</v>
      </c>
      <c r="DF127" s="7">
        <f t="shared" si="56"/>
        <v>1328.0000000000005</v>
      </c>
      <c r="DH127" s="7">
        <f t="shared" si="57"/>
        <v>41.2</v>
      </c>
      <c r="DI127" s="7">
        <f t="shared" si="58"/>
        <v>43.6</v>
      </c>
      <c r="DJ127" s="7">
        <f t="shared" si="59"/>
        <v>44.8</v>
      </c>
      <c r="DK127" s="7">
        <f t="shared" si="60"/>
        <v>46</v>
      </c>
      <c r="DL127" s="7">
        <f t="shared" si="61"/>
        <v>477</v>
      </c>
      <c r="DM127" s="7">
        <f t="shared" si="62"/>
        <v>640.59999999999991</v>
      </c>
      <c r="DN127" s="7">
        <f t="shared" si="63"/>
        <v>722.40000000000009</v>
      </c>
      <c r="DO127" s="7">
        <f t="shared" si="64"/>
        <v>886</v>
      </c>
      <c r="DP127" s="7">
        <f t="shared" si="65"/>
        <v>1328.0000000000005</v>
      </c>
    </row>
    <row r="128" spans="1:130" ht="25.5" hidden="1" customHeight="1" x14ac:dyDescent="0.25">
      <c r="A128" s="92" t="str">
        <f t="shared" si="66"/>
        <v>CM-SWVI [10]</v>
      </c>
      <c r="B128" s="92" t="str">
        <f t="shared" si="67"/>
        <v>Southwest Vancouver Island</v>
      </c>
      <c r="C128" s="93" t="str">
        <f t="shared" si="36"/>
        <v>LITTLE MAGGIE RIVER_Chum</v>
      </c>
      <c r="D128" s="128" t="s">
        <v>598</v>
      </c>
      <c r="E128" s="128" t="s">
        <v>598</v>
      </c>
      <c r="F128" s="64">
        <v>23</v>
      </c>
      <c r="G128" s="72" t="s">
        <v>146</v>
      </c>
      <c r="H128" s="65" t="s">
        <v>96</v>
      </c>
      <c r="I128" s="119"/>
      <c r="J128" s="119"/>
      <c r="K128" s="64">
        <v>5</v>
      </c>
      <c r="L128" s="52">
        <v>5</v>
      </c>
      <c r="M128" s="52">
        <v>4</v>
      </c>
      <c r="N128" s="52">
        <f t="shared" si="37"/>
        <v>11.132630734854963</v>
      </c>
      <c r="O128" s="52">
        <f t="shared" si="38"/>
        <v>800</v>
      </c>
      <c r="P128" s="52">
        <f t="shared" si="39"/>
        <v>105.68398207136011</v>
      </c>
      <c r="Q128" s="66"/>
      <c r="R128" s="37"/>
      <c r="S128" s="76" t="s">
        <v>336</v>
      </c>
      <c r="T128" s="81" t="e">
        <f t="shared" si="40"/>
        <v>#DIV/0!</v>
      </c>
      <c r="U128" s="81" t="e">
        <f t="shared" si="41"/>
        <v>#DIV/0!</v>
      </c>
      <c r="V128" s="52" t="s">
        <v>102</v>
      </c>
      <c r="W128" s="52" t="s">
        <v>102</v>
      </c>
      <c r="X128" s="52" t="s">
        <v>102</v>
      </c>
      <c r="Y128" s="52" t="s">
        <v>102</v>
      </c>
      <c r="Z128" s="52" t="s">
        <v>102</v>
      </c>
      <c r="AA128" s="52" t="s">
        <v>102</v>
      </c>
      <c r="AB128" s="52" t="s">
        <v>102</v>
      </c>
      <c r="AC128" s="52" t="s">
        <v>102</v>
      </c>
      <c r="AD128" s="52" t="s">
        <v>102</v>
      </c>
      <c r="AE128" s="52" t="s">
        <v>102</v>
      </c>
      <c r="AF128" s="52" t="s">
        <v>102</v>
      </c>
      <c r="AG128" s="52" t="s">
        <v>102</v>
      </c>
      <c r="AH128" s="52" t="s">
        <v>102</v>
      </c>
      <c r="AI128" s="52" t="s">
        <v>102</v>
      </c>
      <c r="AJ128" s="52" t="s">
        <v>102</v>
      </c>
      <c r="AK128" s="52" t="s">
        <v>102</v>
      </c>
      <c r="AL128" s="52" t="s">
        <v>102</v>
      </c>
      <c r="AM128" s="54"/>
      <c r="AN128" s="54"/>
      <c r="AO128" s="54"/>
      <c r="AP128" s="52" t="s">
        <v>102</v>
      </c>
      <c r="AQ128" s="54"/>
      <c r="AR128" s="52">
        <v>20</v>
      </c>
      <c r="AS128" s="52" t="s">
        <v>262</v>
      </c>
      <c r="AT128" s="52">
        <v>48</v>
      </c>
      <c r="AU128" s="52">
        <v>4</v>
      </c>
      <c r="AV128" s="52">
        <v>4</v>
      </c>
      <c r="AW128" s="54"/>
      <c r="AX128" s="51" t="s">
        <v>102</v>
      </c>
      <c r="AY128" s="53">
        <v>150</v>
      </c>
      <c r="AZ128" s="53" t="s">
        <v>102</v>
      </c>
      <c r="BA128" s="53" t="s">
        <v>262</v>
      </c>
      <c r="BB128" s="53">
        <v>9</v>
      </c>
      <c r="BC128" s="53" t="s">
        <v>102</v>
      </c>
      <c r="BD128" s="53" t="s">
        <v>102</v>
      </c>
      <c r="BE128" s="53" t="s">
        <v>264</v>
      </c>
      <c r="BF128" s="53">
        <v>60</v>
      </c>
      <c r="BG128" s="53" t="s">
        <v>102</v>
      </c>
      <c r="BH128" s="53" t="s">
        <v>264</v>
      </c>
      <c r="BI128" s="53" t="s">
        <v>102</v>
      </c>
      <c r="BJ128" s="53" t="s">
        <v>264</v>
      </c>
      <c r="BK128" s="53" t="s">
        <v>102</v>
      </c>
      <c r="BL128" s="53" t="s">
        <v>102</v>
      </c>
      <c r="BM128" s="53">
        <v>80</v>
      </c>
      <c r="BN128" s="53">
        <v>50</v>
      </c>
      <c r="BO128" s="53">
        <v>180</v>
      </c>
      <c r="BP128" s="53">
        <v>800</v>
      </c>
      <c r="BQ128" s="53">
        <v>75</v>
      </c>
      <c r="BR128" s="53">
        <v>150</v>
      </c>
      <c r="BS128" s="53">
        <v>400</v>
      </c>
      <c r="BT128" s="53">
        <v>75</v>
      </c>
      <c r="BU128" s="53">
        <v>25</v>
      </c>
      <c r="BV128" s="53">
        <v>75</v>
      </c>
      <c r="BW128" s="53">
        <v>400</v>
      </c>
      <c r="BX128" s="53">
        <v>200</v>
      </c>
      <c r="BY128" s="53">
        <v>200</v>
      </c>
      <c r="BZ128" s="53">
        <v>750</v>
      </c>
      <c r="CA128" s="53">
        <v>200</v>
      </c>
      <c r="CB128" s="53">
        <v>75</v>
      </c>
      <c r="CC128" s="53">
        <v>75</v>
      </c>
      <c r="CD128" s="53">
        <v>75</v>
      </c>
      <c r="CE128" s="53">
        <v>400</v>
      </c>
      <c r="CF128" s="53">
        <v>200</v>
      </c>
      <c r="CG128" s="53">
        <v>750</v>
      </c>
      <c r="CH128" s="53">
        <v>400</v>
      </c>
      <c r="CI128" s="53">
        <v>400</v>
      </c>
      <c r="CJ128" s="53">
        <v>25</v>
      </c>
      <c r="CK128" s="53">
        <v>75</v>
      </c>
      <c r="CL128" s="53">
        <v>750</v>
      </c>
      <c r="CM128" s="53" t="s">
        <v>102</v>
      </c>
      <c r="CN128" s="206"/>
      <c r="CO128" s="206"/>
      <c r="CP128" s="206"/>
      <c r="CQ128" s="8">
        <f t="shared" si="42"/>
        <v>4</v>
      </c>
      <c r="CR128" s="8">
        <f t="shared" si="43"/>
        <v>800</v>
      </c>
      <c r="CS128" s="8">
        <f t="shared" si="44"/>
        <v>217.57575757575756</v>
      </c>
      <c r="CT128">
        <f t="shared" si="45"/>
        <v>105.68398207136011</v>
      </c>
      <c r="CU128" s="143" t="e">
        <f t="shared" si="46"/>
        <v>#DIV/0!</v>
      </c>
      <c r="CV128" s="143" t="e">
        <f t="shared" si="47"/>
        <v>#DIV/0!</v>
      </c>
      <c r="CX128" s="7">
        <f t="shared" si="48"/>
        <v>7</v>
      </c>
      <c r="CY128" s="7">
        <f t="shared" si="49"/>
        <v>25</v>
      </c>
      <c r="CZ128" s="7">
        <f t="shared" si="50"/>
        <v>48.8</v>
      </c>
      <c r="DA128" s="7">
        <f t="shared" si="51"/>
        <v>60</v>
      </c>
      <c r="DB128" s="7">
        <f t="shared" si="52"/>
        <v>80</v>
      </c>
      <c r="DC128" s="7">
        <f t="shared" si="53"/>
        <v>184</v>
      </c>
      <c r="DD128" s="7">
        <f t="shared" si="54"/>
        <v>200</v>
      </c>
      <c r="DE128" s="7">
        <f t="shared" si="55"/>
        <v>400</v>
      </c>
      <c r="DF128" s="7">
        <f t="shared" si="56"/>
        <v>400</v>
      </c>
      <c r="DH128" s="7">
        <f t="shared" si="57"/>
        <v>4</v>
      </c>
      <c r="DI128" s="7">
        <f t="shared" si="58"/>
        <v>4</v>
      </c>
      <c r="DJ128" s="7">
        <f t="shared" si="59"/>
        <v>4</v>
      </c>
      <c r="DK128" s="7">
        <f t="shared" si="60"/>
        <v>4</v>
      </c>
      <c r="DL128" s="7">
        <f t="shared" si="61"/>
        <v>12</v>
      </c>
      <c r="DM128" s="7">
        <f t="shared" si="62"/>
        <v>16.799999999999997</v>
      </c>
      <c r="DN128" s="7">
        <f t="shared" si="63"/>
        <v>19.200000000000003</v>
      </c>
      <c r="DO128" s="7">
        <f t="shared" si="64"/>
        <v>27</v>
      </c>
      <c r="DP128" s="7">
        <f t="shared" si="65"/>
        <v>35.399999999999991</v>
      </c>
    </row>
    <row r="129" spans="1:130" ht="25.5" hidden="1" customHeight="1" x14ac:dyDescent="0.25">
      <c r="A129" s="92" t="str">
        <f t="shared" si="66"/>
        <v>CO-WVI [17]</v>
      </c>
      <c r="B129" s="92" t="str">
        <f t="shared" si="67"/>
        <v>West Vancouver Island</v>
      </c>
      <c r="C129" s="93" t="str">
        <f t="shared" si="36"/>
        <v>LITTLE MAGGIE RIVER_Coho</v>
      </c>
      <c r="D129" s="128" t="s">
        <v>598</v>
      </c>
      <c r="E129" s="128" t="s">
        <v>598</v>
      </c>
      <c r="F129" s="64">
        <v>23</v>
      </c>
      <c r="G129" s="72" t="s">
        <v>146</v>
      </c>
      <c r="H129" s="65" t="s">
        <v>93</v>
      </c>
      <c r="I129" s="119"/>
      <c r="J129" s="119"/>
      <c r="K129" s="64">
        <v>5</v>
      </c>
      <c r="L129" s="52">
        <v>5</v>
      </c>
      <c r="M129" s="52">
        <v>5</v>
      </c>
      <c r="N129" s="52">
        <f t="shared" si="37"/>
        <v>5.7326567532262009</v>
      </c>
      <c r="O129" s="52">
        <f t="shared" si="38"/>
        <v>90</v>
      </c>
      <c r="P129" s="52">
        <f t="shared" si="39"/>
        <v>29.436886664883037</v>
      </c>
      <c r="Q129" s="66"/>
      <c r="R129" s="37"/>
      <c r="S129" s="76" t="s">
        <v>336</v>
      </c>
      <c r="T129" s="81" t="e">
        <f t="shared" si="40"/>
        <v>#DIV/0!</v>
      </c>
      <c r="U129" s="81" t="e">
        <f t="shared" si="41"/>
        <v>#DIV/0!</v>
      </c>
      <c r="V129" s="52" t="s">
        <v>102</v>
      </c>
      <c r="W129" s="52" t="s">
        <v>102</v>
      </c>
      <c r="X129" s="52" t="s">
        <v>102</v>
      </c>
      <c r="Y129" s="52" t="s">
        <v>102</v>
      </c>
      <c r="Z129" s="52" t="s">
        <v>102</v>
      </c>
      <c r="AA129" s="52" t="s">
        <v>102</v>
      </c>
      <c r="AB129" s="52" t="s">
        <v>102</v>
      </c>
      <c r="AC129" s="52" t="s">
        <v>102</v>
      </c>
      <c r="AD129" s="52" t="s">
        <v>102</v>
      </c>
      <c r="AE129" s="52" t="s">
        <v>102</v>
      </c>
      <c r="AF129" s="52" t="s">
        <v>102</v>
      </c>
      <c r="AG129" s="52" t="s">
        <v>102</v>
      </c>
      <c r="AH129" s="52" t="s">
        <v>102</v>
      </c>
      <c r="AI129" s="52" t="s">
        <v>102</v>
      </c>
      <c r="AJ129" s="52" t="s">
        <v>102</v>
      </c>
      <c r="AK129" s="52" t="s">
        <v>102</v>
      </c>
      <c r="AL129" s="52" t="s">
        <v>102</v>
      </c>
      <c r="AM129" s="54"/>
      <c r="AN129" s="54"/>
      <c r="AO129" s="54"/>
      <c r="AP129" s="52" t="s">
        <v>102</v>
      </c>
      <c r="AQ129" s="54"/>
      <c r="AR129" s="52">
        <v>3</v>
      </c>
      <c r="AS129" s="52">
        <v>6</v>
      </c>
      <c r="AT129" s="52">
        <v>4</v>
      </c>
      <c r="AU129" s="52">
        <v>15</v>
      </c>
      <c r="AV129" s="52" t="s">
        <v>263</v>
      </c>
      <c r="AW129" s="54"/>
      <c r="AX129" s="51" t="s">
        <v>102</v>
      </c>
      <c r="AY129" s="53" t="s">
        <v>264</v>
      </c>
      <c r="AZ129" s="53" t="s">
        <v>102</v>
      </c>
      <c r="BA129" s="53">
        <v>16</v>
      </c>
      <c r="BB129" s="53">
        <v>40</v>
      </c>
      <c r="BC129" s="53" t="s">
        <v>102</v>
      </c>
      <c r="BD129" s="53" t="s">
        <v>102</v>
      </c>
      <c r="BE129" s="53" t="s">
        <v>264</v>
      </c>
      <c r="BF129" s="53" t="s">
        <v>264</v>
      </c>
      <c r="BG129" s="53" t="s">
        <v>102</v>
      </c>
      <c r="BH129" s="53" t="s">
        <v>264</v>
      </c>
      <c r="BI129" s="53" t="s">
        <v>102</v>
      </c>
      <c r="BJ129" s="53" t="s">
        <v>264</v>
      </c>
      <c r="BK129" s="53" t="s">
        <v>102</v>
      </c>
      <c r="BL129" s="53" t="s">
        <v>102</v>
      </c>
      <c r="BM129" s="53">
        <v>70</v>
      </c>
      <c r="BN129" s="53">
        <v>70</v>
      </c>
      <c r="BO129" s="53">
        <v>80</v>
      </c>
      <c r="BP129" s="53">
        <v>90</v>
      </c>
      <c r="BQ129" s="53">
        <v>75</v>
      </c>
      <c r="BR129" s="53">
        <v>25</v>
      </c>
      <c r="BS129" s="53">
        <v>75</v>
      </c>
      <c r="BT129" s="53">
        <v>75</v>
      </c>
      <c r="BU129" s="53">
        <v>25</v>
      </c>
      <c r="BV129" s="53">
        <v>25</v>
      </c>
      <c r="BW129" s="53">
        <v>25</v>
      </c>
      <c r="BX129" s="53">
        <v>75</v>
      </c>
      <c r="BY129" s="53">
        <v>25</v>
      </c>
      <c r="BZ129" s="53">
        <v>75</v>
      </c>
      <c r="CA129" s="53">
        <v>25</v>
      </c>
      <c r="CB129" s="53">
        <v>25</v>
      </c>
      <c r="CC129" s="53">
        <v>25</v>
      </c>
      <c r="CD129" s="53">
        <v>25</v>
      </c>
      <c r="CE129" s="53">
        <v>75</v>
      </c>
      <c r="CF129" s="53">
        <v>25</v>
      </c>
      <c r="CG129" s="53">
        <v>25</v>
      </c>
      <c r="CH129" s="53">
        <v>25</v>
      </c>
      <c r="CI129" s="53">
        <v>25</v>
      </c>
      <c r="CJ129" s="53">
        <v>25</v>
      </c>
      <c r="CK129" s="53">
        <v>25</v>
      </c>
      <c r="CL129" s="53">
        <v>25</v>
      </c>
      <c r="CM129" s="53" t="s">
        <v>102</v>
      </c>
      <c r="CN129" s="206"/>
      <c r="CO129" s="206"/>
      <c r="CP129" s="206"/>
      <c r="CQ129" s="8">
        <f t="shared" si="42"/>
        <v>3</v>
      </c>
      <c r="CR129" s="8">
        <f t="shared" si="43"/>
        <v>90</v>
      </c>
      <c r="CS129" s="8">
        <f t="shared" si="44"/>
        <v>38.875</v>
      </c>
      <c r="CT129">
        <f t="shared" si="45"/>
        <v>29.436886664883037</v>
      </c>
      <c r="CU129" s="143" t="e">
        <f t="shared" si="46"/>
        <v>#DIV/0!</v>
      </c>
      <c r="CV129" s="143" t="e">
        <f t="shared" si="47"/>
        <v>#DIV/0!</v>
      </c>
      <c r="CX129" s="7">
        <f t="shared" si="48"/>
        <v>5.0999999999999996</v>
      </c>
      <c r="CY129" s="7">
        <f t="shared" si="49"/>
        <v>21.849999999999994</v>
      </c>
      <c r="CZ129" s="7">
        <f t="shared" si="50"/>
        <v>25</v>
      </c>
      <c r="DA129" s="7">
        <f t="shared" si="51"/>
        <v>25</v>
      </c>
      <c r="DB129" s="7">
        <f t="shared" si="52"/>
        <v>25</v>
      </c>
      <c r="DC129" s="7">
        <f t="shared" si="53"/>
        <v>25</v>
      </c>
      <c r="DD129" s="7">
        <f t="shared" si="54"/>
        <v>27.250000000000032</v>
      </c>
      <c r="DE129" s="7">
        <f t="shared" si="55"/>
        <v>71.25</v>
      </c>
      <c r="DF129" s="7">
        <f t="shared" si="56"/>
        <v>75</v>
      </c>
      <c r="DH129" s="7">
        <f t="shared" si="57"/>
        <v>3.15</v>
      </c>
      <c r="DI129" s="7">
        <f t="shared" si="58"/>
        <v>3.45</v>
      </c>
      <c r="DJ129" s="7">
        <f t="shared" si="59"/>
        <v>3.6</v>
      </c>
      <c r="DK129" s="7">
        <f t="shared" si="60"/>
        <v>3.75</v>
      </c>
      <c r="DL129" s="7">
        <f t="shared" si="61"/>
        <v>5</v>
      </c>
      <c r="DM129" s="7">
        <f t="shared" si="62"/>
        <v>5.6</v>
      </c>
      <c r="DN129" s="7">
        <f t="shared" si="63"/>
        <v>5.9</v>
      </c>
      <c r="DO129" s="7">
        <f t="shared" si="64"/>
        <v>8.25</v>
      </c>
      <c r="DP129" s="7">
        <f t="shared" si="65"/>
        <v>10.95</v>
      </c>
    </row>
    <row r="130" spans="1:130" ht="25.5" hidden="1" customHeight="1" x14ac:dyDescent="0.25">
      <c r="A130" s="92" t="str">
        <f t="shared" si="66"/>
        <v>CM-SWVI [10]</v>
      </c>
      <c r="B130" s="92" t="str">
        <f t="shared" si="67"/>
        <v>Southwest Vancouver Island</v>
      </c>
      <c r="C130" s="93" t="str">
        <f t="shared" si="36"/>
        <v>LITTLE TOQUART CREEK_Chum</v>
      </c>
      <c r="D130" s="128" t="s">
        <v>598</v>
      </c>
      <c r="E130" s="128" t="s">
        <v>598</v>
      </c>
      <c r="F130" s="64">
        <v>23</v>
      </c>
      <c r="G130" s="72" t="s">
        <v>144</v>
      </c>
      <c r="H130" s="65" t="s">
        <v>96</v>
      </c>
      <c r="I130" s="119"/>
      <c r="J130" s="119"/>
      <c r="K130" s="64">
        <v>5</v>
      </c>
      <c r="L130" s="52">
        <v>9</v>
      </c>
      <c r="M130" s="52">
        <v>9</v>
      </c>
      <c r="N130" s="52">
        <f t="shared" si="37"/>
        <v>2811.4984480217508</v>
      </c>
      <c r="O130" s="52">
        <f t="shared" si="38"/>
        <v>15000</v>
      </c>
      <c r="P130" s="52">
        <f t="shared" si="39"/>
        <v>2355.3196342271017</v>
      </c>
      <c r="Q130" s="66"/>
      <c r="R130" s="37"/>
      <c r="S130" s="74" t="s">
        <v>337</v>
      </c>
      <c r="T130" s="81">
        <f t="shared" si="40"/>
        <v>2155.5</v>
      </c>
      <c r="U130" s="81">
        <f t="shared" si="41"/>
        <v>1976.5</v>
      </c>
      <c r="V130" s="233">
        <v>4056</v>
      </c>
      <c r="W130" s="52">
        <v>903</v>
      </c>
      <c r="X130" s="52">
        <v>2611</v>
      </c>
      <c r="Y130" s="52">
        <v>1052</v>
      </c>
      <c r="Z130" s="52" t="s">
        <v>102</v>
      </c>
      <c r="AA130" s="52" t="s">
        <v>102</v>
      </c>
      <c r="AB130" s="52" t="s">
        <v>102</v>
      </c>
      <c r="AC130" s="52" t="s">
        <v>102</v>
      </c>
      <c r="AD130" s="52">
        <v>1900</v>
      </c>
      <c r="AE130" s="144">
        <v>1337</v>
      </c>
      <c r="AF130" s="52" t="s">
        <v>102</v>
      </c>
      <c r="AG130" s="52" t="s">
        <v>102</v>
      </c>
      <c r="AH130" s="52" t="s">
        <v>102</v>
      </c>
      <c r="AI130" s="52" t="s">
        <v>102</v>
      </c>
      <c r="AJ130" s="52" t="s">
        <v>102</v>
      </c>
      <c r="AK130" s="52">
        <v>3250</v>
      </c>
      <c r="AL130" s="220" t="s">
        <v>207</v>
      </c>
      <c r="AM130" s="52">
        <v>12300</v>
      </c>
      <c r="AN130" s="52">
        <v>6400</v>
      </c>
      <c r="AO130" s="54"/>
      <c r="AP130" s="52" t="s">
        <v>102</v>
      </c>
      <c r="AQ130" s="52">
        <v>2000</v>
      </c>
      <c r="AR130" s="52">
        <v>1000</v>
      </c>
      <c r="AS130" s="52">
        <v>1400</v>
      </c>
      <c r="AT130" s="52">
        <v>14000</v>
      </c>
      <c r="AU130" s="52">
        <v>6700</v>
      </c>
      <c r="AV130" s="52">
        <v>835</v>
      </c>
      <c r="AW130" s="52">
        <v>550</v>
      </c>
      <c r="AX130" s="51">
        <v>5500</v>
      </c>
      <c r="AY130" s="53">
        <v>6500</v>
      </c>
      <c r="AZ130" s="53">
        <v>3500</v>
      </c>
      <c r="BA130" s="53">
        <v>1600</v>
      </c>
      <c r="BB130" s="53">
        <v>1200</v>
      </c>
      <c r="BC130" s="53" t="s">
        <v>102</v>
      </c>
      <c r="BD130" s="53" t="s">
        <v>102</v>
      </c>
      <c r="BE130" s="53" t="s">
        <v>264</v>
      </c>
      <c r="BF130" s="53" t="s">
        <v>102</v>
      </c>
      <c r="BG130" s="53" t="s">
        <v>102</v>
      </c>
      <c r="BH130" s="53">
        <v>1000</v>
      </c>
      <c r="BI130" s="53" t="s">
        <v>102</v>
      </c>
      <c r="BJ130" s="53">
        <v>1500</v>
      </c>
      <c r="BK130" s="53" t="s">
        <v>102</v>
      </c>
      <c r="BL130" s="53">
        <v>100</v>
      </c>
      <c r="BM130" s="53">
        <v>300</v>
      </c>
      <c r="BN130" s="53">
        <v>350</v>
      </c>
      <c r="BO130" s="53">
        <v>6500</v>
      </c>
      <c r="BP130" s="53">
        <v>6200</v>
      </c>
      <c r="BQ130" s="53">
        <v>4500</v>
      </c>
      <c r="BR130" s="53">
        <v>750</v>
      </c>
      <c r="BS130" s="53">
        <v>5000</v>
      </c>
      <c r="BT130" s="53">
        <v>7500</v>
      </c>
      <c r="BU130" s="53">
        <v>400</v>
      </c>
      <c r="BV130" s="53">
        <v>3500</v>
      </c>
      <c r="BW130" s="53">
        <v>3500</v>
      </c>
      <c r="BX130" s="53">
        <v>3500</v>
      </c>
      <c r="BY130" s="53">
        <v>750</v>
      </c>
      <c r="BZ130" s="53">
        <v>7500</v>
      </c>
      <c r="CA130" s="53">
        <v>750</v>
      </c>
      <c r="CB130" s="53">
        <v>750</v>
      </c>
      <c r="CC130" s="53">
        <v>750</v>
      </c>
      <c r="CD130" s="53">
        <v>3500</v>
      </c>
      <c r="CE130" s="53">
        <v>3500</v>
      </c>
      <c r="CF130" s="53">
        <v>3500</v>
      </c>
      <c r="CG130" s="53">
        <v>3500</v>
      </c>
      <c r="CH130" s="53">
        <v>15000</v>
      </c>
      <c r="CI130" s="53">
        <v>15000</v>
      </c>
      <c r="CJ130" s="53">
        <v>1500</v>
      </c>
      <c r="CK130" s="53">
        <v>400</v>
      </c>
      <c r="CL130" s="53">
        <v>15000</v>
      </c>
      <c r="CM130" s="53">
        <v>7500</v>
      </c>
      <c r="CN130" s="206"/>
      <c r="CO130" s="206"/>
      <c r="CP130" s="206"/>
      <c r="CQ130" s="8">
        <f t="shared" si="42"/>
        <v>100</v>
      </c>
      <c r="CR130" s="8">
        <f t="shared" si="43"/>
        <v>15000</v>
      </c>
      <c r="CS130" s="8">
        <f t="shared" si="44"/>
        <v>3962.627450980392</v>
      </c>
      <c r="CT130">
        <f t="shared" si="45"/>
        <v>2269.2230676959225</v>
      </c>
      <c r="CU130" s="143">
        <f t="shared" si="46"/>
        <v>2155.5</v>
      </c>
      <c r="CV130" s="143">
        <f t="shared" si="47"/>
        <v>1976.5</v>
      </c>
      <c r="CW130" s="7"/>
      <c r="CX130" s="7">
        <f t="shared" si="48"/>
        <v>375</v>
      </c>
      <c r="CY130" s="7">
        <f t="shared" si="49"/>
        <v>750</v>
      </c>
      <c r="CZ130" s="7">
        <f t="shared" si="50"/>
        <v>750</v>
      </c>
      <c r="DA130" s="7">
        <f t="shared" si="51"/>
        <v>951.5</v>
      </c>
      <c r="DB130" s="7">
        <f t="shared" si="52"/>
        <v>3250</v>
      </c>
      <c r="DC130" s="7">
        <f t="shared" si="53"/>
        <v>3500</v>
      </c>
      <c r="DD130" s="7">
        <f t="shared" si="54"/>
        <v>3500</v>
      </c>
      <c r="DE130" s="7">
        <f t="shared" si="55"/>
        <v>5850</v>
      </c>
      <c r="DF130" s="7">
        <f t="shared" si="56"/>
        <v>7100</v>
      </c>
      <c r="DG130" s="7"/>
      <c r="DH130" s="7">
        <f t="shared" si="57"/>
        <v>763.75</v>
      </c>
      <c r="DI130" s="7">
        <f t="shared" si="58"/>
        <v>927.25</v>
      </c>
      <c r="DJ130" s="7">
        <f t="shared" si="59"/>
        <v>1000</v>
      </c>
      <c r="DK130" s="7">
        <f t="shared" si="60"/>
        <v>1039</v>
      </c>
      <c r="DL130" s="7">
        <f t="shared" si="61"/>
        <v>1950</v>
      </c>
      <c r="DM130" s="7">
        <f t="shared" si="62"/>
        <v>2611</v>
      </c>
      <c r="DN130" s="7">
        <f t="shared" si="63"/>
        <v>3090.25</v>
      </c>
      <c r="DO130" s="7">
        <f t="shared" si="64"/>
        <v>4642</v>
      </c>
      <c r="DP130" s="7">
        <f t="shared" si="65"/>
        <v>6625</v>
      </c>
      <c r="DQ130" s="7"/>
      <c r="DR130" s="7"/>
      <c r="DS130" s="7"/>
      <c r="DT130" s="7"/>
      <c r="DU130" s="7"/>
      <c r="DV130" s="7"/>
      <c r="DW130" s="7"/>
      <c r="DX130" s="7"/>
      <c r="DY130" s="7"/>
      <c r="DZ130" s="7"/>
    </row>
    <row r="131" spans="1:130" ht="25.5" hidden="1" customHeight="1" x14ac:dyDescent="0.25">
      <c r="A131" s="92" t="str">
        <f t="shared" si="66"/>
        <v>CO-WVI [17]</v>
      </c>
      <c r="B131" s="92" t="str">
        <f t="shared" si="67"/>
        <v>West Vancouver Island</v>
      </c>
      <c r="C131" s="93" t="str">
        <f t="shared" si="36"/>
        <v>LITTLE TOQUART CREEK_Coho</v>
      </c>
      <c r="D131" s="128" t="s">
        <v>598</v>
      </c>
      <c r="E131" s="128" t="s">
        <v>598</v>
      </c>
      <c r="F131" s="64">
        <v>23</v>
      </c>
      <c r="G131" s="72" t="s">
        <v>144</v>
      </c>
      <c r="H131" s="65" t="s">
        <v>93</v>
      </c>
      <c r="I131" s="119"/>
      <c r="J131" s="119"/>
      <c r="K131" s="64">
        <v>5</v>
      </c>
      <c r="L131" s="52">
        <v>9</v>
      </c>
      <c r="M131" s="52">
        <v>2</v>
      </c>
      <c r="N131" s="52">
        <f t="shared" si="37"/>
        <v>28.284271247461902</v>
      </c>
      <c r="O131" s="52">
        <f t="shared" si="38"/>
        <v>200</v>
      </c>
      <c r="P131" s="52">
        <f t="shared" si="39"/>
        <v>42.227715488291757</v>
      </c>
      <c r="Q131" s="66"/>
      <c r="R131" s="37"/>
      <c r="S131" s="74" t="s">
        <v>337</v>
      </c>
      <c r="T131" s="81">
        <f t="shared" si="40"/>
        <v>20</v>
      </c>
      <c r="U131" s="81">
        <f t="shared" si="41"/>
        <v>18.75</v>
      </c>
      <c r="V131" s="233">
        <v>9</v>
      </c>
      <c r="W131" s="52">
        <v>46</v>
      </c>
      <c r="X131" s="52">
        <v>5</v>
      </c>
      <c r="Y131" s="52" t="s">
        <v>263</v>
      </c>
      <c r="Z131" s="52" t="s">
        <v>102</v>
      </c>
      <c r="AA131" s="52" t="s">
        <v>102</v>
      </c>
      <c r="AB131" s="52" t="s">
        <v>102</v>
      </c>
      <c r="AC131" s="52" t="s">
        <v>102</v>
      </c>
      <c r="AD131" s="52" t="s">
        <v>262</v>
      </c>
      <c r="AE131" s="144">
        <v>15</v>
      </c>
      <c r="AF131" s="52" t="s">
        <v>102</v>
      </c>
      <c r="AG131" s="52" t="s">
        <v>102</v>
      </c>
      <c r="AH131" s="52" t="s">
        <v>102</v>
      </c>
      <c r="AI131" s="52" t="s">
        <v>102</v>
      </c>
      <c r="AJ131" s="52" t="s">
        <v>102</v>
      </c>
      <c r="AK131" s="148" t="s">
        <v>102</v>
      </c>
      <c r="AL131" s="89" t="s">
        <v>262</v>
      </c>
      <c r="AM131" s="52" t="s">
        <v>262</v>
      </c>
      <c r="AN131" s="52">
        <v>20</v>
      </c>
      <c r="AO131" s="54"/>
      <c r="AP131" s="52" t="s">
        <v>102</v>
      </c>
      <c r="AQ131" s="52">
        <v>40</v>
      </c>
      <c r="AR131" s="52" t="s">
        <v>262</v>
      </c>
      <c r="AS131" s="52" t="s">
        <v>262</v>
      </c>
      <c r="AT131" s="52" t="s">
        <v>262</v>
      </c>
      <c r="AU131" s="52" t="s">
        <v>262</v>
      </c>
      <c r="AV131" s="52" t="s">
        <v>262</v>
      </c>
      <c r="AW131" s="52" t="s">
        <v>262</v>
      </c>
      <c r="AX131" s="51">
        <v>2</v>
      </c>
      <c r="AY131" s="53" t="s">
        <v>264</v>
      </c>
      <c r="AZ131" s="53" t="s">
        <v>264</v>
      </c>
      <c r="BA131" s="53">
        <v>20</v>
      </c>
      <c r="BB131" s="53">
        <v>75</v>
      </c>
      <c r="BC131" s="53" t="s">
        <v>102</v>
      </c>
      <c r="BD131" s="53" t="s">
        <v>102</v>
      </c>
      <c r="BE131" s="53" t="s">
        <v>264</v>
      </c>
      <c r="BF131" s="53" t="s">
        <v>102</v>
      </c>
      <c r="BG131" s="53" t="s">
        <v>102</v>
      </c>
      <c r="BH131" s="53" t="s">
        <v>264</v>
      </c>
      <c r="BI131" s="53" t="s">
        <v>102</v>
      </c>
      <c r="BJ131" s="53" t="s">
        <v>264</v>
      </c>
      <c r="BK131" s="53" t="s">
        <v>102</v>
      </c>
      <c r="BL131" s="53" t="s">
        <v>262</v>
      </c>
      <c r="BM131" s="53">
        <v>80</v>
      </c>
      <c r="BN131" s="53">
        <v>100</v>
      </c>
      <c r="BO131" s="53">
        <v>90</v>
      </c>
      <c r="BP131" s="53">
        <v>60</v>
      </c>
      <c r="BQ131" s="53">
        <v>75</v>
      </c>
      <c r="BR131" s="53">
        <v>75</v>
      </c>
      <c r="BS131" s="53">
        <v>200</v>
      </c>
      <c r="BT131" s="53">
        <v>75</v>
      </c>
      <c r="BU131" s="53">
        <v>75</v>
      </c>
      <c r="BV131" s="53">
        <v>200</v>
      </c>
      <c r="BW131" s="53">
        <v>75</v>
      </c>
      <c r="BX131" s="53">
        <v>75</v>
      </c>
      <c r="BY131" s="53">
        <v>75</v>
      </c>
      <c r="BZ131" s="53">
        <v>75</v>
      </c>
      <c r="CA131" s="53">
        <v>25</v>
      </c>
      <c r="CB131" s="53">
        <v>25</v>
      </c>
      <c r="CC131" s="53">
        <v>25</v>
      </c>
      <c r="CD131" s="53">
        <v>25</v>
      </c>
      <c r="CE131" s="53">
        <v>25</v>
      </c>
      <c r="CF131" s="53">
        <v>25</v>
      </c>
      <c r="CG131" s="53">
        <v>25</v>
      </c>
      <c r="CH131" s="53">
        <v>25</v>
      </c>
      <c r="CI131" s="53">
        <v>25</v>
      </c>
      <c r="CJ131" s="53">
        <v>25</v>
      </c>
      <c r="CK131" s="53">
        <v>25</v>
      </c>
      <c r="CL131" s="53">
        <v>25</v>
      </c>
      <c r="CM131" s="53" t="s">
        <v>264</v>
      </c>
      <c r="CN131" s="206"/>
      <c r="CO131" s="206"/>
      <c r="CP131" s="206"/>
      <c r="CQ131" s="8">
        <f t="shared" si="42"/>
        <v>2</v>
      </c>
      <c r="CR131" s="8">
        <f t="shared" si="43"/>
        <v>200</v>
      </c>
      <c r="CS131" s="8">
        <f t="shared" si="44"/>
        <v>53.2</v>
      </c>
      <c r="CT131">
        <f t="shared" si="45"/>
        <v>36.996413323183781</v>
      </c>
      <c r="CU131" s="143">
        <f t="shared" si="46"/>
        <v>20</v>
      </c>
      <c r="CV131" s="143">
        <f t="shared" si="47"/>
        <v>18.75</v>
      </c>
      <c r="CW131" s="7"/>
      <c r="CX131" s="7">
        <f t="shared" si="48"/>
        <v>7.8000000000000007</v>
      </c>
      <c r="CY131" s="7">
        <f t="shared" si="49"/>
        <v>20.5</v>
      </c>
      <c r="CZ131" s="7">
        <f t="shared" si="50"/>
        <v>25</v>
      </c>
      <c r="DA131" s="7">
        <f t="shared" si="51"/>
        <v>25</v>
      </c>
      <c r="DB131" s="7">
        <f t="shared" si="52"/>
        <v>25</v>
      </c>
      <c r="DC131" s="7">
        <f t="shared" si="53"/>
        <v>65.999999999999972</v>
      </c>
      <c r="DD131" s="7">
        <f t="shared" si="54"/>
        <v>75</v>
      </c>
      <c r="DE131" s="7">
        <f t="shared" si="55"/>
        <v>75</v>
      </c>
      <c r="DF131" s="7">
        <f t="shared" si="56"/>
        <v>75</v>
      </c>
      <c r="DG131" s="7"/>
      <c r="DH131" s="7">
        <f t="shared" si="57"/>
        <v>6</v>
      </c>
      <c r="DI131" s="7">
        <f t="shared" si="58"/>
        <v>8</v>
      </c>
      <c r="DJ131" s="7">
        <f t="shared" si="59"/>
        <v>9</v>
      </c>
      <c r="DK131" s="7">
        <f t="shared" si="60"/>
        <v>10.5</v>
      </c>
      <c r="DL131" s="7">
        <f t="shared" si="61"/>
        <v>17.5</v>
      </c>
      <c r="DM131" s="7">
        <f t="shared" si="62"/>
        <v>20</v>
      </c>
      <c r="DN131" s="7">
        <f t="shared" si="63"/>
        <v>25</v>
      </c>
      <c r="DO131" s="7">
        <f t="shared" si="64"/>
        <v>35</v>
      </c>
      <c r="DP131" s="7">
        <f t="shared" si="65"/>
        <v>41.5</v>
      </c>
      <c r="DQ131" s="7"/>
      <c r="DR131" s="7"/>
      <c r="DS131" s="7"/>
      <c r="DT131" s="7"/>
      <c r="DU131" s="7"/>
      <c r="DV131" s="7"/>
      <c r="DW131" s="7"/>
      <c r="DX131" s="7"/>
      <c r="DY131" s="7"/>
      <c r="DZ131" s="7"/>
    </row>
    <row r="132" spans="1:130" ht="25.5" hidden="1" customHeight="1" x14ac:dyDescent="0.25">
      <c r="A132" s="92" t="str">
        <f t="shared" si="66"/>
        <v>CM-SWVI [10]</v>
      </c>
      <c r="B132" s="92" t="str">
        <f t="shared" si="67"/>
        <v>Southwest Vancouver Island</v>
      </c>
      <c r="C132" s="93" t="str">
        <f t="shared" si="36"/>
        <v>LUCKY CREEK_Chum</v>
      </c>
      <c r="D132" s="128" t="s">
        <v>598</v>
      </c>
      <c r="E132" s="128" t="s">
        <v>598</v>
      </c>
      <c r="F132" s="64">
        <v>23</v>
      </c>
      <c r="G132" s="72" t="s">
        <v>142</v>
      </c>
      <c r="H132" s="65" t="s">
        <v>96</v>
      </c>
      <c r="I132" s="119"/>
      <c r="J132" s="119"/>
      <c r="K132" s="64">
        <v>5</v>
      </c>
      <c r="L132" s="52">
        <v>5</v>
      </c>
      <c r="M132" s="52">
        <v>3</v>
      </c>
      <c r="N132" s="52">
        <f t="shared" si="37"/>
        <v>159.39878537739165</v>
      </c>
      <c r="O132" s="52">
        <f t="shared" si="38"/>
        <v>3500</v>
      </c>
      <c r="P132" s="52">
        <f t="shared" si="39"/>
        <v>266.08174948433293</v>
      </c>
      <c r="Q132" s="66"/>
      <c r="R132" s="37"/>
      <c r="S132" s="74" t="s">
        <v>338</v>
      </c>
      <c r="T132" s="81" t="e">
        <f t="shared" si="40"/>
        <v>#DIV/0!</v>
      </c>
      <c r="U132" s="81" t="e">
        <f t="shared" si="41"/>
        <v>#DIV/0!</v>
      </c>
      <c r="V132" s="52" t="s">
        <v>102</v>
      </c>
      <c r="W132" s="52" t="s">
        <v>102</v>
      </c>
      <c r="X132" s="52" t="s">
        <v>102</v>
      </c>
      <c r="Y132" s="52" t="s">
        <v>102</v>
      </c>
      <c r="Z132" s="52" t="s">
        <v>102</v>
      </c>
      <c r="AA132" s="52" t="s">
        <v>102</v>
      </c>
      <c r="AB132" s="52" t="s">
        <v>102</v>
      </c>
      <c r="AC132" s="52" t="s">
        <v>102</v>
      </c>
      <c r="AD132" s="52" t="s">
        <v>102</v>
      </c>
      <c r="AE132" s="52" t="s">
        <v>102</v>
      </c>
      <c r="AF132" s="52" t="s">
        <v>102</v>
      </c>
      <c r="AG132" s="52" t="s">
        <v>102</v>
      </c>
      <c r="AH132" s="52" t="s">
        <v>102</v>
      </c>
      <c r="AI132" s="52" t="s">
        <v>102</v>
      </c>
      <c r="AJ132" s="52" t="s">
        <v>102</v>
      </c>
      <c r="AK132" s="52" t="s">
        <v>102</v>
      </c>
      <c r="AL132" s="52" t="s">
        <v>102</v>
      </c>
      <c r="AM132" s="52" t="s">
        <v>102</v>
      </c>
      <c r="AN132" s="52" t="s">
        <v>102</v>
      </c>
      <c r="AO132" s="52" t="s">
        <v>102</v>
      </c>
      <c r="AP132" s="52" t="s">
        <v>102</v>
      </c>
      <c r="AQ132" s="52" t="s">
        <v>102</v>
      </c>
      <c r="AR132" s="52" t="s">
        <v>102</v>
      </c>
      <c r="AS132" s="52">
        <v>100</v>
      </c>
      <c r="AT132" s="52">
        <v>135</v>
      </c>
      <c r="AU132" s="52">
        <v>300</v>
      </c>
      <c r="AV132" s="52" t="s">
        <v>262</v>
      </c>
      <c r="AW132" s="52" t="s">
        <v>262</v>
      </c>
      <c r="AX132" s="51" t="s">
        <v>262</v>
      </c>
      <c r="AY132" s="53">
        <v>100</v>
      </c>
      <c r="AZ132" s="53" t="s">
        <v>102</v>
      </c>
      <c r="BA132" s="53" t="s">
        <v>262</v>
      </c>
      <c r="BB132" s="53" t="s">
        <v>262</v>
      </c>
      <c r="BC132" s="53" t="s">
        <v>102</v>
      </c>
      <c r="BD132" s="53" t="s">
        <v>102</v>
      </c>
      <c r="BE132" s="53" t="s">
        <v>102</v>
      </c>
      <c r="BF132" s="53">
        <v>200</v>
      </c>
      <c r="BG132" s="53">
        <v>460</v>
      </c>
      <c r="BH132" s="53" t="s">
        <v>264</v>
      </c>
      <c r="BI132" s="53" t="s">
        <v>102</v>
      </c>
      <c r="BJ132" s="53">
        <v>520</v>
      </c>
      <c r="BK132" s="53">
        <v>50</v>
      </c>
      <c r="BL132" s="53" t="s">
        <v>102</v>
      </c>
      <c r="BM132" s="53">
        <v>200</v>
      </c>
      <c r="BN132" s="53">
        <v>400</v>
      </c>
      <c r="BO132" s="53">
        <v>500</v>
      </c>
      <c r="BP132" s="53">
        <v>250</v>
      </c>
      <c r="BQ132" s="53">
        <v>75</v>
      </c>
      <c r="BR132" s="53">
        <v>150</v>
      </c>
      <c r="BS132" s="53">
        <v>200</v>
      </c>
      <c r="BT132" s="53">
        <v>400</v>
      </c>
      <c r="BU132" s="53">
        <v>75</v>
      </c>
      <c r="BV132" s="53">
        <v>400</v>
      </c>
      <c r="BW132" s="53">
        <v>750</v>
      </c>
      <c r="BX132" s="53">
        <v>400</v>
      </c>
      <c r="BY132" s="53">
        <v>750</v>
      </c>
      <c r="BZ132" s="53">
        <v>200</v>
      </c>
      <c r="CA132" s="53">
        <v>200</v>
      </c>
      <c r="CB132" s="53">
        <v>200</v>
      </c>
      <c r="CC132" s="53">
        <v>200</v>
      </c>
      <c r="CD132" s="53">
        <v>75</v>
      </c>
      <c r="CE132" s="53">
        <v>400</v>
      </c>
      <c r="CF132" s="53">
        <v>75</v>
      </c>
      <c r="CG132" s="53">
        <v>3500</v>
      </c>
      <c r="CH132" s="53">
        <v>750</v>
      </c>
      <c r="CI132" s="53">
        <v>750</v>
      </c>
      <c r="CJ132" s="53">
        <v>400</v>
      </c>
      <c r="CK132" s="53">
        <v>75</v>
      </c>
      <c r="CL132" s="53">
        <v>400</v>
      </c>
      <c r="CM132" s="53">
        <v>1500</v>
      </c>
      <c r="CN132" s="206"/>
      <c r="CO132" s="206"/>
      <c r="CP132" s="206"/>
      <c r="CQ132" s="8">
        <f t="shared" si="42"/>
        <v>50</v>
      </c>
      <c r="CR132" s="8">
        <f t="shared" si="43"/>
        <v>3500</v>
      </c>
      <c r="CS132" s="8">
        <f t="shared" si="44"/>
        <v>432.57142857142856</v>
      </c>
      <c r="CT132">
        <f t="shared" si="45"/>
        <v>266.08174948433293</v>
      </c>
      <c r="CU132" s="143" t="e">
        <f t="shared" si="46"/>
        <v>#DIV/0!</v>
      </c>
      <c r="CV132" s="143" t="e">
        <f t="shared" si="47"/>
        <v>#DIV/0!</v>
      </c>
      <c r="CW132" s="7"/>
      <c r="CX132" s="7">
        <f t="shared" si="48"/>
        <v>75</v>
      </c>
      <c r="CY132" s="7">
        <f t="shared" si="49"/>
        <v>77.499999999999986</v>
      </c>
      <c r="CZ132" s="7">
        <f t="shared" si="50"/>
        <v>100</v>
      </c>
      <c r="DA132" s="7">
        <f t="shared" si="51"/>
        <v>142.5</v>
      </c>
      <c r="DB132" s="7">
        <f t="shared" si="52"/>
        <v>250</v>
      </c>
      <c r="DC132" s="7">
        <f t="shared" si="53"/>
        <v>400</v>
      </c>
      <c r="DD132" s="7">
        <f t="shared" si="54"/>
        <v>400</v>
      </c>
      <c r="DE132" s="7">
        <f t="shared" si="55"/>
        <v>430</v>
      </c>
      <c r="DF132" s="7">
        <f t="shared" si="56"/>
        <v>726.99999999999966</v>
      </c>
      <c r="DG132" s="7"/>
      <c r="DH132" s="7">
        <f t="shared" si="57"/>
        <v>103.5</v>
      </c>
      <c r="DI132" s="7">
        <f t="shared" si="58"/>
        <v>110.5</v>
      </c>
      <c r="DJ132" s="7">
        <f t="shared" si="59"/>
        <v>114</v>
      </c>
      <c r="DK132" s="7">
        <f t="shared" si="60"/>
        <v>117.5</v>
      </c>
      <c r="DL132" s="7">
        <f t="shared" si="61"/>
        <v>135</v>
      </c>
      <c r="DM132" s="7">
        <f t="shared" si="62"/>
        <v>168.00000000000003</v>
      </c>
      <c r="DN132" s="7">
        <f t="shared" si="63"/>
        <v>184.49999999999997</v>
      </c>
      <c r="DO132" s="7">
        <f t="shared" si="64"/>
        <v>217.5</v>
      </c>
      <c r="DP132" s="7">
        <f t="shared" si="65"/>
        <v>250.50000000000003</v>
      </c>
      <c r="DQ132" s="7"/>
      <c r="DR132" s="7"/>
      <c r="DS132" s="7"/>
      <c r="DT132" s="7"/>
      <c r="DU132" s="7"/>
      <c r="DV132" s="7"/>
      <c r="DW132" s="7"/>
      <c r="DX132" s="7"/>
      <c r="DY132" s="7"/>
      <c r="DZ132" s="7"/>
    </row>
    <row r="133" spans="1:130" ht="25.5" hidden="1" customHeight="1" x14ac:dyDescent="0.25">
      <c r="A133" s="92" t="str">
        <f t="shared" si="66"/>
        <v>CO-WVI [17]</v>
      </c>
      <c r="B133" s="92" t="str">
        <f t="shared" si="67"/>
        <v>West Vancouver Island</v>
      </c>
      <c r="C133" s="93" t="str">
        <f t="shared" ref="C133:C196" si="68">CONCATENATE(G133,"_",H133)</f>
        <v>LUCKY CREEK_Coho</v>
      </c>
      <c r="D133" s="128" t="s">
        <v>598</v>
      </c>
      <c r="E133" s="128" t="s">
        <v>598</v>
      </c>
      <c r="F133" s="64">
        <v>23</v>
      </c>
      <c r="G133" s="72" t="s">
        <v>142</v>
      </c>
      <c r="H133" s="65" t="s">
        <v>93</v>
      </c>
      <c r="I133" s="119"/>
      <c r="J133" s="119"/>
      <c r="K133" s="64">
        <v>5</v>
      </c>
      <c r="L133" s="52">
        <v>5</v>
      </c>
      <c r="M133" s="52">
        <v>0</v>
      </c>
      <c r="N133" s="52" t="e">
        <f t="shared" ref="N133:N196" si="69">GEOMEAN(AJ133:AW133)</f>
        <v>#NUM!</v>
      </c>
      <c r="O133" s="52">
        <f t="shared" ref="O133:O196" si="70">MAX(AJ133:CM133)</f>
        <v>200</v>
      </c>
      <c r="P133" s="52">
        <f t="shared" ref="P133:P196" si="71">GEOMEAN(AJ133:CM133)</f>
        <v>39.354315995999649</v>
      </c>
      <c r="Q133" s="66"/>
      <c r="R133" s="37"/>
      <c r="S133" s="74" t="s">
        <v>338</v>
      </c>
      <c r="T133" s="81" t="e">
        <f t="shared" si="40"/>
        <v>#DIV/0!</v>
      </c>
      <c r="U133" s="81" t="e">
        <f t="shared" si="41"/>
        <v>#DIV/0!</v>
      </c>
      <c r="V133" s="52" t="s">
        <v>102</v>
      </c>
      <c r="W133" s="52" t="s">
        <v>102</v>
      </c>
      <c r="X133" s="52" t="s">
        <v>102</v>
      </c>
      <c r="Y133" s="52" t="s">
        <v>102</v>
      </c>
      <c r="Z133" s="52" t="s">
        <v>102</v>
      </c>
      <c r="AA133" s="52" t="s">
        <v>102</v>
      </c>
      <c r="AB133" s="52" t="s">
        <v>102</v>
      </c>
      <c r="AC133" s="52" t="s">
        <v>102</v>
      </c>
      <c r="AD133" s="52" t="s">
        <v>102</v>
      </c>
      <c r="AE133" s="52" t="s">
        <v>102</v>
      </c>
      <c r="AF133" s="52" t="s">
        <v>102</v>
      </c>
      <c r="AG133" s="52" t="s">
        <v>102</v>
      </c>
      <c r="AH133" s="52" t="s">
        <v>102</v>
      </c>
      <c r="AI133" s="52" t="s">
        <v>102</v>
      </c>
      <c r="AJ133" s="52" t="s">
        <v>102</v>
      </c>
      <c r="AK133" s="52" t="s">
        <v>102</v>
      </c>
      <c r="AL133" s="52" t="s">
        <v>102</v>
      </c>
      <c r="AM133" s="52" t="s">
        <v>102</v>
      </c>
      <c r="AN133" s="52" t="s">
        <v>102</v>
      </c>
      <c r="AO133" s="52" t="s">
        <v>102</v>
      </c>
      <c r="AP133" s="52" t="s">
        <v>102</v>
      </c>
      <c r="AQ133" s="52" t="s">
        <v>102</v>
      </c>
      <c r="AR133" s="52" t="s">
        <v>102</v>
      </c>
      <c r="AS133" s="52" t="s">
        <v>262</v>
      </c>
      <c r="AT133" s="52" t="s">
        <v>262</v>
      </c>
      <c r="AU133" s="53" t="s">
        <v>262</v>
      </c>
      <c r="AV133" s="52" t="s">
        <v>262</v>
      </c>
      <c r="AW133" s="52" t="s">
        <v>262</v>
      </c>
      <c r="AX133" s="51" t="s">
        <v>262</v>
      </c>
      <c r="AY133" s="53" t="s">
        <v>264</v>
      </c>
      <c r="AZ133" s="53" t="s">
        <v>102</v>
      </c>
      <c r="BA133" s="53">
        <v>5</v>
      </c>
      <c r="BB133" s="53" t="s">
        <v>262</v>
      </c>
      <c r="BC133" s="53" t="s">
        <v>102</v>
      </c>
      <c r="BD133" s="53" t="s">
        <v>102</v>
      </c>
      <c r="BE133" s="53" t="s">
        <v>102</v>
      </c>
      <c r="BF133" s="53" t="s">
        <v>262</v>
      </c>
      <c r="BG133" s="53" t="s">
        <v>264</v>
      </c>
      <c r="BH133" s="53" t="s">
        <v>264</v>
      </c>
      <c r="BI133" s="53" t="s">
        <v>102</v>
      </c>
      <c r="BJ133" s="53" t="s">
        <v>264</v>
      </c>
      <c r="BK133" s="53" t="s">
        <v>264</v>
      </c>
      <c r="BL133" s="53" t="s">
        <v>102</v>
      </c>
      <c r="BM133" s="53">
        <v>50</v>
      </c>
      <c r="BN133" s="53">
        <v>70</v>
      </c>
      <c r="BO133" s="53">
        <v>70</v>
      </c>
      <c r="BP133" s="53">
        <v>50</v>
      </c>
      <c r="BQ133" s="53">
        <v>25</v>
      </c>
      <c r="BR133" s="53">
        <v>25</v>
      </c>
      <c r="BS133" s="53">
        <v>75</v>
      </c>
      <c r="BT133" s="53">
        <v>25</v>
      </c>
      <c r="BU133" s="53">
        <v>25</v>
      </c>
      <c r="BV133" s="53">
        <v>25</v>
      </c>
      <c r="BW133" s="53">
        <v>75</v>
      </c>
      <c r="BX133" s="53">
        <v>200</v>
      </c>
      <c r="BY133" s="53">
        <v>75</v>
      </c>
      <c r="BZ133" s="53">
        <v>75</v>
      </c>
      <c r="CA133" s="53">
        <v>25</v>
      </c>
      <c r="CB133" s="53">
        <v>75</v>
      </c>
      <c r="CC133" s="53">
        <v>25</v>
      </c>
      <c r="CD133" s="53">
        <v>25</v>
      </c>
      <c r="CE133" s="53">
        <v>75</v>
      </c>
      <c r="CF133" s="53">
        <v>25</v>
      </c>
      <c r="CG133" s="53">
        <v>25</v>
      </c>
      <c r="CH133" s="53">
        <v>25</v>
      </c>
      <c r="CI133" s="53">
        <v>25</v>
      </c>
      <c r="CJ133" s="53">
        <v>25</v>
      </c>
      <c r="CK133" s="53">
        <v>75</v>
      </c>
      <c r="CL133" s="53">
        <v>25</v>
      </c>
      <c r="CM133" s="53">
        <v>75</v>
      </c>
      <c r="CN133" s="206"/>
      <c r="CO133" s="206"/>
      <c r="CP133" s="206"/>
      <c r="CQ133" s="8">
        <f t="shared" si="42"/>
        <v>5</v>
      </c>
      <c r="CR133" s="8">
        <f t="shared" si="43"/>
        <v>200</v>
      </c>
      <c r="CS133" s="8">
        <f t="shared" si="44"/>
        <v>49.821428571428569</v>
      </c>
      <c r="CT133">
        <f t="shared" si="45"/>
        <v>39.354315995999649</v>
      </c>
      <c r="CU133" s="143" t="e">
        <f t="shared" si="46"/>
        <v>#DIV/0!</v>
      </c>
      <c r="CV133" s="143" t="e">
        <f t="shared" si="47"/>
        <v>#DIV/0!</v>
      </c>
      <c r="CW133" s="7"/>
      <c r="CX133" s="7">
        <f t="shared" si="48"/>
        <v>25</v>
      </c>
      <c r="CY133" s="7">
        <f t="shared" si="49"/>
        <v>25</v>
      </c>
      <c r="CZ133" s="7">
        <f t="shared" si="50"/>
        <v>25</v>
      </c>
      <c r="DA133" s="7">
        <f t="shared" si="51"/>
        <v>25</v>
      </c>
      <c r="DB133" s="7">
        <f t="shared" si="52"/>
        <v>25</v>
      </c>
      <c r="DC133" s="7">
        <f t="shared" si="53"/>
        <v>53.999999999999986</v>
      </c>
      <c r="DD133" s="7">
        <f t="shared" si="54"/>
        <v>70</v>
      </c>
      <c r="DE133" s="7">
        <f t="shared" si="55"/>
        <v>75</v>
      </c>
      <c r="DF133" s="7">
        <f t="shared" si="56"/>
        <v>75</v>
      </c>
      <c r="DG133" s="7"/>
      <c r="DH133" s="7" t="e">
        <f t="shared" si="57"/>
        <v>#NUM!</v>
      </c>
      <c r="DI133" s="7" t="e">
        <f t="shared" si="58"/>
        <v>#NUM!</v>
      </c>
      <c r="DJ133" s="7" t="e">
        <f t="shared" si="59"/>
        <v>#NUM!</v>
      </c>
      <c r="DK133" s="7" t="e">
        <f t="shared" si="60"/>
        <v>#NUM!</v>
      </c>
      <c r="DL133" s="7" t="e">
        <f t="shared" si="61"/>
        <v>#NUM!</v>
      </c>
      <c r="DM133" s="7" t="e">
        <f t="shared" si="62"/>
        <v>#NUM!</v>
      </c>
      <c r="DN133" s="7" t="e">
        <f t="shared" si="63"/>
        <v>#NUM!</v>
      </c>
      <c r="DO133" s="7" t="e">
        <f t="shared" si="64"/>
        <v>#NUM!</v>
      </c>
      <c r="DP133" s="7" t="e">
        <f t="shared" si="65"/>
        <v>#NUM!</v>
      </c>
      <c r="DQ133" s="7"/>
      <c r="DR133" s="7"/>
      <c r="DS133" s="7"/>
      <c r="DT133" s="7"/>
      <c r="DU133" s="7"/>
      <c r="DV133" s="7"/>
      <c r="DW133" s="7"/>
      <c r="DX133" s="7"/>
      <c r="DY133" s="7"/>
      <c r="DZ133" s="7"/>
    </row>
    <row r="134" spans="1:130" ht="25.5" customHeight="1" x14ac:dyDescent="0.25">
      <c r="A134" s="92" t="str">
        <f t="shared" si="66"/>
        <v>CK-SWVI [31]</v>
      </c>
      <c r="B134" s="92" t="str">
        <f t="shared" si="67"/>
        <v>Southwest Vancouver Island</v>
      </c>
      <c r="C134" s="93" t="str">
        <f t="shared" si="68"/>
        <v>MACKTUSH CREEK_Chinook</v>
      </c>
      <c r="D134" s="128" t="s">
        <v>598</v>
      </c>
      <c r="E134" s="128" t="s">
        <v>598</v>
      </c>
      <c r="F134" s="64">
        <v>23</v>
      </c>
      <c r="G134" s="72" t="s">
        <v>124</v>
      </c>
      <c r="H134" s="65" t="s">
        <v>97</v>
      </c>
      <c r="I134" s="119"/>
      <c r="J134" s="119"/>
      <c r="K134" s="64">
        <v>4</v>
      </c>
      <c r="L134" s="52">
        <v>10</v>
      </c>
      <c r="M134" s="52">
        <v>1</v>
      </c>
      <c r="N134" s="52">
        <f t="shared" si="69"/>
        <v>2</v>
      </c>
      <c r="O134" s="52">
        <f t="shared" si="70"/>
        <v>25</v>
      </c>
      <c r="P134" s="52">
        <f t="shared" si="71"/>
        <v>7.0710678118654755</v>
      </c>
      <c r="Q134" s="66"/>
      <c r="R134" s="39"/>
      <c r="S134" s="74" t="s">
        <v>327</v>
      </c>
      <c r="T134" s="81" t="e">
        <f t="shared" ref="T134:T197" si="72">AVERAGE(V134:Y134)</f>
        <v>#DIV/0!</v>
      </c>
      <c r="U134" s="81" t="e">
        <f t="shared" ref="U134:U197" si="73">AVERAGE(V134:AG134)</f>
        <v>#DIV/0!</v>
      </c>
      <c r="V134" s="52" t="s">
        <v>102</v>
      </c>
      <c r="W134" s="52" t="s">
        <v>102</v>
      </c>
      <c r="X134" s="52" t="s">
        <v>102</v>
      </c>
      <c r="Y134" s="54" t="s">
        <v>102</v>
      </c>
      <c r="Z134" s="52" t="s">
        <v>102</v>
      </c>
      <c r="AA134" s="52" t="s">
        <v>262</v>
      </c>
      <c r="AB134" s="144" t="s">
        <v>262</v>
      </c>
      <c r="AC134" s="144" t="s">
        <v>262</v>
      </c>
      <c r="AD134" s="52" t="s">
        <v>102</v>
      </c>
      <c r="AE134" s="144" t="s">
        <v>262</v>
      </c>
      <c r="AF134" s="52" t="s">
        <v>263</v>
      </c>
      <c r="AG134" s="52" t="s">
        <v>262</v>
      </c>
      <c r="AH134" s="52" t="s">
        <v>102</v>
      </c>
      <c r="AI134" s="52" t="s">
        <v>102</v>
      </c>
      <c r="AJ134" s="52" t="s">
        <v>102</v>
      </c>
      <c r="AK134" s="52" t="s">
        <v>102</v>
      </c>
      <c r="AL134" s="52" t="s">
        <v>102</v>
      </c>
      <c r="AM134" s="52" t="s">
        <v>262</v>
      </c>
      <c r="AN134" s="53" t="s">
        <v>262</v>
      </c>
      <c r="AO134" s="52" t="s">
        <v>102</v>
      </c>
      <c r="AP134" s="53" t="s">
        <v>262</v>
      </c>
      <c r="AQ134" s="53" t="s">
        <v>262</v>
      </c>
      <c r="AR134" s="53" t="s">
        <v>262</v>
      </c>
      <c r="AS134" s="52" t="s">
        <v>262</v>
      </c>
      <c r="AT134" s="52" t="s">
        <v>262</v>
      </c>
      <c r="AU134" s="52" t="s">
        <v>262</v>
      </c>
      <c r="AV134" s="52" t="s">
        <v>262</v>
      </c>
      <c r="AW134" s="52">
        <v>2</v>
      </c>
      <c r="AX134" s="51" t="s">
        <v>102</v>
      </c>
      <c r="AY134" s="53" t="s">
        <v>264</v>
      </c>
      <c r="AZ134" s="53" t="s">
        <v>102</v>
      </c>
      <c r="BA134" s="53" t="s">
        <v>102</v>
      </c>
      <c r="BB134" s="53" t="s">
        <v>264</v>
      </c>
      <c r="BC134" s="53" t="s">
        <v>102</v>
      </c>
      <c r="BD134" s="53" t="s">
        <v>102</v>
      </c>
      <c r="BE134" s="53" t="s">
        <v>102</v>
      </c>
      <c r="BF134" s="53" t="s">
        <v>102</v>
      </c>
      <c r="BG134" s="53" t="s">
        <v>102</v>
      </c>
      <c r="BH134" s="53" t="s">
        <v>262</v>
      </c>
      <c r="BI134" s="53" t="s">
        <v>264</v>
      </c>
      <c r="BJ134" s="53" t="s">
        <v>102</v>
      </c>
      <c r="BK134" s="53" t="s">
        <v>102</v>
      </c>
      <c r="BL134" s="53" t="s">
        <v>102</v>
      </c>
      <c r="BM134" s="53" t="s">
        <v>264</v>
      </c>
      <c r="BN134" s="53" t="s">
        <v>264</v>
      </c>
      <c r="BO134" s="53" t="s">
        <v>264</v>
      </c>
      <c r="BP134" s="53" t="s">
        <v>264</v>
      </c>
      <c r="BQ134" s="53" t="s">
        <v>264</v>
      </c>
      <c r="BR134" s="53" t="s">
        <v>264</v>
      </c>
      <c r="BS134" s="53" t="s">
        <v>264</v>
      </c>
      <c r="BT134" s="53" t="s">
        <v>264</v>
      </c>
      <c r="BU134" s="53" t="s">
        <v>264</v>
      </c>
      <c r="BV134" s="53" t="s">
        <v>264</v>
      </c>
      <c r="BW134" s="53" t="s">
        <v>264</v>
      </c>
      <c r="BX134" s="53" t="s">
        <v>264</v>
      </c>
      <c r="BY134" s="53" t="s">
        <v>264</v>
      </c>
      <c r="BZ134" s="53" t="s">
        <v>264</v>
      </c>
      <c r="CA134" s="53" t="s">
        <v>264</v>
      </c>
      <c r="CB134" s="53">
        <v>25</v>
      </c>
      <c r="CC134" s="53" t="s">
        <v>264</v>
      </c>
      <c r="CD134" s="53" t="s">
        <v>264</v>
      </c>
      <c r="CE134" s="53" t="s">
        <v>264</v>
      </c>
      <c r="CF134" s="53" t="s">
        <v>264</v>
      </c>
      <c r="CG134" s="53" t="s">
        <v>264</v>
      </c>
      <c r="CH134" s="53" t="s">
        <v>264</v>
      </c>
      <c r="CI134" s="53" t="s">
        <v>264</v>
      </c>
      <c r="CJ134" s="53" t="s">
        <v>264</v>
      </c>
      <c r="CK134" s="53" t="s">
        <v>264</v>
      </c>
      <c r="CL134" s="53" t="s">
        <v>264</v>
      </c>
      <c r="CM134" s="53" t="s">
        <v>264</v>
      </c>
      <c r="CN134" s="206"/>
      <c r="CO134" s="206"/>
      <c r="CP134" s="206"/>
      <c r="CQ134" s="8">
        <f t="shared" ref="CQ134:CQ197" si="74">MIN(V134:CM134)</f>
        <v>2</v>
      </c>
      <c r="CR134" s="8">
        <f t="shared" ref="CR134:CR197" si="75">MAX(V134:CM134)</f>
        <v>25</v>
      </c>
      <c r="CS134" s="8">
        <f t="shared" ref="CS134:CS197" si="76">AVERAGE(V134:CM134)</f>
        <v>13.5</v>
      </c>
      <c r="CT134">
        <f t="shared" ref="CT134:CT197" si="77">GEOMEAN(V134:CM134)</f>
        <v>7.0710678118654755</v>
      </c>
      <c r="CU134" s="143" t="e">
        <f t="shared" ref="CU134:CU197" si="78">AVERAGE(V134:Z134)</f>
        <v>#DIV/0!</v>
      </c>
      <c r="CV134" s="143" t="e">
        <f t="shared" ref="CV134:CV197" si="79">AVERAGE(V134:AG134)</f>
        <v>#DIV/0!</v>
      </c>
      <c r="CW134" s="7"/>
      <c r="CX134" s="7">
        <f t="shared" ref="CX134:CX197" si="80">_xlfn.PERCENTILE.INC(V134:CM134,0.05)</f>
        <v>3.1500000000000012</v>
      </c>
      <c r="CY134" s="7">
        <f t="shared" ref="CY134:CY197" si="81">_xlfn.PERCENTILE.INC(V134:CM134,0.15)</f>
        <v>5.4499999999999975</v>
      </c>
      <c r="CZ134" s="7">
        <f t="shared" ref="CZ134:CZ197" si="82">_xlfn.PERCENTILE.INC(V134:CM134,0.2)</f>
        <v>6.5999999999999988</v>
      </c>
      <c r="DA134" s="7">
        <f t="shared" ref="DA134:DA197" si="83">_xlfn.PERCENTILE.INC(V134:CM134,0.25)</f>
        <v>7.75</v>
      </c>
      <c r="DB134" s="7">
        <f t="shared" ref="DB134:DB197" si="84">_xlfn.PERCENTILE.INC(V134:CM134,0.5)</f>
        <v>13.5</v>
      </c>
      <c r="DC134" s="7">
        <f t="shared" ref="DC134:DC197" si="85">_xlfn.PERCENTILE.INC(V134:CM134,0.6)</f>
        <v>15.800000000000002</v>
      </c>
      <c r="DD134" s="7">
        <f t="shared" ref="DD134:DD197" si="86">_xlfn.PERCENTILE.INC(V134:CM134,0.65)</f>
        <v>16.949999999999996</v>
      </c>
      <c r="DE134" s="7">
        <f t="shared" ref="DE134:DE197" si="87">_xlfn.PERCENTILE.INC(V134:CM134,0.75)</f>
        <v>19.25</v>
      </c>
      <c r="DF134" s="7">
        <f t="shared" ref="DF134:DF197" si="88">_xlfn.PERCENTILE.INC(V134:CM134,0.85)</f>
        <v>21.55</v>
      </c>
      <c r="DG134" s="7"/>
      <c r="DH134" s="7">
        <f t="shared" ref="DH134:DH197" si="89">_xlfn.PERCENTILE.INC(V134:AW134,0.05)</f>
        <v>2</v>
      </c>
      <c r="DI134" s="7">
        <f t="shared" ref="DI134:DI197" si="90">_xlfn.PERCENTILE.INC(V134:AW134,0.15)</f>
        <v>2</v>
      </c>
      <c r="DJ134" s="7">
        <f t="shared" ref="DJ134:DJ197" si="91">_xlfn.PERCENTILE.INC(V134:AW134,0.2)</f>
        <v>2</v>
      </c>
      <c r="DK134" s="7">
        <f t="shared" ref="DK134:DK197" si="92">_xlfn.PERCENTILE.INC(V134:AW134,0.25)</f>
        <v>2</v>
      </c>
      <c r="DL134" s="7">
        <f t="shared" ref="DL134:DL197" si="93">_xlfn.PERCENTILE.INC(V134:AW134,0.5)</f>
        <v>2</v>
      </c>
      <c r="DM134" s="7">
        <f t="shared" ref="DM134:DM197" si="94">_xlfn.PERCENTILE.INC(V134:AW134,0.6)</f>
        <v>2</v>
      </c>
      <c r="DN134" s="7">
        <f t="shared" ref="DN134:DN197" si="95">_xlfn.PERCENTILE.INC(V134:AW134,0.65)</f>
        <v>2</v>
      </c>
      <c r="DO134" s="7">
        <f t="shared" ref="DO134:DO197" si="96">_xlfn.PERCENTILE.INC(V134:AW134,0.75)</f>
        <v>2</v>
      </c>
      <c r="DP134" s="7">
        <f t="shared" ref="DP134:DP197" si="97">_xlfn.PERCENTILE.INC(V134:AW134,0.85)</f>
        <v>2</v>
      </c>
      <c r="DQ134" s="7"/>
      <c r="DR134" s="7"/>
      <c r="DS134" s="7"/>
      <c r="DT134" s="7"/>
      <c r="DU134" s="7"/>
      <c r="DV134" s="7"/>
      <c r="DW134" s="7"/>
      <c r="DX134" s="7"/>
      <c r="DY134" s="7"/>
      <c r="DZ134" s="7"/>
    </row>
    <row r="135" spans="1:130" ht="25.5" hidden="1" customHeight="1" x14ac:dyDescent="0.25">
      <c r="A135" s="92" t="str">
        <f t="shared" si="66"/>
        <v>CM-SWVI [10]</v>
      </c>
      <c r="B135" s="92" t="str">
        <f t="shared" si="67"/>
        <v>Southwest Vancouver Island</v>
      </c>
      <c r="C135" s="93" t="str">
        <f t="shared" si="68"/>
        <v>MACKTUSH CREEK_Chum</v>
      </c>
      <c r="D135" s="128" t="s">
        <v>598</v>
      </c>
      <c r="E135" s="128" t="s">
        <v>598</v>
      </c>
      <c r="F135" s="64">
        <v>23</v>
      </c>
      <c r="G135" s="72" t="s">
        <v>124</v>
      </c>
      <c r="H135" s="65" t="s">
        <v>96</v>
      </c>
      <c r="I135" s="119"/>
      <c r="J135" s="119"/>
      <c r="K135" s="64">
        <v>4</v>
      </c>
      <c r="L135" s="52">
        <v>10</v>
      </c>
      <c r="M135" s="52">
        <v>9</v>
      </c>
      <c r="N135" s="52">
        <f t="shared" si="69"/>
        <v>48.659610797765097</v>
      </c>
      <c r="O135" s="52">
        <f t="shared" si="70"/>
        <v>750</v>
      </c>
      <c r="P135" s="52">
        <f t="shared" si="71"/>
        <v>44.789002959964357</v>
      </c>
      <c r="Q135" s="66"/>
      <c r="R135" s="39"/>
      <c r="S135" s="76" t="s">
        <v>327</v>
      </c>
      <c r="T135" s="81" t="e">
        <f t="shared" si="72"/>
        <v>#DIV/0!</v>
      </c>
      <c r="U135" s="81">
        <f t="shared" si="73"/>
        <v>935</v>
      </c>
      <c r="V135" s="52" t="s">
        <v>102</v>
      </c>
      <c r="W135" s="52" t="s">
        <v>102</v>
      </c>
      <c r="X135" s="52" t="s">
        <v>102</v>
      </c>
      <c r="Y135" s="54" t="s">
        <v>102</v>
      </c>
      <c r="Z135" s="52" t="s">
        <v>102</v>
      </c>
      <c r="AA135" s="52" t="s">
        <v>262</v>
      </c>
      <c r="AB135" s="52" t="s">
        <v>262</v>
      </c>
      <c r="AC135" s="52" t="s">
        <v>262</v>
      </c>
      <c r="AD135" s="52" t="s">
        <v>102</v>
      </c>
      <c r="AE135" s="144" t="s">
        <v>263</v>
      </c>
      <c r="AF135" s="52">
        <v>1000</v>
      </c>
      <c r="AG135" s="52">
        <v>870</v>
      </c>
      <c r="AH135" s="52" t="s">
        <v>102</v>
      </c>
      <c r="AI135" s="52" t="s">
        <v>102</v>
      </c>
      <c r="AJ135" s="52" t="s">
        <v>102</v>
      </c>
      <c r="AK135" s="52" t="s">
        <v>102</v>
      </c>
      <c r="AL135" s="52" t="s">
        <v>102</v>
      </c>
      <c r="AM135" s="52">
        <v>102</v>
      </c>
      <c r="AN135" s="52">
        <v>136</v>
      </c>
      <c r="AO135" s="52" t="s">
        <v>102</v>
      </c>
      <c r="AP135" s="53">
        <v>175</v>
      </c>
      <c r="AQ135" s="52">
        <v>300</v>
      </c>
      <c r="AR135" s="53">
        <v>50</v>
      </c>
      <c r="AS135" s="52" t="s">
        <v>262</v>
      </c>
      <c r="AT135" s="52">
        <v>100</v>
      </c>
      <c r="AU135" s="52">
        <v>14</v>
      </c>
      <c r="AV135" s="52">
        <v>10</v>
      </c>
      <c r="AW135" s="52">
        <v>3</v>
      </c>
      <c r="AX135" s="51" t="s">
        <v>102</v>
      </c>
      <c r="AY135" s="53" t="s">
        <v>262</v>
      </c>
      <c r="AZ135" s="53" t="s">
        <v>102</v>
      </c>
      <c r="BA135" s="53" t="s">
        <v>102</v>
      </c>
      <c r="BB135" s="53" t="s">
        <v>264</v>
      </c>
      <c r="BC135" s="53" t="s">
        <v>102</v>
      </c>
      <c r="BD135" s="53" t="s">
        <v>102</v>
      </c>
      <c r="BE135" s="53" t="s">
        <v>102</v>
      </c>
      <c r="BF135" s="53" t="s">
        <v>102</v>
      </c>
      <c r="BG135" s="53" t="s">
        <v>102</v>
      </c>
      <c r="BH135" s="53" t="s">
        <v>264</v>
      </c>
      <c r="BI135" s="53" t="s">
        <v>264</v>
      </c>
      <c r="BJ135" s="53" t="s">
        <v>102</v>
      </c>
      <c r="BK135" s="53" t="s">
        <v>102</v>
      </c>
      <c r="BL135" s="53" t="s">
        <v>102</v>
      </c>
      <c r="BM135" s="53" t="s">
        <v>264</v>
      </c>
      <c r="BN135" s="53" t="s">
        <v>262</v>
      </c>
      <c r="BO135" s="53" t="s">
        <v>264</v>
      </c>
      <c r="BP135" s="53" t="s">
        <v>262</v>
      </c>
      <c r="BQ135" s="53" t="s">
        <v>262</v>
      </c>
      <c r="BR135" s="53">
        <v>25</v>
      </c>
      <c r="BS135" s="53" t="s">
        <v>262</v>
      </c>
      <c r="BT135" s="53">
        <v>25</v>
      </c>
      <c r="BU135" s="53" t="s">
        <v>262</v>
      </c>
      <c r="BV135" s="53">
        <v>25</v>
      </c>
      <c r="BW135" s="53" t="s">
        <v>262</v>
      </c>
      <c r="BX135" s="53">
        <v>400</v>
      </c>
      <c r="BY135" s="53">
        <v>25</v>
      </c>
      <c r="BZ135" s="53">
        <v>200</v>
      </c>
      <c r="CA135" s="53">
        <v>25</v>
      </c>
      <c r="CB135" s="53">
        <v>25</v>
      </c>
      <c r="CC135" s="53">
        <v>25</v>
      </c>
      <c r="CD135" s="53">
        <v>25</v>
      </c>
      <c r="CE135" s="53">
        <v>25</v>
      </c>
      <c r="CF135" s="53">
        <v>25</v>
      </c>
      <c r="CG135" s="53">
        <v>25</v>
      </c>
      <c r="CH135" s="53">
        <v>25</v>
      </c>
      <c r="CI135" s="53">
        <v>25</v>
      </c>
      <c r="CJ135" s="53">
        <v>25</v>
      </c>
      <c r="CK135" s="53">
        <v>25</v>
      </c>
      <c r="CL135" s="53">
        <v>200</v>
      </c>
      <c r="CM135" s="53">
        <v>750</v>
      </c>
      <c r="CN135" s="206"/>
      <c r="CO135" s="206"/>
      <c r="CP135" s="206"/>
      <c r="CQ135" s="8">
        <f t="shared" si="74"/>
        <v>3</v>
      </c>
      <c r="CR135" s="8">
        <f t="shared" si="75"/>
        <v>1000</v>
      </c>
      <c r="CS135" s="8">
        <f t="shared" si="76"/>
        <v>156.16666666666666</v>
      </c>
      <c r="CT135">
        <f t="shared" si="77"/>
        <v>54.837453216159766</v>
      </c>
      <c r="CU135" s="143" t="e">
        <f t="shared" si="78"/>
        <v>#DIV/0!</v>
      </c>
      <c r="CV135" s="143">
        <f t="shared" si="79"/>
        <v>935</v>
      </c>
      <c r="CW135" s="7"/>
      <c r="CX135" s="7">
        <f t="shared" si="80"/>
        <v>11.8</v>
      </c>
      <c r="CY135" s="7">
        <f t="shared" si="81"/>
        <v>25</v>
      </c>
      <c r="CZ135" s="7">
        <f t="shared" si="82"/>
        <v>25</v>
      </c>
      <c r="DA135" s="7">
        <f t="shared" si="83"/>
        <v>25</v>
      </c>
      <c r="DB135" s="7">
        <f t="shared" si="84"/>
        <v>25</v>
      </c>
      <c r="DC135" s="7">
        <f t="shared" si="85"/>
        <v>34.999999999999964</v>
      </c>
      <c r="DD135" s="7">
        <f t="shared" si="86"/>
        <v>92.500000000000071</v>
      </c>
      <c r="DE135" s="7">
        <f t="shared" si="87"/>
        <v>165.25</v>
      </c>
      <c r="DF135" s="7">
        <f t="shared" si="88"/>
        <v>264.99999999999989</v>
      </c>
      <c r="DG135" s="7"/>
      <c r="DH135" s="7">
        <f t="shared" si="89"/>
        <v>6.5</v>
      </c>
      <c r="DI135" s="7">
        <f t="shared" si="90"/>
        <v>12</v>
      </c>
      <c r="DJ135" s="7">
        <f t="shared" si="91"/>
        <v>14</v>
      </c>
      <c r="DK135" s="7">
        <f t="shared" si="92"/>
        <v>32</v>
      </c>
      <c r="DL135" s="7">
        <f t="shared" si="93"/>
        <v>102</v>
      </c>
      <c r="DM135" s="7">
        <f t="shared" si="94"/>
        <v>136</v>
      </c>
      <c r="DN135" s="7">
        <f t="shared" si="95"/>
        <v>155.5</v>
      </c>
      <c r="DO135" s="7">
        <f t="shared" si="96"/>
        <v>237.5</v>
      </c>
      <c r="DP135" s="7">
        <f t="shared" si="97"/>
        <v>585</v>
      </c>
      <c r="DQ135" s="7"/>
      <c r="DR135" s="7"/>
      <c r="DS135" s="7"/>
      <c r="DT135" s="7"/>
      <c r="DU135" s="7"/>
      <c r="DV135" s="7"/>
      <c r="DW135" s="7"/>
      <c r="DX135" s="7"/>
      <c r="DY135" s="7"/>
      <c r="DZ135" s="7"/>
    </row>
    <row r="136" spans="1:130" ht="25.5" hidden="1" customHeight="1" x14ac:dyDescent="0.25">
      <c r="A136" s="92" t="str">
        <f t="shared" si="66"/>
        <v>CO-WVI [17]</v>
      </c>
      <c r="B136" s="92" t="str">
        <f t="shared" si="67"/>
        <v>West Vancouver Island</v>
      </c>
      <c r="C136" s="93" t="str">
        <f t="shared" si="68"/>
        <v>MACKTUSH CREEK_Coho</v>
      </c>
      <c r="D136" s="128" t="s">
        <v>598</v>
      </c>
      <c r="E136" s="128" t="s">
        <v>598</v>
      </c>
      <c r="F136" s="64">
        <v>23</v>
      </c>
      <c r="G136" s="72" t="s">
        <v>124</v>
      </c>
      <c r="H136" s="67" t="s">
        <v>93</v>
      </c>
      <c r="I136" s="119"/>
      <c r="J136" s="119"/>
      <c r="K136" s="64">
        <v>4</v>
      </c>
      <c r="L136" s="52">
        <v>10</v>
      </c>
      <c r="M136" s="52">
        <v>4</v>
      </c>
      <c r="N136" s="52">
        <f t="shared" si="69"/>
        <v>17.320508075688775</v>
      </c>
      <c r="O136" s="52">
        <f t="shared" si="70"/>
        <v>200</v>
      </c>
      <c r="P136" s="52">
        <f t="shared" si="71"/>
        <v>33.309199060458056</v>
      </c>
      <c r="Q136" s="66"/>
      <c r="R136" s="39"/>
      <c r="S136" s="76" t="s">
        <v>327</v>
      </c>
      <c r="T136" s="81" t="e">
        <f t="shared" si="72"/>
        <v>#DIV/0!</v>
      </c>
      <c r="U136" s="81" t="e">
        <f t="shared" si="73"/>
        <v>#DIV/0!</v>
      </c>
      <c r="V136" s="52" t="s">
        <v>102</v>
      </c>
      <c r="W136" s="52" t="s">
        <v>102</v>
      </c>
      <c r="X136" s="52" t="s">
        <v>102</v>
      </c>
      <c r="Y136" s="54" t="s">
        <v>102</v>
      </c>
      <c r="Z136" s="52" t="s">
        <v>102</v>
      </c>
      <c r="AA136" s="52" t="s">
        <v>262</v>
      </c>
      <c r="AB136" s="52" t="s">
        <v>262</v>
      </c>
      <c r="AC136" s="52" t="s">
        <v>262</v>
      </c>
      <c r="AD136" s="52" t="s">
        <v>102</v>
      </c>
      <c r="AE136" s="144" t="s">
        <v>262</v>
      </c>
      <c r="AF136" s="52" t="s">
        <v>263</v>
      </c>
      <c r="AG136" s="52" t="s">
        <v>262</v>
      </c>
      <c r="AH136" s="52" t="s">
        <v>102</v>
      </c>
      <c r="AI136" s="52" t="s">
        <v>102</v>
      </c>
      <c r="AJ136" s="52" t="s">
        <v>102</v>
      </c>
      <c r="AK136" s="52" t="s">
        <v>102</v>
      </c>
      <c r="AL136" s="52" t="s">
        <v>102</v>
      </c>
      <c r="AM136" s="52" t="s">
        <v>262</v>
      </c>
      <c r="AN136" s="52">
        <v>10</v>
      </c>
      <c r="AO136" s="52" t="s">
        <v>102</v>
      </c>
      <c r="AP136" s="53" t="s">
        <v>262</v>
      </c>
      <c r="AQ136" s="52">
        <v>30</v>
      </c>
      <c r="AR136" s="53" t="s">
        <v>262</v>
      </c>
      <c r="AS136" s="52" t="s">
        <v>262</v>
      </c>
      <c r="AT136" s="52">
        <v>50</v>
      </c>
      <c r="AU136" s="52">
        <v>6</v>
      </c>
      <c r="AV136" s="52" t="s">
        <v>262</v>
      </c>
      <c r="AW136" s="52" t="s">
        <v>262</v>
      </c>
      <c r="AX136" s="51" t="s">
        <v>102</v>
      </c>
      <c r="AY136" s="53" t="s">
        <v>262</v>
      </c>
      <c r="AZ136" s="53" t="s">
        <v>102</v>
      </c>
      <c r="BA136" s="53" t="s">
        <v>102</v>
      </c>
      <c r="BB136" s="53" t="s">
        <v>264</v>
      </c>
      <c r="BC136" s="53" t="s">
        <v>102</v>
      </c>
      <c r="BD136" s="53" t="s">
        <v>102</v>
      </c>
      <c r="BE136" s="53" t="s">
        <v>102</v>
      </c>
      <c r="BF136" s="53" t="s">
        <v>102</v>
      </c>
      <c r="BG136" s="53" t="s">
        <v>102</v>
      </c>
      <c r="BH136" s="53" t="s">
        <v>264</v>
      </c>
      <c r="BI136" s="53" t="s">
        <v>264</v>
      </c>
      <c r="BJ136" s="53" t="s">
        <v>102</v>
      </c>
      <c r="BK136" s="53" t="s">
        <v>102</v>
      </c>
      <c r="BL136" s="53" t="s">
        <v>102</v>
      </c>
      <c r="BM136" s="53">
        <v>35</v>
      </c>
      <c r="BN136" s="53">
        <v>40</v>
      </c>
      <c r="BO136" s="53">
        <v>20</v>
      </c>
      <c r="BP136" s="53">
        <v>45</v>
      </c>
      <c r="BQ136" s="53">
        <v>40</v>
      </c>
      <c r="BR136" s="53">
        <v>25</v>
      </c>
      <c r="BS136" s="53">
        <v>200</v>
      </c>
      <c r="BT136" s="53" t="s">
        <v>262</v>
      </c>
      <c r="BU136" s="53">
        <v>25</v>
      </c>
      <c r="BV136" s="53">
        <v>75</v>
      </c>
      <c r="BW136" s="53">
        <v>200</v>
      </c>
      <c r="BX136" s="53">
        <v>200</v>
      </c>
      <c r="BY136" s="53">
        <v>75</v>
      </c>
      <c r="BZ136" s="53">
        <v>25</v>
      </c>
      <c r="CA136" s="53">
        <v>25</v>
      </c>
      <c r="CB136" s="53">
        <v>25</v>
      </c>
      <c r="CC136" s="53">
        <v>25</v>
      </c>
      <c r="CD136" s="53">
        <v>25</v>
      </c>
      <c r="CE136" s="53">
        <v>25</v>
      </c>
      <c r="CF136" s="53">
        <v>25</v>
      </c>
      <c r="CG136" s="53">
        <v>25</v>
      </c>
      <c r="CH136" s="53">
        <v>25</v>
      </c>
      <c r="CI136" s="53">
        <v>25</v>
      </c>
      <c r="CJ136" s="53">
        <v>25</v>
      </c>
      <c r="CK136" s="53">
        <v>25</v>
      </c>
      <c r="CL136" s="53">
        <v>25</v>
      </c>
      <c r="CM136" s="53">
        <v>25</v>
      </c>
      <c r="CN136" s="206"/>
      <c r="CO136" s="206"/>
      <c r="CP136" s="206"/>
      <c r="CQ136" s="8">
        <f t="shared" si="74"/>
        <v>6</v>
      </c>
      <c r="CR136" s="8">
        <f t="shared" si="75"/>
        <v>200</v>
      </c>
      <c r="CS136" s="8">
        <f t="shared" si="76"/>
        <v>47.533333333333331</v>
      </c>
      <c r="CT136">
        <f t="shared" si="77"/>
        <v>33.309199060458056</v>
      </c>
      <c r="CU136" s="143" t="e">
        <f t="shared" si="78"/>
        <v>#DIV/0!</v>
      </c>
      <c r="CV136" s="143" t="e">
        <f t="shared" si="79"/>
        <v>#DIV/0!</v>
      </c>
      <c r="CW136" s="7"/>
      <c r="CX136" s="7">
        <f t="shared" si="80"/>
        <v>14.500000000000002</v>
      </c>
      <c r="CY136" s="7">
        <f t="shared" si="81"/>
        <v>25</v>
      </c>
      <c r="CZ136" s="7">
        <f t="shared" si="82"/>
        <v>25</v>
      </c>
      <c r="DA136" s="7">
        <f t="shared" si="83"/>
        <v>25</v>
      </c>
      <c r="DB136" s="7">
        <f t="shared" si="84"/>
        <v>25</v>
      </c>
      <c r="DC136" s="7">
        <f t="shared" si="85"/>
        <v>25</v>
      </c>
      <c r="DD136" s="7">
        <f t="shared" si="86"/>
        <v>29.250000000000007</v>
      </c>
      <c r="DE136" s="7">
        <f t="shared" si="87"/>
        <v>40</v>
      </c>
      <c r="DF136" s="7">
        <f t="shared" si="88"/>
        <v>66.249999999999972</v>
      </c>
      <c r="DG136" s="7"/>
      <c r="DH136" s="7">
        <f t="shared" si="89"/>
        <v>6.6</v>
      </c>
      <c r="DI136" s="7">
        <f t="shared" si="90"/>
        <v>7.8</v>
      </c>
      <c r="DJ136" s="7">
        <f t="shared" si="91"/>
        <v>8.4</v>
      </c>
      <c r="DK136" s="7">
        <f t="shared" si="92"/>
        <v>9</v>
      </c>
      <c r="DL136" s="7">
        <f t="shared" si="93"/>
        <v>20</v>
      </c>
      <c r="DM136" s="7">
        <f t="shared" si="94"/>
        <v>25.999999999999996</v>
      </c>
      <c r="DN136" s="7">
        <f t="shared" si="95"/>
        <v>29.000000000000004</v>
      </c>
      <c r="DO136" s="7">
        <f t="shared" si="96"/>
        <v>35</v>
      </c>
      <c r="DP136" s="7">
        <f t="shared" si="97"/>
        <v>41</v>
      </c>
      <c r="DQ136" s="7"/>
      <c r="DR136" s="7"/>
      <c r="DS136" s="7"/>
      <c r="DT136" s="7"/>
      <c r="DU136" s="7"/>
      <c r="DV136" s="7"/>
      <c r="DW136" s="7"/>
      <c r="DX136" s="7"/>
      <c r="DY136" s="7"/>
      <c r="DZ136" s="7"/>
    </row>
    <row r="137" spans="1:130" ht="25.5" hidden="1" customHeight="1" x14ac:dyDescent="0.25">
      <c r="A137" s="92" t="str">
        <f t="shared" ref="A137:A200" si="98">VLOOKUP(C137,CU,6,FALSE)</f>
        <v>CM-SWVI [10]</v>
      </c>
      <c r="B137" s="92" t="str">
        <f t="shared" ref="B137:B200" si="99">VLOOKUP(C137,CU,7,FALSE)</f>
        <v>Southwest Vancouver Island</v>
      </c>
      <c r="C137" s="93" t="str">
        <f t="shared" si="68"/>
        <v>MAGGIE RIVER_Chum</v>
      </c>
      <c r="D137" s="128" t="s">
        <v>598</v>
      </c>
      <c r="E137" s="128" t="s">
        <v>598</v>
      </c>
      <c r="F137" s="64">
        <v>23</v>
      </c>
      <c r="G137" s="72" t="s">
        <v>145</v>
      </c>
      <c r="H137" s="65" t="s">
        <v>96</v>
      </c>
      <c r="I137" s="119"/>
      <c r="J137" s="119"/>
      <c r="K137" s="64">
        <v>5</v>
      </c>
      <c r="L137" s="52">
        <v>8</v>
      </c>
      <c r="M137" s="52">
        <v>5</v>
      </c>
      <c r="N137" s="52">
        <f t="shared" si="69"/>
        <v>34.094695446820509</v>
      </c>
      <c r="O137" s="52">
        <f t="shared" si="70"/>
        <v>4000</v>
      </c>
      <c r="P137" s="52">
        <f t="shared" si="71"/>
        <v>322.57365691787078</v>
      </c>
      <c r="Q137" s="66"/>
      <c r="R137" s="37"/>
      <c r="S137" s="74" t="s">
        <v>339</v>
      </c>
      <c r="T137" s="81">
        <f t="shared" si="72"/>
        <v>89</v>
      </c>
      <c r="U137" s="81">
        <f t="shared" si="73"/>
        <v>89</v>
      </c>
      <c r="V137" s="233">
        <v>89</v>
      </c>
      <c r="W137" s="52" t="s">
        <v>262</v>
      </c>
      <c r="X137" s="52" t="s">
        <v>262</v>
      </c>
      <c r="Y137" s="52" t="s">
        <v>262</v>
      </c>
      <c r="Z137" s="52" t="s">
        <v>102</v>
      </c>
      <c r="AA137" s="52" t="s">
        <v>102</v>
      </c>
      <c r="AB137" s="52" t="s">
        <v>102</v>
      </c>
      <c r="AC137" s="52" t="s">
        <v>262</v>
      </c>
      <c r="AD137" s="52" t="s">
        <v>262</v>
      </c>
      <c r="AE137" s="144" t="s">
        <v>262</v>
      </c>
      <c r="AF137" s="52" t="s">
        <v>263</v>
      </c>
      <c r="AG137" s="52" t="s">
        <v>102</v>
      </c>
      <c r="AH137" s="52" t="s">
        <v>102</v>
      </c>
      <c r="AI137" s="54"/>
      <c r="AJ137" s="52" t="s">
        <v>102</v>
      </c>
      <c r="AK137" s="54">
        <v>80</v>
      </c>
      <c r="AL137" s="52" t="s">
        <v>102</v>
      </c>
      <c r="AM137" s="54"/>
      <c r="AN137" s="54"/>
      <c r="AO137" s="52" t="s">
        <v>102</v>
      </c>
      <c r="AP137" s="52">
        <v>35</v>
      </c>
      <c r="AQ137" s="52" t="s">
        <v>262</v>
      </c>
      <c r="AR137" s="52" t="s">
        <v>262</v>
      </c>
      <c r="AS137" s="52">
        <v>6</v>
      </c>
      <c r="AT137" s="52">
        <v>85</v>
      </c>
      <c r="AU137" s="52">
        <v>110</v>
      </c>
      <c r="AV137" s="52">
        <v>10</v>
      </c>
      <c r="AW137" s="52" t="s">
        <v>262</v>
      </c>
      <c r="AX137" s="51" t="s">
        <v>102</v>
      </c>
      <c r="AY137" s="53">
        <v>30</v>
      </c>
      <c r="AZ137" s="53" t="s">
        <v>264</v>
      </c>
      <c r="BA137" s="53">
        <v>200</v>
      </c>
      <c r="BB137" s="53">
        <v>500</v>
      </c>
      <c r="BC137" s="53" t="s">
        <v>262</v>
      </c>
      <c r="BD137" s="53">
        <v>1800</v>
      </c>
      <c r="BE137" s="53" t="s">
        <v>102</v>
      </c>
      <c r="BF137" s="53">
        <v>4000</v>
      </c>
      <c r="BG137" s="53">
        <v>1500</v>
      </c>
      <c r="BH137" s="53" t="s">
        <v>264</v>
      </c>
      <c r="BI137" s="53" t="s">
        <v>264</v>
      </c>
      <c r="BJ137" s="53" t="s">
        <v>262</v>
      </c>
      <c r="BK137" s="53" t="s">
        <v>264</v>
      </c>
      <c r="BL137" s="53" t="s">
        <v>264</v>
      </c>
      <c r="BM137" s="53">
        <v>350</v>
      </c>
      <c r="BN137" s="53">
        <v>400</v>
      </c>
      <c r="BO137" s="53">
        <v>290</v>
      </c>
      <c r="BP137" s="53">
        <v>2000</v>
      </c>
      <c r="BQ137" s="53">
        <v>200</v>
      </c>
      <c r="BR137" s="53">
        <v>750</v>
      </c>
      <c r="BS137" s="53">
        <v>200</v>
      </c>
      <c r="BT137" s="53">
        <v>1500</v>
      </c>
      <c r="BU137" s="53">
        <v>75</v>
      </c>
      <c r="BV137" s="53">
        <v>750</v>
      </c>
      <c r="BW137" s="53">
        <v>200</v>
      </c>
      <c r="BX137" s="53">
        <v>750</v>
      </c>
      <c r="BY137" s="53">
        <v>1500</v>
      </c>
      <c r="BZ137" s="53">
        <v>400</v>
      </c>
      <c r="CA137" s="53">
        <v>400</v>
      </c>
      <c r="CB137" s="53">
        <v>200</v>
      </c>
      <c r="CC137" s="53">
        <v>200</v>
      </c>
      <c r="CD137" s="53">
        <v>400</v>
      </c>
      <c r="CE137" s="53">
        <v>750</v>
      </c>
      <c r="CF137" s="53">
        <v>750</v>
      </c>
      <c r="CG137" s="53">
        <v>750</v>
      </c>
      <c r="CH137" s="53">
        <v>1500</v>
      </c>
      <c r="CI137" s="53">
        <v>750</v>
      </c>
      <c r="CJ137" s="53">
        <v>200</v>
      </c>
      <c r="CK137" s="53">
        <v>200</v>
      </c>
      <c r="CL137" s="53">
        <v>400</v>
      </c>
      <c r="CM137" s="53">
        <v>1500</v>
      </c>
      <c r="CN137" s="206"/>
      <c r="CO137" s="206"/>
      <c r="CP137" s="206"/>
      <c r="CQ137" s="8">
        <f t="shared" si="74"/>
        <v>6</v>
      </c>
      <c r="CR137" s="8">
        <f t="shared" si="75"/>
        <v>4000</v>
      </c>
      <c r="CS137" s="8">
        <f t="shared" si="76"/>
        <v>645.25</v>
      </c>
      <c r="CT137">
        <f t="shared" si="77"/>
        <v>312.35461388491416</v>
      </c>
      <c r="CU137" s="143">
        <f t="shared" si="78"/>
        <v>89</v>
      </c>
      <c r="CV137" s="143">
        <f t="shared" si="79"/>
        <v>89</v>
      </c>
      <c r="CW137" s="7"/>
      <c r="CX137" s="7">
        <f t="shared" si="80"/>
        <v>29.000000000000004</v>
      </c>
      <c r="CY137" s="7">
        <f t="shared" si="81"/>
        <v>84.25</v>
      </c>
      <c r="CZ137" s="7">
        <f t="shared" si="82"/>
        <v>105.80000000000001</v>
      </c>
      <c r="DA137" s="7">
        <f t="shared" si="83"/>
        <v>200</v>
      </c>
      <c r="DB137" s="7">
        <f t="shared" si="84"/>
        <v>400</v>
      </c>
      <c r="DC137" s="7">
        <f t="shared" si="85"/>
        <v>439.99999999999989</v>
      </c>
      <c r="DD137" s="7">
        <f t="shared" si="86"/>
        <v>750</v>
      </c>
      <c r="DE137" s="7">
        <f t="shared" si="87"/>
        <v>750</v>
      </c>
      <c r="DF137" s="7">
        <f t="shared" si="88"/>
        <v>1500</v>
      </c>
      <c r="DG137" s="7"/>
      <c r="DH137" s="7">
        <f t="shared" si="89"/>
        <v>7.2</v>
      </c>
      <c r="DI137" s="7">
        <f t="shared" si="90"/>
        <v>9.6</v>
      </c>
      <c r="DJ137" s="7">
        <f t="shared" si="91"/>
        <v>15.000000000000004</v>
      </c>
      <c r="DK137" s="7">
        <f t="shared" si="92"/>
        <v>22.5</v>
      </c>
      <c r="DL137" s="7">
        <f t="shared" si="93"/>
        <v>80</v>
      </c>
      <c r="DM137" s="7">
        <f t="shared" si="94"/>
        <v>83</v>
      </c>
      <c r="DN137" s="7">
        <f t="shared" si="95"/>
        <v>84.5</v>
      </c>
      <c r="DO137" s="7">
        <f t="shared" si="96"/>
        <v>87</v>
      </c>
      <c r="DP137" s="7">
        <f t="shared" si="97"/>
        <v>91.1</v>
      </c>
      <c r="DQ137" s="7"/>
      <c r="DR137" s="7"/>
      <c r="DS137" s="7"/>
      <c r="DT137" s="7"/>
      <c r="DU137" s="7"/>
      <c r="DV137" s="7"/>
      <c r="DW137" s="7"/>
      <c r="DX137" s="7"/>
      <c r="DY137" s="7"/>
      <c r="DZ137" s="7"/>
    </row>
    <row r="138" spans="1:130" ht="25.5" hidden="1" customHeight="1" x14ac:dyDescent="0.25">
      <c r="A138" s="92" t="str">
        <f t="shared" si="98"/>
        <v>CO-WVI [17]</v>
      </c>
      <c r="B138" s="92" t="str">
        <f t="shared" si="99"/>
        <v>West Vancouver Island</v>
      </c>
      <c r="C138" s="93" t="str">
        <f t="shared" si="68"/>
        <v>MAGGIE RIVER_Coho</v>
      </c>
      <c r="D138" s="128" t="s">
        <v>598</v>
      </c>
      <c r="E138" s="128" t="s">
        <v>598</v>
      </c>
      <c r="F138" s="64">
        <v>23</v>
      </c>
      <c r="G138" s="72" t="s">
        <v>145</v>
      </c>
      <c r="H138" s="65" t="s">
        <v>93</v>
      </c>
      <c r="I138" s="119"/>
      <c r="J138" s="119"/>
      <c r="K138" s="64">
        <v>5</v>
      </c>
      <c r="L138" s="52">
        <v>8</v>
      </c>
      <c r="M138" s="52">
        <v>8</v>
      </c>
      <c r="N138" s="52">
        <f t="shared" si="69"/>
        <v>751.19070261160289</v>
      </c>
      <c r="O138" s="52">
        <f t="shared" si="70"/>
        <v>7500</v>
      </c>
      <c r="P138" s="52">
        <f t="shared" si="71"/>
        <v>1041.8237220052538</v>
      </c>
      <c r="Q138" s="66"/>
      <c r="R138" s="37"/>
      <c r="S138" s="74" t="s">
        <v>339</v>
      </c>
      <c r="T138" s="81">
        <f t="shared" si="72"/>
        <v>225.25</v>
      </c>
      <c r="U138" s="81">
        <f t="shared" si="73"/>
        <v>373.83333333333331</v>
      </c>
      <c r="V138" s="233">
        <v>226</v>
      </c>
      <c r="W138" s="52">
        <v>289</v>
      </c>
      <c r="X138" s="52">
        <v>112</v>
      </c>
      <c r="Y138" s="52">
        <v>274</v>
      </c>
      <c r="Z138" s="52" t="s">
        <v>102</v>
      </c>
      <c r="AA138" s="52" t="s">
        <v>102</v>
      </c>
      <c r="AB138" s="52" t="s">
        <v>102</v>
      </c>
      <c r="AC138" s="52">
        <v>608</v>
      </c>
      <c r="AD138" s="52">
        <v>734</v>
      </c>
      <c r="AE138" s="144" t="s">
        <v>263</v>
      </c>
      <c r="AF138" s="52" t="s">
        <v>263</v>
      </c>
      <c r="AG138" s="52" t="s">
        <v>102</v>
      </c>
      <c r="AH138" s="52" t="s">
        <v>102</v>
      </c>
      <c r="AI138" s="54">
        <v>32</v>
      </c>
      <c r="AJ138" s="52" t="s">
        <v>102</v>
      </c>
      <c r="AK138" s="122"/>
      <c r="AL138" s="52" t="s">
        <v>102</v>
      </c>
      <c r="AM138" s="122" t="s">
        <v>102</v>
      </c>
      <c r="AN138" s="54"/>
      <c r="AO138" s="52" t="s">
        <v>102</v>
      </c>
      <c r="AP138" s="52">
        <v>1168</v>
      </c>
      <c r="AQ138" s="52">
        <v>1200</v>
      </c>
      <c r="AR138" s="52">
        <v>1200</v>
      </c>
      <c r="AS138" s="52">
        <v>400</v>
      </c>
      <c r="AT138" s="52">
        <v>1000</v>
      </c>
      <c r="AU138" s="52">
        <v>285</v>
      </c>
      <c r="AV138" s="52">
        <v>661</v>
      </c>
      <c r="AW138" s="52">
        <v>800</v>
      </c>
      <c r="AX138" s="51">
        <v>225</v>
      </c>
      <c r="AY138" s="53">
        <v>250</v>
      </c>
      <c r="AZ138" s="53">
        <v>600</v>
      </c>
      <c r="BA138" s="53">
        <v>100</v>
      </c>
      <c r="BB138" s="53">
        <v>450</v>
      </c>
      <c r="BC138" s="53">
        <v>350</v>
      </c>
      <c r="BD138" s="53">
        <v>300</v>
      </c>
      <c r="BE138" s="53" t="s">
        <v>102</v>
      </c>
      <c r="BF138" s="53" t="s">
        <v>262</v>
      </c>
      <c r="BG138" s="53">
        <v>400</v>
      </c>
      <c r="BH138" s="53" t="s">
        <v>264</v>
      </c>
      <c r="BI138" s="53" t="s">
        <v>264</v>
      </c>
      <c r="BJ138" s="53">
        <v>7</v>
      </c>
      <c r="BK138" s="53" t="s">
        <v>264</v>
      </c>
      <c r="BL138" s="53" t="s">
        <v>264</v>
      </c>
      <c r="BM138" s="53">
        <v>1500</v>
      </c>
      <c r="BN138" s="53">
        <v>1500</v>
      </c>
      <c r="BO138" s="53">
        <v>1300</v>
      </c>
      <c r="BP138" s="53">
        <v>1800</v>
      </c>
      <c r="BQ138" s="53">
        <v>1200</v>
      </c>
      <c r="BR138" s="53">
        <v>1500</v>
      </c>
      <c r="BS138" s="53">
        <v>2000</v>
      </c>
      <c r="BT138" s="53">
        <v>750</v>
      </c>
      <c r="BU138" s="53">
        <v>400</v>
      </c>
      <c r="BV138" s="53">
        <v>1500</v>
      </c>
      <c r="BW138" s="53">
        <v>400</v>
      </c>
      <c r="BX138" s="53">
        <v>3500</v>
      </c>
      <c r="BY138" s="53">
        <v>3500</v>
      </c>
      <c r="BZ138" s="53">
        <v>1500</v>
      </c>
      <c r="CA138" s="53">
        <v>1500</v>
      </c>
      <c r="CB138" s="53">
        <v>3500</v>
      </c>
      <c r="CC138" s="53">
        <v>3500</v>
      </c>
      <c r="CD138" s="53">
        <v>3500</v>
      </c>
      <c r="CE138" s="53">
        <v>3500</v>
      </c>
      <c r="CF138" s="53">
        <v>1500</v>
      </c>
      <c r="CG138" s="53">
        <v>3500</v>
      </c>
      <c r="CH138" s="53">
        <v>3500</v>
      </c>
      <c r="CI138" s="53">
        <v>3500</v>
      </c>
      <c r="CJ138" s="53">
        <v>750</v>
      </c>
      <c r="CK138" s="53">
        <v>7500</v>
      </c>
      <c r="CL138" s="53">
        <v>7500</v>
      </c>
      <c r="CM138" s="53">
        <v>3500</v>
      </c>
      <c r="CN138" s="206"/>
      <c r="CO138" s="206"/>
      <c r="CP138" s="206"/>
      <c r="CQ138" s="8">
        <f t="shared" si="74"/>
        <v>7</v>
      </c>
      <c r="CR138" s="8">
        <f t="shared" si="75"/>
        <v>7500</v>
      </c>
      <c r="CS138" s="8">
        <f t="shared" si="76"/>
        <v>1583.7450980392157</v>
      </c>
      <c r="CT138">
        <f t="shared" si="77"/>
        <v>843.85545347572861</v>
      </c>
      <c r="CU138" s="143">
        <f t="shared" si="78"/>
        <v>225.25</v>
      </c>
      <c r="CV138" s="143">
        <f t="shared" si="79"/>
        <v>373.83333333333331</v>
      </c>
      <c r="CW138" s="7"/>
      <c r="CX138" s="7">
        <f t="shared" si="80"/>
        <v>106</v>
      </c>
      <c r="CY138" s="7">
        <f t="shared" si="81"/>
        <v>279.5</v>
      </c>
      <c r="CZ138" s="7">
        <f t="shared" si="82"/>
        <v>300</v>
      </c>
      <c r="DA138" s="7">
        <f t="shared" si="83"/>
        <v>400</v>
      </c>
      <c r="DB138" s="7">
        <f t="shared" si="84"/>
        <v>1168</v>
      </c>
      <c r="DC138" s="7">
        <f t="shared" si="85"/>
        <v>1500</v>
      </c>
      <c r="DD138" s="7">
        <f t="shared" si="86"/>
        <v>1500</v>
      </c>
      <c r="DE138" s="7">
        <f t="shared" si="87"/>
        <v>1900</v>
      </c>
      <c r="DF138" s="7">
        <f t="shared" si="88"/>
        <v>3500</v>
      </c>
      <c r="DG138" s="7"/>
      <c r="DH138" s="7">
        <f t="shared" si="89"/>
        <v>88.000000000000014</v>
      </c>
      <c r="DI138" s="7">
        <f t="shared" si="90"/>
        <v>230.8</v>
      </c>
      <c r="DJ138" s="7">
        <f t="shared" si="91"/>
        <v>264.40000000000003</v>
      </c>
      <c r="DK138" s="7">
        <f t="shared" si="92"/>
        <v>279.5</v>
      </c>
      <c r="DL138" s="7">
        <f t="shared" si="93"/>
        <v>608</v>
      </c>
      <c r="DM138" s="7">
        <f t="shared" si="94"/>
        <v>690.2</v>
      </c>
      <c r="DN138" s="7">
        <f t="shared" si="95"/>
        <v>740.6</v>
      </c>
      <c r="DO138" s="7">
        <f t="shared" si="96"/>
        <v>900</v>
      </c>
      <c r="DP138" s="7">
        <f t="shared" si="97"/>
        <v>1151.2</v>
      </c>
      <c r="DQ138" s="7"/>
      <c r="DR138" s="7"/>
      <c r="DS138" s="7"/>
      <c r="DT138" s="7"/>
      <c r="DU138" s="7"/>
      <c r="DV138" s="7"/>
      <c r="DW138" s="7"/>
      <c r="DX138" s="7"/>
      <c r="DY138" s="7"/>
      <c r="DZ138" s="7"/>
    </row>
    <row r="139" spans="1:130" ht="25.5" customHeight="1" x14ac:dyDescent="0.25">
      <c r="A139" s="92" t="str">
        <f t="shared" si="98"/>
        <v>CK-SWVI [31]</v>
      </c>
      <c r="B139" s="92" t="str">
        <f t="shared" si="99"/>
        <v>Southwest Vancouver Island</v>
      </c>
      <c r="C139" s="93" t="str">
        <f t="shared" si="68"/>
        <v>MERCANTILE CREEK_Chinook</v>
      </c>
      <c r="D139" s="128" t="s">
        <v>598</v>
      </c>
      <c r="E139" s="128" t="s">
        <v>598</v>
      </c>
      <c r="F139" s="64">
        <v>23</v>
      </c>
      <c r="G139" s="72" t="s">
        <v>151</v>
      </c>
      <c r="H139" s="65" t="s">
        <v>97</v>
      </c>
      <c r="I139" s="119"/>
      <c r="J139" s="119"/>
      <c r="K139" s="64">
        <v>5</v>
      </c>
      <c r="L139" s="52">
        <v>10</v>
      </c>
      <c r="M139" s="52">
        <v>10</v>
      </c>
      <c r="N139" s="52">
        <f t="shared" si="69"/>
        <v>35.405317929599669</v>
      </c>
      <c r="O139" s="52">
        <f t="shared" si="70"/>
        <v>135</v>
      </c>
      <c r="P139" s="52">
        <f t="shared" si="71"/>
        <v>22.986767904280647</v>
      </c>
      <c r="Q139" s="66"/>
      <c r="R139" s="37"/>
      <c r="S139" s="74" t="s">
        <v>327</v>
      </c>
      <c r="T139" s="81" t="e">
        <f t="shared" si="72"/>
        <v>#DIV/0!</v>
      </c>
      <c r="U139" s="81">
        <f t="shared" si="73"/>
        <v>25</v>
      </c>
      <c r="V139" s="52" t="s">
        <v>102</v>
      </c>
      <c r="W139" s="52" t="s">
        <v>102</v>
      </c>
      <c r="X139" s="52" t="s">
        <v>102</v>
      </c>
      <c r="Y139" s="54" t="s">
        <v>102</v>
      </c>
      <c r="Z139" s="52" t="s">
        <v>102</v>
      </c>
      <c r="AA139" s="52" t="s">
        <v>102</v>
      </c>
      <c r="AB139" s="52" t="s">
        <v>102</v>
      </c>
      <c r="AC139" s="52" t="s">
        <v>102</v>
      </c>
      <c r="AD139" s="52" t="s">
        <v>102</v>
      </c>
      <c r="AE139" s="144">
        <v>25</v>
      </c>
      <c r="AF139" s="52" t="s">
        <v>102</v>
      </c>
      <c r="AG139" s="52" t="s">
        <v>102</v>
      </c>
      <c r="AH139" s="52" t="s">
        <v>102</v>
      </c>
      <c r="AI139" s="52" t="s">
        <v>102</v>
      </c>
      <c r="AJ139" s="52" t="s">
        <v>102</v>
      </c>
      <c r="AK139" s="53">
        <v>35</v>
      </c>
      <c r="AL139" s="89">
        <v>24</v>
      </c>
      <c r="AM139" s="52">
        <v>54</v>
      </c>
      <c r="AN139" s="52">
        <v>55</v>
      </c>
      <c r="AO139" s="52" t="s">
        <v>102</v>
      </c>
      <c r="AP139" s="52">
        <v>135</v>
      </c>
      <c r="AQ139" s="52">
        <v>120</v>
      </c>
      <c r="AR139" s="52">
        <v>40</v>
      </c>
      <c r="AS139" s="52">
        <v>16</v>
      </c>
      <c r="AT139" s="52">
        <v>125</v>
      </c>
      <c r="AU139" s="52">
        <v>60</v>
      </c>
      <c r="AV139" s="52">
        <v>20</v>
      </c>
      <c r="AW139" s="52">
        <v>1</v>
      </c>
      <c r="AX139" s="51">
        <v>4</v>
      </c>
      <c r="AY139" s="53" t="s">
        <v>263</v>
      </c>
      <c r="AZ139" s="53">
        <v>30</v>
      </c>
      <c r="BA139" s="53">
        <v>30</v>
      </c>
      <c r="BB139" s="53">
        <v>5</v>
      </c>
      <c r="BC139" s="53" t="s">
        <v>264</v>
      </c>
      <c r="BD139" s="53" t="s">
        <v>264</v>
      </c>
      <c r="BE139" s="53" t="s">
        <v>102</v>
      </c>
      <c r="BF139" s="53" t="s">
        <v>102</v>
      </c>
      <c r="BG139" s="53">
        <v>2</v>
      </c>
      <c r="BH139" s="53" t="s">
        <v>264</v>
      </c>
      <c r="BI139" s="53" t="s">
        <v>102</v>
      </c>
      <c r="BJ139" s="53" t="s">
        <v>264</v>
      </c>
      <c r="BK139" s="53" t="s">
        <v>102</v>
      </c>
      <c r="BL139" s="53" t="s">
        <v>102</v>
      </c>
      <c r="BM139" s="53" t="s">
        <v>264</v>
      </c>
      <c r="BN139" s="53" t="s">
        <v>264</v>
      </c>
      <c r="BO139" s="53" t="s">
        <v>264</v>
      </c>
      <c r="BP139" s="53" t="s">
        <v>264</v>
      </c>
      <c r="BQ139" s="53" t="s">
        <v>264</v>
      </c>
      <c r="BR139" s="53" t="s">
        <v>264</v>
      </c>
      <c r="BS139" s="53" t="s">
        <v>264</v>
      </c>
      <c r="BT139" s="53" t="s">
        <v>264</v>
      </c>
      <c r="BU139" s="53" t="s">
        <v>264</v>
      </c>
      <c r="BV139" s="53" t="s">
        <v>264</v>
      </c>
      <c r="BW139" s="53" t="s">
        <v>264</v>
      </c>
      <c r="BX139" s="53" t="s">
        <v>264</v>
      </c>
      <c r="BY139" s="53" t="s">
        <v>264</v>
      </c>
      <c r="BZ139" s="53" t="s">
        <v>264</v>
      </c>
      <c r="CA139" s="53" t="s">
        <v>264</v>
      </c>
      <c r="CB139" s="53" t="s">
        <v>264</v>
      </c>
      <c r="CC139" s="53" t="s">
        <v>264</v>
      </c>
      <c r="CD139" s="53" t="s">
        <v>264</v>
      </c>
      <c r="CE139" s="53" t="s">
        <v>264</v>
      </c>
      <c r="CF139" s="53" t="s">
        <v>264</v>
      </c>
      <c r="CG139" s="53" t="s">
        <v>264</v>
      </c>
      <c r="CH139" s="53" t="s">
        <v>264</v>
      </c>
      <c r="CI139" s="53" t="s">
        <v>264</v>
      </c>
      <c r="CJ139" s="53" t="s">
        <v>264</v>
      </c>
      <c r="CK139" s="53" t="s">
        <v>264</v>
      </c>
      <c r="CL139" s="53" t="s">
        <v>264</v>
      </c>
      <c r="CM139" s="53" t="s">
        <v>264</v>
      </c>
      <c r="CN139" s="206"/>
      <c r="CO139" s="206"/>
      <c r="CP139" s="206"/>
      <c r="CQ139" s="8">
        <f t="shared" si="74"/>
        <v>1</v>
      </c>
      <c r="CR139" s="8">
        <f t="shared" si="75"/>
        <v>135</v>
      </c>
      <c r="CS139" s="8">
        <f t="shared" si="76"/>
        <v>43.388888888888886</v>
      </c>
      <c r="CT139">
        <f t="shared" si="77"/>
        <v>23.094235114871751</v>
      </c>
      <c r="CU139" s="143" t="e">
        <f t="shared" si="78"/>
        <v>#DIV/0!</v>
      </c>
      <c r="CV139" s="143">
        <f t="shared" si="79"/>
        <v>25</v>
      </c>
      <c r="CW139" s="7"/>
      <c r="CX139" s="7">
        <f t="shared" si="80"/>
        <v>1.85</v>
      </c>
      <c r="CY139" s="7">
        <f t="shared" si="81"/>
        <v>4.55</v>
      </c>
      <c r="CZ139" s="7">
        <f t="shared" si="82"/>
        <v>9.4000000000000039</v>
      </c>
      <c r="DA139" s="7">
        <f t="shared" si="83"/>
        <v>17</v>
      </c>
      <c r="DB139" s="7">
        <f t="shared" si="84"/>
        <v>30</v>
      </c>
      <c r="DC139" s="7">
        <f t="shared" si="85"/>
        <v>36</v>
      </c>
      <c r="DD139" s="7">
        <f t="shared" si="86"/>
        <v>40.70000000000001</v>
      </c>
      <c r="DE139" s="7">
        <f t="shared" si="87"/>
        <v>54.75</v>
      </c>
      <c r="DF139" s="7">
        <f t="shared" si="88"/>
        <v>86.999999999999957</v>
      </c>
      <c r="DG139" s="7"/>
      <c r="DH139" s="7">
        <f t="shared" si="89"/>
        <v>10.000000000000002</v>
      </c>
      <c r="DI139" s="7">
        <f t="shared" si="90"/>
        <v>19.2</v>
      </c>
      <c r="DJ139" s="7">
        <f t="shared" si="91"/>
        <v>21.6</v>
      </c>
      <c r="DK139" s="7">
        <f t="shared" si="92"/>
        <v>24</v>
      </c>
      <c r="DL139" s="7">
        <f t="shared" si="93"/>
        <v>40</v>
      </c>
      <c r="DM139" s="7">
        <f t="shared" si="94"/>
        <v>54.2</v>
      </c>
      <c r="DN139" s="7">
        <f t="shared" si="95"/>
        <v>54.8</v>
      </c>
      <c r="DO139" s="7">
        <f t="shared" si="96"/>
        <v>60</v>
      </c>
      <c r="DP139" s="7">
        <f t="shared" si="97"/>
        <v>121</v>
      </c>
      <c r="DQ139" s="7"/>
      <c r="DR139" s="7"/>
      <c r="DS139" s="7"/>
      <c r="DT139" s="7"/>
      <c r="DU139" s="7"/>
      <c r="DV139" s="7"/>
      <c r="DW139" s="7"/>
      <c r="DX139" s="7"/>
      <c r="DY139" s="7"/>
      <c r="DZ139" s="7"/>
    </row>
    <row r="140" spans="1:130" ht="25.5" hidden="1" customHeight="1" x14ac:dyDescent="0.25">
      <c r="A140" s="92" t="str">
        <f t="shared" si="98"/>
        <v>CM-SWVI [10]</v>
      </c>
      <c r="B140" s="92" t="str">
        <f t="shared" si="99"/>
        <v>Southwest Vancouver Island</v>
      </c>
      <c r="C140" s="93" t="str">
        <f t="shared" si="68"/>
        <v>MERCANTILE CREEK_Chum</v>
      </c>
      <c r="D140" s="128" t="s">
        <v>598</v>
      </c>
      <c r="E140" s="128" t="s">
        <v>598</v>
      </c>
      <c r="F140" s="64">
        <v>23</v>
      </c>
      <c r="G140" s="72" t="s">
        <v>151</v>
      </c>
      <c r="H140" s="65" t="s">
        <v>96</v>
      </c>
      <c r="I140" s="119"/>
      <c r="J140" s="119"/>
      <c r="K140" s="64">
        <v>5</v>
      </c>
      <c r="L140" s="52">
        <v>10</v>
      </c>
      <c r="M140" s="52">
        <v>10</v>
      </c>
      <c r="N140" s="52">
        <f t="shared" si="69"/>
        <v>41.543865298620297</v>
      </c>
      <c r="O140" s="52">
        <f t="shared" si="70"/>
        <v>3032</v>
      </c>
      <c r="P140" s="52">
        <f t="shared" si="71"/>
        <v>113.84500441182642</v>
      </c>
      <c r="Q140" s="66"/>
      <c r="R140" s="37"/>
      <c r="S140" s="74" t="s">
        <v>327</v>
      </c>
      <c r="T140" s="81" t="e">
        <f t="shared" si="72"/>
        <v>#DIV/0!</v>
      </c>
      <c r="U140" s="81">
        <f t="shared" si="73"/>
        <v>62</v>
      </c>
      <c r="V140" s="52" t="s">
        <v>102</v>
      </c>
      <c r="W140" s="52" t="s">
        <v>102</v>
      </c>
      <c r="X140" s="52" t="s">
        <v>102</v>
      </c>
      <c r="Y140" s="54" t="s">
        <v>102</v>
      </c>
      <c r="Z140" s="52" t="s">
        <v>102</v>
      </c>
      <c r="AA140" s="52" t="s">
        <v>102</v>
      </c>
      <c r="AB140" s="52" t="s">
        <v>102</v>
      </c>
      <c r="AC140" s="52" t="s">
        <v>102</v>
      </c>
      <c r="AD140" s="52" t="s">
        <v>102</v>
      </c>
      <c r="AE140" s="144">
        <v>62</v>
      </c>
      <c r="AF140" s="52" t="s">
        <v>102</v>
      </c>
      <c r="AG140" s="52" t="s">
        <v>102</v>
      </c>
      <c r="AH140" s="52" t="s">
        <v>102</v>
      </c>
      <c r="AI140" s="52" t="s">
        <v>102</v>
      </c>
      <c r="AJ140" s="52" t="s">
        <v>102</v>
      </c>
      <c r="AK140" s="52">
        <v>20</v>
      </c>
      <c r="AL140" s="89">
        <v>55</v>
      </c>
      <c r="AM140" s="52">
        <v>200</v>
      </c>
      <c r="AN140" s="52">
        <v>250</v>
      </c>
      <c r="AO140" s="52" t="s">
        <v>102</v>
      </c>
      <c r="AP140" s="52">
        <v>35</v>
      </c>
      <c r="AQ140" s="52">
        <v>170</v>
      </c>
      <c r="AR140" s="52">
        <v>10</v>
      </c>
      <c r="AS140" s="52">
        <v>6</v>
      </c>
      <c r="AT140" s="52">
        <v>90</v>
      </c>
      <c r="AU140" s="52">
        <v>30</v>
      </c>
      <c r="AV140" s="52">
        <v>12</v>
      </c>
      <c r="AW140" s="52" t="s">
        <v>262</v>
      </c>
      <c r="AX140" s="51">
        <v>25</v>
      </c>
      <c r="AY140" s="53" t="s">
        <v>263</v>
      </c>
      <c r="AZ140" s="53">
        <v>150</v>
      </c>
      <c r="BA140" s="53">
        <v>150</v>
      </c>
      <c r="BB140" s="53">
        <v>45</v>
      </c>
      <c r="BC140" s="53" t="s">
        <v>262</v>
      </c>
      <c r="BD140" s="53">
        <v>9</v>
      </c>
      <c r="BE140" s="53" t="s">
        <v>102</v>
      </c>
      <c r="BF140" s="53" t="s">
        <v>102</v>
      </c>
      <c r="BG140" s="53">
        <v>2500</v>
      </c>
      <c r="BH140" s="53">
        <v>3032</v>
      </c>
      <c r="BI140" s="53" t="s">
        <v>102</v>
      </c>
      <c r="BJ140" s="53" t="s">
        <v>264</v>
      </c>
      <c r="BK140" s="53" t="s">
        <v>102</v>
      </c>
      <c r="BL140" s="53" t="s">
        <v>102</v>
      </c>
      <c r="BM140" s="53">
        <v>50</v>
      </c>
      <c r="BN140" s="53">
        <v>100</v>
      </c>
      <c r="BO140" s="53">
        <v>200</v>
      </c>
      <c r="BP140" s="53">
        <v>240</v>
      </c>
      <c r="BQ140" s="53">
        <v>200</v>
      </c>
      <c r="BR140" s="53">
        <v>75</v>
      </c>
      <c r="BS140" s="53">
        <v>200</v>
      </c>
      <c r="BT140" s="53">
        <v>200</v>
      </c>
      <c r="BU140" s="53">
        <v>200</v>
      </c>
      <c r="BV140" s="53">
        <v>400</v>
      </c>
      <c r="BW140" s="53">
        <v>400</v>
      </c>
      <c r="BX140" s="53">
        <v>200</v>
      </c>
      <c r="BY140" s="53">
        <v>75</v>
      </c>
      <c r="BZ140" s="53">
        <v>750</v>
      </c>
      <c r="CA140" s="53">
        <v>75</v>
      </c>
      <c r="CB140" s="53">
        <v>75</v>
      </c>
      <c r="CC140" s="53">
        <v>400</v>
      </c>
      <c r="CD140" s="53">
        <v>25</v>
      </c>
      <c r="CE140" s="53">
        <v>75</v>
      </c>
      <c r="CF140" s="53">
        <v>75</v>
      </c>
      <c r="CG140" s="53">
        <v>1500</v>
      </c>
      <c r="CH140" s="53">
        <v>750</v>
      </c>
      <c r="CI140" s="53">
        <v>200</v>
      </c>
      <c r="CJ140" s="53">
        <v>75</v>
      </c>
      <c r="CK140" s="53">
        <v>75</v>
      </c>
      <c r="CL140" s="53">
        <v>200</v>
      </c>
      <c r="CM140" s="53">
        <v>75</v>
      </c>
      <c r="CN140" s="206"/>
      <c r="CO140" s="206"/>
      <c r="CP140" s="206"/>
      <c r="CQ140" s="8">
        <f t="shared" si="74"/>
        <v>6</v>
      </c>
      <c r="CR140" s="8">
        <f t="shared" si="75"/>
        <v>3032</v>
      </c>
      <c r="CS140" s="8">
        <f t="shared" si="76"/>
        <v>298.71739130434781</v>
      </c>
      <c r="CT140">
        <f t="shared" si="77"/>
        <v>112.35089520553515</v>
      </c>
      <c r="CU140" s="143" t="e">
        <f t="shared" si="78"/>
        <v>#DIV/0!</v>
      </c>
      <c r="CV140" s="143">
        <f t="shared" si="79"/>
        <v>62</v>
      </c>
      <c r="CW140" s="7"/>
      <c r="CX140" s="7">
        <f t="shared" si="80"/>
        <v>10.5</v>
      </c>
      <c r="CY140" s="7">
        <f t="shared" si="81"/>
        <v>28.75</v>
      </c>
      <c r="CZ140" s="7">
        <f t="shared" si="82"/>
        <v>45</v>
      </c>
      <c r="DA140" s="7">
        <f t="shared" si="83"/>
        <v>56.75</v>
      </c>
      <c r="DB140" s="7">
        <f t="shared" si="84"/>
        <v>95</v>
      </c>
      <c r="DC140" s="7">
        <f t="shared" si="85"/>
        <v>200</v>
      </c>
      <c r="DD140" s="7">
        <f t="shared" si="86"/>
        <v>200</v>
      </c>
      <c r="DE140" s="7">
        <f t="shared" si="87"/>
        <v>200</v>
      </c>
      <c r="DF140" s="7">
        <f t="shared" si="88"/>
        <v>400</v>
      </c>
      <c r="DG140" s="7"/>
      <c r="DH140" s="7">
        <f t="shared" si="89"/>
        <v>8.1999999999999993</v>
      </c>
      <c r="DI140" s="7">
        <f t="shared" si="90"/>
        <v>11.3</v>
      </c>
      <c r="DJ140" s="7">
        <f t="shared" si="91"/>
        <v>13.600000000000001</v>
      </c>
      <c r="DK140" s="7">
        <f t="shared" si="92"/>
        <v>18</v>
      </c>
      <c r="DL140" s="7">
        <f t="shared" si="93"/>
        <v>45</v>
      </c>
      <c r="DM140" s="7">
        <f t="shared" si="94"/>
        <v>59.199999999999996</v>
      </c>
      <c r="DN140" s="7">
        <f t="shared" si="95"/>
        <v>66.200000000000017</v>
      </c>
      <c r="DO140" s="7">
        <f t="shared" si="96"/>
        <v>110</v>
      </c>
      <c r="DP140" s="7">
        <f t="shared" si="97"/>
        <v>180.5</v>
      </c>
      <c r="DQ140" s="7"/>
      <c r="DR140" s="7"/>
      <c r="DS140" s="7"/>
      <c r="DT140" s="7"/>
      <c r="DU140" s="7"/>
      <c r="DV140" s="7"/>
      <c r="DW140" s="7"/>
      <c r="DX140" s="7"/>
      <c r="DY140" s="7"/>
      <c r="DZ140" s="7"/>
    </row>
    <row r="141" spans="1:130" ht="25.5" hidden="1" customHeight="1" x14ac:dyDescent="0.25">
      <c r="A141" s="92" t="str">
        <f t="shared" si="98"/>
        <v>CO-WVI [17]</v>
      </c>
      <c r="B141" s="92" t="str">
        <f t="shared" si="99"/>
        <v>West Vancouver Island</v>
      </c>
      <c r="C141" s="93" t="str">
        <f t="shared" si="68"/>
        <v>MERCANTILE CREEK_Coho</v>
      </c>
      <c r="D141" s="128" t="s">
        <v>598</v>
      </c>
      <c r="E141" s="128" t="s">
        <v>598</v>
      </c>
      <c r="F141" s="64">
        <v>23</v>
      </c>
      <c r="G141" s="72" t="s">
        <v>151</v>
      </c>
      <c r="H141" s="65" t="s">
        <v>93</v>
      </c>
      <c r="I141" s="119"/>
      <c r="J141" s="119"/>
      <c r="K141" s="64">
        <v>5</v>
      </c>
      <c r="L141" s="52">
        <v>10</v>
      </c>
      <c r="M141" s="52">
        <v>9</v>
      </c>
      <c r="N141" s="52">
        <f t="shared" si="69"/>
        <v>24.772012132946738</v>
      </c>
      <c r="O141" s="52">
        <f t="shared" si="70"/>
        <v>200</v>
      </c>
      <c r="P141" s="52">
        <f t="shared" si="71"/>
        <v>32.379238462151548</v>
      </c>
      <c r="Q141" s="66"/>
      <c r="R141" s="37"/>
      <c r="S141" s="74" t="s">
        <v>327</v>
      </c>
      <c r="T141" s="81" t="e">
        <f t="shared" si="72"/>
        <v>#DIV/0!</v>
      </c>
      <c r="U141" s="81" t="e">
        <f t="shared" si="73"/>
        <v>#DIV/0!</v>
      </c>
      <c r="V141" s="52" t="s">
        <v>102</v>
      </c>
      <c r="W141" s="52" t="s">
        <v>102</v>
      </c>
      <c r="X141" s="52" t="s">
        <v>102</v>
      </c>
      <c r="Y141" s="54" t="s">
        <v>102</v>
      </c>
      <c r="Z141" s="52" t="s">
        <v>102</v>
      </c>
      <c r="AA141" s="52" t="s">
        <v>102</v>
      </c>
      <c r="AB141" s="52" t="s">
        <v>102</v>
      </c>
      <c r="AC141" s="52" t="s">
        <v>102</v>
      </c>
      <c r="AD141" s="52" t="s">
        <v>102</v>
      </c>
      <c r="AE141" s="144" t="s">
        <v>262</v>
      </c>
      <c r="AF141" s="52" t="s">
        <v>102</v>
      </c>
      <c r="AG141" s="52" t="s">
        <v>102</v>
      </c>
      <c r="AH141" s="52" t="s">
        <v>102</v>
      </c>
      <c r="AI141" s="52" t="s">
        <v>102</v>
      </c>
      <c r="AJ141" s="52" t="s">
        <v>102</v>
      </c>
      <c r="AK141" s="52">
        <v>17</v>
      </c>
      <c r="AL141" s="89" t="s">
        <v>262</v>
      </c>
      <c r="AM141" s="52" t="s">
        <v>262</v>
      </c>
      <c r="AN141" s="52">
        <v>35</v>
      </c>
      <c r="AO141" s="52" t="s">
        <v>102</v>
      </c>
      <c r="AP141" s="52">
        <v>65</v>
      </c>
      <c r="AQ141" s="52">
        <v>50</v>
      </c>
      <c r="AR141" s="52">
        <v>30</v>
      </c>
      <c r="AS141" s="52">
        <v>10</v>
      </c>
      <c r="AT141" s="52">
        <v>50</v>
      </c>
      <c r="AU141" s="52">
        <v>60</v>
      </c>
      <c r="AV141" s="52">
        <v>25</v>
      </c>
      <c r="AW141" s="52">
        <v>2</v>
      </c>
      <c r="AX141" s="51" t="s">
        <v>264</v>
      </c>
      <c r="AY141" s="53" t="s">
        <v>263</v>
      </c>
      <c r="AZ141" s="53">
        <v>100</v>
      </c>
      <c r="BA141" s="53">
        <v>200</v>
      </c>
      <c r="BB141" s="53">
        <v>4</v>
      </c>
      <c r="BC141" s="53" t="s">
        <v>264</v>
      </c>
      <c r="BD141" s="53" t="s">
        <v>262</v>
      </c>
      <c r="BE141" s="53" t="s">
        <v>102</v>
      </c>
      <c r="BF141" s="53" t="s">
        <v>102</v>
      </c>
      <c r="BG141" s="53">
        <v>200</v>
      </c>
      <c r="BH141" s="53" t="s">
        <v>264</v>
      </c>
      <c r="BI141" s="53" t="s">
        <v>102</v>
      </c>
      <c r="BJ141" s="53" t="s">
        <v>264</v>
      </c>
      <c r="BK141" s="53" t="s">
        <v>102</v>
      </c>
      <c r="BL141" s="53" t="s">
        <v>102</v>
      </c>
      <c r="BM141" s="53" t="s">
        <v>264</v>
      </c>
      <c r="BN141" s="53" t="s">
        <v>264</v>
      </c>
      <c r="BO141" s="53" t="s">
        <v>264</v>
      </c>
      <c r="BP141" s="53" t="s">
        <v>264</v>
      </c>
      <c r="BQ141" s="53" t="s">
        <v>264</v>
      </c>
      <c r="BR141" s="53" t="s">
        <v>264</v>
      </c>
      <c r="BS141" s="53" t="s">
        <v>264</v>
      </c>
      <c r="BT141" s="53" t="s">
        <v>264</v>
      </c>
      <c r="BU141" s="53" t="s">
        <v>264</v>
      </c>
      <c r="BV141" s="53" t="s">
        <v>264</v>
      </c>
      <c r="BW141" s="53" t="s">
        <v>264</v>
      </c>
      <c r="BX141" s="53" t="s">
        <v>264</v>
      </c>
      <c r="BY141" s="53" t="s">
        <v>264</v>
      </c>
      <c r="BZ141" s="53" t="s">
        <v>264</v>
      </c>
      <c r="CA141" s="53" t="s">
        <v>264</v>
      </c>
      <c r="CB141" s="53" t="s">
        <v>264</v>
      </c>
      <c r="CC141" s="53" t="s">
        <v>264</v>
      </c>
      <c r="CD141" s="53" t="s">
        <v>264</v>
      </c>
      <c r="CE141" s="53" t="s">
        <v>264</v>
      </c>
      <c r="CF141" s="53" t="s">
        <v>264</v>
      </c>
      <c r="CG141" s="53" t="s">
        <v>264</v>
      </c>
      <c r="CH141" s="53" t="s">
        <v>264</v>
      </c>
      <c r="CI141" s="53" t="s">
        <v>264</v>
      </c>
      <c r="CJ141" s="53" t="s">
        <v>264</v>
      </c>
      <c r="CK141" s="53" t="s">
        <v>264</v>
      </c>
      <c r="CL141" s="53" t="s">
        <v>264</v>
      </c>
      <c r="CM141" s="53" t="s">
        <v>264</v>
      </c>
      <c r="CN141" s="206"/>
      <c r="CO141" s="206"/>
      <c r="CP141" s="206"/>
      <c r="CQ141" s="8">
        <f t="shared" si="74"/>
        <v>2</v>
      </c>
      <c r="CR141" s="8">
        <f t="shared" si="75"/>
        <v>200</v>
      </c>
      <c r="CS141" s="8">
        <f t="shared" si="76"/>
        <v>60.571428571428569</v>
      </c>
      <c r="CT141">
        <f t="shared" si="77"/>
        <v>32.379238462151548</v>
      </c>
      <c r="CU141" s="143" t="e">
        <f t="shared" si="78"/>
        <v>#DIV/0!</v>
      </c>
      <c r="CV141" s="143" t="e">
        <f t="shared" si="79"/>
        <v>#DIV/0!</v>
      </c>
      <c r="CW141" s="7"/>
      <c r="CX141" s="7">
        <f t="shared" si="80"/>
        <v>3.3</v>
      </c>
      <c r="CY141" s="7">
        <f t="shared" si="81"/>
        <v>9.7000000000000011</v>
      </c>
      <c r="CZ141" s="7">
        <f t="shared" si="82"/>
        <v>14.200000000000001</v>
      </c>
      <c r="DA141" s="7">
        <f t="shared" si="83"/>
        <v>19</v>
      </c>
      <c r="DB141" s="7">
        <f t="shared" si="84"/>
        <v>42.5</v>
      </c>
      <c r="DC141" s="7">
        <f t="shared" si="85"/>
        <v>50</v>
      </c>
      <c r="DD141" s="7">
        <f t="shared" si="86"/>
        <v>54.500000000000014</v>
      </c>
      <c r="DE141" s="7">
        <f t="shared" si="87"/>
        <v>63.75</v>
      </c>
      <c r="DF141" s="7">
        <f t="shared" si="88"/>
        <v>104.99999999999989</v>
      </c>
      <c r="DG141" s="7"/>
      <c r="DH141" s="7">
        <f t="shared" si="89"/>
        <v>5.6</v>
      </c>
      <c r="DI141" s="7">
        <f t="shared" si="90"/>
        <v>12.449999999999998</v>
      </c>
      <c r="DJ141" s="7">
        <f t="shared" si="91"/>
        <v>15.599999999999998</v>
      </c>
      <c r="DK141" s="7">
        <f t="shared" si="92"/>
        <v>19</v>
      </c>
      <c r="DL141" s="7">
        <f t="shared" si="93"/>
        <v>32.5</v>
      </c>
      <c r="DM141" s="7">
        <f t="shared" si="94"/>
        <v>40.999999999999993</v>
      </c>
      <c r="DN141" s="7">
        <f t="shared" si="95"/>
        <v>47.750000000000007</v>
      </c>
      <c r="DO141" s="7">
        <f t="shared" si="96"/>
        <v>50</v>
      </c>
      <c r="DP141" s="7">
        <f t="shared" si="97"/>
        <v>56.499999999999986</v>
      </c>
      <c r="DQ141" s="7"/>
      <c r="DR141" s="7"/>
      <c r="DS141" s="7"/>
      <c r="DT141" s="7"/>
      <c r="DU141" s="7"/>
      <c r="DV141" s="7"/>
      <c r="DW141" s="7"/>
      <c r="DX141" s="7"/>
      <c r="DY141" s="7"/>
      <c r="DZ141" s="7"/>
    </row>
    <row r="142" spans="1:130" ht="25.5" customHeight="1" x14ac:dyDescent="0.25">
      <c r="A142" s="92" t="str">
        <f t="shared" si="98"/>
        <v>CK-SWVI [31]</v>
      </c>
      <c r="B142" s="92" t="str">
        <f t="shared" si="99"/>
        <v>Southwest Vancouver Island</v>
      </c>
      <c r="C142" s="93" t="str">
        <f t="shared" si="68"/>
        <v>NAHMINT RIVER_Chinook</v>
      </c>
      <c r="D142" s="128" t="s">
        <v>598</v>
      </c>
      <c r="E142" s="128" t="s">
        <v>599</v>
      </c>
      <c r="F142" s="64">
        <v>23</v>
      </c>
      <c r="G142" s="72" t="s">
        <v>125</v>
      </c>
      <c r="H142" s="65" t="s">
        <v>97</v>
      </c>
      <c r="I142" s="119"/>
      <c r="J142" s="119"/>
      <c r="K142" s="64">
        <v>3</v>
      </c>
      <c r="L142" s="52">
        <v>11</v>
      </c>
      <c r="M142" s="52">
        <v>11</v>
      </c>
      <c r="N142" s="52">
        <f t="shared" si="69"/>
        <v>289.1558791274669</v>
      </c>
      <c r="O142" s="52">
        <f t="shared" si="70"/>
        <v>3500</v>
      </c>
      <c r="P142" s="52">
        <f t="shared" si="71"/>
        <v>400.56759804859439</v>
      </c>
      <c r="Q142" s="66" t="s">
        <v>268</v>
      </c>
      <c r="R142" s="37"/>
      <c r="S142" s="74" t="s">
        <v>1</v>
      </c>
      <c r="T142" s="81">
        <f t="shared" si="72"/>
        <v>637.75</v>
      </c>
      <c r="U142" s="81">
        <f t="shared" si="73"/>
        <v>430</v>
      </c>
      <c r="V142" s="233">
        <v>865</v>
      </c>
      <c r="W142" s="52">
        <v>310</v>
      </c>
      <c r="X142" s="52">
        <v>891</v>
      </c>
      <c r="Y142" s="52">
        <v>485</v>
      </c>
      <c r="Z142" s="52">
        <v>171</v>
      </c>
      <c r="AA142" s="52">
        <v>112</v>
      </c>
      <c r="AB142" s="52">
        <v>847</v>
      </c>
      <c r="AC142" s="52">
        <v>396</v>
      </c>
      <c r="AD142" s="53">
        <v>73</v>
      </c>
      <c r="AE142" s="144">
        <v>192</v>
      </c>
      <c r="AF142" s="52">
        <v>178</v>
      </c>
      <c r="AG142" s="177">
        <v>640</v>
      </c>
      <c r="AH142" s="52">
        <v>400</v>
      </c>
      <c r="AI142" s="53">
        <v>100</v>
      </c>
      <c r="AJ142" s="53">
        <v>140</v>
      </c>
      <c r="AK142" s="179">
        <v>166</v>
      </c>
      <c r="AL142" s="89">
        <v>351</v>
      </c>
      <c r="AM142" s="52">
        <v>159</v>
      </c>
      <c r="AN142" s="52">
        <v>1192</v>
      </c>
      <c r="AO142" s="53">
        <v>630</v>
      </c>
      <c r="AP142" s="53">
        <v>319</v>
      </c>
      <c r="AQ142" s="53">
        <v>213</v>
      </c>
      <c r="AR142" s="53">
        <v>68</v>
      </c>
      <c r="AS142" s="207">
        <v>740</v>
      </c>
      <c r="AT142" s="52">
        <v>739</v>
      </c>
      <c r="AU142" s="52">
        <v>236</v>
      </c>
      <c r="AV142" s="52">
        <v>232</v>
      </c>
      <c r="AW142" s="52">
        <v>212</v>
      </c>
      <c r="AX142" s="178">
        <v>450</v>
      </c>
      <c r="AY142" s="179">
        <v>83</v>
      </c>
      <c r="AZ142" s="179">
        <v>150</v>
      </c>
      <c r="BA142" s="179">
        <v>171</v>
      </c>
      <c r="BB142" s="179">
        <v>230</v>
      </c>
      <c r="BC142" s="179">
        <v>300</v>
      </c>
      <c r="BD142" s="179">
        <v>50</v>
      </c>
      <c r="BE142" s="179" t="s">
        <v>264</v>
      </c>
      <c r="BF142" s="179">
        <v>300</v>
      </c>
      <c r="BG142" s="179">
        <v>250</v>
      </c>
      <c r="BH142" s="179">
        <v>35</v>
      </c>
      <c r="BI142" s="179">
        <v>100</v>
      </c>
      <c r="BJ142" s="179">
        <v>425</v>
      </c>
      <c r="BK142" s="179">
        <v>250</v>
      </c>
      <c r="BL142" s="179">
        <v>175</v>
      </c>
      <c r="BM142" s="179">
        <v>200</v>
      </c>
      <c r="BN142" s="179">
        <v>300</v>
      </c>
      <c r="BO142" s="179">
        <v>450</v>
      </c>
      <c r="BP142" s="179">
        <v>550</v>
      </c>
      <c r="BQ142" s="179">
        <v>750</v>
      </c>
      <c r="BR142" s="179">
        <v>600</v>
      </c>
      <c r="BS142" s="179">
        <v>750</v>
      </c>
      <c r="BT142" s="179">
        <v>900</v>
      </c>
      <c r="BU142" s="179">
        <v>1200</v>
      </c>
      <c r="BV142" s="179">
        <v>750</v>
      </c>
      <c r="BW142" s="179">
        <v>750</v>
      </c>
      <c r="BX142" s="179">
        <v>400</v>
      </c>
      <c r="BY142" s="179">
        <v>400</v>
      </c>
      <c r="BZ142" s="179">
        <v>750</v>
      </c>
      <c r="CA142" s="179">
        <v>400</v>
      </c>
      <c r="CB142" s="179">
        <v>400</v>
      </c>
      <c r="CC142" s="179">
        <v>1500</v>
      </c>
      <c r="CD142" s="179">
        <v>400</v>
      </c>
      <c r="CE142" s="179">
        <v>1500</v>
      </c>
      <c r="CF142" s="179">
        <v>750</v>
      </c>
      <c r="CG142" s="179">
        <v>1500</v>
      </c>
      <c r="CH142" s="179">
        <v>400</v>
      </c>
      <c r="CI142" s="179">
        <v>400</v>
      </c>
      <c r="CJ142" s="179">
        <v>750</v>
      </c>
      <c r="CK142" s="179">
        <v>3500</v>
      </c>
      <c r="CL142" s="179">
        <v>3500</v>
      </c>
      <c r="CM142" s="179">
        <v>3500</v>
      </c>
      <c r="CN142" s="206"/>
      <c r="CO142" s="206"/>
      <c r="CP142" s="206"/>
      <c r="CQ142" s="8">
        <f t="shared" si="74"/>
        <v>35</v>
      </c>
      <c r="CR142" s="8">
        <f t="shared" si="75"/>
        <v>3500</v>
      </c>
      <c r="CS142" s="8">
        <f t="shared" si="76"/>
        <v>598.20289855072463</v>
      </c>
      <c r="CT142">
        <f t="shared" si="77"/>
        <v>377.71388965982555</v>
      </c>
      <c r="CU142" s="143">
        <f t="shared" si="78"/>
        <v>544.4</v>
      </c>
      <c r="CV142" s="143">
        <f t="shared" si="79"/>
        <v>430</v>
      </c>
      <c r="CW142" s="7"/>
      <c r="CX142" s="7">
        <f t="shared" si="80"/>
        <v>77</v>
      </c>
      <c r="CY142" s="7">
        <f t="shared" si="81"/>
        <v>160.4</v>
      </c>
      <c r="CZ142" s="7">
        <f t="shared" si="82"/>
        <v>173.4</v>
      </c>
      <c r="DA142" s="7">
        <f t="shared" si="83"/>
        <v>200</v>
      </c>
      <c r="DB142" s="7">
        <f t="shared" si="84"/>
        <v>400</v>
      </c>
      <c r="DC142" s="7">
        <f t="shared" si="85"/>
        <v>444.99999999999994</v>
      </c>
      <c r="DD142" s="7">
        <f t="shared" si="86"/>
        <v>560.00000000000011</v>
      </c>
      <c r="DE142" s="7">
        <f t="shared" si="87"/>
        <v>750</v>
      </c>
      <c r="DF142" s="7">
        <f t="shared" si="88"/>
        <v>861.4</v>
      </c>
      <c r="DG142" s="7"/>
      <c r="DH142" s="7">
        <f t="shared" si="89"/>
        <v>82.45</v>
      </c>
      <c r="DI142" s="7">
        <f t="shared" si="90"/>
        <v>140.94999999999999</v>
      </c>
      <c r="DJ142" s="7">
        <f t="shared" si="91"/>
        <v>161.80000000000001</v>
      </c>
      <c r="DK142" s="7">
        <f t="shared" si="92"/>
        <v>169.75</v>
      </c>
      <c r="DL142" s="7">
        <f t="shared" si="93"/>
        <v>273</v>
      </c>
      <c r="DM142" s="7">
        <f t="shared" si="94"/>
        <v>359.99999999999994</v>
      </c>
      <c r="DN142" s="7">
        <f t="shared" si="95"/>
        <v>398.2</v>
      </c>
      <c r="DO142" s="7">
        <f t="shared" si="96"/>
        <v>632.5</v>
      </c>
      <c r="DP142" s="7">
        <f t="shared" si="97"/>
        <v>739.95</v>
      </c>
      <c r="DQ142" s="7"/>
      <c r="DR142" s="7"/>
      <c r="DS142" s="7"/>
      <c r="DT142" s="7"/>
      <c r="DU142" s="7"/>
      <c r="DV142" s="7"/>
      <c r="DW142" s="7"/>
      <c r="DX142" s="7"/>
      <c r="DY142" s="7"/>
      <c r="DZ142" s="7"/>
    </row>
    <row r="143" spans="1:130" ht="25.5" hidden="1" customHeight="1" x14ac:dyDescent="0.25">
      <c r="A143" s="92" t="str">
        <f t="shared" si="98"/>
        <v>CM-SWVI [10]</v>
      </c>
      <c r="B143" s="92" t="str">
        <f t="shared" si="99"/>
        <v>Southwest Vancouver Island</v>
      </c>
      <c r="C143" s="93" t="str">
        <f t="shared" si="68"/>
        <v>NAHMINT RIVER_Chum</v>
      </c>
      <c r="D143" s="128" t="s">
        <v>598</v>
      </c>
      <c r="E143" s="128" t="s">
        <v>598</v>
      </c>
      <c r="F143" s="64">
        <v>23</v>
      </c>
      <c r="G143" s="72" t="s">
        <v>125</v>
      </c>
      <c r="H143" s="65" t="s">
        <v>96</v>
      </c>
      <c r="I143" s="119"/>
      <c r="J143" s="119"/>
      <c r="K143" s="64">
        <v>3</v>
      </c>
      <c r="L143" s="52">
        <v>11</v>
      </c>
      <c r="M143" s="52">
        <v>11</v>
      </c>
      <c r="N143" s="52">
        <f t="shared" si="69"/>
        <v>23826.158466436751</v>
      </c>
      <c r="O143" s="52">
        <f t="shared" si="70"/>
        <v>140624</v>
      </c>
      <c r="P143" s="52">
        <f t="shared" si="71"/>
        <v>21264.82851614918</v>
      </c>
      <c r="Q143" s="66" t="s">
        <v>268</v>
      </c>
      <c r="R143" s="37"/>
      <c r="S143" s="74" t="s">
        <v>1</v>
      </c>
      <c r="T143" s="81">
        <f t="shared" si="72"/>
        <v>3312.25</v>
      </c>
      <c r="U143" s="81">
        <f t="shared" si="73"/>
        <v>8573.5833333333339</v>
      </c>
      <c r="V143" s="233">
        <v>3065</v>
      </c>
      <c r="W143" s="52">
        <v>3177</v>
      </c>
      <c r="X143" s="52">
        <v>5631</v>
      </c>
      <c r="Y143" s="52">
        <v>1376</v>
      </c>
      <c r="Z143" s="52">
        <v>2174</v>
      </c>
      <c r="AA143" s="52">
        <v>3037</v>
      </c>
      <c r="AB143" s="52">
        <v>22975</v>
      </c>
      <c r="AC143" s="52">
        <v>7710</v>
      </c>
      <c r="AD143" s="52">
        <v>4299</v>
      </c>
      <c r="AE143" s="144">
        <v>6465</v>
      </c>
      <c r="AF143" s="52">
        <v>15755</v>
      </c>
      <c r="AG143" s="144">
        <v>27219</v>
      </c>
      <c r="AH143" s="53">
        <v>5970</v>
      </c>
      <c r="AI143" s="53">
        <v>6400</v>
      </c>
      <c r="AJ143" s="53">
        <v>8405</v>
      </c>
      <c r="AK143" s="53">
        <v>23576</v>
      </c>
      <c r="AL143" s="89">
        <v>8472</v>
      </c>
      <c r="AM143" s="53">
        <v>28810</v>
      </c>
      <c r="AN143" s="52">
        <v>35237</v>
      </c>
      <c r="AO143" s="53">
        <v>51294</v>
      </c>
      <c r="AP143" s="53">
        <v>60000</v>
      </c>
      <c r="AQ143" s="53">
        <v>9682</v>
      </c>
      <c r="AR143" s="53">
        <v>5109</v>
      </c>
      <c r="AS143" s="52">
        <v>37660</v>
      </c>
      <c r="AT143" s="52">
        <v>140624</v>
      </c>
      <c r="AU143" s="52">
        <v>46394</v>
      </c>
      <c r="AV143" s="52">
        <v>19905</v>
      </c>
      <c r="AW143" s="52">
        <v>14974</v>
      </c>
      <c r="AX143" s="51" t="s">
        <v>263</v>
      </c>
      <c r="AY143" s="53">
        <v>50000</v>
      </c>
      <c r="AZ143" s="53">
        <v>55000</v>
      </c>
      <c r="BA143" s="53">
        <v>15000</v>
      </c>
      <c r="BB143" s="53">
        <v>6500</v>
      </c>
      <c r="BC143" s="53">
        <v>18000</v>
      </c>
      <c r="BD143" s="53">
        <v>26400</v>
      </c>
      <c r="BE143" s="53" t="s">
        <v>264</v>
      </c>
      <c r="BF143" s="53">
        <v>20000</v>
      </c>
      <c r="BG143" s="53">
        <v>44000</v>
      </c>
      <c r="BH143" s="53">
        <v>4250</v>
      </c>
      <c r="BI143" s="53">
        <v>15000</v>
      </c>
      <c r="BJ143" s="53">
        <v>37500</v>
      </c>
      <c r="BK143" s="53">
        <v>16600</v>
      </c>
      <c r="BL143" s="53">
        <v>30000</v>
      </c>
      <c r="BM143" s="53">
        <v>4000</v>
      </c>
      <c r="BN143" s="53">
        <v>25000</v>
      </c>
      <c r="BO143" s="53">
        <v>25000</v>
      </c>
      <c r="BP143" s="53">
        <v>40000</v>
      </c>
      <c r="BQ143" s="53">
        <v>20000</v>
      </c>
      <c r="BR143" s="53">
        <v>15000</v>
      </c>
      <c r="BS143" s="53">
        <v>35000</v>
      </c>
      <c r="BT143" s="53">
        <v>35000</v>
      </c>
      <c r="BU143" s="53">
        <v>12000</v>
      </c>
      <c r="BV143" s="53">
        <v>35000</v>
      </c>
      <c r="BW143" s="53">
        <v>35000</v>
      </c>
      <c r="BX143" s="53">
        <v>75000</v>
      </c>
      <c r="BY143" s="53">
        <v>35000</v>
      </c>
      <c r="BZ143" s="53">
        <v>15000</v>
      </c>
      <c r="CA143" s="53">
        <v>35000</v>
      </c>
      <c r="CB143" s="53">
        <v>10000</v>
      </c>
      <c r="CC143" s="53">
        <v>15000</v>
      </c>
      <c r="CD143" s="53">
        <v>15000</v>
      </c>
      <c r="CE143" s="53">
        <v>7500</v>
      </c>
      <c r="CF143" s="53">
        <v>7500</v>
      </c>
      <c r="CG143" s="53">
        <v>15000</v>
      </c>
      <c r="CH143" s="53">
        <v>35000</v>
      </c>
      <c r="CI143" s="53">
        <v>20000</v>
      </c>
      <c r="CJ143" s="53">
        <v>7500</v>
      </c>
      <c r="CK143" s="53">
        <v>3500</v>
      </c>
      <c r="CL143" s="53">
        <v>75000</v>
      </c>
      <c r="CM143" s="53">
        <v>100000</v>
      </c>
      <c r="CN143" s="206"/>
      <c r="CO143" s="206"/>
      <c r="CP143" s="206"/>
      <c r="CQ143" s="8">
        <f t="shared" si="74"/>
        <v>1376</v>
      </c>
      <c r="CR143" s="8">
        <f t="shared" si="75"/>
        <v>140624</v>
      </c>
      <c r="CS143" s="8">
        <f t="shared" si="76"/>
        <v>24935.955882352941</v>
      </c>
      <c r="CT143">
        <f t="shared" si="77"/>
        <v>16227.872836031556</v>
      </c>
      <c r="CU143" s="143">
        <f t="shared" si="78"/>
        <v>3084.6</v>
      </c>
      <c r="CV143" s="143">
        <f t="shared" si="79"/>
        <v>8573.5833333333339</v>
      </c>
      <c r="CW143" s="7"/>
      <c r="CX143" s="7">
        <f t="shared" si="80"/>
        <v>3104.2</v>
      </c>
      <c r="CY143" s="7">
        <f t="shared" si="81"/>
        <v>5647.95</v>
      </c>
      <c r="CZ143" s="7">
        <f t="shared" si="82"/>
        <v>6479</v>
      </c>
      <c r="DA143" s="7">
        <f t="shared" si="83"/>
        <v>7500</v>
      </c>
      <c r="DB143" s="7">
        <f t="shared" si="84"/>
        <v>17300</v>
      </c>
      <c r="DC143" s="7">
        <f t="shared" si="85"/>
        <v>23860.799999999996</v>
      </c>
      <c r="DD143" s="7">
        <f t="shared" si="86"/>
        <v>26850.450000000004</v>
      </c>
      <c r="DE143" s="7">
        <f t="shared" si="87"/>
        <v>35000</v>
      </c>
      <c r="DF143" s="7">
        <f t="shared" si="88"/>
        <v>39882.999999999993</v>
      </c>
      <c r="DG143" s="7"/>
      <c r="DH143" s="7">
        <f t="shared" si="89"/>
        <v>2476.0500000000002</v>
      </c>
      <c r="DI143" s="7">
        <f t="shared" si="90"/>
        <v>3233.1</v>
      </c>
      <c r="DJ143" s="7">
        <f t="shared" si="91"/>
        <v>4623</v>
      </c>
      <c r="DK143" s="7">
        <f t="shared" si="92"/>
        <v>5500.5</v>
      </c>
      <c r="DL143" s="7">
        <f t="shared" si="93"/>
        <v>9077</v>
      </c>
      <c r="DM143" s="7">
        <f t="shared" si="94"/>
        <v>16584.999999999996</v>
      </c>
      <c r="DN143" s="7">
        <f t="shared" si="95"/>
        <v>21593.500000000004</v>
      </c>
      <c r="DO143" s="7">
        <f t="shared" si="96"/>
        <v>27616.75</v>
      </c>
      <c r="DP143" s="7">
        <f t="shared" si="97"/>
        <v>37538.85</v>
      </c>
      <c r="DQ143" s="7"/>
      <c r="DR143" s="7"/>
      <c r="DS143" s="7"/>
      <c r="DT143" s="7"/>
      <c r="DU143" s="7"/>
      <c r="DV143" s="7"/>
      <c r="DW143" s="7"/>
      <c r="DX143" s="7"/>
      <c r="DY143" s="7"/>
      <c r="DZ143" s="7"/>
    </row>
    <row r="144" spans="1:130" ht="25.5" hidden="1" customHeight="1" x14ac:dyDescent="0.25">
      <c r="A144" s="92" t="str">
        <f t="shared" si="98"/>
        <v>CO-WVI [17]</v>
      </c>
      <c r="B144" s="92" t="str">
        <f t="shared" si="99"/>
        <v>West Vancouver Island</v>
      </c>
      <c r="C144" s="93" t="str">
        <f t="shared" si="68"/>
        <v>NAHMINT RIVER_Coho</v>
      </c>
      <c r="D144" s="128" t="s">
        <v>598</v>
      </c>
      <c r="E144" s="128" t="s">
        <v>598</v>
      </c>
      <c r="F144" s="64">
        <v>23</v>
      </c>
      <c r="G144" s="72" t="s">
        <v>125</v>
      </c>
      <c r="H144" s="65" t="s">
        <v>93</v>
      </c>
      <c r="I144" s="119"/>
      <c r="J144" s="119"/>
      <c r="K144" s="64">
        <v>3</v>
      </c>
      <c r="L144" s="52">
        <v>11</v>
      </c>
      <c r="M144" s="52">
        <v>11</v>
      </c>
      <c r="N144" s="52">
        <f t="shared" si="69"/>
        <v>238.08160068028934</v>
      </c>
      <c r="O144" s="52">
        <f t="shared" si="70"/>
        <v>1500</v>
      </c>
      <c r="P144" s="52">
        <f t="shared" si="71"/>
        <v>238.24974624572209</v>
      </c>
      <c r="Q144" s="66" t="s">
        <v>268</v>
      </c>
      <c r="R144" s="37"/>
      <c r="S144" s="74" t="s">
        <v>1</v>
      </c>
      <c r="T144" s="81">
        <f t="shared" si="72"/>
        <v>245.5</v>
      </c>
      <c r="U144" s="81">
        <f t="shared" si="73"/>
        <v>367.08333333333331</v>
      </c>
      <c r="V144" s="233">
        <v>460</v>
      </c>
      <c r="W144" s="52">
        <v>51</v>
      </c>
      <c r="X144" s="52">
        <v>299</v>
      </c>
      <c r="Y144" s="52">
        <v>172</v>
      </c>
      <c r="Z144" s="52">
        <v>248</v>
      </c>
      <c r="AA144" s="52">
        <v>319</v>
      </c>
      <c r="AB144" s="52">
        <v>493</v>
      </c>
      <c r="AC144" s="52">
        <v>256</v>
      </c>
      <c r="AD144" s="52">
        <v>318</v>
      </c>
      <c r="AE144" s="144">
        <v>902</v>
      </c>
      <c r="AF144" s="52">
        <v>653</v>
      </c>
      <c r="AG144" s="144">
        <v>234</v>
      </c>
      <c r="AH144" s="53">
        <v>210</v>
      </c>
      <c r="AI144" s="53">
        <v>355</v>
      </c>
      <c r="AJ144" s="53">
        <v>445</v>
      </c>
      <c r="AK144" s="53">
        <v>406</v>
      </c>
      <c r="AL144" s="89">
        <v>241</v>
      </c>
      <c r="AM144" s="52">
        <v>384</v>
      </c>
      <c r="AN144" s="52">
        <v>708</v>
      </c>
      <c r="AO144" s="53">
        <v>129</v>
      </c>
      <c r="AP144" s="53">
        <v>214</v>
      </c>
      <c r="AQ144" s="53">
        <v>861</v>
      </c>
      <c r="AR144" s="53">
        <v>228</v>
      </c>
      <c r="AS144" s="52">
        <v>225</v>
      </c>
      <c r="AT144" s="52">
        <v>424</v>
      </c>
      <c r="AU144" s="52">
        <v>69</v>
      </c>
      <c r="AV144" s="52">
        <v>53</v>
      </c>
      <c r="AW144" s="52">
        <v>84</v>
      </c>
      <c r="AX144" s="51" t="s">
        <v>263</v>
      </c>
      <c r="AY144" s="53" t="s">
        <v>264</v>
      </c>
      <c r="AZ144" s="53">
        <v>150</v>
      </c>
      <c r="BA144" s="53">
        <v>400</v>
      </c>
      <c r="BB144" s="53">
        <v>100</v>
      </c>
      <c r="BC144" s="53" t="s">
        <v>264</v>
      </c>
      <c r="BD144" s="53" t="s">
        <v>264</v>
      </c>
      <c r="BE144" s="53" t="s">
        <v>264</v>
      </c>
      <c r="BF144" s="53" t="s">
        <v>264</v>
      </c>
      <c r="BG144" s="53" t="s">
        <v>264</v>
      </c>
      <c r="BH144" s="53">
        <v>100</v>
      </c>
      <c r="BI144" s="53" t="s">
        <v>264</v>
      </c>
      <c r="BJ144" s="53">
        <v>100</v>
      </c>
      <c r="BK144" s="53" t="s">
        <v>264</v>
      </c>
      <c r="BL144" s="53">
        <v>300</v>
      </c>
      <c r="BM144" s="53">
        <v>400</v>
      </c>
      <c r="BN144" s="53">
        <v>500</v>
      </c>
      <c r="BO144" s="53">
        <v>450</v>
      </c>
      <c r="BP144" s="53">
        <v>250</v>
      </c>
      <c r="BQ144" s="53">
        <v>400</v>
      </c>
      <c r="BR144" s="53">
        <v>400</v>
      </c>
      <c r="BS144" s="53">
        <v>650</v>
      </c>
      <c r="BT144" s="53">
        <v>200</v>
      </c>
      <c r="BU144" s="53">
        <v>400</v>
      </c>
      <c r="BV144" s="53">
        <v>200</v>
      </c>
      <c r="BW144" s="53">
        <v>200</v>
      </c>
      <c r="BX144" s="53">
        <v>400</v>
      </c>
      <c r="BY144" s="53">
        <v>200</v>
      </c>
      <c r="BZ144" s="53">
        <v>400</v>
      </c>
      <c r="CA144" s="53">
        <v>200</v>
      </c>
      <c r="CB144" s="53">
        <v>200</v>
      </c>
      <c r="CC144" s="53">
        <v>200</v>
      </c>
      <c r="CD144" s="53">
        <v>200</v>
      </c>
      <c r="CE144" s="53">
        <v>200</v>
      </c>
      <c r="CF144" s="53">
        <v>75</v>
      </c>
      <c r="CG144" s="53">
        <v>400</v>
      </c>
      <c r="CH144" s="53">
        <v>200</v>
      </c>
      <c r="CI144" s="53">
        <v>200</v>
      </c>
      <c r="CJ144" s="53">
        <v>200</v>
      </c>
      <c r="CK144" s="53">
        <v>75</v>
      </c>
      <c r="CL144" s="53">
        <v>75</v>
      </c>
      <c r="CM144" s="53">
        <v>1500</v>
      </c>
      <c r="CN144" s="206"/>
      <c r="CO144" s="206"/>
      <c r="CP144" s="206"/>
      <c r="CQ144" s="8">
        <f t="shared" si="74"/>
        <v>51</v>
      </c>
      <c r="CR144" s="8">
        <f t="shared" si="75"/>
        <v>1500</v>
      </c>
      <c r="CS144" s="8">
        <f t="shared" si="76"/>
        <v>317.47540983606558</v>
      </c>
      <c r="CT144">
        <f t="shared" si="77"/>
        <v>250.3895883188799</v>
      </c>
      <c r="CU144" s="143">
        <f t="shared" si="78"/>
        <v>246</v>
      </c>
      <c r="CV144" s="143">
        <f t="shared" si="79"/>
        <v>367.08333333333331</v>
      </c>
      <c r="CW144" s="7"/>
      <c r="CX144" s="7">
        <f t="shared" si="80"/>
        <v>75</v>
      </c>
      <c r="CY144" s="7">
        <f t="shared" si="81"/>
        <v>100</v>
      </c>
      <c r="CZ144" s="7">
        <f t="shared" si="82"/>
        <v>172</v>
      </c>
      <c r="DA144" s="7">
        <f t="shared" si="83"/>
        <v>200</v>
      </c>
      <c r="DB144" s="7">
        <f t="shared" si="84"/>
        <v>241</v>
      </c>
      <c r="DC144" s="7">
        <f t="shared" si="85"/>
        <v>318</v>
      </c>
      <c r="DD144" s="7">
        <f t="shared" si="86"/>
        <v>384</v>
      </c>
      <c r="DE144" s="7">
        <f t="shared" si="87"/>
        <v>400</v>
      </c>
      <c r="DF144" s="7">
        <f t="shared" si="88"/>
        <v>450</v>
      </c>
      <c r="DG144" s="7"/>
      <c r="DH144" s="7">
        <f t="shared" si="89"/>
        <v>58.6</v>
      </c>
      <c r="DI144" s="7">
        <f t="shared" si="90"/>
        <v>131.15</v>
      </c>
      <c r="DJ144" s="7">
        <f t="shared" si="91"/>
        <v>187.20000000000002</v>
      </c>
      <c r="DK144" s="7">
        <f t="shared" si="92"/>
        <v>213</v>
      </c>
      <c r="DL144" s="7">
        <f t="shared" si="93"/>
        <v>277.5</v>
      </c>
      <c r="DM144" s="7">
        <f t="shared" si="94"/>
        <v>326.2</v>
      </c>
      <c r="DN144" s="7">
        <f t="shared" si="95"/>
        <v>370.95000000000005</v>
      </c>
      <c r="DO144" s="7">
        <f t="shared" si="96"/>
        <v>429.25</v>
      </c>
      <c r="DP144" s="7">
        <f t="shared" si="97"/>
        <v>491.34999999999997</v>
      </c>
      <c r="DQ144" s="7"/>
      <c r="DR144" s="7"/>
      <c r="DS144" s="7"/>
      <c r="DT144" s="7"/>
      <c r="DU144" s="7"/>
      <c r="DV144" s="7"/>
      <c r="DW144" s="7"/>
      <c r="DX144" s="7"/>
      <c r="DY144" s="7"/>
      <c r="DZ144" s="7"/>
    </row>
    <row r="145" spans="1:130" ht="25.5" hidden="1" customHeight="1" x14ac:dyDescent="0.25">
      <c r="A145" s="92" t="str">
        <f t="shared" si="98"/>
        <v>Pkodd-WVI [6]</v>
      </c>
      <c r="B145" s="92" t="str">
        <f t="shared" si="99"/>
        <v>West Vancouver Island</v>
      </c>
      <c r="C145" s="93" t="str">
        <f t="shared" si="68"/>
        <v>NAHMINT RIVER_Pink</v>
      </c>
      <c r="D145" s="128" t="s">
        <v>598</v>
      </c>
      <c r="E145" s="128" t="s">
        <v>598</v>
      </c>
      <c r="F145" s="64">
        <v>23</v>
      </c>
      <c r="G145" s="72" t="s">
        <v>125</v>
      </c>
      <c r="H145" s="65" t="s">
        <v>95</v>
      </c>
      <c r="I145" s="119"/>
      <c r="J145" s="119"/>
      <c r="K145" s="64">
        <v>3</v>
      </c>
      <c r="L145" s="52">
        <v>11</v>
      </c>
      <c r="M145" s="52">
        <v>5</v>
      </c>
      <c r="N145" s="52">
        <f t="shared" si="69"/>
        <v>3.0501471050777371</v>
      </c>
      <c r="O145" s="52">
        <f t="shared" si="70"/>
        <v>1500</v>
      </c>
      <c r="P145" s="52">
        <f t="shared" si="71"/>
        <v>26.227084435885516</v>
      </c>
      <c r="Q145" s="66" t="s">
        <v>268</v>
      </c>
      <c r="R145" s="37"/>
      <c r="S145" s="74"/>
      <c r="T145" s="81" t="e">
        <f t="shared" si="72"/>
        <v>#DIV/0!</v>
      </c>
      <c r="U145" s="81">
        <f t="shared" si="73"/>
        <v>7</v>
      </c>
      <c r="V145" s="232" t="s">
        <v>262</v>
      </c>
      <c r="W145" s="52" t="s">
        <v>262</v>
      </c>
      <c r="X145" s="52" t="s">
        <v>262</v>
      </c>
      <c r="Y145" s="52" t="s">
        <v>263</v>
      </c>
      <c r="Z145" s="52" t="s">
        <v>262</v>
      </c>
      <c r="AA145" s="52">
        <v>11</v>
      </c>
      <c r="AB145" s="52" t="s">
        <v>263</v>
      </c>
      <c r="AC145" s="53" t="s">
        <v>263</v>
      </c>
      <c r="AD145" s="53" t="s">
        <v>263</v>
      </c>
      <c r="AE145" s="144" t="s">
        <v>263</v>
      </c>
      <c r="AF145" s="52" t="s">
        <v>262</v>
      </c>
      <c r="AG145" s="144">
        <v>3</v>
      </c>
      <c r="AH145" s="53">
        <v>10</v>
      </c>
      <c r="AI145" s="52" t="s">
        <v>263</v>
      </c>
      <c r="AJ145" s="53" t="s">
        <v>262</v>
      </c>
      <c r="AK145" s="53" t="s">
        <v>262</v>
      </c>
      <c r="AL145" s="89" t="s">
        <v>262</v>
      </c>
      <c r="AM145" s="53" t="s">
        <v>262</v>
      </c>
      <c r="AN145" s="52">
        <v>1</v>
      </c>
      <c r="AO145" s="53">
        <v>12</v>
      </c>
      <c r="AP145" s="53" t="s">
        <v>262</v>
      </c>
      <c r="AQ145" s="53" t="s">
        <v>262</v>
      </c>
      <c r="AR145" s="53" t="s">
        <v>262</v>
      </c>
      <c r="AS145" s="52" t="s">
        <v>262</v>
      </c>
      <c r="AT145" s="52" t="s">
        <v>262</v>
      </c>
      <c r="AU145" s="52">
        <v>22</v>
      </c>
      <c r="AV145" s="52">
        <v>1</v>
      </c>
      <c r="AW145" s="52">
        <v>1</v>
      </c>
      <c r="AX145" s="51" t="s">
        <v>263</v>
      </c>
      <c r="AY145" s="53" t="s">
        <v>264</v>
      </c>
      <c r="AZ145" s="53" t="s">
        <v>264</v>
      </c>
      <c r="BA145" s="53" t="s">
        <v>264</v>
      </c>
      <c r="BB145" s="52" t="s">
        <v>262</v>
      </c>
      <c r="BC145" s="53" t="s">
        <v>264</v>
      </c>
      <c r="BD145" s="53" t="s">
        <v>262</v>
      </c>
      <c r="BE145" s="53" t="s">
        <v>262</v>
      </c>
      <c r="BF145" s="53">
        <v>30</v>
      </c>
      <c r="BG145" s="53" t="s">
        <v>262</v>
      </c>
      <c r="BH145" s="53">
        <v>1</v>
      </c>
      <c r="BI145" s="53" t="s">
        <v>264</v>
      </c>
      <c r="BJ145" s="53" t="s">
        <v>262</v>
      </c>
      <c r="BK145" s="53" t="s">
        <v>262</v>
      </c>
      <c r="BL145" s="53" t="s">
        <v>264</v>
      </c>
      <c r="BM145" s="53" t="s">
        <v>264</v>
      </c>
      <c r="BN145" s="53" t="s">
        <v>264</v>
      </c>
      <c r="BO145" s="53" t="s">
        <v>264</v>
      </c>
      <c r="BP145" s="53">
        <v>150</v>
      </c>
      <c r="BQ145" s="53" t="s">
        <v>264</v>
      </c>
      <c r="BR145" s="53" t="s">
        <v>264</v>
      </c>
      <c r="BS145" s="53" t="s">
        <v>264</v>
      </c>
      <c r="BT145" s="53" t="s">
        <v>264</v>
      </c>
      <c r="BU145" s="53" t="s">
        <v>264</v>
      </c>
      <c r="BV145" s="53" t="s">
        <v>264</v>
      </c>
      <c r="BW145" s="53" t="s">
        <v>264</v>
      </c>
      <c r="BX145" s="53" t="s">
        <v>264</v>
      </c>
      <c r="BY145" s="53" t="s">
        <v>262</v>
      </c>
      <c r="BZ145" s="53" t="s">
        <v>262</v>
      </c>
      <c r="CA145" s="53" t="s">
        <v>262</v>
      </c>
      <c r="CB145" s="53" t="s">
        <v>264</v>
      </c>
      <c r="CC145" s="53" t="s">
        <v>262</v>
      </c>
      <c r="CD145" s="53">
        <v>25</v>
      </c>
      <c r="CE145" s="53">
        <v>200</v>
      </c>
      <c r="CF145" s="53">
        <v>75</v>
      </c>
      <c r="CG145" s="53">
        <v>25</v>
      </c>
      <c r="CH145" s="53">
        <v>75</v>
      </c>
      <c r="CI145" s="53" t="s">
        <v>264</v>
      </c>
      <c r="CJ145" s="53">
        <v>200</v>
      </c>
      <c r="CK145" s="53">
        <v>1500</v>
      </c>
      <c r="CL145" s="53">
        <v>200</v>
      </c>
      <c r="CM145" s="53" t="s">
        <v>262</v>
      </c>
      <c r="CN145" s="206"/>
      <c r="CO145" s="206"/>
      <c r="CP145" s="206"/>
      <c r="CQ145" s="8">
        <f t="shared" si="74"/>
        <v>1</v>
      </c>
      <c r="CR145" s="8">
        <f t="shared" si="75"/>
        <v>1500</v>
      </c>
      <c r="CS145" s="8">
        <f t="shared" si="76"/>
        <v>133.78947368421052</v>
      </c>
      <c r="CT145">
        <f t="shared" si="77"/>
        <v>21.246638051684389</v>
      </c>
      <c r="CU145" s="143" t="e">
        <f t="shared" si="78"/>
        <v>#DIV/0!</v>
      </c>
      <c r="CV145" s="143">
        <f t="shared" si="79"/>
        <v>7</v>
      </c>
      <c r="CW145" s="7"/>
      <c r="CX145" s="7">
        <f t="shared" si="80"/>
        <v>1</v>
      </c>
      <c r="CY145" s="7">
        <f t="shared" si="81"/>
        <v>1</v>
      </c>
      <c r="CZ145" s="7">
        <f t="shared" si="82"/>
        <v>2.1999999999999993</v>
      </c>
      <c r="DA145" s="7">
        <f t="shared" si="83"/>
        <v>6.5</v>
      </c>
      <c r="DB145" s="7">
        <f t="shared" si="84"/>
        <v>25</v>
      </c>
      <c r="DC145" s="7">
        <f t="shared" si="85"/>
        <v>28.999999999999993</v>
      </c>
      <c r="DD145" s="7">
        <f t="shared" si="86"/>
        <v>61.50000000000005</v>
      </c>
      <c r="DE145" s="7">
        <f t="shared" si="87"/>
        <v>112.5</v>
      </c>
      <c r="DF145" s="7">
        <f t="shared" si="88"/>
        <v>200</v>
      </c>
      <c r="DG145" s="7"/>
      <c r="DH145" s="7">
        <f t="shared" si="89"/>
        <v>1</v>
      </c>
      <c r="DI145" s="7">
        <f t="shared" si="90"/>
        <v>1</v>
      </c>
      <c r="DJ145" s="7">
        <f t="shared" si="91"/>
        <v>1</v>
      </c>
      <c r="DK145" s="7">
        <f t="shared" si="92"/>
        <v>1</v>
      </c>
      <c r="DL145" s="7">
        <f t="shared" si="93"/>
        <v>6.5</v>
      </c>
      <c r="DM145" s="7">
        <f t="shared" si="94"/>
        <v>10.199999999999999</v>
      </c>
      <c r="DN145" s="7">
        <f t="shared" si="95"/>
        <v>10.55</v>
      </c>
      <c r="DO145" s="7">
        <f t="shared" si="96"/>
        <v>11.25</v>
      </c>
      <c r="DP145" s="7">
        <f t="shared" si="97"/>
        <v>11.95</v>
      </c>
      <c r="DQ145" s="7"/>
      <c r="DR145" s="7"/>
      <c r="DS145" s="7"/>
      <c r="DT145" s="7"/>
      <c r="DU145" s="7"/>
      <c r="DV145" s="7"/>
      <c r="DW145" s="7"/>
      <c r="DX145" s="7"/>
      <c r="DY145" s="7"/>
      <c r="DZ145" s="7"/>
    </row>
    <row r="146" spans="1:130" ht="25.5" hidden="1" customHeight="1" x14ac:dyDescent="0.25">
      <c r="A146" s="92" t="str">
        <f t="shared" si="98"/>
        <v>SK-WVI [R10]</v>
      </c>
      <c r="B146" s="92" t="str">
        <f t="shared" si="99"/>
        <v>West Vancouver Island</v>
      </c>
      <c r="C146" s="93" t="str">
        <f t="shared" si="68"/>
        <v>NAHMINT RIVER_Sockeye</v>
      </c>
      <c r="D146" s="128" t="s">
        <v>598</v>
      </c>
      <c r="E146" s="128" t="s">
        <v>598</v>
      </c>
      <c r="F146" s="64">
        <v>23</v>
      </c>
      <c r="G146" s="72" t="s">
        <v>125</v>
      </c>
      <c r="H146" s="65" t="s">
        <v>91</v>
      </c>
      <c r="I146" s="119"/>
      <c r="J146" s="119"/>
      <c r="K146" s="64">
        <v>3</v>
      </c>
      <c r="L146" s="52">
        <v>11</v>
      </c>
      <c r="M146" s="52">
        <v>11</v>
      </c>
      <c r="N146" s="52">
        <f t="shared" si="69"/>
        <v>134.54118591314861</v>
      </c>
      <c r="O146" s="52">
        <f t="shared" si="70"/>
        <v>2098</v>
      </c>
      <c r="P146" s="52">
        <f t="shared" si="71"/>
        <v>194.0234484971717</v>
      </c>
      <c r="Q146" s="66" t="s">
        <v>268</v>
      </c>
      <c r="R146" s="37"/>
      <c r="S146" s="74"/>
      <c r="T146" s="81">
        <f t="shared" si="72"/>
        <v>609.75</v>
      </c>
      <c r="U146" s="81">
        <f t="shared" si="73"/>
        <v>749.25</v>
      </c>
      <c r="V146" s="233">
        <v>614</v>
      </c>
      <c r="W146" s="52">
        <v>1793</v>
      </c>
      <c r="X146" s="52">
        <v>6</v>
      </c>
      <c r="Y146" s="52">
        <v>26</v>
      </c>
      <c r="Z146" s="52">
        <v>896</v>
      </c>
      <c r="AA146" s="52">
        <v>316</v>
      </c>
      <c r="AB146" s="52">
        <v>2223</v>
      </c>
      <c r="AC146" s="52">
        <v>2231</v>
      </c>
      <c r="AD146" s="53">
        <v>587</v>
      </c>
      <c r="AE146" s="144">
        <v>181</v>
      </c>
      <c r="AF146" s="52">
        <v>100</v>
      </c>
      <c r="AG146" s="144">
        <v>18</v>
      </c>
      <c r="AH146" s="53">
        <v>4190</v>
      </c>
      <c r="AI146" s="53">
        <v>1400</v>
      </c>
      <c r="AJ146" s="53">
        <v>3</v>
      </c>
      <c r="AK146" s="53">
        <v>59</v>
      </c>
      <c r="AL146" s="89">
        <v>190</v>
      </c>
      <c r="AM146" s="52">
        <v>67</v>
      </c>
      <c r="AN146" s="52">
        <v>2098</v>
      </c>
      <c r="AO146" s="53">
        <v>147</v>
      </c>
      <c r="AP146" s="53">
        <v>226</v>
      </c>
      <c r="AQ146" s="53">
        <v>270</v>
      </c>
      <c r="AR146" s="53">
        <v>30</v>
      </c>
      <c r="AS146" s="208">
        <v>6</v>
      </c>
      <c r="AT146" s="52">
        <v>1419</v>
      </c>
      <c r="AU146" s="52">
        <v>650</v>
      </c>
      <c r="AV146" s="52">
        <v>1005</v>
      </c>
      <c r="AW146" s="52">
        <v>90</v>
      </c>
      <c r="AX146" s="51">
        <v>1000</v>
      </c>
      <c r="AY146" s="53">
        <v>100</v>
      </c>
      <c r="AZ146" s="53">
        <v>1000</v>
      </c>
      <c r="BA146" s="53" t="s">
        <v>264</v>
      </c>
      <c r="BB146" s="53">
        <v>1200</v>
      </c>
      <c r="BC146" s="53" t="s">
        <v>264</v>
      </c>
      <c r="BD146" s="53">
        <v>200</v>
      </c>
      <c r="BE146" s="53" t="s">
        <v>262</v>
      </c>
      <c r="BF146" s="53">
        <v>50</v>
      </c>
      <c r="BG146" s="53">
        <v>600</v>
      </c>
      <c r="BH146" s="53">
        <v>552</v>
      </c>
      <c r="BI146" s="53">
        <v>700</v>
      </c>
      <c r="BJ146" s="53">
        <v>300</v>
      </c>
      <c r="BK146" s="53">
        <v>400</v>
      </c>
      <c r="BL146" s="53">
        <v>135</v>
      </c>
      <c r="BM146" s="53">
        <v>50</v>
      </c>
      <c r="BN146" s="53" t="s">
        <v>264</v>
      </c>
      <c r="BO146" s="53">
        <v>80</v>
      </c>
      <c r="BP146" s="53" t="s">
        <v>264</v>
      </c>
      <c r="BQ146" s="53" t="s">
        <v>264</v>
      </c>
      <c r="BR146" s="53" t="s">
        <v>264</v>
      </c>
      <c r="BS146" s="53" t="s">
        <v>264</v>
      </c>
      <c r="BT146" s="53" t="s">
        <v>264</v>
      </c>
      <c r="BU146" s="53" t="s">
        <v>264</v>
      </c>
      <c r="BV146" s="53" t="s">
        <v>264</v>
      </c>
      <c r="BW146" s="53" t="s">
        <v>264</v>
      </c>
      <c r="BX146" s="53" t="s">
        <v>264</v>
      </c>
      <c r="BY146" s="53" t="s">
        <v>264</v>
      </c>
      <c r="BZ146" s="53" t="s">
        <v>264</v>
      </c>
      <c r="CA146" s="53" t="s">
        <v>264</v>
      </c>
      <c r="CB146" s="53" t="s">
        <v>264</v>
      </c>
      <c r="CC146" s="53" t="s">
        <v>264</v>
      </c>
      <c r="CD146" s="53" t="s">
        <v>264</v>
      </c>
      <c r="CE146" s="53" t="s">
        <v>264</v>
      </c>
      <c r="CF146" s="53" t="s">
        <v>264</v>
      </c>
      <c r="CG146" s="53" t="s">
        <v>264</v>
      </c>
      <c r="CH146" s="53" t="s">
        <v>264</v>
      </c>
      <c r="CI146" s="53" t="s">
        <v>264</v>
      </c>
      <c r="CJ146" s="53" t="s">
        <v>264</v>
      </c>
      <c r="CK146" s="53" t="s">
        <v>264</v>
      </c>
      <c r="CL146" s="53" t="s">
        <v>264</v>
      </c>
      <c r="CM146" s="53" t="s">
        <v>264</v>
      </c>
      <c r="CN146" s="206"/>
      <c r="CO146" s="206"/>
      <c r="CP146" s="206"/>
      <c r="CQ146" s="8">
        <f t="shared" si="74"/>
        <v>3</v>
      </c>
      <c r="CR146" s="8">
        <f t="shared" si="75"/>
        <v>4190</v>
      </c>
      <c r="CS146" s="8">
        <f t="shared" si="76"/>
        <v>647.80952380952385</v>
      </c>
      <c r="CT146">
        <f t="shared" si="77"/>
        <v>233.80881206748569</v>
      </c>
      <c r="CU146" s="143">
        <f t="shared" si="78"/>
        <v>667</v>
      </c>
      <c r="CV146" s="143">
        <f t="shared" si="79"/>
        <v>749.25</v>
      </c>
      <c r="CW146" s="7"/>
      <c r="CX146" s="7">
        <f t="shared" si="80"/>
        <v>6.6000000000000032</v>
      </c>
      <c r="CY146" s="7">
        <f t="shared" si="81"/>
        <v>50</v>
      </c>
      <c r="CZ146" s="7">
        <f t="shared" si="82"/>
        <v>60.600000000000009</v>
      </c>
      <c r="DA146" s="7">
        <f t="shared" si="83"/>
        <v>82.5</v>
      </c>
      <c r="DB146" s="7">
        <f t="shared" si="84"/>
        <v>285</v>
      </c>
      <c r="DC146" s="7">
        <f t="shared" si="85"/>
        <v>572.99999999999989</v>
      </c>
      <c r="DD146" s="7">
        <f t="shared" si="86"/>
        <v>609.1</v>
      </c>
      <c r="DE146" s="7">
        <f t="shared" si="87"/>
        <v>974</v>
      </c>
      <c r="DF146" s="7">
        <f t="shared" si="88"/>
        <v>1370.0000000000002</v>
      </c>
      <c r="DG146" s="7"/>
      <c r="DH146" s="7">
        <f t="shared" si="89"/>
        <v>6</v>
      </c>
      <c r="DI146" s="7">
        <f t="shared" si="90"/>
        <v>26.2</v>
      </c>
      <c r="DJ146" s="7">
        <f t="shared" si="91"/>
        <v>41.600000000000009</v>
      </c>
      <c r="DK146" s="7">
        <f t="shared" si="92"/>
        <v>65</v>
      </c>
      <c r="DL146" s="7">
        <f t="shared" si="93"/>
        <v>248</v>
      </c>
      <c r="DM146" s="7">
        <f t="shared" si="94"/>
        <v>592.4</v>
      </c>
      <c r="DN146" s="7">
        <f t="shared" si="95"/>
        <v>633.80000000000007</v>
      </c>
      <c r="DO146" s="7">
        <f t="shared" si="96"/>
        <v>1103.75</v>
      </c>
      <c r="DP146" s="7">
        <f t="shared" si="97"/>
        <v>1774.2999999999997</v>
      </c>
      <c r="DQ146" s="7"/>
      <c r="DR146" s="7"/>
      <c r="DS146" s="7"/>
      <c r="DT146" s="7"/>
      <c r="DU146" s="7"/>
      <c r="DV146" s="7"/>
      <c r="DW146" s="7"/>
      <c r="DX146" s="7"/>
      <c r="DY146" s="7"/>
      <c r="DZ146" s="7"/>
    </row>
    <row r="147" spans="1:130" ht="25.5" hidden="1" customHeight="1" x14ac:dyDescent="0.25">
      <c r="A147" s="92" t="str">
        <f t="shared" si="98"/>
        <v>CM-SWVI [10]</v>
      </c>
      <c r="B147" s="92" t="str">
        <f t="shared" si="99"/>
        <v>Southwest Vancouver Island</v>
      </c>
      <c r="C147" s="93" t="str">
        <f t="shared" si="68"/>
        <v>OWATCHET CREEK_Chum</v>
      </c>
      <c r="D147" s="128" t="s">
        <v>598</v>
      </c>
      <c r="E147" s="128" t="s">
        <v>598</v>
      </c>
      <c r="F147" s="64">
        <v>23</v>
      </c>
      <c r="G147" s="72" t="s">
        <v>120</v>
      </c>
      <c r="H147" s="65" t="s">
        <v>96</v>
      </c>
      <c r="I147" s="119"/>
      <c r="J147" s="119"/>
      <c r="K147" s="64">
        <v>5</v>
      </c>
      <c r="L147" s="52">
        <v>0</v>
      </c>
      <c r="M147" s="52"/>
      <c r="N147" s="52" t="e">
        <f t="shared" si="69"/>
        <v>#NUM!</v>
      </c>
      <c r="O147" s="52">
        <f t="shared" si="70"/>
        <v>0</v>
      </c>
      <c r="P147" s="52" t="e">
        <f t="shared" si="71"/>
        <v>#NUM!</v>
      </c>
      <c r="Q147" s="66"/>
      <c r="R147" s="37"/>
      <c r="S147" s="74"/>
      <c r="T147" s="81" t="e">
        <f t="shared" si="72"/>
        <v>#DIV/0!</v>
      </c>
      <c r="U147" s="81" t="e">
        <f t="shared" si="73"/>
        <v>#DIV/0!</v>
      </c>
      <c r="V147" s="52" t="s">
        <v>102</v>
      </c>
      <c r="W147" s="52" t="s">
        <v>102</v>
      </c>
      <c r="X147" s="52" t="s">
        <v>102</v>
      </c>
      <c r="Y147" s="52" t="s">
        <v>102</v>
      </c>
      <c r="Z147" s="52" t="s">
        <v>102</v>
      </c>
      <c r="AA147" s="52" t="s">
        <v>102</v>
      </c>
      <c r="AB147" s="52" t="s">
        <v>102</v>
      </c>
      <c r="AC147" s="52" t="s">
        <v>102</v>
      </c>
      <c r="AD147" s="52" t="s">
        <v>102</v>
      </c>
      <c r="AE147" s="52" t="s">
        <v>102</v>
      </c>
      <c r="AF147" s="52" t="s">
        <v>102</v>
      </c>
      <c r="AG147" s="52" t="s">
        <v>102</v>
      </c>
      <c r="AH147" s="52" t="s">
        <v>102</v>
      </c>
      <c r="AI147" s="52" t="s">
        <v>102</v>
      </c>
      <c r="AJ147" s="52" t="s">
        <v>102</v>
      </c>
      <c r="AK147" s="52" t="s">
        <v>102</v>
      </c>
      <c r="AL147" s="52" t="s">
        <v>102</v>
      </c>
      <c r="AM147" s="52" t="s">
        <v>102</v>
      </c>
      <c r="AN147" s="52" t="s">
        <v>102</v>
      </c>
      <c r="AO147" s="52" t="s">
        <v>102</v>
      </c>
      <c r="AP147" s="52" t="s">
        <v>102</v>
      </c>
      <c r="AQ147" s="53" t="s">
        <v>102</v>
      </c>
      <c r="AR147" s="52" t="s">
        <v>102</v>
      </c>
      <c r="AS147" s="52" t="s">
        <v>102</v>
      </c>
      <c r="AT147" s="52" t="s">
        <v>102</v>
      </c>
      <c r="AU147" s="52" t="s">
        <v>102</v>
      </c>
      <c r="AV147" s="52" t="s">
        <v>102</v>
      </c>
      <c r="AW147" s="52" t="s">
        <v>102</v>
      </c>
      <c r="AX147" s="51" t="s">
        <v>102</v>
      </c>
      <c r="AY147" s="53" t="s">
        <v>102</v>
      </c>
      <c r="AZ147" s="53" t="s">
        <v>102</v>
      </c>
      <c r="BA147" s="53" t="s">
        <v>102</v>
      </c>
      <c r="BB147" s="53" t="s">
        <v>264</v>
      </c>
      <c r="BC147" s="53" t="s">
        <v>264</v>
      </c>
      <c r="BD147" s="53" t="s">
        <v>102</v>
      </c>
      <c r="BE147" s="53" t="s">
        <v>102</v>
      </c>
      <c r="BF147" s="53" t="s">
        <v>102</v>
      </c>
      <c r="BG147" s="53" t="s">
        <v>102</v>
      </c>
      <c r="BH147" s="53" t="s">
        <v>102</v>
      </c>
      <c r="BI147" s="53" t="s">
        <v>102</v>
      </c>
      <c r="BJ147" s="53" t="s">
        <v>102</v>
      </c>
      <c r="BK147" s="53" t="s">
        <v>102</v>
      </c>
      <c r="BL147" s="53" t="s">
        <v>102</v>
      </c>
      <c r="BM147" s="53" t="s">
        <v>102</v>
      </c>
      <c r="BN147" s="53" t="s">
        <v>102</v>
      </c>
      <c r="BO147" s="53" t="s">
        <v>102</v>
      </c>
      <c r="BP147" s="53" t="s">
        <v>102</v>
      </c>
      <c r="BQ147" s="53" t="s">
        <v>102</v>
      </c>
      <c r="BR147" s="53" t="s">
        <v>102</v>
      </c>
      <c r="BS147" s="53" t="s">
        <v>102</v>
      </c>
      <c r="BT147" s="53" t="s">
        <v>102</v>
      </c>
      <c r="BU147" s="53" t="s">
        <v>102</v>
      </c>
      <c r="BV147" s="53" t="s">
        <v>102</v>
      </c>
      <c r="BW147" s="53" t="s">
        <v>102</v>
      </c>
      <c r="BX147" s="53" t="s">
        <v>102</v>
      </c>
      <c r="BY147" s="53" t="s">
        <v>102</v>
      </c>
      <c r="BZ147" s="53" t="s">
        <v>102</v>
      </c>
      <c r="CA147" s="53" t="s">
        <v>102</v>
      </c>
      <c r="CB147" s="53" t="s">
        <v>102</v>
      </c>
      <c r="CC147" s="53" t="s">
        <v>102</v>
      </c>
      <c r="CD147" s="53" t="s">
        <v>102</v>
      </c>
      <c r="CE147" s="53" t="s">
        <v>102</v>
      </c>
      <c r="CF147" s="53" t="s">
        <v>102</v>
      </c>
      <c r="CG147" s="53" t="s">
        <v>102</v>
      </c>
      <c r="CH147" s="53" t="s">
        <v>102</v>
      </c>
      <c r="CI147" s="53" t="s">
        <v>102</v>
      </c>
      <c r="CJ147" s="53" t="s">
        <v>102</v>
      </c>
      <c r="CK147" s="53" t="s">
        <v>102</v>
      </c>
      <c r="CL147" s="53"/>
      <c r="CM147" s="53"/>
      <c r="CN147" s="206"/>
      <c r="CO147" s="206"/>
      <c r="CP147" s="206"/>
      <c r="CQ147" s="8">
        <f t="shared" si="74"/>
        <v>0</v>
      </c>
      <c r="CR147" s="8">
        <f t="shared" si="75"/>
        <v>0</v>
      </c>
      <c r="CS147" s="8" t="e">
        <f t="shared" si="76"/>
        <v>#DIV/0!</v>
      </c>
      <c r="CT147" t="e">
        <f t="shared" si="77"/>
        <v>#NUM!</v>
      </c>
      <c r="CU147" s="143" t="e">
        <f t="shared" si="78"/>
        <v>#DIV/0!</v>
      </c>
      <c r="CV147" s="143" t="e">
        <f t="shared" si="79"/>
        <v>#DIV/0!</v>
      </c>
      <c r="CW147" s="7"/>
      <c r="CX147" s="7" t="e">
        <f t="shared" si="80"/>
        <v>#NUM!</v>
      </c>
      <c r="CY147" s="7" t="e">
        <f t="shared" si="81"/>
        <v>#NUM!</v>
      </c>
      <c r="CZ147" s="7" t="e">
        <f t="shared" si="82"/>
        <v>#NUM!</v>
      </c>
      <c r="DA147" s="7" t="e">
        <f t="shared" si="83"/>
        <v>#NUM!</v>
      </c>
      <c r="DB147" s="7" t="e">
        <f t="shared" si="84"/>
        <v>#NUM!</v>
      </c>
      <c r="DC147" s="7" t="e">
        <f t="shared" si="85"/>
        <v>#NUM!</v>
      </c>
      <c r="DD147" s="7" t="e">
        <f t="shared" si="86"/>
        <v>#NUM!</v>
      </c>
      <c r="DE147" s="7" t="e">
        <f t="shared" si="87"/>
        <v>#NUM!</v>
      </c>
      <c r="DF147" s="7" t="e">
        <f t="shared" si="88"/>
        <v>#NUM!</v>
      </c>
      <c r="DG147" s="7"/>
      <c r="DH147" s="7" t="e">
        <f t="shared" si="89"/>
        <v>#NUM!</v>
      </c>
      <c r="DI147" s="7" t="e">
        <f t="shared" si="90"/>
        <v>#NUM!</v>
      </c>
      <c r="DJ147" s="7" t="e">
        <f t="shared" si="91"/>
        <v>#NUM!</v>
      </c>
      <c r="DK147" s="7" t="e">
        <f t="shared" si="92"/>
        <v>#NUM!</v>
      </c>
      <c r="DL147" s="7" t="e">
        <f t="shared" si="93"/>
        <v>#NUM!</v>
      </c>
      <c r="DM147" s="7" t="e">
        <f t="shared" si="94"/>
        <v>#NUM!</v>
      </c>
      <c r="DN147" s="7" t="e">
        <f t="shared" si="95"/>
        <v>#NUM!</v>
      </c>
      <c r="DO147" s="7" t="e">
        <f t="shared" si="96"/>
        <v>#NUM!</v>
      </c>
      <c r="DP147" s="7" t="e">
        <f t="shared" si="97"/>
        <v>#NUM!</v>
      </c>
      <c r="DQ147" s="7"/>
      <c r="DR147" s="7"/>
      <c r="DS147" s="7"/>
      <c r="DT147" s="7"/>
      <c r="DU147" s="7"/>
      <c r="DV147" s="7"/>
      <c r="DW147" s="7"/>
      <c r="DX147" s="7"/>
      <c r="DY147" s="7"/>
      <c r="DZ147" s="7"/>
    </row>
    <row r="148" spans="1:130" ht="25.5" hidden="1" customHeight="1" x14ac:dyDescent="0.25">
      <c r="A148" s="92" t="str">
        <f t="shared" si="98"/>
        <v>CO-WVI [17]</v>
      </c>
      <c r="B148" s="92" t="str">
        <f t="shared" si="99"/>
        <v>West Vancouver Island</v>
      </c>
      <c r="C148" s="93" t="str">
        <f t="shared" si="68"/>
        <v>OWATCHET CREEK_Coho</v>
      </c>
      <c r="D148" s="128" t="s">
        <v>598</v>
      </c>
      <c r="E148" s="128" t="s">
        <v>598</v>
      </c>
      <c r="F148" s="64">
        <v>23</v>
      </c>
      <c r="G148" s="72" t="s">
        <v>120</v>
      </c>
      <c r="H148" s="65" t="s">
        <v>93</v>
      </c>
      <c r="I148" s="119"/>
      <c r="J148" s="119"/>
      <c r="K148" s="64">
        <v>5</v>
      </c>
      <c r="L148" s="52">
        <v>1</v>
      </c>
      <c r="M148" s="52">
        <v>1</v>
      </c>
      <c r="N148" s="52" t="e">
        <f t="shared" si="69"/>
        <v>#NUM!</v>
      </c>
      <c r="O148" s="52">
        <f t="shared" si="70"/>
        <v>0</v>
      </c>
      <c r="P148" s="52" t="e">
        <f t="shared" si="71"/>
        <v>#NUM!</v>
      </c>
      <c r="Q148" s="66"/>
      <c r="R148" s="37"/>
      <c r="S148" s="76" t="s">
        <v>340</v>
      </c>
      <c r="T148" s="81" t="e">
        <f t="shared" si="72"/>
        <v>#DIV/0!</v>
      </c>
      <c r="U148" s="81" t="e">
        <f t="shared" si="73"/>
        <v>#DIV/0!</v>
      </c>
      <c r="V148" s="52" t="s">
        <v>102</v>
      </c>
      <c r="W148" s="52" t="s">
        <v>102</v>
      </c>
      <c r="X148" s="52" t="s">
        <v>102</v>
      </c>
      <c r="Y148" s="52" t="s">
        <v>102</v>
      </c>
      <c r="Z148" s="52" t="s">
        <v>102</v>
      </c>
      <c r="AA148" s="52" t="s">
        <v>102</v>
      </c>
      <c r="AB148" s="52" t="s">
        <v>102</v>
      </c>
      <c r="AC148" s="52" t="s">
        <v>102</v>
      </c>
      <c r="AD148" s="52" t="s">
        <v>102</v>
      </c>
      <c r="AE148" s="52" t="s">
        <v>102</v>
      </c>
      <c r="AF148" s="52" t="s">
        <v>102</v>
      </c>
      <c r="AG148" s="52" t="s">
        <v>102</v>
      </c>
      <c r="AH148" s="52" t="s">
        <v>102</v>
      </c>
      <c r="AI148" s="52" t="s">
        <v>102</v>
      </c>
      <c r="AJ148" s="52" t="s">
        <v>102</v>
      </c>
      <c r="AK148" s="52" t="s">
        <v>102</v>
      </c>
      <c r="AL148" s="52" t="s">
        <v>102</v>
      </c>
      <c r="AM148" s="52" t="s">
        <v>102</v>
      </c>
      <c r="AN148" s="52" t="s">
        <v>102</v>
      </c>
      <c r="AO148" s="52" t="s">
        <v>102</v>
      </c>
      <c r="AP148" s="52" t="s">
        <v>102</v>
      </c>
      <c r="AQ148" s="53" t="s">
        <v>102</v>
      </c>
      <c r="AR148" s="52" t="s">
        <v>102</v>
      </c>
      <c r="AS148" s="52" t="s">
        <v>102</v>
      </c>
      <c r="AT148" s="52" t="s">
        <v>102</v>
      </c>
      <c r="AU148" s="52" t="s">
        <v>102</v>
      </c>
      <c r="AV148" s="52" t="s">
        <v>102</v>
      </c>
      <c r="AW148" s="52" t="s">
        <v>263</v>
      </c>
      <c r="AX148" s="51" t="s">
        <v>102</v>
      </c>
      <c r="AY148" s="53" t="s">
        <v>102</v>
      </c>
      <c r="AZ148" s="53" t="s">
        <v>263</v>
      </c>
      <c r="BA148" s="53" t="s">
        <v>102</v>
      </c>
      <c r="BB148" s="53" t="s">
        <v>264</v>
      </c>
      <c r="BC148" s="53" t="s">
        <v>264</v>
      </c>
      <c r="BD148" s="53" t="s">
        <v>102</v>
      </c>
      <c r="BE148" s="53" t="s">
        <v>102</v>
      </c>
      <c r="BF148" s="53" t="s">
        <v>102</v>
      </c>
      <c r="BG148" s="53" t="s">
        <v>102</v>
      </c>
      <c r="BH148" s="53" t="s">
        <v>102</v>
      </c>
      <c r="BI148" s="53" t="s">
        <v>102</v>
      </c>
      <c r="BJ148" s="53" t="s">
        <v>102</v>
      </c>
      <c r="BK148" s="53" t="s">
        <v>102</v>
      </c>
      <c r="BL148" s="53" t="s">
        <v>102</v>
      </c>
      <c r="BM148" s="53" t="s">
        <v>102</v>
      </c>
      <c r="BN148" s="53" t="s">
        <v>102</v>
      </c>
      <c r="BO148" s="53" t="s">
        <v>102</v>
      </c>
      <c r="BP148" s="53" t="s">
        <v>102</v>
      </c>
      <c r="BQ148" s="53" t="s">
        <v>102</v>
      </c>
      <c r="BR148" s="53" t="s">
        <v>102</v>
      </c>
      <c r="BS148" s="53" t="s">
        <v>102</v>
      </c>
      <c r="BT148" s="53" t="s">
        <v>102</v>
      </c>
      <c r="BU148" s="53" t="s">
        <v>102</v>
      </c>
      <c r="BV148" s="53" t="s">
        <v>102</v>
      </c>
      <c r="BW148" s="53" t="s">
        <v>102</v>
      </c>
      <c r="BX148" s="53" t="s">
        <v>102</v>
      </c>
      <c r="BY148" s="53" t="s">
        <v>102</v>
      </c>
      <c r="BZ148" s="53" t="s">
        <v>102</v>
      </c>
      <c r="CA148" s="53" t="s">
        <v>102</v>
      </c>
      <c r="CB148" s="53" t="s">
        <v>102</v>
      </c>
      <c r="CC148" s="53" t="s">
        <v>102</v>
      </c>
      <c r="CD148" s="53" t="s">
        <v>102</v>
      </c>
      <c r="CE148" s="53" t="s">
        <v>102</v>
      </c>
      <c r="CF148" s="53" t="s">
        <v>102</v>
      </c>
      <c r="CG148" s="53" t="s">
        <v>102</v>
      </c>
      <c r="CH148" s="53" t="s">
        <v>102</v>
      </c>
      <c r="CI148" s="53" t="s">
        <v>102</v>
      </c>
      <c r="CJ148" s="53" t="s">
        <v>102</v>
      </c>
      <c r="CK148" s="53" t="s">
        <v>102</v>
      </c>
      <c r="CL148" s="53"/>
      <c r="CM148" s="53"/>
      <c r="CN148" s="206"/>
      <c r="CO148" s="206"/>
      <c r="CP148" s="206"/>
      <c r="CQ148" s="8">
        <f t="shared" si="74"/>
        <v>0</v>
      </c>
      <c r="CR148" s="8">
        <f t="shared" si="75"/>
        <v>0</v>
      </c>
      <c r="CS148" s="8" t="e">
        <f t="shared" si="76"/>
        <v>#DIV/0!</v>
      </c>
      <c r="CT148" t="e">
        <f t="shared" si="77"/>
        <v>#NUM!</v>
      </c>
      <c r="CU148" s="143" t="e">
        <f t="shared" si="78"/>
        <v>#DIV/0!</v>
      </c>
      <c r="CV148" s="143" t="e">
        <f t="shared" si="79"/>
        <v>#DIV/0!</v>
      </c>
      <c r="CW148" s="7"/>
      <c r="CX148" s="7" t="e">
        <f t="shared" si="80"/>
        <v>#NUM!</v>
      </c>
      <c r="CY148" s="7" t="e">
        <f t="shared" si="81"/>
        <v>#NUM!</v>
      </c>
      <c r="CZ148" s="7" t="e">
        <f t="shared" si="82"/>
        <v>#NUM!</v>
      </c>
      <c r="DA148" s="7" t="e">
        <f t="shared" si="83"/>
        <v>#NUM!</v>
      </c>
      <c r="DB148" s="7" t="e">
        <f t="shared" si="84"/>
        <v>#NUM!</v>
      </c>
      <c r="DC148" s="7" t="e">
        <f t="shared" si="85"/>
        <v>#NUM!</v>
      </c>
      <c r="DD148" s="7" t="e">
        <f t="shared" si="86"/>
        <v>#NUM!</v>
      </c>
      <c r="DE148" s="7" t="e">
        <f t="shared" si="87"/>
        <v>#NUM!</v>
      </c>
      <c r="DF148" s="7" t="e">
        <f t="shared" si="88"/>
        <v>#NUM!</v>
      </c>
      <c r="DG148" s="7"/>
      <c r="DH148" s="7" t="e">
        <f t="shared" si="89"/>
        <v>#NUM!</v>
      </c>
      <c r="DI148" s="7" t="e">
        <f t="shared" si="90"/>
        <v>#NUM!</v>
      </c>
      <c r="DJ148" s="7" t="e">
        <f t="shared" si="91"/>
        <v>#NUM!</v>
      </c>
      <c r="DK148" s="7" t="e">
        <f t="shared" si="92"/>
        <v>#NUM!</v>
      </c>
      <c r="DL148" s="7" t="e">
        <f t="shared" si="93"/>
        <v>#NUM!</v>
      </c>
      <c r="DM148" s="7" t="e">
        <f t="shared" si="94"/>
        <v>#NUM!</v>
      </c>
      <c r="DN148" s="7" t="e">
        <f t="shared" si="95"/>
        <v>#NUM!</v>
      </c>
      <c r="DO148" s="7" t="e">
        <f t="shared" si="96"/>
        <v>#NUM!</v>
      </c>
      <c r="DP148" s="7" t="e">
        <f t="shared" si="97"/>
        <v>#NUM!</v>
      </c>
      <c r="DQ148" s="7"/>
      <c r="DR148" s="7"/>
      <c r="DS148" s="7"/>
      <c r="DT148" s="7"/>
      <c r="DU148" s="7"/>
      <c r="DV148" s="7"/>
      <c r="DW148" s="7"/>
      <c r="DX148" s="7"/>
      <c r="DY148" s="7"/>
      <c r="DZ148" s="7"/>
    </row>
    <row r="149" spans="1:130" ht="25.5" hidden="1" customHeight="1" x14ac:dyDescent="0.25">
      <c r="A149" s="92" t="str">
        <f t="shared" si="98"/>
        <v>CM-SWVI [10]</v>
      </c>
      <c r="B149" s="92" t="str">
        <f t="shared" si="99"/>
        <v>Southwest Vancouver Island</v>
      </c>
      <c r="C149" s="93" t="str">
        <f t="shared" si="68"/>
        <v>PACHENA RIVER_Chum</v>
      </c>
      <c r="D149" s="128" t="s">
        <v>598</v>
      </c>
      <c r="E149" s="128" t="s">
        <v>598</v>
      </c>
      <c r="F149" s="64">
        <v>23</v>
      </c>
      <c r="G149" s="72" t="s">
        <v>109</v>
      </c>
      <c r="H149" s="65" t="s">
        <v>96</v>
      </c>
      <c r="I149" s="119"/>
      <c r="J149" s="119"/>
      <c r="K149" s="64">
        <v>5</v>
      </c>
      <c r="L149" s="52">
        <v>2</v>
      </c>
      <c r="M149" s="52">
        <v>2</v>
      </c>
      <c r="N149" s="52">
        <f t="shared" si="69"/>
        <v>38.213023345661199</v>
      </c>
      <c r="O149" s="52">
        <f t="shared" si="70"/>
        <v>1500</v>
      </c>
      <c r="P149" s="52">
        <f t="shared" si="71"/>
        <v>231.22745166354218</v>
      </c>
      <c r="Q149" s="66"/>
      <c r="R149" s="37"/>
      <c r="S149" s="76" t="s">
        <v>341</v>
      </c>
      <c r="T149" s="81">
        <f t="shared" si="72"/>
        <v>37.5</v>
      </c>
      <c r="U149" s="81">
        <f t="shared" si="73"/>
        <v>37.5</v>
      </c>
      <c r="V149" s="232" t="s">
        <v>262</v>
      </c>
      <c r="W149" s="52">
        <v>1</v>
      </c>
      <c r="X149" s="52">
        <v>74</v>
      </c>
      <c r="Y149" s="52" t="s">
        <v>263</v>
      </c>
      <c r="Z149" s="52" t="s">
        <v>102</v>
      </c>
      <c r="AA149" s="52" t="s">
        <v>102</v>
      </c>
      <c r="AB149" s="52" t="s">
        <v>102</v>
      </c>
      <c r="AC149" s="52" t="s">
        <v>102</v>
      </c>
      <c r="AD149" s="52" t="s">
        <v>102</v>
      </c>
      <c r="AE149" s="52" t="s">
        <v>102</v>
      </c>
      <c r="AF149" s="52" t="s">
        <v>102</v>
      </c>
      <c r="AG149" s="52" t="s">
        <v>102</v>
      </c>
      <c r="AH149" s="53">
        <v>4</v>
      </c>
      <c r="AI149" s="53">
        <v>70</v>
      </c>
      <c r="AJ149" s="53">
        <v>6</v>
      </c>
      <c r="AK149" s="52" t="s">
        <v>102</v>
      </c>
      <c r="AL149" s="52" t="s">
        <v>102</v>
      </c>
      <c r="AM149" s="52" t="s">
        <v>102</v>
      </c>
      <c r="AN149" s="52" t="s">
        <v>102</v>
      </c>
      <c r="AO149" s="52" t="s">
        <v>102</v>
      </c>
      <c r="AP149" s="52" t="s">
        <v>102</v>
      </c>
      <c r="AQ149" s="53">
        <v>186</v>
      </c>
      <c r="AR149" s="54"/>
      <c r="AS149" s="54"/>
      <c r="AT149" s="52" t="s">
        <v>102</v>
      </c>
      <c r="AU149" s="52">
        <v>50</v>
      </c>
      <c r="AV149" s="52" t="s">
        <v>102</v>
      </c>
      <c r="AW149" s="52" t="s">
        <v>102</v>
      </c>
      <c r="AX149" s="51" t="s">
        <v>102</v>
      </c>
      <c r="AY149" s="53" t="s">
        <v>102</v>
      </c>
      <c r="AZ149" s="53" t="s">
        <v>102</v>
      </c>
      <c r="BA149" s="53">
        <v>50</v>
      </c>
      <c r="BB149" s="53" t="s">
        <v>102</v>
      </c>
      <c r="BC149" s="53" t="s">
        <v>102</v>
      </c>
      <c r="BD149" s="53" t="s">
        <v>102</v>
      </c>
      <c r="BE149" s="53" t="s">
        <v>102</v>
      </c>
      <c r="BF149" s="53" t="s">
        <v>102</v>
      </c>
      <c r="BG149" s="53" t="s">
        <v>102</v>
      </c>
      <c r="BH149" s="53" t="s">
        <v>264</v>
      </c>
      <c r="BI149" s="53" t="s">
        <v>264</v>
      </c>
      <c r="BJ149" s="53" t="s">
        <v>102</v>
      </c>
      <c r="BK149" s="53" t="s">
        <v>102</v>
      </c>
      <c r="BL149" s="53" t="s">
        <v>102</v>
      </c>
      <c r="BM149" s="53">
        <v>90</v>
      </c>
      <c r="BN149" s="53">
        <v>500</v>
      </c>
      <c r="BO149" s="53">
        <v>150</v>
      </c>
      <c r="BP149" s="53">
        <v>400</v>
      </c>
      <c r="BQ149" s="53">
        <v>75</v>
      </c>
      <c r="BR149" s="53">
        <v>200</v>
      </c>
      <c r="BS149" s="53">
        <v>200</v>
      </c>
      <c r="BT149" s="53">
        <v>200</v>
      </c>
      <c r="BU149" s="53" t="s">
        <v>262</v>
      </c>
      <c r="BV149" s="53">
        <v>75</v>
      </c>
      <c r="BW149" s="53">
        <v>75</v>
      </c>
      <c r="BX149" s="53">
        <v>750</v>
      </c>
      <c r="BY149" s="53">
        <v>1500</v>
      </c>
      <c r="BZ149" s="53">
        <v>750</v>
      </c>
      <c r="CA149" s="53">
        <v>200</v>
      </c>
      <c r="CB149" s="53">
        <v>200</v>
      </c>
      <c r="CC149" s="53">
        <v>200</v>
      </c>
      <c r="CD149" s="53">
        <v>200</v>
      </c>
      <c r="CE149" s="53">
        <v>400</v>
      </c>
      <c r="CF149" s="53">
        <v>75</v>
      </c>
      <c r="CG149" s="53">
        <v>400</v>
      </c>
      <c r="CH149" s="53">
        <v>750</v>
      </c>
      <c r="CI149" s="53">
        <v>1500</v>
      </c>
      <c r="CJ149" s="53">
        <v>400</v>
      </c>
      <c r="CK149" s="53">
        <v>400</v>
      </c>
      <c r="CL149" s="53">
        <v>1500</v>
      </c>
      <c r="CM149" s="53">
        <v>750</v>
      </c>
      <c r="CN149" s="206"/>
      <c r="CO149" s="206"/>
      <c r="CP149" s="206"/>
      <c r="CQ149" s="8">
        <f t="shared" si="74"/>
        <v>1</v>
      </c>
      <c r="CR149" s="8">
        <f t="shared" si="75"/>
        <v>1500</v>
      </c>
      <c r="CS149" s="8">
        <f t="shared" si="76"/>
        <v>364.14705882352939</v>
      </c>
      <c r="CT149">
        <f t="shared" si="77"/>
        <v>163.25622541070499</v>
      </c>
      <c r="CU149" s="143">
        <f t="shared" si="78"/>
        <v>37.5</v>
      </c>
      <c r="CV149" s="143">
        <f t="shared" si="79"/>
        <v>37.5</v>
      </c>
      <c r="CW149" s="7"/>
      <c r="CX149" s="7">
        <f t="shared" si="80"/>
        <v>5.3000000000000007</v>
      </c>
      <c r="CY149" s="7">
        <f t="shared" si="81"/>
        <v>69</v>
      </c>
      <c r="CZ149" s="7">
        <f t="shared" si="82"/>
        <v>74.599999999999994</v>
      </c>
      <c r="DA149" s="7">
        <f t="shared" si="83"/>
        <v>75</v>
      </c>
      <c r="DB149" s="7">
        <f t="shared" si="84"/>
        <v>200</v>
      </c>
      <c r="DC149" s="7">
        <f t="shared" si="85"/>
        <v>200</v>
      </c>
      <c r="DD149" s="7">
        <f t="shared" si="86"/>
        <v>400</v>
      </c>
      <c r="DE149" s="7">
        <f t="shared" si="87"/>
        <v>400</v>
      </c>
      <c r="DF149" s="7">
        <f t="shared" si="88"/>
        <v>750</v>
      </c>
      <c r="DG149" s="7"/>
      <c r="DH149" s="7">
        <f t="shared" si="89"/>
        <v>1.9000000000000001</v>
      </c>
      <c r="DI149" s="7">
        <f t="shared" si="90"/>
        <v>3.6999999999999997</v>
      </c>
      <c r="DJ149" s="7">
        <f t="shared" si="91"/>
        <v>4.4000000000000004</v>
      </c>
      <c r="DK149" s="7">
        <f t="shared" si="92"/>
        <v>5</v>
      </c>
      <c r="DL149" s="7">
        <f t="shared" si="93"/>
        <v>50</v>
      </c>
      <c r="DM149" s="7">
        <f t="shared" si="94"/>
        <v>61.999999999999993</v>
      </c>
      <c r="DN149" s="7">
        <f t="shared" si="95"/>
        <v>68</v>
      </c>
      <c r="DO149" s="7">
        <f t="shared" si="96"/>
        <v>72</v>
      </c>
      <c r="DP149" s="7">
        <f t="shared" si="97"/>
        <v>85.19999999999996</v>
      </c>
      <c r="DQ149" s="7"/>
      <c r="DR149" s="7"/>
      <c r="DS149" s="7"/>
      <c r="DT149" s="7"/>
      <c r="DU149" s="7"/>
      <c r="DV149" s="7"/>
      <c r="DW149" s="7"/>
      <c r="DX149" s="7"/>
      <c r="DY149" s="7"/>
      <c r="DZ149" s="7"/>
    </row>
    <row r="150" spans="1:130" ht="25.5" hidden="1" customHeight="1" x14ac:dyDescent="0.25">
      <c r="A150" s="92" t="str">
        <f t="shared" si="98"/>
        <v>CO-JdF [16]</v>
      </c>
      <c r="B150" s="92" t="str">
        <f t="shared" si="99"/>
        <v>Georgia Strait Mainland</v>
      </c>
      <c r="C150" s="93" t="str">
        <f t="shared" si="68"/>
        <v>PACHENA RIVER_Coho</v>
      </c>
      <c r="D150" s="128" t="s">
        <v>598</v>
      </c>
      <c r="E150" s="128" t="s">
        <v>598</v>
      </c>
      <c r="F150" s="64">
        <v>23</v>
      </c>
      <c r="G150" s="72" t="s">
        <v>109</v>
      </c>
      <c r="H150" s="65" t="s">
        <v>93</v>
      </c>
      <c r="I150" s="119"/>
      <c r="J150" s="119"/>
      <c r="K150" s="64">
        <v>5</v>
      </c>
      <c r="L150" s="52">
        <v>2</v>
      </c>
      <c r="M150" s="52">
        <v>2</v>
      </c>
      <c r="N150" s="52">
        <f t="shared" si="69"/>
        <v>381.12988285940759</v>
      </c>
      <c r="O150" s="52">
        <f t="shared" si="70"/>
        <v>1500</v>
      </c>
      <c r="P150" s="52">
        <f t="shared" si="71"/>
        <v>414.05897575646765</v>
      </c>
      <c r="Q150" s="66"/>
      <c r="R150" s="37"/>
      <c r="S150" s="76" t="s">
        <v>341</v>
      </c>
      <c r="T150" s="81">
        <f t="shared" si="72"/>
        <v>157.66666666666666</v>
      </c>
      <c r="U150" s="81">
        <f t="shared" si="73"/>
        <v>157.66666666666666</v>
      </c>
      <c r="V150" s="233">
        <v>41</v>
      </c>
      <c r="W150" s="52">
        <v>72</v>
      </c>
      <c r="X150" s="52">
        <v>360</v>
      </c>
      <c r="Y150" s="52" t="s">
        <v>263</v>
      </c>
      <c r="Z150" s="52" t="s">
        <v>102</v>
      </c>
      <c r="AA150" s="52" t="s">
        <v>102</v>
      </c>
      <c r="AB150" s="52" t="s">
        <v>102</v>
      </c>
      <c r="AC150" s="52" t="s">
        <v>102</v>
      </c>
      <c r="AD150" s="52" t="s">
        <v>102</v>
      </c>
      <c r="AE150" s="52" t="s">
        <v>102</v>
      </c>
      <c r="AF150" s="52" t="s">
        <v>102</v>
      </c>
      <c r="AG150" s="52" t="s">
        <v>102</v>
      </c>
      <c r="AH150" s="53">
        <v>472</v>
      </c>
      <c r="AI150" s="53">
        <v>1485</v>
      </c>
      <c r="AJ150" s="53">
        <v>519</v>
      </c>
      <c r="AK150" s="52">
        <v>350</v>
      </c>
      <c r="AL150" s="52" t="s">
        <v>102</v>
      </c>
      <c r="AM150" s="52" t="s">
        <v>102</v>
      </c>
      <c r="AN150" s="52" t="s">
        <v>102</v>
      </c>
      <c r="AO150" s="52" t="s">
        <v>102</v>
      </c>
      <c r="AP150" s="52" t="s">
        <v>102</v>
      </c>
      <c r="AQ150" s="53">
        <v>726</v>
      </c>
      <c r="AR150" s="54"/>
      <c r="AS150" s="54"/>
      <c r="AT150" s="52" t="s">
        <v>102</v>
      </c>
      <c r="AU150" s="52">
        <v>160</v>
      </c>
      <c r="AV150" s="52" t="s">
        <v>102</v>
      </c>
      <c r="AW150" s="52" t="s">
        <v>102</v>
      </c>
      <c r="AX150" s="51" t="s">
        <v>102</v>
      </c>
      <c r="AY150" s="53" t="s">
        <v>102</v>
      </c>
      <c r="AZ150" s="53" t="s">
        <v>102</v>
      </c>
      <c r="BA150" s="53" t="s">
        <v>262</v>
      </c>
      <c r="BB150" s="53" t="s">
        <v>102</v>
      </c>
      <c r="BC150" s="53" t="s">
        <v>102</v>
      </c>
      <c r="BD150" s="53" t="s">
        <v>102</v>
      </c>
      <c r="BE150" s="53" t="s">
        <v>102</v>
      </c>
      <c r="BF150" s="53" t="s">
        <v>102</v>
      </c>
      <c r="BG150" s="53" t="s">
        <v>102</v>
      </c>
      <c r="BH150" s="53" t="s">
        <v>264</v>
      </c>
      <c r="BI150" s="53" t="s">
        <v>264</v>
      </c>
      <c r="BJ150" s="53" t="s">
        <v>102</v>
      </c>
      <c r="BK150" s="53" t="s">
        <v>102</v>
      </c>
      <c r="BL150" s="53" t="s">
        <v>102</v>
      </c>
      <c r="BM150" s="53">
        <v>300</v>
      </c>
      <c r="BN150" s="53">
        <v>900</v>
      </c>
      <c r="BO150" s="53">
        <v>750</v>
      </c>
      <c r="BP150" s="53">
        <v>250</v>
      </c>
      <c r="BQ150" s="53">
        <v>200</v>
      </c>
      <c r="BR150" s="53">
        <v>400</v>
      </c>
      <c r="BS150" s="53">
        <v>400</v>
      </c>
      <c r="BT150" s="53">
        <v>400</v>
      </c>
      <c r="BU150" s="53">
        <v>400</v>
      </c>
      <c r="BV150" s="53">
        <v>750</v>
      </c>
      <c r="BW150" s="53">
        <v>400</v>
      </c>
      <c r="BX150" s="53">
        <v>750</v>
      </c>
      <c r="BY150" s="53">
        <v>200</v>
      </c>
      <c r="BZ150" s="53">
        <v>200</v>
      </c>
      <c r="CA150" s="53">
        <v>200</v>
      </c>
      <c r="CB150" s="53">
        <v>750</v>
      </c>
      <c r="CC150" s="53">
        <v>75</v>
      </c>
      <c r="CD150" s="53">
        <v>200</v>
      </c>
      <c r="CE150" s="53">
        <v>750</v>
      </c>
      <c r="CF150" s="53">
        <v>200</v>
      </c>
      <c r="CG150" s="53">
        <v>400</v>
      </c>
      <c r="CH150" s="53">
        <v>750</v>
      </c>
      <c r="CI150" s="53">
        <v>1500</v>
      </c>
      <c r="CJ150" s="53">
        <v>200</v>
      </c>
      <c r="CK150" s="53">
        <v>1500</v>
      </c>
      <c r="CL150" s="53">
        <v>1500</v>
      </c>
      <c r="CM150" s="53">
        <v>400</v>
      </c>
      <c r="CN150" s="206"/>
      <c r="CO150" s="206"/>
      <c r="CP150" s="206"/>
      <c r="CQ150" s="8">
        <f t="shared" si="74"/>
        <v>41</v>
      </c>
      <c r="CR150" s="8">
        <f t="shared" si="75"/>
        <v>1500</v>
      </c>
      <c r="CS150" s="8">
        <f t="shared" si="76"/>
        <v>525.27777777777783</v>
      </c>
      <c r="CT150">
        <f t="shared" si="77"/>
        <v>383.1435729269449</v>
      </c>
      <c r="CU150" s="143">
        <f t="shared" si="78"/>
        <v>157.66666666666666</v>
      </c>
      <c r="CV150" s="143">
        <f t="shared" si="79"/>
        <v>157.66666666666666</v>
      </c>
      <c r="CW150" s="7"/>
      <c r="CX150" s="7">
        <f t="shared" si="80"/>
        <v>74.25</v>
      </c>
      <c r="CY150" s="7">
        <f t="shared" si="81"/>
        <v>200</v>
      </c>
      <c r="CZ150" s="7">
        <f t="shared" si="82"/>
        <v>200</v>
      </c>
      <c r="DA150" s="7">
        <f t="shared" si="83"/>
        <v>200</v>
      </c>
      <c r="DB150" s="7">
        <f t="shared" si="84"/>
        <v>400</v>
      </c>
      <c r="DC150" s="7">
        <f t="shared" si="85"/>
        <v>400</v>
      </c>
      <c r="DD150" s="7">
        <f t="shared" si="86"/>
        <v>507.25</v>
      </c>
      <c r="DE150" s="7">
        <f t="shared" si="87"/>
        <v>750</v>
      </c>
      <c r="DF150" s="7">
        <f t="shared" si="88"/>
        <v>750</v>
      </c>
      <c r="DG150" s="7"/>
      <c r="DH150" s="7">
        <f t="shared" si="89"/>
        <v>53.4</v>
      </c>
      <c r="DI150" s="7">
        <f t="shared" si="90"/>
        <v>89.600000000000023</v>
      </c>
      <c r="DJ150" s="7">
        <f t="shared" si="91"/>
        <v>124.80000000000001</v>
      </c>
      <c r="DK150" s="7">
        <f t="shared" si="92"/>
        <v>160</v>
      </c>
      <c r="DL150" s="7">
        <f t="shared" si="93"/>
        <v>360</v>
      </c>
      <c r="DM150" s="7">
        <f t="shared" si="94"/>
        <v>449.59999999999997</v>
      </c>
      <c r="DN150" s="7">
        <f t="shared" si="95"/>
        <v>481.40000000000003</v>
      </c>
      <c r="DO150" s="7">
        <f t="shared" si="96"/>
        <v>519</v>
      </c>
      <c r="DP150" s="7">
        <f t="shared" si="97"/>
        <v>684.59999999999991</v>
      </c>
      <c r="DQ150" s="7"/>
      <c r="DR150" s="7"/>
      <c r="DS150" s="7"/>
      <c r="DT150" s="7"/>
      <c r="DU150" s="7"/>
      <c r="DV150" s="7"/>
      <c r="DW150" s="7"/>
      <c r="DX150" s="7"/>
      <c r="DY150" s="7"/>
      <c r="DZ150" s="7"/>
    </row>
    <row r="151" spans="1:130" ht="25.5" hidden="1" customHeight="1" x14ac:dyDescent="0.25">
      <c r="A151" s="92" t="str">
        <f t="shared" si="98"/>
        <v>CM-SWVI [10]</v>
      </c>
      <c r="B151" s="92" t="str">
        <f t="shared" si="99"/>
        <v>Southwest Vancouver Island</v>
      </c>
      <c r="C151" s="93" t="str">
        <f t="shared" si="68"/>
        <v>PIPESTEAM CREEK_Chum</v>
      </c>
      <c r="D151" s="128" t="s">
        <v>598</v>
      </c>
      <c r="E151" s="128" t="s">
        <v>598</v>
      </c>
      <c r="F151" s="64">
        <v>23</v>
      </c>
      <c r="G151" s="72" t="s">
        <v>141</v>
      </c>
      <c r="H151" s="65" t="s">
        <v>96</v>
      </c>
      <c r="I151" s="119"/>
      <c r="J151" s="119"/>
      <c r="K151" s="64">
        <v>5</v>
      </c>
      <c r="L151" s="52">
        <v>5</v>
      </c>
      <c r="M151" s="52">
        <v>4</v>
      </c>
      <c r="N151" s="52">
        <f t="shared" si="69"/>
        <v>140.27501764798458</v>
      </c>
      <c r="O151" s="52">
        <f t="shared" si="70"/>
        <v>3500</v>
      </c>
      <c r="P151" s="52">
        <f t="shared" si="71"/>
        <v>391.97376325984442</v>
      </c>
      <c r="Q151" s="66"/>
      <c r="R151" s="37"/>
      <c r="S151" s="76" t="s">
        <v>338</v>
      </c>
      <c r="T151" s="81" t="e">
        <f t="shared" si="72"/>
        <v>#DIV/0!</v>
      </c>
      <c r="U151" s="81" t="e">
        <f t="shared" si="73"/>
        <v>#DIV/0!</v>
      </c>
      <c r="V151" s="52" t="s">
        <v>102</v>
      </c>
      <c r="W151" s="52" t="s">
        <v>102</v>
      </c>
      <c r="X151" s="52" t="s">
        <v>102</v>
      </c>
      <c r="Y151" s="52" t="s">
        <v>102</v>
      </c>
      <c r="Z151" s="52" t="s">
        <v>102</v>
      </c>
      <c r="AA151" s="52" t="s">
        <v>102</v>
      </c>
      <c r="AB151" s="52" t="s">
        <v>102</v>
      </c>
      <c r="AC151" s="52" t="s">
        <v>102</v>
      </c>
      <c r="AD151" s="52" t="s">
        <v>102</v>
      </c>
      <c r="AE151" s="52" t="s">
        <v>102</v>
      </c>
      <c r="AF151" s="52" t="s">
        <v>102</v>
      </c>
      <c r="AG151" s="52" t="s">
        <v>102</v>
      </c>
      <c r="AH151" s="52" t="s">
        <v>102</v>
      </c>
      <c r="AI151" s="52" t="s">
        <v>102</v>
      </c>
      <c r="AJ151" s="52" t="s">
        <v>102</v>
      </c>
      <c r="AK151" s="52" t="s">
        <v>102</v>
      </c>
      <c r="AL151" s="52" t="s">
        <v>102</v>
      </c>
      <c r="AM151" s="52" t="s">
        <v>102</v>
      </c>
      <c r="AN151" s="52" t="s">
        <v>102</v>
      </c>
      <c r="AO151" s="52" t="s">
        <v>102</v>
      </c>
      <c r="AP151" s="52" t="s">
        <v>102</v>
      </c>
      <c r="AQ151" s="53" t="s">
        <v>102</v>
      </c>
      <c r="AR151" s="52" t="s">
        <v>102</v>
      </c>
      <c r="AS151" s="52">
        <v>175</v>
      </c>
      <c r="AT151" s="52">
        <v>295</v>
      </c>
      <c r="AU151" s="52">
        <v>250</v>
      </c>
      <c r="AV151" s="52">
        <v>30</v>
      </c>
      <c r="AW151" s="52" t="s">
        <v>262</v>
      </c>
      <c r="AX151" s="51">
        <v>100</v>
      </c>
      <c r="AY151" s="53" t="s">
        <v>262</v>
      </c>
      <c r="AZ151" s="53" t="s">
        <v>102</v>
      </c>
      <c r="BA151" s="53" t="s">
        <v>102</v>
      </c>
      <c r="BB151" s="53" t="s">
        <v>102</v>
      </c>
      <c r="BC151" s="53" t="s">
        <v>102</v>
      </c>
      <c r="BD151" s="53" t="s">
        <v>102</v>
      </c>
      <c r="BE151" s="53" t="s">
        <v>102</v>
      </c>
      <c r="BF151" s="53" t="s">
        <v>102</v>
      </c>
      <c r="BG151" s="53">
        <v>50</v>
      </c>
      <c r="BH151" s="53" t="s">
        <v>264</v>
      </c>
      <c r="BI151" s="53" t="s">
        <v>264</v>
      </c>
      <c r="BJ151" s="53">
        <v>400</v>
      </c>
      <c r="BK151" s="53">
        <v>60</v>
      </c>
      <c r="BL151" s="53" t="s">
        <v>102</v>
      </c>
      <c r="BM151" s="53">
        <v>160</v>
      </c>
      <c r="BN151" s="53">
        <v>500</v>
      </c>
      <c r="BO151" s="53">
        <v>180</v>
      </c>
      <c r="BP151" s="53">
        <v>280</v>
      </c>
      <c r="BQ151" s="53">
        <v>400</v>
      </c>
      <c r="BR151" s="53">
        <v>1000</v>
      </c>
      <c r="BS151" s="53">
        <v>750</v>
      </c>
      <c r="BT151" s="53">
        <v>750</v>
      </c>
      <c r="BU151" s="53">
        <v>200</v>
      </c>
      <c r="BV151" s="53">
        <v>200</v>
      </c>
      <c r="BW151" s="53">
        <v>750</v>
      </c>
      <c r="BX151" s="53">
        <v>750</v>
      </c>
      <c r="BY151" s="53">
        <v>400</v>
      </c>
      <c r="BZ151" s="53">
        <v>750</v>
      </c>
      <c r="CA151" s="53">
        <v>400</v>
      </c>
      <c r="CB151" s="53">
        <v>400</v>
      </c>
      <c r="CC151" s="53">
        <v>200</v>
      </c>
      <c r="CD151" s="53">
        <v>200</v>
      </c>
      <c r="CE151" s="53">
        <v>750</v>
      </c>
      <c r="CF151" s="53">
        <v>400</v>
      </c>
      <c r="CG151" s="53">
        <v>1500</v>
      </c>
      <c r="CH151" s="53">
        <v>1500</v>
      </c>
      <c r="CI151" s="53">
        <v>1500</v>
      </c>
      <c r="CJ151" s="53">
        <v>3500</v>
      </c>
      <c r="CK151" s="53">
        <v>400</v>
      </c>
      <c r="CL151" s="53">
        <v>1500</v>
      </c>
      <c r="CM151" s="53">
        <v>1500</v>
      </c>
      <c r="CN151" s="206"/>
      <c r="CO151" s="206"/>
      <c r="CP151" s="206"/>
      <c r="CQ151" s="8">
        <f t="shared" si="74"/>
        <v>30</v>
      </c>
      <c r="CR151" s="8">
        <f t="shared" si="75"/>
        <v>3500</v>
      </c>
      <c r="CS151" s="8">
        <f t="shared" si="76"/>
        <v>633.71428571428567</v>
      </c>
      <c r="CT151">
        <f t="shared" si="77"/>
        <v>391.97376325984442</v>
      </c>
      <c r="CU151" s="143" t="e">
        <f t="shared" si="78"/>
        <v>#DIV/0!</v>
      </c>
      <c r="CV151" s="143" t="e">
        <f t="shared" si="79"/>
        <v>#DIV/0!</v>
      </c>
      <c r="CX151" s="7">
        <f t="shared" si="80"/>
        <v>57</v>
      </c>
      <c r="CY151" s="7">
        <f t="shared" si="81"/>
        <v>175.5</v>
      </c>
      <c r="CZ151" s="7">
        <f t="shared" si="82"/>
        <v>196</v>
      </c>
      <c r="DA151" s="7">
        <f t="shared" si="83"/>
        <v>200</v>
      </c>
      <c r="DB151" s="7">
        <f t="shared" si="84"/>
        <v>400</v>
      </c>
      <c r="DC151" s="7">
        <f t="shared" si="85"/>
        <v>439.99999999999989</v>
      </c>
      <c r="DD151" s="7">
        <f t="shared" si="86"/>
        <v>750</v>
      </c>
      <c r="DE151" s="7">
        <f t="shared" si="87"/>
        <v>750</v>
      </c>
      <c r="DF151" s="7">
        <f t="shared" si="88"/>
        <v>1449.9999999999993</v>
      </c>
      <c r="DH151" s="7">
        <f t="shared" si="89"/>
        <v>51.749999999999986</v>
      </c>
      <c r="DI151" s="7">
        <f t="shared" si="90"/>
        <v>95.25</v>
      </c>
      <c r="DJ151" s="7">
        <f t="shared" si="91"/>
        <v>117.00000000000001</v>
      </c>
      <c r="DK151" s="7">
        <f t="shared" si="92"/>
        <v>138.75</v>
      </c>
      <c r="DL151" s="7">
        <f t="shared" si="93"/>
        <v>212.5</v>
      </c>
      <c r="DM151" s="7">
        <f t="shared" si="94"/>
        <v>235</v>
      </c>
      <c r="DN151" s="7">
        <f t="shared" si="95"/>
        <v>246.25</v>
      </c>
      <c r="DO151" s="7">
        <f t="shared" si="96"/>
        <v>261.25</v>
      </c>
      <c r="DP151" s="7">
        <f t="shared" si="97"/>
        <v>274.75</v>
      </c>
    </row>
    <row r="152" spans="1:130" ht="25.5" hidden="1" customHeight="1" x14ac:dyDescent="0.25">
      <c r="A152" s="92" t="str">
        <f t="shared" si="98"/>
        <v>CO-WVI [17]</v>
      </c>
      <c r="B152" s="92" t="str">
        <f t="shared" si="99"/>
        <v>West Vancouver Island</v>
      </c>
      <c r="C152" s="93" t="str">
        <f t="shared" si="68"/>
        <v>PIPESTEAM CREEK_Coho</v>
      </c>
      <c r="D152" s="128" t="s">
        <v>598</v>
      </c>
      <c r="E152" s="128" t="s">
        <v>598</v>
      </c>
      <c r="F152" s="64">
        <v>23</v>
      </c>
      <c r="G152" s="72" t="s">
        <v>141</v>
      </c>
      <c r="H152" s="65" t="s">
        <v>93</v>
      </c>
      <c r="I152" s="119"/>
      <c r="J152" s="119"/>
      <c r="K152" s="64">
        <v>5</v>
      </c>
      <c r="L152" s="52">
        <v>5</v>
      </c>
      <c r="M152" s="52">
        <v>4</v>
      </c>
      <c r="N152" s="52">
        <f t="shared" si="69"/>
        <v>1.4142135623730949</v>
      </c>
      <c r="O152" s="52">
        <f t="shared" si="70"/>
        <v>400</v>
      </c>
      <c r="P152" s="52">
        <f t="shared" si="71"/>
        <v>38.203664587748953</v>
      </c>
      <c r="Q152" s="66"/>
      <c r="R152" s="37"/>
      <c r="S152" s="76" t="s">
        <v>338</v>
      </c>
      <c r="T152" s="81" t="e">
        <f t="shared" si="72"/>
        <v>#DIV/0!</v>
      </c>
      <c r="U152" s="81" t="e">
        <f t="shared" si="73"/>
        <v>#DIV/0!</v>
      </c>
      <c r="V152" s="52" t="s">
        <v>102</v>
      </c>
      <c r="W152" s="52" t="s">
        <v>102</v>
      </c>
      <c r="X152" s="52" t="s">
        <v>102</v>
      </c>
      <c r="Y152" s="52" t="s">
        <v>102</v>
      </c>
      <c r="Z152" s="52" t="s">
        <v>102</v>
      </c>
      <c r="AA152" s="52" t="s">
        <v>102</v>
      </c>
      <c r="AB152" s="52" t="s">
        <v>102</v>
      </c>
      <c r="AC152" s="52" t="s">
        <v>102</v>
      </c>
      <c r="AD152" s="52" t="s">
        <v>102</v>
      </c>
      <c r="AE152" s="52" t="s">
        <v>102</v>
      </c>
      <c r="AF152" s="52" t="s">
        <v>102</v>
      </c>
      <c r="AG152" s="52" t="s">
        <v>102</v>
      </c>
      <c r="AH152" s="52" t="s">
        <v>102</v>
      </c>
      <c r="AI152" s="52" t="s">
        <v>102</v>
      </c>
      <c r="AJ152" s="52" t="s">
        <v>102</v>
      </c>
      <c r="AK152" s="52" t="s">
        <v>102</v>
      </c>
      <c r="AL152" s="52" t="s">
        <v>102</v>
      </c>
      <c r="AM152" s="52" t="s">
        <v>102</v>
      </c>
      <c r="AN152" s="52" t="s">
        <v>102</v>
      </c>
      <c r="AO152" s="52" t="s">
        <v>102</v>
      </c>
      <c r="AP152" s="52" t="s">
        <v>102</v>
      </c>
      <c r="AQ152" s="53" t="s">
        <v>102</v>
      </c>
      <c r="AR152" s="52" t="s">
        <v>102</v>
      </c>
      <c r="AS152" s="52" t="s">
        <v>263</v>
      </c>
      <c r="AT152" s="52">
        <v>1</v>
      </c>
      <c r="AU152" s="52">
        <v>2</v>
      </c>
      <c r="AV152" s="52" t="s">
        <v>263</v>
      </c>
      <c r="AW152" s="52" t="s">
        <v>262</v>
      </c>
      <c r="AX152" s="51" t="s">
        <v>262</v>
      </c>
      <c r="AY152" s="53" t="s">
        <v>264</v>
      </c>
      <c r="AZ152" s="53" t="s">
        <v>102</v>
      </c>
      <c r="BA152" s="53" t="s">
        <v>102</v>
      </c>
      <c r="BB152" s="53" t="s">
        <v>102</v>
      </c>
      <c r="BC152" s="53" t="s">
        <v>102</v>
      </c>
      <c r="BD152" s="53" t="s">
        <v>102</v>
      </c>
      <c r="BE152" s="53" t="s">
        <v>102</v>
      </c>
      <c r="BF152" s="53" t="s">
        <v>102</v>
      </c>
      <c r="BG152" s="53" t="s">
        <v>264</v>
      </c>
      <c r="BH152" s="53" t="s">
        <v>264</v>
      </c>
      <c r="BI152" s="53" t="s">
        <v>264</v>
      </c>
      <c r="BJ152" s="53" t="s">
        <v>264</v>
      </c>
      <c r="BK152" s="53" t="s">
        <v>264</v>
      </c>
      <c r="BL152" s="53" t="s">
        <v>102</v>
      </c>
      <c r="BM152" s="53">
        <v>70</v>
      </c>
      <c r="BN152" s="53">
        <v>80</v>
      </c>
      <c r="BO152" s="53">
        <v>90</v>
      </c>
      <c r="BP152" s="53">
        <v>75</v>
      </c>
      <c r="BQ152" s="53">
        <v>40</v>
      </c>
      <c r="BR152" s="53">
        <v>75</v>
      </c>
      <c r="BS152" s="53">
        <v>400</v>
      </c>
      <c r="BT152" s="53">
        <v>25</v>
      </c>
      <c r="BU152" s="53">
        <v>25</v>
      </c>
      <c r="BV152" s="53">
        <v>400</v>
      </c>
      <c r="BW152" s="53">
        <v>200</v>
      </c>
      <c r="BX152" s="53">
        <v>200</v>
      </c>
      <c r="BY152" s="53">
        <v>75</v>
      </c>
      <c r="BZ152" s="53">
        <v>25</v>
      </c>
      <c r="CA152" s="53">
        <v>25</v>
      </c>
      <c r="CB152" s="53">
        <v>25</v>
      </c>
      <c r="CC152" s="53">
        <v>25</v>
      </c>
      <c r="CD152" s="53">
        <v>25</v>
      </c>
      <c r="CE152" s="53">
        <v>25</v>
      </c>
      <c r="CF152" s="53">
        <v>25</v>
      </c>
      <c r="CG152" s="53">
        <v>25</v>
      </c>
      <c r="CH152" s="53">
        <v>25</v>
      </c>
      <c r="CI152" s="53">
        <v>25</v>
      </c>
      <c r="CJ152" s="53">
        <v>25</v>
      </c>
      <c r="CK152" s="53">
        <v>25</v>
      </c>
      <c r="CL152" s="53">
        <v>25</v>
      </c>
      <c r="CM152" s="53">
        <v>75</v>
      </c>
      <c r="CN152" s="206"/>
      <c r="CO152" s="206"/>
      <c r="CP152" s="206"/>
      <c r="CQ152" s="8">
        <f t="shared" si="74"/>
        <v>1</v>
      </c>
      <c r="CR152" s="8">
        <f t="shared" si="75"/>
        <v>400</v>
      </c>
      <c r="CS152" s="8">
        <f t="shared" si="76"/>
        <v>74.41379310344827</v>
      </c>
      <c r="CT152">
        <f t="shared" si="77"/>
        <v>38.203664587748953</v>
      </c>
      <c r="CU152" s="143" t="e">
        <f t="shared" si="78"/>
        <v>#DIV/0!</v>
      </c>
      <c r="CV152" s="143" t="e">
        <f t="shared" si="79"/>
        <v>#DIV/0!</v>
      </c>
      <c r="CX152" s="7">
        <f t="shared" si="80"/>
        <v>11.200000000000008</v>
      </c>
      <c r="CY152" s="7">
        <f t="shared" si="81"/>
        <v>25</v>
      </c>
      <c r="CZ152" s="7">
        <f t="shared" si="82"/>
        <v>25</v>
      </c>
      <c r="DA152" s="7">
        <f t="shared" si="83"/>
        <v>25</v>
      </c>
      <c r="DB152" s="7">
        <f t="shared" si="84"/>
        <v>25</v>
      </c>
      <c r="DC152" s="7">
        <f t="shared" si="85"/>
        <v>37.000000000000014</v>
      </c>
      <c r="DD152" s="7">
        <f t="shared" si="86"/>
        <v>71</v>
      </c>
      <c r="DE152" s="7">
        <f t="shared" si="87"/>
        <v>75</v>
      </c>
      <c r="DF152" s="7">
        <f t="shared" si="88"/>
        <v>88</v>
      </c>
      <c r="DH152" s="7">
        <f t="shared" si="89"/>
        <v>1.05</v>
      </c>
      <c r="DI152" s="7">
        <f t="shared" si="90"/>
        <v>1.1499999999999999</v>
      </c>
      <c r="DJ152" s="7">
        <f t="shared" si="91"/>
        <v>1.2</v>
      </c>
      <c r="DK152" s="7">
        <f t="shared" si="92"/>
        <v>1.25</v>
      </c>
      <c r="DL152" s="7">
        <f t="shared" si="93"/>
        <v>1.5</v>
      </c>
      <c r="DM152" s="7">
        <f t="shared" si="94"/>
        <v>1.6</v>
      </c>
      <c r="DN152" s="7">
        <f t="shared" si="95"/>
        <v>1.65</v>
      </c>
      <c r="DO152" s="7">
        <f t="shared" si="96"/>
        <v>1.75</v>
      </c>
      <c r="DP152" s="7">
        <f t="shared" si="97"/>
        <v>1.85</v>
      </c>
    </row>
    <row r="153" spans="1:130" ht="25.5" hidden="1" customHeight="1" x14ac:dyDescent="0.25">
      <c r="A153" s="92" t="str">
        <f t="shared" si="98"/>
        <v>CM-SWVI [10]</v>
      </c>
      <c r="B153" s="92" t="str">
        <f t="shared" si="99"/>
        <v>Southwest Vancouver Island</v>
      </c>
      <c r="C153" s="93" t="str">
        <f t="shared" si="68"/>
        <v>POETT NOOK CREEK_Chum</v>
      </c>
      <c r="D153" s="128" t="s">
        <v>598</v>
      </c>
      <c r="E153" s="128" t="s">
        <v>598</v>
      </c>
      <c r="F153" s="64">
        <v>23</v>
      </c>
      <c r="G153" s="72" t="s">
        <v>111</v>
      </c>
      <c r="H153" s="65" t="s">
        <v>96</v>
      </c>
      <c r="I153" s="119"/>
      <c r="J153" s="119"/>
      <c r="K153" s="64">
        <v>4</v>
      </c>
      <c r="L153" s="52">
        <v>11</v>
      </c>
      <c r="M153" s="52">
        <v>9</v>
      </c>
      <c r="N153" s="52">
        <f t="shared" si="69"/>
        <v>297.33424626401489</v>
      </c>
      <c r="O153" s="52">
        <f t="shared" si="70"/>
        <v>1200</v>
      </c>
      <c r="P153" s="52">
        <f t="shared" si="71"/>
        <v>324.50011308329539</v>
      </c>
      <c r="Q153" s="66"/>
      <c r="R153" s="39"/>
      <c r="S153" s="74" t="s">
        <v>327</v>
      </c>
      <c r="T153" s="81" t="e">
        <f t="shared" si="72"/>
        <v>#DIV/0!</v>
      </c>
      <c r="U153" s="81">
        <f t="shared" si="73"/>
        <v>10</v>
      </c>
      <c r="V153" s="52" t="s">
        <v>102</v>
      </c>
      <c r="W153" s="52" t="s">
        <v>102</v>
      </c>
      <c r="X153" s="52" t="s">
        <v>102</v>
      </c>
      <c r="Y153" s="52" t="s">
        <v>102</v>
      </c>
      <c r="Z153" s="52" t="s">
        <v>102</v>
      </c>
      <c r="AA153" s="52" t="s">
        <v>102</v>
      </c>
      <c r="AB153" s="52" t="s">
        <v>102</v>
      </c>
      <c r="AC153" s="52" t="s">
        <v>102</v>
      </c>
      <c r="AD153" s="52" t="s">
        <v>102</v>
      </c>
      <c r="AE153" s="52" t="s">
        <v>102</v>
      </c>
      <c r="AF153" s="52" t="s">
        <v>102</v>
      </c>
      <c r="AG153" s="144">
        <v>10</v>
      </c>
      <c r="AH153" s="52" t="s">
        <v>102</v>
      </c>
      <c r="AI153" s="52" t="s">
        <v>102</v>
      </c>
      <c r="AJ153" s="52" t="s">
        <v>102</v>
      </c>
      <c r="AK153" s="52" t="s">
        <v>102</v>
      </c>
      <c r="AL153" s="52" t="s">
        <v>102</v>
      </c>
      <c r="AM153" s="57">
        <v>1059</v>
      </c>
      <c r="AN153" s="57">
        <v>550</v>
      </c>
      <c r="AO153" s="57">
        <v>550</v>
      </c>
      <c r="AP153" s="53">
        <v>900</v>
      </c>
      <c r="AQ153" s="53" t="s">
        <v>262</v>
      </c>
      <c r="AR153" s="53">
        <v>70</v>
      </c>
      <c r="AS153" s="52" t="s">
        <v>262</v>
      </c>
      <c r="AT153" s="52">
        <v>500</v>
      </c>
      <c r="AU153" s="52">
        <v>300</v>
      </c>
      <c r="AV153" s="52">
        <v>40</v>
      </c>
      <c r="AW153" s="52">
        <v>150</v>
      </c>
      <c r="AX153" s="51">
        <v>100</v>
      </c>
      <c r="AY153" s="53" t="s">
        <v>263</v>
      </c>
      <c r="AZ153" s="53" t="s">
        <v>102</v>
      </c>
      <c r="BA153" s="53" t="s">
        <v>262</v>
      </c>
      <c r="BB153" s="53" t="s">
        <v>264</v>
      </c>
      <c r="BC153" s="53" t="s">
        <v>102</v>
      </c>
      <c r="BD153" s="53">
        <v>1200</v>
      </c>
      <c r="BE153" s="53" t="s">
        <v>102</v>
      </c>
      <c r="BF153" s="53" t="s">
        <v>102</v>
      </c>
      <c r="BG153" s="53">
        <v>255</v>
      </c>
      <c r="BH153" s="53">
        <v>50</v>
      </c>
      <c r="BI153" s="53" t="s">
        <v>264</v>
      </c>
      <c r="BJ153" s="53">
        <v>800</v>
      </c>
      <c r="BK153" s="53">
        <v>500</v>
      </c>
      <c r="BL153" s="53" t="s">
        <v>102</v>
      </c>
      <c r="BM153" s="53">
        <v>100</v>
      </c>
      <c r="BN153" s="53">
        <v>1000</v>
      </c>
      <c r="BO153" s="53">
        <v>520</v>
      </c>
      <c r="BP153" s="53">
        <v>600</v>
      </c>
      <c r="BQ153" s="53">
        <v>650</v>
      </c>
      <c r="BR153" s="53">
        <v>1000</v>
      </c>
      <c r="BS153" s="53">
        <v>400</v>
      </c>
      <c r="BT153" s="53">
        <v>750</v>
      </c>
      <c r="BU153" s="53">
        <v>750</v>
      </c>
      <c r="BV153" s="53">
        <v>750</v>
      </c>
      <c r="BW153" s="53">
        <v>400</v>
      </c>
      <c r="BX153" s="53">
        <v>750</v>
      </c>
      <c r="BY153" s="53">
        <v>200</v>
      </c>
      <c r="BZ153" s="53">
        <v>400</v>
      </c>
      <c r="CA153" s="53">
        <v>75</v>
      </c>
      <c r="CB153" s="53">
        <v>200</v>
      </c>
      <c r="CC153" s="53">
        <v>25</v>
      </c>
      <c r="CD153" s="53">
        <v>400</v>
      </c>
      <c r="CE153" s="53">
        <v>75</v>
      </c>
      <c r="CF153" s="53">
        <v>200</v>
      </c>
      <c r="CG153" s="53">
        <v>400</v>
      </c>
      <c r="CH153" s="53">
        <v>750</v>
      </c>
      <c r="CI153" s="53">
        <v>400</v>
      </c>
      <c r="CJ153" s="53">
        <v>750</v>
      </c>
      <c r="CK153" s="53">
        <v>200</v>
      </c>
      <c r="CL153" s="53">
        <v>400</v>
      </c>
      <c r="CM153" s="53">
        <v>200</v>
      </c>
      <c r="CN153" s="206"/>
      <c r="CO153" s="206"/>
      <c r="CP153" s="206"/>
      <c r="CQ153" s="8">
        <f t="shared" si="74"/>
        <v>10</v>
      </c>
      <c r="CR153" s="8">
        <f t="shared" si="75"/>
        <v>1200</v>
      </c>
      <c r="CS153" s="8">
        <f t="shared" si="76"/>
        <v>450.67441860465118</v>
      </c>
      <c r="CT153">
        <f t="shared" si="77"/>
        <v>299.27491837793758</v>
      </c>
      <c r="CU153" s="143" t="e">
        <f t="shared" si="78"/>
        <v>#DIV/0!</v>
      </c>
      <c r="CV153" s="143">
        <f t="shared" si="79"/>
        <v>10</v>
      </c>
      <c r="CX153" s="7">
        <f t="shared" si="80"/>
        <v>41</v>
      </c>
      <c r="CY153" s="7">
        <f t="shared" si="81"/>
        <v>82.5</v>
      </c>
      <c r="CZ153" s="7">
        <f t="shared" si="82"/>
        <v>120.00000000000001</v>
      </c>
      <c r="DA153" s="7">
        <f t="shared" si="83"/>
        <v>200</v>
      </c>
      <c r="DB153" s="7">
        <f t="shared" si="84"/>
        <v>400</v>
      </c>
      <c r="DC153" s="7">
        <f t="shared" si="85"/>
        <v>504</v>
      </c>
      <c r="DD153" s="7">
        <f t="shared" si="86"/>
        <v>550</v>
      </c>
      <c r="DE153" s="7">
        <f t="shared" si="87"/>
        <v>750</v>
      </c>
      <c r="DF153" s="7">
        <f t="shared" si="88"/>
        <v>750</v>
      </c>
      <c r="DH153" s="7">
        <f t="shared" si="89"/>
        <v>23.5</v>
      </c>
      <c r="DI153" s="7">
        <f t="shared" si="90"/>
        <v>50.499999999999986</v>
      </c>
      <c r="DJ153" s="7">
        <f t="shared" si="91"/>
        <v>63.999999999999993</v>
      </c>
      <c r="DK153" s="7">
        <f t="shared" si="92"/>
        <v>90</v>
      </c>
      <c r="DL153" s="7">
        <f t="shared" si="93"/>
        <v>400</v>
      </c>
      <c r="DM153" s="7">
        <f t="shared" si="94"/>
        <v>520</v>
      </c>
      <c r="DN153" s="7">
        <f t="shared" si="95"/>
        <v>542.5</v>
      </c>
      <c r="DO153" s="7">
        <f t="shared" si="96"/>
        <v>550</v>
      </c>
      <c r="DP153" s="7">
        <f t="shared" si="97"/>
        <v>777.49999999999955</v>
      </c>
    </row>
    <row r="154" spans="1:130" ht="25.5" hidden="1" customHeight="1" x14ac:dyDescent="0.25">
      <c r="A154" s="92" t="str">
        <f t="shared" si="98"/>
        <v>CO-JdF [16]</v>
      </c>
      <c r="B154" s="92" t="str">
        <f t="shared" si="99"/>
        <v>Georgia Strait Mainland</v>
      </c>
      <c r="C154" s="93" t="str">
        <f t="shared" si="68"/>
        <v>POETT NOOK CREEK_Coho</v>
      </c>
      <c r="D154" s="128" t="s">
        <v>598</v>
      </c>
      <c r="E154" s="128" t="s">
        <v>598</v>
      </c>
      <c r="F154" s="64">
        <v>23</v>
      </c>
      <c r="G154" s="72" t="s">
        <v>111</v>
      </c>
      <c r="H154" s="65" t="s">
        <v>93</v>
      </c>
      <c r="I154" s="119"/>
      <c r="J154" s="119"/>
      <c r="K154" s="64">
        <v>4</v>
      </c>
      <c r="L154" s="52">
        <v>11</v>
      </c>
      <c r="M154" s="52">
        <v>3</v>
      </c>
      <c r="N154" s="52">
        <f t="shared" si="69"/>
        <v>17.320508075688775</v>
      </c>
      <c r="O154" s="52">
        <f t="shared" si="70"/>
        <v>200</v>
      </c>
      <c r="P154" s="52">
        <f t="shared" si="71"/>
        <v>49.996498965367053</v>
      </c>
      <c r="Q154" s="66"/>
      <c r="R154" s="39"/>
      <c r="S154" s="76" t="s">
        <v>327</v>
      </c>
      <c r="T154" s="81" t="e">
        <f t="shared" si="72"/>
        <v>#DIV/0!</v>
      </c>
      <c r="U154" s="81">
        <f t="shared" si="73"/>
        <v>2</v>
      </c>
      <c r="V154" s="52" t="s">
        <v>102</v>
      </c>
      <c r="W154" s="198" t="s">
        <v>102</v>
      </c>
      <c r="X154" s="52" t="s">
        <v>102</v>
      </c>
      <c r="Y154" s="52" t="s">
        <v>102</v>
      </c>
      <c r="Z154" s="52" t="s">
        <v>102</v>
      </c>
      <c r="AA154" s="52" t="s">
        <v>102</v>
      </c>
      <c r="AB154" s="52" t="s">
        <v>102</v>
      </c>
      <c r="AC154" s="52" t="s">
        <v>102</v>
      </c>
      <c r="AD154" s="52" t="s">
        <v>102</v>
      </c>
      <c r="AE154" s="52" t="s">
        <v>102</v>
      </c>
      <c r="AF154" s="52" t="s">
        <v>102</v>
      </c>
      <c r="AG154" s="144">
        <v>2</v>
      </c>
      <c r="AH154" s="52" t="s">
        <v>102</v>
      </c>
      <c r="AI154" s="52" t="s">
        <v>102</v>
      </c>
      <c r="AJ154" s="52" t="s">
        <v>102</v>
      </c>
      <c r="AK154" s="52" t="s">
        <v>102</v>
      </c>
      <c r="AL154" s="52" t="s">
        <v>102</v>
      </c>
      <c r="AM154" s="53">
        <v>15</v>
      </c>
      <c r="AN154" s="53" t="s">
        <v>262</v>
      </c>
      <c r="AO154" s="53" t="s">
        <v>262</v>
      </c>
      <c r="AP154" s="53" t="s">
        <v>262</v>
      </c>
      <c r="AQ154" s="53">
        <v>20</v>
      </c>
      <c r="AR154" s="53" t="s">
        <v>262</v>
      </c>
      <c r="AS154" s="52" t="s">
        <v>262</v>
      </c>
      <c r="AT154" s="52">
        <v>150</v>
      </c>
      <c r="AU154" s="52">
        <v>2</v>
      </c>
      <c r="AV154" s="52" t="s">
        <v>262</v>
      </c>
      <c r="AW154" s="52" t="s">
        <v>262</v>
      </c>
      <c r="AX154" s="51" t="s">
        <v>264</v>
      </c>
      <c r="AY154" s="53" t="s">
        <v>264</v>
      </c>
      <c r="AZ154" s="53" t="s">
        <v>102</v>
      </c>
      <c r="BA154" s="53">
        <v>50</v>
      </c>
      <c r="BB154" s="53" t="s">
        <v>264</v>
      </c>
      <c r="BC154" s="53" t="s">
        <v>102</v>
      </c>
      <c r="BD154" s="53" t="s">
        <v>264</v>
      </c>
      <c r="BE154" s="53" t="s">
        <v>102</v>
      </c>
      <c r="BF154" s="53" t="s">
        <v>102</v>
      </c>
      <c r="BG154" s="53" t="s">
        <v>264</v>
      </c>
      <c r="BH154" s="53" t="s">
        <v>264</v>
      </c>
      <c r="BI154" s="53" t="s">
        <v>264</v>
      </c>
      <c r="BJ154" s="53">
        <v>20</v>
      </c>
      <c r="BK154" s="53" t="s">
        <v>264</v>
      </c>
      <c r="BL154" s="53" t="s">
        <v>102</v>
      </c>
      <c r="BM154" s="53">
        <v>80</v>
      </c>
      <c r="BN154" s="53">
        <v>100</v>
      </c>
      <c r="BO154" s="53">
        <v>110</v>
      </c>
      <c r="BP154" s="53">
        <v>90</v>
      </c>
      <c r="BQ154" s="53">
        <v>40</v>
      </c>
      <c r="BR154" s="53">
        <v>75</v>
      </c>
      <c r="BS154" s="53">
        <v>200</v>
      </c>
      <c r="BT154" s="53">
        <v>25</v>
      </c>
      <c r="BU154" s="53">
        <v>75</v>
      </c>
      <c r="BV154" s="53">
        <v>200</v>
      </c>
      <c r="BW154" s="53">
        <v>75</v>
      </c>
      <c r="BX154" s="53">
        <v>200</v>
      </c>
      <c r="BY154" s="53">
        <v>200</v>
      </c>
      <c r="BZ154" s="53">
        <v>25</v>
      </c>
      <c r="CA154" s="53">
        <v>25</v>
      </c>
      <c r="CB154" s="53">
        <v>75</v>
      </c>
      <c r="CC154" s="53">
        <v>25</v>
      </c>
      <c r="CD154" s="53">
        <v>25</v>
      </c>
      <c r="CE154" s="53">
        <v>25</v>
      </c>
      <c r="CF154" s="53">
        <v>25</v>
      </c>
      <c r="CG154" s="53">
        <v>25</v>
      </c>
      <c r="CH154" s="53">
        <v>75</v>
      </c>
      <c r="CI154" s="53">
        <v>25</v>
      </c>
      <c r="CJ154" s="53">
        <v>25</v>
      </c>
      <c r="CK154" s="53">
        <v>75</v>
      </c>
      <c r="CL154" s="53">
        <v>75</v>
      </c>
      <c r="CM154" s="53">
        <v>200</v>
      </c>
      <c r="CN154" s="206">
        <f>IF(ISERROR(AVERAGE(BV154:CM154)),CS154,AVERAGE(BV154:CM154))</f>
        <v>77.777777777777771</v>
      </c>
      <c r="CO154" s="206"/>
      <c r="CP154" s="206"/>
      <c r="CQ154" s="8">
        <f t="shared" si="74"/>
        <v>2</v>
      </c>
      <c r="CR154" s="8">
        <f t="shared" si="75"/>
        <v>200</v>
      </c>
      <c r="CS154" s="8">
        <f t="shared" si="76"/>
        <v>72.17647058823529</v>
      </c>
      <c r="CT154">
        <f t="shared" si="77"/>
        <v>45.480434541979982</v>
      </c>
      <c r="CU154" s="143" t="e">
        <f t="shared" si="78"/>
        <v>#DIV/0!</v>
      </c>
      <c r="CV154" s="143">
        <f t="shared" si="79"/>
        <v>2</v>
      </c>
      <c r="CX154" s="7">
        <f t="shared" si="80"/>
        <v>10.450000000000005</v>
      </c>
      <c r="CY154" s="7">
        <f t="shared" si="81"/>
        <v>24.75</v>
      </c>
      <c r="CZ154" s="7">
        <f t="shared" si="82"/>
        <v>25</v>
      </c>
      <c r="DA154" s="7">
        <f t="shared" si="83"/>
        <v>25</v>
      </c>
      <c r="DB154" s="7">
        <f t="shared" si="84"/>
        <v>62.5</v>
      </c>
      <c r="DC154" s="7">
        <f t="shared" si="85"/>
        <v>75</v>
      </c>
      <c r="DD154" s="7">
        <f t="shared" si="86"/>
        <v>75</v>
      </c>
      <c r="DE154" s="7">
        <f t="shared" si="87"/>
        <v>87.5</v>
      </c>
      <c r="DF154" s="7">
        <f t="shared" si="88"/>
        <v>152.50000000000003</v>
      </c>
      <c r="DH154" s="7">
        <f t="shared" si="89"/>
        <v>2</v>
      </c>
      <c r="DI154" s="7">
        <f t="shared" si="90"/>
        <v>2</v>
      </c>
      <c r="DJ154" s="7">
        <f t="shared" si="91"/>
        <v>2</v>
      </c>
      <c r="DK154" s="7">
        <f t="shared" si="92"/>
        <v>2</v>
      </c>
      <c r="DL154" s="7">
        <f t="shared" si="93"/>
        <v>15</v>
      </c>
      <c r="DM154" s="7">
        <f t="shared" si="94"/>
        <v>17</v>
      </c>
      <c r="DN154" s="7">
        <f t="shared" si="95"/>
        <v>18</v>
      </c>
      <c r="DO154" s="7">
        <f t="shared" si="96"/>
        <v>20</v>
      </c>
      <c r="DP154" s="7">
        <f t="shared" si="97"/>
        <v>72.000000000000043</v>
      </c>
    </row>
    <row r="155" spans="1:130" ht="25.5" hidden="1" customHeight="1" x14ac:dyDescent="0.25">
      <c r="A155" s="92" t="str">
        <f t="shared" si="98"/>
        <v>CM-SWVI [10]</v>
      </c>
      <c r="B155" s="92" t="str">
        <f t="shared" si="99"/>
        <v>Southwest Vancouver Island</v>
      </c>
      <c r="C155" s="93" t="str">
        <f t="shared" si="68"/>
        <v>RITHERDON CREEK_Chum</v>
      </c>
      <c r="D155" s="128" t="s">
        <v>598</v>
      </c>
      <c r="E155" s="128" t="s">
        <v>598</v>
      </c>
      <c r="F155" s="64">
        <v>23</v>
      </c>
      <c r="G155" s="72" t="s">
        <v>116</v>
      </c>
      <c r="H155" s="65" t="s">
        <v>96</v>
      </c>
      <c r="I155" s="119"/>
      <c r="J155" s="119"/>
      <c r="K155" s="64">
        <v>4</v>
      </c>
      <c r="L155" s="52">
        <v>8</v>
      </c>
      <c r="M155" s="52">
        <v>5</v>
      </c>
      <c r="N155" s="52">
        <f t="shared" si="69"/>
        <v>112.47461131420948</v>
      </c>
      <c r="O155" s="52">
        <f t="shared" si="70"/>
        <v>1000</v>
      </c>
      <c r="P155" s="52">
        <f t="shared" si="71"/>
        <v>75.141308035501822</v>
      </c>
      <c r="Q155" s="66"/>
      <c r="R155" s="39"/>
      <c r="S155" s="74" t="s">
        <v>327</v>
      </c>
      <c r="T155" s="81" t="e">
        <f t="shared" si="72"/>
        <v>#DIV/0!</v>
      </c>
      <c r="U155" s="81">
        <f t="shared" si="73"/>
        <v>6</v>
      </c>
      <c r="V155" s="52" t="s">
        <v>102</v>
      </c>
      <c r="W155" s="52" t="s">
        <v>262</v>
      </c>
      <c r="X155" s="52" t="s">
        <v>102</v>
      </c>
      <c r="Y155" s="52" t="s">
        <v>102</v>
      </c>
      <c r="Z155" s="52" t="s">
        <v>102</v>
      </c>
      <c r="AA155" s="52" t="s">
        <v>102</v>
      </c>
      <c r="AB155" s="52" t="s">
        <v>102</v>
      </c>
      <c r="AC155" s="52" t="s">
        <v>102</v>
      </c>
      <c r="AD155" s="52" t="s">
        <v>102</v>
      </c>
      <c r="AE155" s="52" t="s">
        <v>102</v>
      </c>
      <c r="AF155" s="52" t="s">
        <v>102</v>
      </c>
      <c r="AG155" s="53">
        <v>6</v>
      </c>
      <c r="AH155" s="52" t="s">
        <v>102</v>
      </c>
      <c r="AI155" s="52" t="s">
        <v>102</v>
      </c>
      <c r="AJ155" s="52" t="s">
        <v>102</v>
      </c>
      <c r="AK155" s="121" t="s">
        <v>102</v>
      </c>
      <c r="AL155" s="89" t="s">
        <v>102</v>
      </c>
      <c r="AM155" s="57">
        <v>100</v>
      </c>
      <c r="AN155" s="52" t="s">
        <v>102</v>
      </c>
      <c r="AO155" s="57">
        <v>20</v>
      </c>
      <c r="AP155" s="53" t="s">
        <v>262</v>
      </c>
      <c r="AQ155" s="53">
        <v>100</v>
      </c>
      <c r="AR155" s="53">
        <v>90</v>
      </c>
      <c r="AS155" s="52" t="s">
        <v>263</v>
      </c>
      <c r="AT155" s="52">
        <v>1000</v>
      </c>
      <c r="AU155" s="52" t="s">
        <v>262</v>
      </c>
      <c r="AV155" s="52" t="s">
        <v>102</v>
      </c>
      <c r="AW155" s="52" t="s">
        <v>102</v>
      </c>
      <c r="AX155" s="51" t="s">
        <v>102</v>
      </c>
      <c r="AY155" s="53" t="s">
        <v>263</v>
      </c>
      <c r="AZ155" s="53" t="s">
        <v>102</v>
      </c>
      <c r="BA155" s="53" t="s">
        <v>264</v>
      </c>
      <c r="BB155" s="53" t="s">
        <v>264</v>
      </c>
      <c r="BC155" s="53" t="s">
        <v>102</v>
      </c>
      <c r="BD155" s="53" t="s">
        <v>102</v>
      </c>
      <c r="BE155" s="53" t="s">
        <v>102</v>
      </c>
      <c r="BF155" s="53" t="s">
        <v>102</v>
      </c>
      <c r="BG155" s="53">
        <v>10</v>
      </c>
      <c r="BH155" s="53" t="s">
        <v>102</v>
      </c>
      <c r="BI155" s="53" t="s">
        <v>102</v>
      </c>
      <c r="BJ155" s="53" t="s">
        <v>102</v>
      </c>
      <c r="BK155" s="53" t="s">
        <v>102</v>
      </c>
      <c r="BL155" s="53" t="s">
        <v>102</v>
      </c>
      <c r="BM155" s="53" t="s">
        <v>102</v>
      </c>
      <c r="BN155" s="53" t="s">
        <v>102</v>
      </c>
      <c r="BO155" s="53" t="s">
        <v>102</v>
      </c>
      <c r="BP155" s="53" t="s">
        <v>102</v>
      </c>
      <c r="BQ155" s="53" t="s">
        <v>102</v>
      </c>
      <c r="BR155" s="53" t="s">
        <v>102</v>
      </c>
      <c r="BS155" s="53" t="s">
        <v>102</v>
      </c>
      <c r="BT155" s="53" t="s">
        <v>102</v>
      </c>
      <c r="BU155" s="53" t="s">
        <v>102</v>
      </c>
      <c r="BV155" s="53" t="s">
        <v>102</v>
      </c>
      <c r="BW155" s="53" t="s">
        <v>102</v>
      </c>
      <c r="BX155" s="53" t="s">
        <v>102</v>
      </c>
      <c r="BY155" s="53" t="s">
        <v>102</v>
      </c>
      <c r="BZ155" s="53" t="s">
        <v>102</v>
      </c>
      <c r="CA155" s="53" t="s">
        <v>102</v>
      </c>
      <c r="CB155" s="53" t="s">
        <v>102</v>
      </c>
      <c r="CC155" s="53" t="s">
        <v>102</v>
      </c>
      <c r="CD155" s="53" t="s">
        <v>102</v>
      </c>
      <c r="CE155" s="53" t="s">
        <v>102</v>
      </c>
      <c r="CF155" s="53" t="s">
        <v>102</v>
      </c>
      <c r="CG155" s="53" t="s">
        <v>102</v>
      </c>
      <c r="CH155" s="53" t="s">
        <v>102</v>
      </c>
      <c r="CI155" s="53" t="s">
        <v>102</v>
      </c>
      <c r="CJ155" s="53" t="s">
        <v>102</v>
      </c>
      <c r="CK155" s="53" t="s">
        <v>102</v>
      </c>
      <c r="CL155" s="53" t="s">
        <v>102</v>
      </c>
      <c r="CM155" s="53" t="s">
        <v>102</v>
      </c>
      <c r="CN155" s="206"/>
      <c r="CO155" s="206"/>
      <c r="CP155" s="206"/>
      <c r="CQ155" s="8">
        <f t="shared" si="74"/>
        <v>6</v>
      </c>
      <c r="CR155" s="8">
        <f t="shared" si="75"/>
        <v>1000</v>
      </c>
      <c r="CS155" s="8">
        <f t="shared" si="76"/>
        <v>189.42857142857142</v>
      </c>
      <c r="CT155">
        <f t="shared" si="77"/>
        <v>52.367342656697659</v>
      </c>
      <c r="CU155" s="143" t="e">
        <f t="shared" si="78"/>
        <v>#DIV/0!</v>
      </c>
      <c r="CV155" s="143">
        <f t="shared" si="79"/>
        <v>6</v>
      </c>
      <c r="CX155" s="7">
        <f t="shared" si="80"/>
        <v>7.2</v>
      </c>
      <c r="CY155" s="7">
        <f t="shared" si="81"/>
        <v>9.6</v>
      </c>
      <c r="CZ155" s="7">
        <f t="shared" si="82"/>
        <v>12.000000000000002</v>
      </c>
      <c r="DA155" s="7">
        <f t="shared" si="83"/>
        <v>15</v>
      </c>
      <c r="DB155" s="7">
        <f t="shared" si="84"/>
        <v>90</v>
      </c>
      <c r="DC155" s="7">
        <f t="shared" si="85"/>
        <v>96</v>
      </c>
      <c r="DD155" s="7">
        <f t="shared" si="86"/>
        <v>99</v>
      </c>
      <c r="DE155" s="7">
        <f t="shared" si="87"/>
        <v>100</v>
      </c>
      <c r="DF155" s="7">
        <f t="shared" si="88"/>
        <v>189.99999999999969</v>
      </c>
      <c r="DH155" s="7">
        <f t="shared" si="89"/>
        <v>9.5</v>
      </c>
      <c r="DI155" s="7">
        <f t="shared" si="90"/>
        <v>16.5</v>
      </c>
      <c r="DJ155" s="7">
        <f t="shared" si="91"/>
        <v>20</v>
      </c>
      <c r="DK155" s="7">
        <f t="shared" si="92"/>
        <v>37.5</v>
      </c>
      <c r="DL155" s="7">
        <f t="shared" si="93"/>
        <v>95</v>
      </c>
      <c r="DM155" s="7">
        <f t="shared" si="94"/>
        <v>100</v>
      </c>
      <c r="DN155" s="7">
        <f t="shared" si="95"/>
        <v>100</v>
      </c>
      <c r="DO155" s="7">
        <f t="shared" si="96"/>
        <v>100</v>
      </c>
      <c r="DP155" s="7">
        <f t="shared" si="97"/>
        <v>325</v>
      </c>
    </row>
    <row r="156" spans="1:130" ht="25.5" hidden="1" customHeight="1" x14ac:dyDescent="0.25">
      <c r="A156" s="92" t="str">
        <f t="shared" si="98"/>
        <v>CO-WVI [17]</v>
      </c>
      <c r="B156" s="92" t="str">
        <f t="shared" si="99"/>
        <v>West Vancouver Island</v>
      </c>
      <c r="C156" s="93" t="str">
        <f t="shared" si="68"/>
        <v>RITHERDON CREEK_Coho</v>
      </c>
      <c r="D156" s="128" t="s">
        <v>598</v>
      </c>
      <c r="E156" s="128" t="s">
        <v>598</v>
      </c>
      <c r="F156" s="64">
        <v>23</v>
      </c>
      <c r="G156" s="72" t="s">
        <v>116</v>
      </c>
      <c r="H156" s="65" t="s">
        <v>93</v>
      </c>
      <c r="I156" s="119"/>
      <c r="J156" s="119"/>
      <c r="K156" s="64">
        <v>4</v>
      </c>
      <c r="L156" s="52">
        <v>8</v>
      </c>
      <c r="M156" s="52">
        <v>3</v>
      </c>
      <c r="N156" s="52">
        <f t="shared" si="69"/>
        <v>10</v>
      </c>
      <c r="O156" s="52">
        <f t="shared" si="70"/>
        <v>50</v>
      </c>
      <c r="P156" s="52">
        <f t="shared" si="71"/>
        <v>10</v>
      </c>
      <c r="Q156" s="66"/>
      <c r="R156" s="39"/>
      <c r="S156" s="76" t="s">
        <v>327</v>
      </c>
      <c r="T156" s="81">
        <f t="shared" si="72"/>
        <v>6</v>
      </c>
      <c r="U156" s="81">
        <f t="shared" si="73"/>
        <v>6</v>
      </c>
      <c r="V156" s="52" t="s">
        <v>102</v>
      </c>
      <c r="W156" s="52">
        <v>6</v>
      </c>
      <c r="X156" s="52" t="s">
        <v>102</v>
      </c>
      <c r="Y156" s="52" t="s">
        <v>102</v>
      </c>
      <c r="Z156" s="52" t="s">
        <v>102</v>
      </c>
      <c r="AA156" s="52" t="s">
        <v>102</v>
      </c>
      <c r="AB156" s="52" t="s">
        <v>102</v>
      </c>
      <c r="AC156" s="52" t="s">
        <v>102</v>
      </c>
      <c r="AD156" s="52" t="s">
        <v>102</v>
      </c>
      <c r="AE156" s="52" t="s">
        <v>102</v>
      </c>
      <c r="AF156" s="52" t="s">
        <v>102</v>
      </c>
      <c r="AG156" s="53" t="s">
        <v>262</v>
      </c>
      <c r="AH156" s="52" t="s">
        <v>102</v>
      </c>
      <c r="AI156" s="52" t="s">
        <v>102</v>
      </c>
      <c r="AJ156" s="52" t="s">
        <v>102</v>
      </c>
      <c r="AK156" s="225" t="s">
        <v>102</v>
      </c>
      <c r="AL156" s="155" t="s">
        <v>102</v>
      </c>
      <c r="AM156" s="53" t="s">
        <v>262</v>
      </c>
      <c r="AN156" s="52" t="s">
        <v>102</v>
      </c>
      <c r="AO156" s="53" t="s">
        <v>262</v>
      </c>
      <c r="AP156" s="53" t="s">
        <v>262</v>
      </c>
      <c r="AQ156" s="53">
        <v>10</v>
      </c>
      <c r="AR156" s="53" t="s">
        <v>263</v>
      </c>
      <c r="AS156" s="52" t="s">
        <v>262</v>
      </c>
      <c r="AT156" s="52">
        <v>50</v>
      </c>
      <c r="AU156" s="52">
        <v>2</v>
      </c>
      <c r="AV156" s="52" t="s">
        <v>102</v>
      </c>
      <c r="AW156" s="52" t="s">
        <v>102</v>
      </c>
      <c r="AX156" s="51" t="s">
        <v>102</v>
      </c>
      <c r="AY156" s="53" t="s">
        <v>264</v>
      </c>
      <c r="AZ156" s="53" t="s">
        <v>102</v>
      </c>
      <c r="BA156" s="53" t="s">
        <v>262</v>
      </c>
      <c r="BB156" s="53" t="s">
        <v>262</v>
      </c>
      <c r="BC156" s="53" t="s">
        <v>102</v>
      </c>
      <c r="BD156" s="53" t="s">
        <v>102</v>
      </c>
      <c r="BE156" s="53" t="s">
        <v>102</v>
      </c>
      <c r="BF156" s="53" t="s">
        <v>102</v>
      </c>
      <c r="BG156" s="53" t="s">
        <v>264</v>
      </c>
      <c r="BH156" s="53" t="s">
        <v>102</v>
      </c>
      <c r="BI156" s="53" t="s">
        <v>102</v>
      </c>
      <c r="BJ156" s="53" t="s">
        <v>102</v>
      </c>
      <c r="BK156" s="53" t="s">
        <v>102</v>
      </c>
      <c r="BL156" s="53" t="s">
        <v>102</v>
      </c>
      <c r="BM156" s="53" t="s">
        <v>102</v>
      </c>
      <c r="BN156" s="53" t="s">
        <v>102</v>
      </c>
      <c r="BO156" s="53" t="s">
        <v>102</v>
      </c>
      <c r="BP156" s="53" t="s">
        <v>102</v>
      </c>
      <c r="BQ156" s="53" t="s">
        <v>102</v>
      </c>
      <c r="BR156" s="53" t="s">
        <v>102</v>
      </c>
      <c r="BS156" s="53" t="s">
        <v>102</v>
      </c>
      <c r="BT156" s="53" t="s">
        <v>102</v>
      </c>
      <c r="BU156" s="53" t="s">
        <v>102</v>
      </c>
      <c r="BV156" s="53" t="s">
        <v>102</v>
      </c>
      <c r="BW156" s="53" t="s">
        <v>102</v>
      </c>
      <c r="BX156" s="53" t="s">
        <v>102</v>
      </c>
      <c r="BY156" s="53" t="s">
        <v>102</v>
      </c>
      <c r="BZ156" s="53" t="s">
        <v>102</v>
      </c>
      <c r="CA156" s="53" t="s">
        <v>102</v>
      </c>
      <c r="CB156" s="53" t="s">
        <v>102</v>
      </c>
      <c r="CC156" s="53" t="s">
        <v>102</v>
      </c>
      <c r="CD156" s="53" t="s">
        <v>102</v>
      </c>
      <c r="CE156" s="53" t="s">
        <v>102</v>
      </c>
      <c r="CF156" s="53" t="s">
        <v>102</v>
      </c>
      <c r="CG156" s="53" t="s">
        <v>102</v>
      </c>
      <c r="CH156" s="53" t="s">
        <v>102</v>
      </c>
      <c r="CI156" s="53" t="s">
        <v>102</v>
      </c>
      <c r="CJ156" s="53" t="s">
        <v>102</v>
      </c>
      <c r="CK156" s="53" t="s">
        <v>102</v>
      </c>
      <c r="CL156" s="53" t="s">
        <v>102</v>
      </c>
      <c r="CM156" s="53" t="s">
        <v>102</v>
      </c>
      <c r="CN156" s="206"/>
      <c r="CO156" s="206"/>
      <c r="CP156" s="206"/>
      <c r="CQ156" s="8">
        <f t="shared" si="74"/>
        <v>2</v>
      </c>
      <c r="CR156" s="8">
        <f t="shared" si="75"/>
        <v>50</v>
      </c>
      <c r="CS156" s="8">
        <f t="shared" si="76"/>
        <v>17</v>
      </c>
      <c r="CT156">
        <f t="shared" si="77"/>
        <v>8.8011173679339336</v>
      </c>
      <c r="CU156" s="143">
        <f t="shared" si="78"/>
        <v>6</v>
      </c>
      <c r="CV156" s="143">
        <f t="shared" si="79"/>
        <v>6</v>
      </c>
      <c r="CX156" s="7">
        <f t="shared" si="80"/>
        <v>2.5999999999999996</v>
      </c>
      <c r="CY156" s="7">
        <f t="shared" si="81"/>
        <v>3.8</v>
      </c>
      <c r="CZ156" s="7">
        <f t="shared" si="82"/>
        <v>4.4000000000000004</v>
      </c>
      <c r="DA156" s="7">
        <f t="shared" si="83"/>
        <v>5</v>
      </c>
      <c r="DB156" s="7">
        <f t="shared" si="84"/>
        <v>8</v>
      </c>
      <c r="DC156" s="7">
        <f t="shared" si="85"/>
        <v>9.1999999999999993</v>
      </c>
      <c r="DD156" s="7">
        <f t="shared" si="86"/>
        <v>9.8000000000000007</v>
      </c>
      <c r="DE156" s="7">
        <f t="shared" si="87"/>
        <v>20</v>
      </c>
      <c r="DF156" s="7">
        <f t="shared" si="88"/>
        <v>31.999999999999993</v>
      </c>
      <c r="DH156" s="7">
        <f t="shared" si="89"/>
        <v>2.5999999999999996</v>
      </c>
      <c r="DI156" s="7">
        <f t="shared" si="90"/>
        <v>3.8</v>
      </c>
      <c r="DJ156" s="7">
        <f t="shared" si="91"/>
        <v>4.4000000000000004</v>
      </c>
      <c r="DK156" s="7">
        <f t="shared" si="92"/>
        <v>5</v>
      </c>
      <c r="DL156" s="7">
        <f t="shared" si="93"/>
        <v>8</v>
      </c>
      <c r="DM156" s="7">
        <f t="shared" si="94"/>
        <v>9.1999999999999993</v>
      </c>
      <c r="DN156" s="7">
        <f t="shared" si="95"/>
        <v>9.8000000000000007</v>
      </c>
      <c r="DO156" s="7">
        <f t="shared" si="96"/>
        <v>20</v>
      </c>
      <c r="DP156" s="7">
        <f t="shared" si="97"/>
        <v>31.999999999999993</v>
      </c>
    </row>
    <row r="157" spans="1:130" ht="25.5" customHeight="1" x14ac:dyDescent="0.25">
      <c r="A157" s="92" t="str">
        <f t="shared" si="98"/>
        <v>CK-SWVI [31]</v>
      </c>
      <c r="B157" s="92" t="str">
        <f t="shared" si="99"/>
        <v>Southwest Vancouver Island</v>
      </c>
      <c r="C157" s="93" t="str">
        <f t="shared" si="68"/>
        <v>SARITA RIVER_Chinook</v>
      </c>
      <c r="D157" s="128" t="s">
        <v>598</v>
      </c>
      <c r="E157" s="128" t="s">
        <v>599</v>
      </c>
      <c r="F157" s="64">
        <v>23</v>
      </c>
      <c r="G157" s="72" t="s">
        <v>112</v>
      </c>
      <c r="H157" s="65" t="s">
        <v>97</v>
      </c>
      <c r="I157" s="119"/>
      <c r="J157" s="119"/>
      <c r="K157" s="64">
        <v>3</v>
      </c>
      <c r="L157" s="52">
        <v>11</v>
      </c>
      <c r="M157" s="52">
        <v>11</v>
      </c>
      <c r="N157" s="52">
        <f t="shared" si="69"/>
        <v>1056.3937419515139</v>
      </c>
      <c r="O157" s="52">
        <f t="shared" si="70"/>
        <v>3380</v>
      </c>
      <c r="P157" s="52">
        <f t="shared" si="71"/>
        <v>465.18554217670624</v>
      </c>
      <c r="Q157" s="66" t="s">
        <v>268</v>
      </c>
      <c r="R157" s="37"/>
      <c r="S157" s="74" t="s">
        <v>1</v>
      </c>
      <c r="T157" s="81">
        <f t="shared" si="72"/>
        <v>2323.75</v>
      </c>
      <c r="U157" s="81">
        <f t="shared" si="73"/>
        <v>1848.8333333333333</v>
      </c>
      <c r="V157" s="233">
        <v>3081</v>
      </c>
      <c r="W157" s="52">
        <v>3495</v>
      </c>
      <c r="X157" s="52">
        <v>1390</v>
      </c>
      <c r="Y157" s="52">
        <v>1329</v>
      </c>
      <c r="Z157" s="52">
        <v>1613</v>
      </c>
      <c r="AA157" s="52">
        <v>2063</v>
      </c>
      <c r="AB157" s="52">
        <v>2359</v>
      </c>
      <c r="AC157" s="52">
        <v>2517</v>
      </c>
      <c r="AD157" s="52">
        <v>384</v>
      </c>
      <c r="AE157" s="144">
        <v>1171</v>
      </c>
      <c r="AF157" s="52">
        <v>1484</v>
      </c>
      <c r="AG157" s="180">
        <v>1300</v>
      </c>
      <c r="AH157" s="53">
        <v>725</v>
      </c>
      <c r="AI157" s="179">
        <v>505</v>
      </c>
      <c r="AJ157" s="53">
        <v>718</v>
      </c>
      <c r="AK157" s="179">
        <v>1300</v>
      </c>
      <c r="AL157" s="89">
        <v>2904</v>
      </c>
      <c r="AM157" s="179">
        <v>1000</v>
      </c>
      <c r="AN157" s="177">
        <v>3104</v>
      </c>
      <c r="AO157" s="53">
        <v>3380</v>
      </c>
      <c r="AP157" s="53">
        <v>2968</v>
      </c>
      <c r="AQ157" s="53">
        <v>1247</v>
      </c>
      <c r="AR157" s="53">
        <v>175</v>
      </c>
      <c r="AS157" s="52">
        <v>570</v>
      </c>
      <c r="AT157" s="52">
        <v>2231</v>
      </c>
      <c r="AU157" s="52">
        <v>1570</v>
      </c>
      <c r="AV157" s="52">
        <v>431</v>
      </c>
      <c r="AW157" s="52">
        <v>136</v>
      </c>
      <c r="AX157" s="178">
        <v>800</v>
      </c>
      <c r="AY157" s="179">
        <v>1200</v>
      </c>
      <c r="AZ157" s="179">
        <v>750</v>
      </c>
      <c r="BA157" s="179">
        <v>1500</v>
      </c>
      <c r="BB157" s="179">
        <v>550</v>
      </c>
      <c r="BC157" s="179">
        <v>600</v>
      </c>
      <c r="BD157" s="179">
        <v>300</v>
      </c>
      <c r="BE157" s="179" t="s">
        <v>264</v>
      </c>
      <c r="BF157" s="179">
        <v>350</v>
      </c>
      <c r="BG157" s="179">
        <v>300</v>
      </c>
      <c r="BH157" s="179">
        <v>90</v>
      </c>
      <c r="BI157" s="179">
        <v>127</v>
      </c>
      <c r="BJ157" s="179">
        <v>145</v>
      </c>
      <c r="BK157" s="179">
        <v>160</v>
      </c>
      <c r="BL157" s="179">
        <v>300</v>
      </c>
      <c r="BM157" s="179">
        <v>400</v>
      </c>
      <c r="BN157" s="179">
        <v>25</v>
      </c>
      <c r="BO157" s="179">
        <v>390</v>
      </c>
      <c r="BP157" s="179">
        <v>475</v>
      </c>
      <c r="BQ157" s="179">
        <v>400</v>
      </c>
      <c r="BR157" s="179">
        <v>700</v>
      </c>
      <c r="BS157" s="179">
        <v>75</v>
      </c>
      <c r="BT157" s="179">
        <v>400</v>
      </c>
      <c r="BU157" s="179">
        <v>750</v>
      </c>
      <c r="BV157" s="179">
        <v>400</v>
      </c>
      <c r="BW157" s="179">
        <v>400</v>
      </c>
      <c r="BX157" s="179">
        <v>750</v>
      </c>
      <c r="BY157" s="179">
        <v>400</v>
      </c>
      <c r="BZ157" s="179">
        <v>750</v>
      </c>
      <c r="CA157" s="179">
        <v>750</v>
      </c>
      <c r="CB157" s="179">
        <v>400</v>
      </c>
      <c r="CC157" s="179">
        <v>750</v>
      </c>
      <c r="CD157" s="179">
        <v>200</v>
      </c>
      <c r="CE157" s="179">
        <v>400</v>
      </c>
      <c r="CF157" s="179">
        <v>200</v>
      </c>
      <c r="CG157" s="179">
        <v>200</v>
      </c>
      <c r="CH157" s="179">
        <v>200</v>
      </c>
      <c r="CI157" s="179">
        <v>200</v>
      </c>
      <c r="CJ157" s="179">
        <v>200</v>
      </c>
      <c r="CK157" s="179">
        <v>200</v>
      </c>
      <c r="CL157" s="179">
        <v>750</v>
      </c>
      <c r="CM157" s="179">
        <v>750</v>
      </c>
      <c r="CN157" s="206"/>
      <c r="CO157" s="206"/>
      <c r="CP157" s="206"/>
      <c r="CQ157" s="8">
        <f t="shared" si="74"/>
        <v>25</v>
      </c>
      <c r="CR157" s="8">
        <f t="shared" si="75"/>
        <v>3495</v>
      </c>
      <c r="CS157" s="8">
        <f t="shared" si="76"/>
        <v>925.17391304347825</v>
      </c>
      <c r="CT157">
        <f t="shared" si="77"/>
        <v>582.70103816974745</v>
      </c>
      <c r="CU157" s="143">
        <f t="shared" si="78"/>
        <v>2181.6</v>
      </c>
      <c r="CV157" s="143">
        <f t="shared" si="79"/>
        <v>1848.8333333333333</v>
      </c>
      <c r="CX157" s="7">
        <f t="shared" si="80"/>
        <v>130.6</v>
      </c>
      <c r="CY157" s="7">
        <f t="shared" si="81"/>
        <v>200</v>
      </c>
      <c r="CZ157" s="7">
        <f t="shared" si="82"/>
        <v>200</v>
      </c>
      <c r="DA157" s="7">
        <f t="shared" si="83"/>
        <v>300</v>
      </c>
      <c r="DB157" s="7">
        <f t="shared" si="84"/>
        <v>600</v>
      </c>
      <c r="DC157" s="7">
        <f t="shared" si="85"/>
        <v>750</v>
      </c>
      <c r="DD157" s="7">
        <f t="shared" si="86"/>
        <v>750</v>
      </c>
      <c r="DE157" s="7">
        <f t="shared" si="87"/>
        <v>1300</v>
      </c>
      <c r="DF157" s="7">
        <f t="shared" si="88"/>
        <v>1604.3999999999999</v>
      </c>
      <c r="DH157" s="7">
        <f t="shared" si="89"/>
        <v>248.15000000000003</v>
      </c>
      <c r="DI157" s="7">
        <f t="shared" si="90"/>
        <v>508.25</v>
      </c>
      <c r="DJ157" s="7">
        <f t="shared" si="91"/>
        <v>629.20000000000005</v>
      </c>
      <c r="DK157" s="7">
        <f t="shared" si="92"/>
        <v>723.25</v>
      </c>
      <c r="DL157" s="7">
        <f t="shared" si="93"/>
        <v>1359.5</v>
      </c>
      <c r="DM157" s="7">
        <f t="shared" si="94"/>
        <v>1578.6</v>
      </c>
      <c r="DN157" s="7">
        <f t="shared" si="95"/>
        <v>1860.5000000000002</v>
      </c>
      <c r="DO157" s="7">
        <f t="shared" si="96"/>
        <v>2398.5</v>
      </c>
      <c r="DP157" s="7">
        <f t="shared" si="97"/>
        <v>2964.8</v>
      </c>
    </row>
    <row r="158" spans="1:130" ht="25.5" hidden="1" customHeight="1" x14ac:dyDescent="0.25">
      <c r="A158" s="92" t="str">
        <f t="shared" si="98"/>
        <v>CM-SWVI [10]</v>
      </c>
      <c r="B158" s="92" t="str">
        <f t="shared" si="99"/>
        <v>Southwest Vancouver Island</v>
      </c>
      <c r="C158" s="93" t="str">
        <f t="shared" si="68"/>
        <v>SARITA RIVER_Chum</v>
      </c>
      <c r="D158" s="128" t="s">
        <v>598</v>
      </c>
      <c r="E158" s="128" t="s">
        <v>598</v>
      </c>
      <c r="F158" s="64">
        <v>23</v>
      </c>
      <c r="G158" s="72" t="s">
        <v>112</v>
      </c>
      <c r="H158" s="65" t="s">
        <v>96</v>
      </c>
      <c r="I158" s="119"/>
      <c r="J158" s="119"/>
      <c r="K158" s="64">
        <v>3</v>
      </c>
      <c r="L158" s="52">
        <v>11</v>
      </c>
      <c r="M158" s="52">
        <v>11</v>
      </c>
      <c r="N158" s="52">
        <f t="shared" si="69"/>
        <v>8416.2284166754944</v>
      </c>
      <c r="O158" s="52">
        <f t="shared" si="70"/>
        <v>75000</v>
      </c>
      <c r="P158" s="52">
        <f t="shared" si="71"/>
        <v>19079.761240788393</v>
      </c>
      <c r="Q158" s="66" t="s">
        <v>268</v>
      </c>
      <c r="R158" s="37"/>
      <c r="S158" s="74" t="s">
        <v>1</v>
      </c>
      <c r="T158" s="81">
        <f t="shared" si="72"/>
        <v>3872</v>
      </c>
      <c r="U158" s="81">
        <f t="shared" si="73"/>
        <v>9441</v>
      </c>
      <c r="V158" s="233">
        <v>1757</v>
      </c>
      <c r="W158" s="52">
        <v>2007</v>
      </c>
      <c r="X158" s="52">
        <v>9029</v>
      </c>
      <c r="Y158" s="52">
        <v>2695</v>
      </c>
      <c r="Z158" s="52">
        <v>1428</v>
      </c>
      <c r="AA158" s="52">
        <v>4180</v>
      </c>
      <c r="AB158" s="52">
        <v>34134</v>
      </c>
      <c r="AC158" s="52">
        <v>6378</v>
      </c>
      <c r="AD158" s="52">
        <v>1006</v>
      </c>
      <c r="AE158" s="144">
        <v>10036</v>
      </c>
      <c r="AF158" s="52">
        <v>6971</v>
      </c>
      <c r="AG158" s="144">
        <v>33671</v>
      </c>
      <c r="AH158" s="53">
        <v>6400</v>
      </c>
      <c r="AI158" s="53">
        <v>7655</v>
      </c>
      <c r="AJ158" s="53">
        <v>4089</v>
      </c>
      <c r="AK158" s="123">
        <v>2500</v>
      </c>
      <c r="AL158" s="89">
        <v>2529</v>
      </c>
      <c r="AM158" s="53">
        <v>15000</v>
      </c>
      <c r="AN158" s="52">
        <v>22231</v>
      </c>
      <c r="AO158" s="53">
        <v>10000</v>
      </c>
      <c r="AP158" s="53">
        <v>35000</v>
      </c>
      <c r="AQ158" s="53">
        <v>5321</v>
      </c>
      <c r="AR158" s="53">
        <v>3266</v>
      </c>
      <c r="AS158" s="52">
        <v>11896</v>
      </c>
      <c r="AT158" s="52">
        <v>31566</v>
      </c>
      <c r="AU158" s="52">
        <v>14411</v>
      </c>
      <c r="AV158" s="52">
        <v>8473</v>
      </c>
      <c r="AW158" s="52">
        <v>3721</v>
      </c>
      <c r="AX158" s="51" t="s">
        <v>102</v>
      </c>
      <c r="AY158" s="53">
        <v>35000</v>
      </c>
      <c r="AZ158" s="53">
        <v>32000</v>
      </c>
      <c r="BA158" s="53">
        <v>5000</v>
      </c>
      <c r="BB158" s="53">
        <v>7000</v>
      </c>
      <c r="BC158" s="53">
        <v>20000</v>
      </c>
      <c r="BD158" s="53">
        <v>31500</v>
      </c>
      <c r="BE158" s="53" t="s">
        <v>264</v>
      </c>
      <c r="BF158" s="53">
        <v>20000</v>
      </c>
      <c r="BG158" s="53">
        <v>46000</v>
      </c>
      <c r="BH158" s="53">
        <v>1000</v>
      </c>
      <c r="BI158" s="53">
        <v>14500</v>
      </c>
      <c r="BJ158" s="53">
        <v>35000</v>
      </c>
      <c r="BK158" s="53">
        <v>16600</v>
      </c>
      <c r="BL158" s="53">
        <v>40000</v>
      </c>
      <c r="BM158" s="53">
        <v>17000</v>
      </c>
      <c r="BN158" s="53">
        <v>67000</v>
      </c>
      <c r="BO158" s="53">
        <v>38000</v>
      </c>
      <c r="BP158" s="53">
        <v>72000</v>
      </c>
      <c r="BQ158" s="53">
        <v>40000</v>
      </c>
      <c r="BR158" s="53">
        <v>55000</v>
      </c>
      <c r="BS158" s="53">
        <v>50000</v>
      </c>
      <c r="BT158" s="53">
        <v>70000</v>
      </c>
      <c r="BU158" s="53">
        <v>50000</v>
      </c>
      <c r="BV158" s="53">
        <v>35000</v>
      </c>
      <c r="BW158" s="53">
        <v>65000</v>
      </c>
      <c r="BX158" s="53">
        <v>75000</v>
      </c>
      <c r="BY158" s="53">
        <v>40000</v>
      </c>
      <c r="BZ158" s="53">
        <v>35000</v>
      </c>
      <c r="CA158" s="53">
        <v>15000</v>
      </c>
      <c r="CB158" s="53">
        <v>35000</v>
      </c>
      <c r="CC158" s="53">
        <v>7500</v>
      </c>
      <c r="CD158" s="53">
        <v>15000</v>
      </c>
      <c r="CE158" s="53">
        <v>7500</v>
      </c>
      <c r="CF158" s="53">
        <v>15000</v>
      </c>
      <c r="CG158" s="53">
        <v>15000</v>
      </c>
      <c r="CH158" s="53">
        <v>35000</v>
      </c>
      <c r="CI158" s="53">
        <v>35000</v>
      </c>
      <c r="CJ158" s="53">
        <v>35000</v>
      </c>
      <c r="CK158" s="53">
        <v>15000</v>
      </c>
      <c r="CL158" s="53">
        <v>75000</v>
      </c>
      <c r="CM158" s="53">
        <v>15000</v>
      </c>
      <c r="CN158" s="206"/>
      <c r="CO158" s="206"/>
      <c r="CP158" s="206"/>
      <c r="CQ158" s="8">
        <f t="shared" si="74"/>
        <v>1000</v>
      </c>
      <c r="CR158" s="8">
        <f t="shared" si="75"/>
        <v>75000</v>
      </c>
      <c r="CS158" s="8">
        <f t="shared" si="76"/>
        <v>23969.852941176472</v>
      </c>
      <c r="CT158">
        <f t="shared" si="77"/>
        <v>14643.110538687855</v>
      </c>
      <c r="CU158" s="143">
        <f t="shared" si="78"/>
        <v>3383.2</v>
      </c>
      <c r="CV158" s="143">
        <f t="shared" si="79"/>
        <v>9441</v>
      </c>
      <c r="CX158" s="7">
        <f t="shared" si="80"/>
        <v>1844.5</v>
      </c>
      <c r="CY158" s="7">
        <f t="shared" si="81"/>
        <v>4093.5499999999997</v>
      </c>
      <c r="CZ158" s="7">
        <f t="shared" si="82"/>
        <v>5743.8</v>
      </c>
      <c r="DA158" s="7">
        <f t="shared" si="83"/>
        <v>6992.75</v>
      </c>
      <c r="DB158" s="7">
        <f t="shared" si="84"/>
        <v>15000</v>
      </c>
      <c r="DC158" s="7">
        <f t="shared" si="85"/>
        <v>31513.200000000001</v>
      </c>
      <c r="DD158" s="7">
        <f t="shared" si="86"/>
        <v>33925.65</v>
      </c>
      <c r="DE158" s="7">
        <f t="shared" si="87"/>
        <v>35000</v>
      </c>
      <c r="DF158" s="7">
        <f t="shared" si="88"/>
        <v>40000</v>
      </c>
      <c r="DH158" s="7">
        <f t="shared" si="89"/>
        <v>1543.15</v>
      </c>
      <c r="DI158" s="7">
        <f t="shared" si="90"/>
        <v>2501.4499999999998</v>
      </c>
      <c r="DJ158" s="7">
        <f t="shared" si="91"/>
        <v>2595.4</v>
      </c>
      <c r="DK158" s="7">
        <f t="shared" si="92"/>
        <v>3123.25</v>
      </c>
      <c r="DL158" s="7">
        <f t="shared" si="93"/>
        <v>6685.5</v>
      </c>
      <c r="DM158" s="7">
        <f t="shared" si="94"/>
        <v>8584.1999999999989</v>
      </c>
      <c r="DN158" s="7">
        <f t="shared" si="95"/>
        <v>9563.0500000000011</v>
      </c>
      <c r="DO158" s="7">
        <f t="shared" si="96"/>
        <v>12524.75</v>
      </c>
      <c r="DP158" s="7">
        <f t="shared" si="97"/>
        <v>21869.449999999997</v>
      </c>
    </row>
    <row r="159" spans="1:130" ht="25.5" hidden="1" customHeight="1" x14ac:dyDescent="0.25">
      <c r="A159" s="92" t="str">
        <f t="shared" si="98"/>
        <v>CO-WVI [17]</v>
      </c>
      <c r="B159" s="92" t="str">
        <f t="shared" si="99"/>
        <v>West Vancouver Island</v>
      </c>
      <c r="C159" s="93" t="str">
        <f t="shared" si="68"/>
        <v>SARITA RIVER_Coho</v>
      </c>
      <c r="D159" s="128" t="s">
        <v>598</v>
      </c>
      <c r="E159" s="128" t="s">
        <v>598</v>
      </c>
      <c r="F159" s="64">
        <v>23</v>
      </c>
      <c r="G159" s="72" t="s">
        <v>112</v>
      </c>
      <c r="H159" s="65" t="s">
        <v>93</v>
      </c>
      <c r="I159" s="119"/>
      <c r="J159" s="119"/>
      <c r="K159" s="64">
        <v>3</v>
      </c>
      <c r="L159" s="52">
        <v>11</v>
      </c>
      <c r="M159" s="52">
        <v>11</v>
      </c>
      <c r="N159" s="52">
        <f t="shared" si="69"/>
        <v>299.64050205826891</v>
      </c>
      <c r="O159" s="52">
        <f t="shared" si="70"/>
        <v>1863</v>
      </c>
      <c r="P159" s="52">
        <f t="shared" si="71"/>
        <v>346.37459547934549</v>
      </c>
      <c r="Q159" s="66" t="s">
        <v>268</v>
      </c>
      <c r="R159" s="37"/>
      <c r="S159" s="74" t="s">
        <v>1</v>
      </c>
      <c r="T159" s="81">
        <f t="shared" si="72"/>
        <v>209.25</v>
      </c>
      <c r="U159" s="81">
        <f t="shared" si="73"/>
        <v>584.33333333333337</v>
      </c>
      <c r="V159" s="233">
        <v>231</v>
      </c>
      <c r="W159" s="52">
        <v>145</v>
      </c>
      <c r="X159" s="52">
        <v>237</v>
      </c>
      <c r="Y159" s="52">
        <v>224</v>
      </c>
      <c r="Z159" s="52">
        <v>322</v>
      </c>
      <c r="AA159" s="52">
        <v>225</v>
      </c>
      <c r="AB159" s="52">
        <v>1247</v>
      </c>
      <c r="AC159" s="52">
        <v>470</v>
      </c>
      <c r="AD159" s="52">
        <v>1618</v>
      </c>
      <c r="AE159" s="144">
        <v>1251</v>
      </c>
      <c r="AF159" s="52">
        <v>297</v>
      </c>
      <c r="AG159" s="144">
        <v>745</v>
      </c>
      <c r="AH159" s="53">
        <v>1470</v>
      </c>
      <c r="AI159" s="53">
        <v>650</v>
      </c>
      <c r="AJ159" s="53">
        <v>770</v>
      </c>
      <c r="AK159" s="53">
        <v>16</v>
      </c>
      <c r="AL159" s="52">
        <v>176</v>
      </c>
      <c r="AM159" s="52" t="s">
        <v>263</v>
      </c>
      <c r="AN159" s="52">
        <v>314</v>
      </c>
      <c r="AO159" s="53">
        <v>184</v>
      </c>
      <c r="AP159" s="53">
        <v>1000</v>
      </c>
      <c r="AQ159" s="53">
        <v>1863</v>
      </c>
      <c r="AR159" s="53">
        <v>814</v>
      </c>
      <c r="AS159" s="52">
        <v>786</v>
      </c>
      <c r="AT159" s="52">
        <v>895</v>
      </c>
      <c r="AU159" s="52">
        <v>162</v>
      </c>
      <c r="AV159" s="52">
        <v>58</v>
      </c>
      <c r="AW159" s="52">
        <v>125</v>
      </c>
      <c r="AX159" s="51" t="s">
        <v>264</v>
      </c>
      <c r="AY159" s="53">
        <v>100</v>
      </c>
      <c r="AZ159" s="53">
        <v>50</v>
      </c>
      <c r="BA159" s="53" t="s">
        <v>264</v>
      </c>
      <c r="BB159" s="53" t="s">
        <v>264</v>
      </c>
      <c r="BC159" s="53" t="s">
        <v>264</v>
      </c>
      <c r="BD159" s="53">
        <v>50</v>
      </c>
      <c r="BE159" s="53" t="s">
        <v>264</v>
      </c>
      <c r="BF159" s="53">
        <v>20</v>
      </c>
      <c r="BG159" s="53" t="s">
        <v>264</v>
      </c>
      <c r="BH159" s="53" t="s">
        <v>264</v>
      </c>
      <c r="BI159" s="53">
        <v>300</v>
      </c>
      <c r="BJ159" s="53">
        <v>260</v>
      </c>
      <c r="BK159" s="53">
        <v>6</v>
      </c>
      <c r="BL159" s="53" t="s">
        <v>262</v>
      </c>
      <c r="BM159" s="53">
        <v>500</v>
      </c>
      <c r="BN159" s="53">
        <v>750</v>
      </c>
      <c r="BO159" s="53">
        <v>650</v>
      </c>
      <c r="BP159" s="53">
        <v>450</v>
      </c>
      <c r="BQ159" s="53">
        <v>1500</v>
      </c>
      <c r="BR159" s="53">
        <v>750</v>
      </c>
      <c r="BS159" s="53">
        <v>1500</v>
      </c>
      <c r="BT159" s="53">
        <v>400</v>
      </c>
      <c r="BU159" s="53">
        <v>1500</v>
      </c>
      <c r="BV159" s="53">
        <v>1500</v>
      </c>
      <c r="BW159" s="53">
        <v>750</v>
      </c>
      <c r="BX159" s="53">
        <v>1500</v>
      </c>
      <c r="BY159" s="53">
        <v>1500</v>
      </c>
      <c r="BZ159" s="53">
        <v>400</v>
      </c>
      <c r="CA159" s="53">
        <v>400</v>
      </c>
      <c r="CB159" s="53">
        <v>750</v>
      </c>
      <c r="CC159" s="53">
        <v>200</v>
      </c>
      <c r="CD159" s="53">
        <v>400</v>
      </c>
      <c r="CE159" s="53">
        <v>750</v>
      </c>
      <c r="CF159" s="53">
        <v>200</v>
      </c>
      <c r="CG159" s="53">
        <v>400</v>
      </c>
      <c r="CH159" s="53">
        <v>750</v>
      </c>
      <c r="CI159" s="53">
        <v>200</v>
      </c>
      <c r="CJ159" s="53">
        <v>400</v>
      </c>
      <c r="CK159" s="53">
        <v>400</v>
      </c>
      <c r="CL159" s="53">
        <v>400</v>
      </c>
      <c r="CM159" s="53">
        <v>400</v>
      </c>
      <c r="CN159" s="206">
        <f>IF(ISERROR(AVERAGE(BV159:CM159)),CS159,AVERAGE(BV159:CM159))</f>
        <v>627.77777777777783</v>
      </c>
      <c r="CO159" s="206"/>
      <c r="CP159" s="206"/>
      <c r="CQ159" s="8">
        <f t="shared" si="74"/>
        <v>6</v>
      </c>
      <c r="CR159" s="8">
        <f t="shared" si="75"/>
        <v>1863</v>
      </c>
      <c r="CS159" s="8">
        <f t="shared" si="76"/>
        <v>596.40983606557381</v>
      </c>
      <c r="CT159">
        <f t="shared" si="77"/>
        <v>372.91247697478974</v>
      </c>
      <c r="CU159" s="143">
        <f t="shared" si="78"/>
        <v>231.8</v>
      </c>
      <c r="CV159" s="143">
        <f t="shared" si="79"/>
        <v>584.33333333333337</v>
      </c>
      <c r="CX159" s="7">
        <f t="shared" si="80"/>
        <v>50</v>
      </c>
      <c r="CY159" s="7">
        <f t="shared" si="81"/>
        <v>162</v>
      </c>
      <c r="CZ159" s="7">
        <f t="shared" si="82"/>
        <v>200</v>
      </c>
      <c r="DA159" s="7">
        <f t="shared" si="83"/>
        <v>224</v>
      </c>
      <c r="DB159" s="7">
        <f t="shared" si="84"/>
        <v>400</v>
      </c>
      <c r="DC159" s="7">
        <f t="shared" si="85"/>
        <v>650</v>
      </c>
      <c r="DD159" s="7">
        <f t="shared" si="86"/>
        <v>750</v>
      </c>
      <c r="DE159" s="7">
        <f t="shared" si="87"/>
        <v>770</v>
      </c>
      <c r="DF159" s="7">
        <f t="shared" si="88"/>
        <v>1251</v>
      </c>
      <c r="DH159" s="7">
        <f t="shared" si="89"/>
        <v>78.099999999999994</v>
      </c>
      <c r="DI159" s="7">
        <f t="shared" si="90"/>
        <v>160.30000000000001</v>
      </c>
      <c r="DJ159" s="7">
        <f t="shared" si="91"/>
        <v>177.6</v>
      </c>
      <c r="DK159" s="7">
        <f t="shared" si="92"/>
        <v>204</v>
      </c>
      <c r="DL159" s="7">
        <f t="shared" si="93"/>
        <v>322</v>
      </c>
      <c r="DM159" s="7">
        <f t="shared" si="94"/>
        <v>707.00000000000011</v>
      </c>
      <c r="DN159" s="7">
        <f t="shared" si="95"/>
        <v>767.5</v>
      </c>
      <c r="DO159" s="7">
        <f t="shared" si="96"/>
        <v>854.5</v>
      </c>
      <c r="DP159" s="7">
        <f t="shared" si="97"/>
        <v>1247.4000000000001</v>
      </c>
    </row>
    <row r="160" spans="1:130" ht="25.5" hidden="1" customHeight="1" x14ac:dyDescent="0.25">
      <c r="A160" s="92" t="str">
        <f t="shared" si="98"/>
        <v>Pkodd-WVI [6]</v>
      </c>
      <c r="B160" s="92" t="str">
        <f t="shared" si="99"/>
        <v>West Vancouver Island</v>
      </c>
      <c r="C160" s="93" t="str">
        <f t="shared" si="68"/>
        <v>SARITA RIVER_Pink</v>
      </c>
      <c r="D160" s="128" t="s">
        <v>598</v>
      </c>
      <c r="E160" s="128" t="s">
        <v>598</v>
      </c>
      <c r="F160" s="64">
        <v>23</v>
      </c>
      <c r="G160" s="72" t="s">
        <v>112</v>
      </c>
      <c r="H160" s="65" t="s">
        <v>95</v>
      </c>
      <c r="I160" s="119"/>
      <c r="J160" s="119"/>
      <c r="K160" s="64">
        <v>3</v>
      </c>
      <c r="L160" s="52">
        <v>11</v>
      </c>
      <c r="M160" s="52">
        <v>8</v>
      </c>
      <c r="N160" s="52">
        <f t="shared" si="69"/>
        <v>4.9310525060881041</v>
      </c>
      <c r="O160" s="52">
        <f t="shared" si="70"/>
        <v>750</v>
      </c>
      <c r="P160" s="52">
        <f t="shared" si="71"/>
        <v>23.226219823221594</v>
      </c>
      <c r="Q160" s="66" t="s">
        <v>268</v>
      </c>
      <c r="R160" s="37"/>
      <c r="S160" s="74"/>
      <c r="T160" s="81">
        <f t="shared" si="72"/>
        <v>2</v>
      </c>
      <c r="U160" s="81">
        <f t="shared" si="73"/>
        <v>11.142857142857142</v>
      </c>
      <c r="V160" s="233">
        <v>3</v>
      </c>
      <c r="W160" s="52">
        <v>2</v>
      </c>
      <c r="X160" s="52" t="s">
        <v>262</v>
      </c>
      <c r="Y160" s="52">
        <v>1</v>
      </c>
      <c r="Z160" s="52">
        <v>1</v>
      </c>
      <c r="AA160" s="52" t="s">
        <v>262</v>
      </c>
      <c r="AB160" s="52" t="s">
        <v>262</v>
      </c>
      <c r="AC160" s="52">
        <v>52</v>
      </c>
      <c r="AD160" s="53" t="s">
        <v>263</v>
      </c>
      <c r="AE160" s="144" t="s">
        <v>263</v>
      </c>
      <c r="AF160" s="52">
        <v>10</v>
      </c>
      <c r="AG160" s="144">
        <v>9</v>
      </c>
      <c r="AH160" s="52" t="s">
        <v>263</v>
      </c>
      <c r="AI160" s="52" t="s">
        <v>263</v>
      </c>
      <c r="AJ160" s="53">
        <v>3</v>
      </c>
      <c r="AK160" s="53" t="s">
        <v>262</v>
      </c>
      <c r="AL160" s="89" t="s">
        <v>262</v>
      </c>
      <c r="AM160" s="53" t="s">
        <v>262</v>
      </c>
      <c r="AN160" s="52">
        <v>3</v>
      </c>
      <c r="AO160" s="53">
        <v>6</v>
      </c>
      <c r="AP160" s="53">
        <v>19</v>
      </c>
      <c r="AQ160" s="53" t="s">
        <v>262</v>
      </c>
      <c r="AR160" s="53">
        <v>1</v>
      </c>
      <c r="AS160" s="52">
        <v>4</v>
      </c>
      <c r="AT160" s="52">
        <v>5</v>
      </c>
      <c r="AU160" s="52">
        <v>6</v>
      </c>
      <c r="AV160" s="52" t="s">
        <v>262</v>
      </c>
      <c r="AW160" s="52">
        <v>14</v>
      </c>
      <c r="AX160" s="51" t="s">
        <v>264</v>
      </c>
      <c r="AY160" s="53" t="s">
        <v>264</v>
      </c>
      <c r="AZ160" s="53" t="s">
        <v>264</v>
      </c>
      <c r="BA160" s="53" t="s">
        <v>264</v>
      </c>
      <c r="BB160" s="53" t="s">
        <v>264</v>
      </c>
      <c r="BC160" s="53" t="s">
        <v>264</v>
      </c>
      <c r="BD160" s="53" t="s">
        <v>262</v>
      </c>
      <c r="BE160" s="53" t="s">
        <v>262</v>
      </c>
      <c r="BF160" s="53">
        <v>12</v>
      </c>
      <c r="BG160" s="53">
        <v>50</v>
      </c>
      <c r="BH160" s="53" t="s">
        <v>264</v>
      </c>
      <c r="BI160" s="53" t="s">
        <v>264</v>
      </c>
      <c r="BJ160" s="53" t="s">
        <v>264</v>
      </c>
      <c r="BK160" s="53" t="s">
        <v>262</v>
      </c>
      <c r="BL160" s="53" t="s">
        <v>262</v>
      </c>
      <c r="BM160" s="53">
        <v>50</v>
      </c>
      <c r="BN160" s="53">
        <v>40</v>
      </c>
      <c r="BO160" s="53" t="s">
        <v>262</v>
      </c>
      <c r="BP160" s="53">
        <v>250</v>
      </c>
      <c r="BQ160" s="53" t="s">
        <v>264</v>
      </c>
      <c r="BR160" s="53">
        <v>100</v>
      </c>
      <c r="BS160" s="53" t="s">
        <v>264</v>
      </c>
      <c r="BT160" s="53" t="s">
        <v>264</v>
      </c>
      <c r="BU160" s="53" t="s">
        <v>264</v>
      </c>
      <c r="BV160" s="53" t="s">
        <v>264</v>
      </c>
      <c r="BW160" s="53" t="s">
        <v>264</v>
      </c>
      <c r="BX160" s="53" t="s">
        <v>264</v>
      </c>
      <c r="BY160" s="53" t="s">
        <v>264</v>
      </c>
      <c r="BZ160" s="53" t="s">
        <v>264</v>
      </c>
      <c r="CA160" s="53" t="s">
        <v>264</v>
      </c>
      <c r="CB160" s="53" t="s">
        <v>264</v>
      </c>
      <c r="CC160" s="53" t="s">
        <v>264</v>
      </c>
      <c r="CD160" s="53">
        <v>25</v>
      </c>
      <c r="CE160" s="53" t="s">
        <v>264</v>
      </c>
      <c r="CF160" s="53">
        <v>200</v>
      </c>
      <c r="CG160" s="53">
        <v>25</v>
      </c>
      <c r="CH160" s="53">
        <v>750</v>
      </c>
      <c r="CI160" s="53" t="s">
        <v>262</v>
      </c>
      <c r="CJ160" s="53">
        <v>400</v>
      </c>
      <c r="CK160" s="53" t="s">
        <v>264</v>
      </c>
      <c r="CL160" s="53">
        <v>25</v>
      </c>
      <c r="CM160" s="53" t="s">
        <v>264</v>
      </c>
      <c r="CN160" s="206"/>
      <c r="CO160" s="206"/>
      <c r="CP160" s="206"/>
      <c r="CQ160" s="8">
        <f t="shared" si="74"/>
        <v>1</v>
      </c>
      <c r="CR160" s="8">
        <f t="shared" si="75"/>
        <v>750</v>
      </c>
      <c r="CS160" s="8">
        <f t="shared" si="76"/>
        <v>73.785714285714292</v>
      </c>
      <c r="CT160">
        <f t="shared" si="77"/>
        <v>15.252998381639907</v>
      </c>
      <c r="CU160" s="143">
        <f t="shared" si="78"/>
        <v>1.75</v>
      </c>
      <c r="CV160" s="143">
        <f t="shared" si="79"/>
        <v>11.142857142857142</v>
      </c>
      <c r="CX160" s="7">
        <f t="shared" si="80"/>
        <v>1</v>
      </c>
      <c r="CY160" s="7">
        <f t="shared" si="81"/>
        <v>3</v>
      </c>
      <c r="CZ160" s="7">
        <f t="shared" si="82"/>
        <v>3</v>
      </c>
      <c r="DA160" s="7">
        <f t="shared" si="83"/>
        <v>3.75</v>
      </c>
      <c r="DB160" s="7">
        <f t="shared" si="84"/>
        <v>13</v>
      </c>
      <c r="DC160" s="7">
        <f t="shared" si="85"/>
        <v>25</v>
      </c>
      <c r="DD160" s="7">
        <f t="shared" si="86"/>
        <v>25</v>
      </c>
      <c r="DE160" s="7">
        <f t="shared" si="87"/>
        <v>50</v>
      </c>
      <c r="DF160" s="7">
        <f t="shared" si="88"/>
        <v>97.599999999999966</v>
      </c>
      <c r="DH160" s="7">
        <f t="shared" si="89"/>
        <v>1</v>
      </c>
      <c r="DI160" s="7">
        <f t="shared" si="90"/>
        <v>1.25</v>
      </c>
      <c r="DJ160" s="7">
        <f t="shared" si="91"/>
        <v>2</v>
      </c>
      <c r="DK160" s="7">
        <f t="shared" si="92"/>
        <v>2.75</v>
      </c>
      <c r="DL160" s="7">
        <f t="shared" si="93"/>
        <v>4.5</v>
      </c>
      <c r="DM160" s="7">
        <f t="shared" si="94"/>
        <v>6</v>
      </c>
      <c r="DN160" s="7">
        <f t="shared" si="95"/>
        <v>6</v>
      </c>
      <c r="DO160" s="7">
        <f t="shared" si="96"/>
        <v>9.25</v>
      </c>
      <c r="DP160" s="7">
        <f t="shared" si="97"/>
        <v>13</v>
      </c>
    </row>
    <row r="161" spans="1:134" ht="25.5" hidden="1" customHeight="1" x14ac:dyDescent="0.25">
      <c r="A161" s="92" t="str">
        <f t="shared" si="98"/>
        <v>SK-WVI [R10]</v>
      </c>
      <c r="B161" s="92" t="str">
        <f t="shared" si="99"/>
        <v>West Vancouver Island</v>
      </c>
      <c r="C161" s="93" t="str">
        <f t="shared" si="68"/>
        <v>SARITA RIVER_Sockeye</v>
      </c>
      <c r="D161" s="128" t="s">
        <v>598</v>
      </c>
      <c r="E161" s="128" t="s">
        <v>598</v>
      </c>
      <c r="F161" s="64">
        <v>23</v>
      </c>
      <c r="G161" s="72" t="s">
        <v>112</v>
      </c>
      <c r="H161" s="65" t="s">
        <v>91</v>
      </c>
      <c r="I161" s="119"/>
      <c r="J161" s="119"/>
      <c r="K161" s="64">
        <v>3</v>
      </c>
      <c r="L161" s="52">
        <v>11</v>
      </c>
      <c r="M161" s="52">
        <v>8</v>
      </c>
      <c r="N161" s="52">
        <f t="shared" si="69"/>
        <v>11.017167831298368</v>
      </c>
      <c r="O161" s="52">
        <f t="shared" si="70"/>
        <v>175</v>
      </c>
      <c r="P161" s="52">
        <f t="shared" si="71"/>
        <v>15.501285504808875</v>
      </c>
      <c r="Q161" s="66" t="s">
        <v>268</v>
      </c>
      <c r="R161" s="37"/>
      <c r="S161" s="74"/>
      <c r="T161" s="81">
        <f t="shared" si="72"/>
        <v>16.5</v>
      </c>
      <c r="U161" s="81">
        <f t="shared" si="73"/>
        <v>45.444444444444443</v>
      </c>
      <c r="V161" s="233">
        <v>51</v>
      </c>
      <c r="W161" s="52">
        <v>5</v>
      </c>
      <c r="X161" s="52">
        <v>3</v>
      </c>
      <c r="Y161" s="52">
        <v>7</v>
      </c>
      <c r="Z161" s="52">
        <v>31</v>
      </c>
      <c r="AA161" s="52">
        <v>7</v>
      </c>
      <c r="AB161" s="52">
        <v>74</v>
      </c>
      <c r="AC161" s="52">
        <v>117</v>
      </c>
      <c r="AD161" s="53">
        <v>114</v>
      </c>
      <c r="AE161" s="144" t="s">
        <v>262</v>
      </c>
      <c r="AF161" s="52" t="s">
        <v>263</v>
      </c>
      <c r="AG161" s="53" t="s">
        <v>262</v>
      </c>
      <c r="AH161" s="53">
        <v>470</v>
      </c>
      <c r="AI161" s="53">
        <v>70</v>
      </c>
      <c r="AJ161" s="53" t="s">
        <v>262</v>
      </c>
      <c r="AK161" s="53">
        <v>3</v>
      </c>
      <c r="AL161" s="200">
        <v>3</v>
      </c>
      <c r="AM161" s="52">
        <v>2</v>
      </c>
      <c r="AN161" s="52">
        <v>44</v>
      </c>
      <c r="AO161" s="53" t="s">
        <v>262</v>
      </c>
      <c r="AP161" s="53">
        <v>5</v>
      </c>
      <c r="AQ161" s="53">
        <v>6</v>
      </c>
      <c r="AR161" s="53" t="s">
        <v>262</v>
      </c>
      <c r="AS161" s="52" t="s">
        <v>262</v>
      </c>
      <c r="AT161" s="52">
        <v>33</v>
      </c>
      <c r="AU161" s="52">
        <v>175</v>
      </c>
      <c r="AV161" s="52">
        <v>12</v>
      </c>
      <c r="AW161" s="52">
        <v>16</v>
      </c>
      <c r="AX161" s="51" t="s">
        <v>264</v>
      </c>
      <c r="AY161" s="53" t="s">
        <v>264</v>
      </c>
      <c r="AZ161" s="53">
        <v>50</v>
      </c>
      <c r="BA161" s="53" t="s">
        <v>264</v>
      </c>
      <c r="BB161" s="53" t="s">
        <v>264</v>
      </c>
      <c r="BC161" s="53" t="s">
        <v>264</v>
      </c>
      <c r="BD161" s="53">
        <v>6</v>
      </c>
      <c r="BE161" s="53" t="s">
        <v>262</v>
      </c>
      <c r="BF161" s="53">
        <v>15</v>
      </c>
      <c r="BG161" s="53">
        <v>150</v>
      </c>
      <c r="BH161" s="53" t="s">
        <v>264</v>
      </c>
      <c r="BI161" s="53">
        <v>25</v>
      </c>
      <c r="BJ161" s="53" t="s">
        <v>262</v>
      </c>
      <c r="BK161" s="53" t="s">
        <v>262</v>
      </c>
      <c r="BL161" s="53" t="s">
        <v>264</v>
      </c>
      <c r="BM161" s="53" t="s">
        <v>264</v>
      </c>
      <c r="BN161" s="53" t="s">
        <v>264</v>
      </c>
      <c r="BO161" s="53" t="s">
        <v>264</v>
      </c>
      <c r="BP161" s="53" t="s">
        <v>264</v>
      </c>
      <c r="BQ161" s="53" t="s">
        <v>264</v>
      </c>
      <c r="BR161" s="53" t="s">
        <v>264</v>
      </c>
      <c r="BS161" s="53" t="s">
        <v>264</v>
      </c>
      <c r="BT161" s="53" t="s">
        <v>264</v>
      </c>
      <c r="BU161" s="53">
        <v>25</v>
      </c>
      <c r="BV161" s="53" t="s">
        <v>264</v>
      </c>
      <c r="BW161" s="53" t="s">
        <v>264</v>
      </c>
      <c r="BX161" s="53" t="s">
        <v>264</v>
      </c>
      <c r="BY161" s="53" t="s">
        <v>264</v>
      </c>
      <c r="BZ161" s="53" t="s">
        <v>264</v>
      </c>
      <c r="CA161" s="53" t="s">
        <v>264</v>
      </c>
      <c r="CB161" s="53" t="s">
        <v>264</v>
      </c>
      <c r="CC161" s="53" t="s">
        <v>264</v>
      </c>
      <c r="CD161" s="53" t="s">
        <v>264</v>
      </c>
      <c r="CE161" s="53" t="s">
        <v>264</v>
      </c>
      <c r="CF161" s="53" t="s">
        <v>264</v>
      </c>
      <c r="CG161" s="53" t="s">
        <v>264</v>
      </c>
      <c r="CH161" s="53" t="s">
        <v>264</v>
      </c>
      <c r="CI161" s="53" t="s">
        <v>264</v>
      </c>
      <c r="CJ161" s="53" t="s">
        <v>264</v>
      </c>
      <c r="CK161" s="53" t="s">
        <v>264</v>
      </c>
      <c r="CL161" s="53" t="s">
        <v>264</v>
      </c>
      <c r="CM161" s="53" t="s">
        <v>264</v>
      </c>
      <c r="CN161" s="206"/>
      <c r="CO161" s="206"/>
      <c r="CP161" s="206"/>
      <c r="CQ161" s="8">
        <f t="shared" si="74"/>
        <v>2</v>
      </c>
      <c r="CR161" s="8">
        <f t="shared" si="75"/>
        <v>470</v>
      </c>
      <c r="CS161" s="8">
        <f t="shared" si="76"/>
        <v>56.25925925925926</v>
      </c>
      <c r="CT161">
        <f t="shared" si="77"/>
        <v>20.862018813827991</v>
      </c>
      <c r="CU161" s="143">
        <f t="shared" si="78"/>
        <v>19.399999999999999</v>
      </c>
      <c r="CV161" s="143">
        <f t="shared" si="79"/>
        <v>45.444444444444443</v>
      </c>
      <c r="CX161" s="7">
        <f t="shared" si="80"/>
        <v>3</v>
      </c>
      <c r="CY161" s="7">
        <f t="shared" si="81"/>
        <v>4.8000000000000007</v>
      </c>
      <c r="CZ161" s="7">
        <f t="shared" si="82"/>
        <v>5.2</v>
      </c>
      <c r="DA161" s="7">
        <f t="shared" si="83"/>
        <v>6</v>
      </c>
      <c r="DB161" s="7">
        <f t="shared" si="84"/>
        <v>25</v>
      </c>
      <c r="DC161" s="7">
        <f t="shared" si="85"/>
        <v>32.200000000000003</v>
      </c>
      <c r="DD161" s="7">
        <f t="shared" si="86"/>
        <v>42.90000000000002</v>
      </c>
      <c r="DE161" s="7">
        <f t="shared" si="87"/>
        <v>60.5</v>
      </c>
      <c r="DF161" s="7">
        <f t="shared" si="88"/>
        <v>114.3</v>
      </c>
      <c r="DH161" s="7">
        <f t="shared" si="89"/>
        <v>3</v>
      </c>
      <c r="DI161" s="7">
        <f t="shared" si="90"/>
        <v>3</v>
      </c>
      <c r="DJ161" s="7">
        <f t="shared" si="91"/>
        <v>5</v>
      </c>
      <c r="DK161" s="7">
        <f t="shared" si="92"/>
        <v>5</v>
      </c>
      <c r="DL161" s="7">
        <f t="shared" si="93"/>
        <v>16</v>
      </c>
      <c r="DM161" s="7">
        <f t="shared" si="94"/>
        <v>33</v>
      </c>
      <c r="DN161" s="7">
        <f t="shared" si="95"/>
        <v>44</v>
      </c>
      <c r="DO161" s="7">
        <f t="shared" si="96"/>
        <v>70</v>
      </c>
      <c r="DP161" s="7">
        <f t="shared" si="97"/>
        <v>114</v>
      </c>
    </row>
    <row r="162" spans="1:134" ht="25.5" hidden="1" customHeight="1" x14ac:dyDescent="0.25">
      <c r="A162" s="92" t="str">
        <f t="shared" si="98"/>
        <v>CM-SWVI [10]</v>
      </c>
      <c r="B162" s="92" t="str">
        <f t="shared" si="99"/>
        <v>Southwest Vancouver Island</v>
      </c>
      <c r="C162" s="93" t="str">
        <f t="shared" si="68"/>
        <v>SECHART CREEK_Chum</v>
      </c>
      <c r="D162" s="128" t="s">
        <v>598</v>
      </c>
      <c r="E162" s="128" t="s">
        <v>598</v>
      </c>
      <c r="F162" s="64">
        <v>23</v>
      </c>
      <c r="G162" s="72" t="s">
        <v>137</v>
      </c>
      <c r="H162" s="65" t="s">
        <v>96</v>
      </c>
      <c r="I162" s="119"/>
      <c r="J162" s="119"/>
      <c r="K162" s="64">
        <v>5</v>
      </c>
      <c r="L162" s="52">
        <v>5</v>
      </c>
      <c r="M162" s="52">
        <v>1</v>
      </c>
      <c r="N162" s="52">
        <f t="shared" si="69"/>
        <v>30</v>
      </c>
      <c r="O162" s="52">
        <f t="shared" si="70"/>
        <v>400</v>
      </c>
      <c r="P162" s="52">
        <f t="shared" si="71"/>
        <v>98.660885761651386</v>
      </c>
      <c r="Q162" s="66"/>
      <c r="R162" s="37"/>
      <c r="S162" s="76" t="s">
        <v>342</v>
      </c>
      <c r="T162" s="81" t="e">
        <f t="shared" si="72"/>
        <v>#DIV/0!</v>
      </c>
      <c r="U162" s="81" t="e">
        <f t="shared" si="73"/>
        <v>#DIV/0!</v>
      </c>
      <c r="V162" s="52" t="s">
        <v>102</v>
      </c>
      <c r="W162" s="52" t="s">
        <v>102</v>
      </c>
      <c r="X162" s="52" t="s">
        <v>102</v>
      </c>
      <c r="Y162" s="52" t="s">
        <v>102</v>
      </c>
      <c r="Z162" s="52" t="s">
        <v>102</v>
      </c>
      <c r="AA162" s="52" t="s">
        <v>102</v>
      </c>
      <c r="AB162" s="52" t="s">
        <v>102</v>
      </c>
      <c r="AC162" s="52" t="s">
        <v>102</v>
      </c>
      <c r="AD162" s="52" t="s">
        <v>102</v>
      </c>
      <c r="AE162" s="52" t="s">
        <v>102</v>
      </c>
      <c r="AF162" s="52" t="s">
        <v>102</v>
      </c>
      <c r="AG162" s="52" t="s">
        <v>102</v>
      </c>
      <c r="AH162" s="52" t="s">
        <v>102</v>
      </c>
      <c r="AI162" s="52" t="s">
        <v>102</v>
      </c>
      <c r="AJ162" s="52" t="s">
        <v>102</v>
      </c>
      <c r="AK162" s="121" t="s">
        <v>102</v>
      </c>
      <c r="AL162" s="121" t="s">
        <v>102</v>
      </c>
      <c r="AM162" s="52" t="s">
        <v>102</v>
      </c>
      <c r="AN162" s="52" t="s">
        <v>102</v>
      </c>
      <c r="AO162" s="52" t="s">
        <v>102</v>
      </c>
      <c r="AP162" s="52" t="s">
        <v>102</v>
      </c>
      <c r="AQ162" s="52" t="s">
        <v>102</v>
      </c>
      <c r="AR162" s="53" t="s">
        <v>262</v>
      </c>
      <c r="AS162" s="52" t="s">
        <v>102</v>
      </c>
      <c r="AT162" s="52">
        <v>30</v>
      </c>
      <c r="AU162" s="52" t="s">
        <v>262</v>
      </c>
      <c r="AV162" s="52" t="s">
        <v>262</v>
      </c>
      <c r="AW162" s="52" t="s">
        <v>262</v>
      </c>
      <c r="AX162" s="51" t="s">
        <v>262</v>
      </c>
      <c r="AY162" s="53" t="s">
        <v>102</v>
      </c>
      <c r="AZ162" s="53" t="s">
        <v>102</v>
      </c>
      <c r="BA162" s="53" t="s">
        <v>102</v>
      </c>
      <c r="BB162" s="53" t="s">
        <v>102</v>
      </c>
      <c r="BC162" s="53" t="s">
        <v>102</v>
      </c>
      <c r="BD162" s="53" t="s">
        <v>102</v>
      </c>
      <c r="BE162" s="53" t="s">
        <v>102</v>
      </c>
      <c r="BF162" s="53">
        <v>200</v>
      </c>
      <c r="BG162" s="53">
        <v>170</v>
      </c>
      <c r="BH162" s="53" t="s">
        <v>264</v>
      </c>
      <c r="BI162" s="53">
        <v>78</v>
      </c>
      <c r="BJ162" s="53" t="s">
        <v>102</v>
      </c>
      <c r="BK162" s="53">
        <v>6</v>
      </c>
      <c r="BL162" s="53" t="s">
        <v>102</v>
      </c>
      <c r="BM162" s="53">
        <v>30</v>
      </c>
      <c r="BN162" s="53">
        <v>100</v>
      </c>
      <c r="BO162" s="53">
        <v>80</v>
      </c>
      <c r="BP162" s="53">
        <v>140</v>
      </c>
      <c r="BQ162" s="53">
        <v>50</v>
      </c>
      <c r="BR162" s="53">
        <v>75</v>
      </c>
      <c r="BS162" s="53">
        <v>200</v>
      </c>
      <c r="BT162" s="53">
        <v>200</v>
      </c>
      <c r="BU162" s="53">
        <v>25</v>
      </c>
      <c r="BV162" s="53">
        <v>200</v>
      </c>
      <c r="BW162" s="53">
        <v>400</v>
      </c>
      <c r="BX162" s="53">
        <v>200</v>
      </c>
      <c r="BY162" s="53">
        <v>75</v>
      </c>
      <c r="BZ162" s="53">
        <v>400</v>
      </c>
      <c r="CA162" s="53">
        <v>25</v>
      </c>
      <c r="CB162" s="53">
        <v>75</v>
      </c>
      <c r="CC162" s="53">
        <v>200</v>
      </c>
      <c r="CD162" s="53">
        <v>25</v>
      </c>
      <c r="CE162" s="53">
        <v>75</v>
      </c>
      <c r="CF162" s="53">
        <v>25</v>
      </c>
      <c r="CG162" s="53">
        <v>200</v>
      </c>
      <c r="CH162" s="53">
        <v>200</v>
      </c>
      <c r="CI162" s="53">
        <v>400</v>
      </c>
      <c r="CJ162" s="53">
        <v>25</v>
      </c>
      <c r="CK162" s="53">
        <v>200</v>
      </c>
      <c r="CL162" s="53">
        <v>400</v>
      </c>
      <c r="CM162" s="53">
        <v>400</v>
      </c>
      <c r="CN162" s="206"/>
      <c r="CO162" s="206"/>
      <c r="CP162" s="206"/>
      <c r="CQ162" s="8">
        <f t="shared" si="74"/>
        <v>6</v>
      </c>
      <c r="CR162" s="8">
        <f t="shared" si="75"/>
        <v>400</v>
      </c>
      <c r="CS162" s="8">
        <f t="shared" si="76"/>
        <v>153.40625</v>
      </c>
      <c r="CT162">
        <f t="shared" si="77"/>
        <v>98.660885761651386</v>
      </c>
      <c r="CU162" s="143" t="e">
        <f t="shared" si="78"/>
        <v>#DIV/0!</v>
      </c>
      <c r="CV162" s="143" t="e">
        <f t="shared" si="79"/>
        <v>#DIV/0!</v>
      </c>
      <c r="CX162" s="7">
        <f t="shared" si="80"/>
        <v>25</v>
      </c>
      <c r="CY162" s="7">
        <f t="shared" si="81"/>
        <v>25</v>
      </c>
      <c r="CZ162" s="7">
        <f t="shared" si="82"/>
        <v>30</v>
      </c>
      <c r="DA162" s="7">
        <f t="shared" si="83"/>
        <v>45</v>
      </c>
      <c r="DB162" s="7">
        <f t="shared" si="84"/>
        <v>120</v>
      </c>
      <c r="DC162" s="7">
        <f t="shared" si="85"/>
        <v>200</v>
      </c>
      <c r="DD162" s="7">
        <f t="shared" si="86"/>
        <v>200</v>
      </c>
      <c r="DE162" s="7">
        <f t="shared" si="87"/>
        <v>200</v>
      </c>
      <c r="DF162" s="7">
        <f t="shared" si="88"/>
        <v>269.99999999999955</v>
      </c>
      <c r="DH162" s="7">
        <f t="shared" si="89"/>
        <v>30</v>
      </c>
      <c r="DI162" s="7">
        <f t="shared" si="90"/>
        <v>30</v>
      </c>
      <c r="DJ162" s="7">
        <f t="shared" si="91"/>
        <v>30</v>
      </c>
      <c r="DK162" s="7">
        <f t="shared" si="92"/>
        <v>30</v>
      </c>
      <c r="DL162" s="7">
        <f t="shared" si="93"/>
        <v>30</v>
      </c>
      <c r="DM162" s="7">
        <f t="shared" si="94"/>
        <v>30</v>
      </c>
      <c r="DN162" s="7">
        <f t="shared" si="95"/>
        <v>30</v>
      </c>
      <c r="DO162" s="7">
        <f t="shared" si="96"/>
        <v>30</v>
      </c>
      <c r="DP162" s="7">
        <f t="shared" si="97"/>
        <v>30</v>
      </c>
    </row>
    <row r="163" spans="1:134" ht="25.5" hidden="1" customHeight="1" x14ac:dyDescent="0.25">
      <c r="A163" s="92" t="str">
        <f t="shared" si="98"/>
        <v>CO-WVI [17]</v>
      </c>
      <c r="B163" s="92" t="str">
        <f t="shared" si="99"/>
        <v>West Vancouver Island</v>
      </c>
      <c r="C163" s="93" t="str">
        <f t="shared" si="68"/>
        <v>SECHART CREEK_Coho</v>
      </c>
      <c r="D163" s="128" t="s">
        <v>598</v>
      </c>
      <c r="E163" s="128" t="s">
        <v>598</v>
      </c>
      <c r="F163" s="64">
        <v>23</v>
      </c>
      <c r="G163" s="72" t="s">
        <v>137</v>
      </c>
      <c r="H163" s="65" t="s">
        <v>93</v>
      </c>
      <c r="I163" s="119"/>
      <c r="J163" s="119"/>
      <c r="K163" s="64">
        <v>5</v>
      </c>
      <c r="L163" s="52">
        <v>5</v>
      </c>
      <c r="M163" s="52">
        <v>1</v>
      </c>
      <c r="N163" s="52">
        <f t="shared" si="69"/>
        <v>20</v>
      </c>
      <c r="O163" s="52">
        <f t="shared" si="70"/>
        <v>75</v>
      </c>
      <c r="P163" s="52">
        <f t="shared" si="71"/>
        <v>36.615717231544899</v>
      </c>
      <c r="Q163" s="66"/>
      <c r="R163" s="37"/>
      <c r="S163" s="76" t="s">
        <v>342</v>
      </c>
      <c r="T163" s="81" t="e">
        <f t="shared" si="72"/>
        <v>#DIV/0!</v>
      </c>
      <c r="U163" s="81" t="e">
        <f t="shared" si="73"/>
        <v>#DIV/0!</v>
      </c>
      <c r="V163" s="52" t="s">
        <v>102</v>
      </c>
      <c r="W163" s="52" t="s">
        <v>102</v>
      </c>
      <c r="X163" s="52" t="s">
        <v>102</v>
      </c>
      <c r="Y163" s="52" t="s">
        <v>102</v>
      </c>
      <c r="Z163" s="52" t="s">
        <v>102</v>
      </c>
      <c r="AA163" s="52" t="s">
        <v>102</v>
      </c>
      <c r="AB163" s="52" t="s">
        <v>102</v>
      </c>
      <c r="AC163" s="52" t="s">
        <v>102</v>
      </c>
      <c r="AD163" s="52" t="s">
        <v>102</v>
      </c>
      <c r="AE163" s="52" t="s">
        <v>102</v>
      </c>
      <c r="AF163" s="52" t="s">
        <v>102</v>
      </c>
      <c r="AG163" s="52" t="s">
        <v>102</v>
      </c>
      <c r="AH163" s="52" t="s">
        <v>102</v>
      </c>
      <c r="AI163" s="52" t="s">
        <v>102</v>
      </c>
      <c r="AJ163" s="52" t="s">
        <v>102</v>
      </c>
      <c r="AK163" s="121" t="s">
        <v>102</v>
      </c>
      <c r="AL163" s="121" t="s">
        <v>102</v>
      </c>
      <c r="AM163" s="52" t="s">
        <v>102</v>
      </c>
      <c r="AN163" s="52" t="s">
        <v>102</v>
      </c>
      <c r="AO163" s="52" t="s">
        <v>102</v>
      </c>
      <c r="AP163" s="52" t="s">
        <v>102</v>
      </c>
      <c r="AQ163" s="52" t="s">
        <v>102</v>
      </c>
      <c r="AR163" s="53" t="s">
        <v>262</v>
      </c>
      <c r="AS163" s="52" t="s">
        <v>102</v>
      </c>
      <c r="AT163" s="52">
        <v>20</v>
      </c>
      <c r="AU163" s="52" t="s">
        <v>262</v>
      </c>
      <c r="AV163" s="52" t="s">
        <v>262</v>
      </c>
      <c r="AW163" s="52" t="s">
        <v>262</v>
      </c>
      <c r="AX163" s="51" t="s">
        <v>262</v>
      </c>
      <c r="AY163" s="53" t="s">
        <v>102</v>
      </c>
      <c r="AZ163" s="53" t="s">
        <v>102</v>
      </c>
      <c r="BA163" s="53" t="s">
        <v>102</v>
      </c>
      <c r="BB163" s="53" t="s">
        <v>102</v>
      </c>
      <c r="BC163" s="53" t="s">
        <v>102</v>
      </c>
      <c r="BD163" s="53" t="s">
        <v>102</v>
      </c>
      <c r="BE163" s="53" t="s">
        <v>102</v>
      </c>
      <c r="BF163" s="53" t="s">
        <v>262</v>
      </c>
      <c r="BG163" s="53" t="s">
        <v>264</v>
      </c>
      <c r="BH163" s="53" t="s">
        <v>264</v>
      </c>
      <c r="BI163" s="53" t="s">
        <v>264</v>
      </c>
      <c r="BJ163" s="53" t="s">
        <v>102</v>
      </c>
      <c r="BK163" s="53" t="s">
        <v>264</v>
      </c>
      <c r="BL163" s="53" t="s">
        <v>102</v>
      </c>
      <c r="BM163" s="53">
        <v>40</v>
      </c>
      <c r="BN163" s="53">
        <v>30</v>
      </c>
      <c r="BO163" s="53">
        <v>35</v>
      </c>
      <c r="BP163" s="53">
        <v>30</v>
      </c>
      <c r="BQ163" s="53">
        <v>25</v>
      </c>
      <c r="BR163" s="53">
        <v>75</v>
      </c>
      <c r="BS163" s="53">
        <v>75</v>
      </c>
      <c r="BT163" s="53" t="s">
        <v>264</v>
      </c>
      <c r="BU163" s="53" t="s">
        <v>264</v>
      </c>
      <c r="BV163" s="53">
        <v>25</v>
      </c>
      <c r="BW163" s="53">
        <v>75</v>
      </c>
      <c r="BX163" s="53">
        <v>75</v>
      </c>
      <c r="BY163" s="53" t="s">
        <v>264</v>
      </c>
      <c r="BZ163" s="53">
        <v>25</v>
      </c>
      <c r="CA163" s="53">
        <v>25</v>
      </c>
      <c r="CB163" s="53" t="s">
        <v>264</v>
      </c>
      <c r="CC163" s="53" t="s">
        <v>264</v>
      </c>
      <c r="CD163" s="53" t="s">
        <v>264</v>
      </c>
      <c r="CE163" s="53" t="s">
        <v>264</v>
      </c>
      <c r="CF163" s="53" t="s">
        <v>264</v>
      </c>
      <c r="CG163" s="53" t="s">
        <v>264</v>
      </c>
      <c r="CH163" s="53" t="s">
        <v>264</v>
      </c>
      <c r="CI163" s="53" t="s">
        <v>264</v>
      </c>
      <c r="CJ163" s="53" t="s">
        <v>264</v>
      </c>
      <c r="CK163" s="53" t="s">
        <v>262</v>
      </c>
      <c r="CL163" s="53">
        <v>25</v>
      </c>
      <c r="CM163" s="53" t="s">
        <v>264</v>
      </c>
      <c r="CN163" s="206"/>
      <c r="CO163" s="206"/>
      <c r="CP163" s="206"/>
      <c r="CQ163" s="8">
        <f t="shared" si="74"/>
        <v>20</v>
      </c>
      <c r="CR163" s="8">
        <f t="shared" si="75"/>
        <v>75</v>
      </c>
      <c r="CS163" s="8">
        <f t="shared" si="76"/>
        <v>41.428571428571431</v>
      </c>
      <c r="CT163">
        <f t="shared" si="77"/>
        <v>36.615717231544899</v>
      </c>
      <c r="CU163" s="143" t="e">
        <f t="shared" si="78"/>
        <v>#DIV/0!</v>
      </c>
      <c r="CV163" s="143" t="e">
        <f t="shared" si="79"/>
        <v>#DIV/0!</v>
      </c>
      <c r="CX163" s="7">
        <f t="shared" si="80"/>
        <v>23.25</v>
      </c>
      <c r="CY163" s="7">
        <f t="shared" si="81"/>
        <v>25</v>
      </c>
      <c r="CZ163" s="7">
        <f t="shared" si="82"/>
        <v>25</v>
      </c>
      <c r="DA163" s="7">
        <f t="shared" si="83"/>
        <v>25</v>
      </c>
      <c r="DB163" s="7">
        <f t="shared" si="84"/>
        <v>30</v>
      </c>
      <c r="DC163" s="7">
        <f t="shared" si="85"/>
        <v>34</v>
      </c>
      <c r="DD163" s="7">
        <f t="shared" si="86"/>
        <v>37.250000000000007</v>
      </c>
      <c r="DE163" s="7">
        <f t="shared" si="87"/>
        <v>66.25</v>
      </c>
      <c r="DF163" s="7">
        <f t="shared" si="88"/>
        <v>75</v>
      </c>
      <c r="DH163" s="7">
        <f t="shared" si="89"/>
        <v>20</v>
      </c>
      <c r="DI163" s="7">
        <f t="shared" si="90"/>
        <v>20</v>
      </c>
      <c r="DJ163" s="7">
        <f t="shared" si="91"/>
        <v>20</v>
      </c>
      <c r="DK163" s="7">
        <f t="shared" si="92"/>
        <v>20</v>
      </c>
      <c r="DL163" s="7">
        <f t="shared" si="93"/>
        <v>20</v>
      </c>
      <c r="DM163" s="7">
        <f t="shared" si="94"/>
        <v>20</v>
      </c>
      <c r="DN163" s="7">
        <f t="shared" si="95"/>
        <v>20</v>
      </c>
      <c r="DO163" s="7">
        <f t="shared" si="96"/>
        <v>20</v>
      </c>
      <c r="DP163" s="7">
        <f t="shared" si="97"/>
        <v>20</v>
      </c>
    </row>
    <row r="164" spans="1:134" ht="25.5" customHeight="1" x14ac:dyDescent="0.25">
      <c r="A164" s="92" t="str">
        <f t="shared" si="98"/>
        <v>CK-SWVI [31]</v>
      </c>
      <c r="B164" s="92" t="str">
        <f t="shared" si="99"/>
        <v>Southwest Vancouver Island</v>
      </c>
      <c r="C164" s="93" t="str">
        <f t="shared" si="68"/>
        <v>SMITH CREEK_Chinook</v>
      </c>
      <c r="D164" s="128" t="s">
        <v>598</v>
      </c>
      <c r="E164" s="128" t="s">
        <v>598</v>
      </c>
      <c r="F164" s="64">
        <v>23</v>
      </c>
      <c r="G164" s="72" t="s">
        <v>153</v>
      </c>
      <c r="H164" s="65" t="s">
        <v>97</v>
      </c>
      <c r="I164" s="119"/>
      <c r="J164" s="119"/>
      <c r="K164" s="64">
        <v>4</v>
      </c>
      <c r="L164" s="52">
        <v>10</v>
      </c>
      <c r="M164" s="52">
        <v>6</v>
      </c>
      <c r="N164" s="52">
        <f t="shared" si="69"/>
        <v>8.1264103377747627</v>
      </c>
      <c r="O164" s="52">
        <f t="shared" si="70"/>
        <v>40</v>
      </c>
      <c r="P164" s="52">
        <f t="shared" si="71"/>
        <v>8.1264103377747627</v>
      </c>
      <c r="Q164" s="66"/>
      <c r="R164" s="37"/>
      <c r="S164" s="74"/>
      <c r="T164" s="81" t="e">
        <f t="shared" si="72"/>
        <v>#DIV/0!</v>
      </c>
      <c r="U164" s="81" t="e">
        <f t="shared" si="73"/>
        <v>#DIV/0!</v>
      </c>
      <c r="V164" s="232" t="s">
        <v>262</v>
      </c>
      <c r="W164" s="52" t="s">
        <v>262</v>
      </c>
      <c r="X164" s="52" t="s">
        <v>262</v>
      </c>
      <c r="Y164" s="52" t="s">
        <v>262</v>
      </c>
      <c r="Z164" s="52" t="s">
        <v>102</v>
      </c>
      <c r="AA164" s="52" t="s">
        <v>102</v>
      </c>
      <c r="AB164" s="52" t="s">
        <v>102</v>
      </c>
      <c r="AC164" s="52" t="s">
        <v>102</v>
      </c>
      <c r="AD164" s="52" t="s">
        <v>102</v>
      </c>
      <c r="AE164" s="144" t="s">
        <v>262</v>
      </c>
      <c r="AF164" s="52" t="s">
        <v>102</v>
      </c>
      <c r="AG164" s="52" t="s">
        <v>102</v>
      </c>
      <c r="AH164" s="52" t="s">
        <v>102</v>
      </c>
      <c r="AI164" s="52" t="s">
        <v>102</v>
      </c>
      <c r="AJ164" s="52" t="s">
        <v>102</v>
      </c>
      <c r="AK164" s="52" t="s">
        <v>102</v>
      </c>
      <c r="AL164" s="89" t="s">
        <v>262</v>
      </c>
      <c r="AM164" s="52" t="s">
        <v>262</v>
      </c>
      <c r="AN164" s="52" t="s">
        <v>262</v>
      </c>
      <c r="AO164" s="52" t="s">
        <v>102</v>
      </c>
      <c r="AP164" s="53">
        <v>16</v>
      </c>
      <c r="AQ164" s="52">
        <v>40</v>
      </c>
      <c r="AR164" s="52">
        <v>25</v>
      </c>
      <c r="AS164" s="52">
        <v>3</v>
      </c>
      <c r="AT164" s="52" t="s">
        <v>262</v>
      </c>
      <c r="AU164" s="52">
        <v>3</v>
      </c>
      <c r="AV164" s="52">
        <v>2</v>
      </c>
      <c r="AW164" s="52" t="s">
        <v>262</v>
      </c>
      <c r="AX164" s="51" t="s">
        <v>264</v>
      </c>
      <c r="AY164" s="53" t="s">
        <v>264</v>
      </c>
      <c r="AZ164" s="53" t="s">
        <v>264</v>
      </c>
      <c r="BA164" s="53" t="s">
        <v>264</v>
      </c>
      <c r="BB164" s="53" t="s">
        <v>264</v>
      </c>
      <c r="BC164" s="53" t="s">
        <v>264</v>
      </c>
      <c r="BD164" s="53" t="s">
        <v>264</v>
      </c>
      <c r="BE164" s="53" t="s">
        <v>102</v>
      </c>
      <c r="BF164" s="53" t="s">
        <v>102</v>
      </c>
      <c r="BG164" s="53" t="s">
        <v>264</v>
      </c>
      <c r="BH164" s="53" t="s">
        <v>264</v>
      </c>
      <c r="BI164" s="53" t="s">
        <v>264</v>
      </c>
      <c r="BJ164" s="53" t="s">
        <v>264</v>
      </c>
      <c r="BK164" s="53" t="s">
        <v>102</v>
      </c>
      <c r="BL164" s="53" t="s">
        <v>102</v>
      </c>
      <c r="BM164" s="53" t="s">
        <v>264</v>
      </c>
      <c r="BN164" s="53" t="s">
        <v>264</v>
      </c>
      <c r="BO164" s="53" t="s">
        <v>264</v>
      </c>
      <c r="BP164" s="53" t="s">
        <v>264</v>
      </c>
      <c r="BQ164" s="53" t="s">
        <v>264</v>
      </c>
      <c r="BR164" s="53" t="s">
        <v>264</v>
      </c>
      <c r="BS164" s="53" t="s">
        <v>264</v>
      </c>
      <c r="BT164" s="53" t="s">
        <v>264</v>
      </c>
      <c r="BU164" s="53" t="s">
        <v>264</v>
      </c>
      <c r="BV164" s="53" t="s">
        <v>264</v>
      </c>
      <c r="BW164" s="53" t="s">
        <v>264</v>
      </c>
      <c r="BX164" s="53" t="s">
        <v>264</v>
      </c>
      <c r="BY164" s="53" t="s">
        <v>264</v>
      </c>
      <c r="BZ164" s="53" t="s">
        <v>264</v>
      </c>
      <c r="CA164" s="53" t="s">
        <v>264</v>
      </c>
      <c r="CB164" s="53" t="s">
        <v>264</v>
      </c>
      <c r="CC164" s="53" t="s">
        <v>264</v>
      </c>
      <c r="CD164" s="53" t="s">
        <v>264</v>
      </c>
      <c r="CE164" s="53" t="s">
        <v>264</v>
      </c>
      <c r="CF164" s="53" t="s">
        <v>264</v>
      </c>
      <c r="CG164" s="53" t="s">
        <v>264</v>
      </c>
      <c r="CH164" s="53" t="s">
        <v>264</v>
      </c>
      <c r="CI164" s="53" t="s">
        <v>264</v>
      </c>
      <c r="CJ164" s="53" t="s">
        <v>264</v>
      </c>
      <c r="CK164" s="53" t="s">
        <v>264</v>
      </c>
      <c r="CL164" s="53" t="s">
        <v>264</v>
      </c>
      <c r="CM164" s="53" t="s">
        <v>264</v>
      </c>
      <c r="CN164" s="206">
        <f>IF(ISERROR(AVERAGE(BV164:CM164)),CS164,AVERAGE(BV164:CM164))</f>
        <v>14.833333333333334</v>
      </c>
      <c r="CO164" s="206"/>
      <c r="CP164" s="206"/>
      <c r="CQ164" s="8">
        <f t="shared" si="74"/>
        <v>2</v>
      </c>
      <c r="CR164" s="8">
        <f t="shared" si="75"/>
        <v>40</v>
      </c>
      <c r="CS164" s="8">
        <f t="shared" si="76"/>
        <v>14.833333333333334</v>
      </c>
      <c r="CT164">
        <f t="shared" si="77"/>
        <v>8.1264103377747627</v>
      </c>
      <c r="CU164" s="143" t="e">
        <f t="shared" si="78"/>
        <v>#DIV/0!</v>
      </c>
      <c r="CV164" s="143" t="e">
        <f t="shared" si="79"/>
        <v>#DIV/0!</v>
      </c>
      <c r="CX164" s="7">
        <f t="shared" si="80"/>
        <v>2.25</v>
      </c>
      <c r="CY164" s="7">
        <f t="shared" si="81"/>
        <v>2.75</v>
      </c>
      <c r="CZ164" s="7">
        <f t="shared" si="82"/>
        <v>3</v>
      </c>
      <c r="DA164" s="7">
        <f t="shared" si="83"/>
        <v>3</v>
      </c>
      <c r="DB164" s="7">
        <f t="shared" si="84"/>
        <v>9.5</v>
      </c>
      <c r="DC164" s="7">
        <f t="shared" si="85"/>
        <v>16</v>
      </c>
      <c r="DD164" s="7">
        <f t="shared" si="86"/>
        <v>18.25</v>
      </c>
      <c r="DE164" s="7">
        <f t="shared" si="87"/>
        <v>22.75</v>
      </c>
      <c r="DF164" s="7">
        <f t="shared" si="88"/>
        <v>28.75</v>
      </c>
      <c r="DH164" s="7">
        <f t="shared" si="89"/>
        <v>2.25</v>
      </c>
      <c r="DI164" s="7">
        <f t="shared" si="90"/>
        <v>2.75</v>
      </c>
      <c r="DJ164" s="7">
        <f t="shared" si="91"/>
        <v>3</v>
      </c>
      <c r="DK164" s="7">
        <f t="shared" si="92"/>
        <v>3</v>
      </c>
      <c r="DL164" s="7">
        <f t="shared" si="93"/>
        <v>9.5</v>
      </c>
      <c r="DM164" s="7">
        <f t="shared" si="94"/>
        <v>16</v>
      </c>
      <c r="DN164" s="7">
        <f t="shared" si="95"/>
        <v>18.25</v>
      </c>
      <c r="DO164" s="7">
        <f t="shared" si="96"/>
        <v>22.75</v>
      </c>
      <c r="DP164" s="7">
        <f t="shared" si="97"/>
        <v>28.75</v>
      </c>
    </row>
    <row r="165" spans="1:134" ht="25.5" hidden="1" customHeight="1" x14ac:dyDescent="0.25">
      <c r="A165" s="92" t="str">
        <f t="shared" si="98"/>
        <v>CM-SWVI [10]</v>
      </c>
      <c r="B165" s="92" t="str">
        <f t="shared" si="99"/>
        <v>Southwest Vancouver Island</v>
      </c>
      <c r="C165" s="93" t="str">
        <f t="shared" si="68"/>
        <v>SMITH CREEK_Chum</v>
      </c>
      <c r="D165" s="128" t="s">
        <v>598</v>
      </c>
      <c r="E165" s="128" t="s">
        <v>598</v>
      </c>
      <c r="F165" s="64">
        <v>23</v>
      </c>
      <c r="G165" s="72" t="s">
        <v>153</v>
      </c>
      <c r="H165" s="65" t="s">
        <v>96</v>
      </c>
      <c r="I165" s="119"/>
      <c r="J165" s="119"/>
      <c r="K165" s="64">
        <v>4</v>
      </c>
      <c r="L165" s="52">
        <v>10</v>
      </c>
      <c r="M165" s="52">
        <v>10</v>
      </c>
      <c r="N165" s="52">
        <f t="shared" si="69"/>
        <v>982.16306856904407</v>
      </c>
      <c r="O165" s="52">
        <f t="shared" si="70"/>
        <v>15000</v>
      </c>
      <c r="P165" s="52">
        <f t="shared" si="71"/>
        <v>1314.0943814300424</v>
      </c>
      <c r="Q165" s="66"/>
      <c r="R165" s="37"/>
      <c r="S165" s="74"/>
      <c r="T165" s="81">
        <f t="shared" si="72"/>
        <v>1234.75</v>
      </c>
      <c r="U165" s="81">
        <f t="shared" si="73"/>
        <v>1641.6</v>
      </c>
      <c r="V165" s="233">
        <v>3210</v>
      </c>
      <c r="W165" s="52">
        <v>618</v>
      </c>
      <c r="X165" s="52">
        <v>790</v>
      </c>
      <c r="Y165" s="52">
        <v>321</v>
      </c>
      <c r="Z165" s="52" t="s">
        <v>102</v>
      </c>
      <c r="AA165" s="52" t="s">
        <v>102</v>
      </c>
      <c r="AB165" s="52" t="s">
        <v>102</v>
      </c>
      <c r="AC165" s="52" t="s">
        <v>102</v>
      </c>
      <c r="AD165" s="52" t="s">
        <v>102</v>
      </c>
      <c r="AE165" s="144">
        <v>3269</v>
      </c>
      <c r="AF165" s="52" t="s">
        <v>102</v>
      </c>
      <c r="AG165" s="52" t="s">
        <v>102</v>
      </c>
      <c r="AH165" s="52" t="s">
        <v>102</v>
      </c>
      <c r="AI165" s="52" t="s">
        <v>102</v>
      </c>
      <c r="AJ165" s="52" t="s">
        <v>102</v>
      </c>
      <c r="AK165" s="52" t="s">
        <v>102</v>
      </c>
      <c r="AL165" s="220" t="s">
        <v>206</v>
      </c>
      <c r="AM165" s="52">
        <v>4000</v>
      </c>
      <c r="AN165" s="52">
        <v>4500</v>
      </c>
      <c r="AO165" s="52" t="s">
        <v>102</v>
      </c>
      <c r="AP165" s="53">
        <v>4625</v>
      </c>
      <c r="AQ165" s="52">
        <v>6000</v>
      </c>
      <c r="AR165" s="52">
        <v>350</v>
      </c>
      <c r="AS165" s="52">
        <v>606</v>
      </c>
      <c r="AT165" s="52">
        <v>1900</v>
      </c>
      <c r="AU165" s="52">
        <v>840</v>
      </c>
      <c r="AV165" s="52">
        <v>260</v>
      </c>
      <c r="AW165" s="52">
        <v>19</v>
      </c>
      <c r="AX165" s="51">
        <v>50</v>
      </c>
      <c r="AY165" s="53">
        <v>250</v>
      </c>
      <c r="AZ165" s="53">
        <v>800</v>
      </c>
      <c r="BA165" s="53">
        <v>200</v>
      </c>
      <c r="BB165" s="53">
        <v>75</v>
      </c>
      <c r="BC165" s="53" t="s">
        <v>264</v>
      </c>
      <c r="BD165" s="53">
        <v>300</v>
      </c>
      <c r="BE165" s="53" t="s">
        <v>102</v>
      </c>
      <c r="BF165" s="53" t="s">
        <v>102</v>
      </c>
      <c r="BG165" s="53">
        <v>500</v>
      </c>
      <c r="BH165" s="53">
        <v>4743</v>
      </c>
      <c r="BI165" s="53" t="s">
        <v>264</v>
      </c>
      <c r="BJ165" s="53">
        <v>2400</v>
      </c>
      <c r="BK165" s="53" t="s">
        <v>102</v>
      </c>
      <c r="BL165" s="53" t="s">
        <v>102</v>
      </c>
      <c r="BM165" s="53">
        <v>1000</v>
      </c>
      <c r="BN165" s="53">
        <v>3500</v>
      </c>
      <c r="BO165" s="53">
        <v>5000</v>
      </c>
      <c r="BP165" s="53">
        <v>5700</v>
      </c>
      <c r="BQ165" s="53">
        <v>400</v>
      </c>
      <c r="BR165" s="53">
        <v>3500</v>
      </c>
      <c r="BS165" s="53">
        <v>3500</v>
      </c>
      <c r="BT165" s="53">
        <v>15000</v>
      </c>
      <c r="BU165" s="53">
        <v>1500</v>
      </c>
      <c r="BV165" s="53">
        <v>7500</v>
      </c>
      <c r="BW165" s="53">
        <v>1500</v>
      </c>
      <c r="BX165" s="53">
        <v>3500</v>
      </c>
      <c r="BY165" s="53">
        <v>1500</v>
      </c>
      <c r="BZ165" s="53">
        <v>3500</v>
      </c>
      <c r="CA165" s="53">
        <v>200</v>
      </c>
      <c r="CB165" s="53">
        <v>750</v>
      </c>
      <c r="CC165" s="53">
        <v>750</v>
      </c>
      <c r="CD165" s="53">
        <v>750</v>
      </c>
      <c r="CE165" s="53">
        <v>400</v>
      </c>
      <c r="CF165" s="53">
        <v>1500</v>
      </c>
      <c r="CG165" s="53">
        <v>7500</v>
      </c>
      <c r="CH165" s="53">
        <v>7500</v>
      </c>
      <c r="CI165" s="53">
        <v>3500</v>
      </c>
      <c r="CJ165" s="53">
        <v>1500</v>
      </c>
      <c r="CK165" s="53">
        <v>1500</v>
      </c>
      <c r="CL165" s="53">
        <v>7500</v>
      </c>
      <c r="CM165" s="53">
        <v>3500</v>
      </c>
      <c r="CN165" s="206"/>
      <c r="CO165" s="206"/>
      <c r="CP165" s="206"/>
      <c r="CQ165" s="8">
        <f t="shared" si="74"/>
        <v>19</v>
      </c>
      <c r="CR165" s="8">
        <f t="shared" si="75"/>
        <v>15000</v>
      </c>
      <c r="CS165" s="8">
        <f t="shared" si="76"/>
        <v>2628.9411764705883</v>
      </c>
      <c r="CT165">
        <f t="shared" si="77"/>
        <v>1291.9109906792678</v>
      </c>
      <c r="CU165" s="143">
        <f t="shared" si="78"/>
        <v>1234.75</v>
      </c>
      <c r="CV165" s="143">
        <f t="shared" si="79"/>
        <v>1641.6</v>
      </c>
      <c r="CX165" s="7">
        <f t="shared" si="80"/>
        <v>137.5</v>
      </c>
      <c r="CY165" s="7">
        <f t="shared" si="81"/>
        <v>310.5</v>
      </c>
      <c r="CZ165" s="7">
        <f t="shared" si="82"/>
        <v>400</v>
      </c>
      <c r="DA165" s="7">
        <f t="shared" si="83"/>
        <v>553</v>
      </c>
      <c r="DB165" s="7">
        <f t="shared" si="84"/>
        <v>1500</v>
      </c>
      <c r="DC165" s="7">
        <f t="shared" si="85"/>
        <v>3210</v>
      </c>
      <c r="DD165" s="7">
        <f t="shared" si="86"/>
        <v>3500</v>
      </c>
      <c r="DE165" s="7">
        <f t="shared" si="87"/>
        <v>3500</v>
      </c>
      <c r="DF165" s="7">
        <f t="shared" si="88"/>
        <v>4871.5</v>
      </c>
      <c r="DH165" s="7">
        <f t="shared" si="89"/>
        <v>187.70000000000005</v>
      </c>
      <c r="DI165" s="7">
        <f t="shared" si="90"/>
        <v>323.89999999999998</v>
      </c>
      <c r="DJ165" s="7">
        <f t="shared" si="91"/>
        <v>344.2</v>
      </c>
      <c r="DK165" s="7">
        <f t="shared" si="92"/>
        <v>478</v>
      </c>
      <c r="DL165" s="7">
        <f t="shared" si="93"/>
        <v>840</v>
      </c>
      <c r="DM165" s="7">
        <f t="shared" si="94"/>
        <v>2424.0000000000005</v>
      </c>
      <c r="DN165" s="7">
        <f t="shared" si="95"/>
        <v>3215.9</v>
      </c>
      <c r="DO165" s="7">
        <f t="shared" si="96"/>
        <v>3634.5</v>
      </c>
      <c r="DP165" s="7">
        <f t="shared" si="97"/>
        <v>4450</v>
      </c>
    </row>
    <row r="166" spans="1:134" ht="25.5" hidden="1" customHeight="1" x14ac:dyDescent="0.25">
      <c r="A166" s="92" t="str">
        <f t="shared" si="98"/>
        <v>CO-WVI [17]</v>
      </c>
      <c r="B166" s="92" t="str">
        <f t="shared" si="99"/>
        <v>West Vancouver Island</v>
      </c>
      <c r="C166" s="93" t="str">
        <f t="shared" si="68"/>
        <v>SMITH CREEK_Coho</v>
      </c>
      <c r="D166" s="128" t="s">
        <v>598</v>
      </c>
      <c r="E166" s="128" t="s">
        <v>598</v>
      </c>
      <c r="F166" s="64">
        <v>23</v>
      </c>
      <c r="G166" s="72" t="s">
        <v>153</v>
      </c>
      <c r="H166" s="65" t="s">
        <v>93</v>
      </c>
      <c r="I166" s="119"/>
      <c r="J166" s="119"/>
      <c r="K166" s="64">
        <v>4</v>
      </c>
      <c r="L166" s="52">
        <v>10</v>
      </c>
      <c r="M166" s="52">
        <v>9</v>
      </c>
      <c r="N166" s="52">
        <f t="shared" si="69"/>
        <v>31.573832840392257</v>
      </c>
      <c r="O166" s="52">
        <f t="shared" si="70"/>
        <v>400</v>
      </c>
      <c r="P166" s="52">
        <f t="shared" si="71"/>
        <v>46.126864445705237</v>
      </c>
      <c r="Q166" s="66"/>
      <c r="R166" s="37"/>
      <c r="S166" s="74"/>
      <c r="T166" s="81">
        <f t="shared" si="72"/>
        <v>15</v>
      </c>
      <c r="U166" s="81">
        <f t="shared" si="73"/>
        <v>72.5</v>
      </c>
      <c r="V166" s="232" t="s">
        <v>263</v>
      </c>
      <c r="W166" s="52">
        <v>15</v>
      </c>
      <c r="X166" s="52" t="s">
        <v>262</v>
      </c>
      <c r="Y166" s="52" t="s">
        <v>262</v>
      </c>
      <c r="Z166" s="52" t="s">
        <v>102</v>
      </c>
      <c r="AA166" s="52" t="s">
        <v>102</v>
      </c>
      <c r="AB166" s="52" t="s">
        <v>102</v>
      </c>
      <c r="AC166" s="52" t="s">
        <v>102</v>
      </c>
      <c r="AD166" s="52" t="s">
        <v>102</v>
      </c>
      <c r="AE166" s="144">
        <v>130</v>
      </c>
      <c r="AF166" s="52" t="s">
        <v>102</v>
      </c>
      <c r="AG166" s="52" t="s">
        <v>102</v>
      </c>
      <c r="AH166" s="52" t="s">
        <v>102</v>
      </c>
      <c r="AI166" s="52" t="s">
        <v>102</v>
      </c>
      <c r="AJ166" s="52" t="s">
        <v>102</v>
      </c>
      <c r="AK166" s="52" t="s">
        <v>102</v>
      </c>
      <c r="AL166" s="89" t="s">
        <v>262</v>
      </c>
      <c r="AM166" s="52">
        <v>20</v>
      </c>
      <c r="AN166" s="52">
        <v>55</v>
      </c>
      <c r="AO166" s="52" t="s">
        <v>102</v>
      </c>
      <c r="AP166" s="53">
        <v>45</v>
      </c>
      <c r="AQ166" s="52">
        <v>100</v>
      </c>
      <c r="AR166" s="52">
        <v>40</v>
      </c>
      <c r="AS166" s="52">
        <v>60</v>
      </c>
      <c r="AT166" s="52">
        <v>105</v>
      </c>
      <c r="AU166" s="52">
        <v>25</v>
      </c>
      <c r="AV166" s="52">
        <v>1</v>
      </c>
      <c r="AW166" s="52" t="s">
        <v>262</v>
      </c>
      <c r="AX166" s="51" t="s">
        <v>264</v>
      </c>
      <c r="AY166" s="53" t="s">
        <v>264</v>
      </c>
      <c r="AZ166" s="53" t="s">
        <v>264</v>
      </c>
      <c r="BA166" s="53">
        <v>20</v>
      </c>
      <c r="BB166" s="53">
        <v>6</v>
      </c>
      <c r="BC166" s="53" t="s">
        <v>264</v>
      </c>
      <c r="BD166" s="53" t="s">
        <v>262</v>
      </c>
      <c r="BE166" s="53" t="s">
        <v>102</v>
      </c>
      <c r="BF166" s="53" t="s">
        <v>102</v>
      </c>
      <c r="BG166" s="53">
        <v>30</v>
      </c>
      <c r="BH166" s="53" t="s">
        <v>264</v>
      </c>
      <c r="BI166" s="53" t="s">
        <v>264</v>
      </c>
      <c r="BJ166" s="53" t="s">
        <v>264</v>
      </c>
      <c r="BK166" s="53" t="s">
        <v>102</v>
      </c>
      <c r="BL166" s="53" t="s">
        <v>102</v>
      </c>
      <c r="BM166" s="53">
        <v>100</v>
      </c>
      <c r="BN166" s="53">
        <v>100</v>
      </c>
      <c r="BO166" s="53">
        <v>105</v>
      </c>
      <c r="BP166" s="53">
        <v>70</v>
      </c>
      <c r="BQ166" s="53">
        <v>75</v>
      </c>
      <c r="BR166" s="53">
        <v>150</v>
      </c>
      <c r="BS166" s="53">
        <v>200</v>
      </c>
      <c r="BT166" s="53">
        <v>75</v>
      </c>
      <c r="BU166" s="53">
        <v>75</v>
      </c>
      <c r="BV166" s="53">
        <v>400</v>
      </c>
      <c r="BW166" s="53">
        <v>75</v>
      </c>
      <c r="BX166" s="53">
        <v>200</v>
      </c>
      <c r="BY166" s="53">
        <v>25</v>
      </c>
      <c r="BZ166" s="53">
        <v>25</v>
      </c>
      <c r="CA166" s="53">
        <v>25</v>
      </c>
      <c r="CB166" s="53">
        <v>25</v>
      </c>
      <c r="CC166" s="53" t="s">
        <v>264</v>
      </c>
      <c r="CD166" s="53">
        <v>25</v>
      </c>
      <c r="CE166" s="53">
        <v>25</v>
      </c>
      <c r="CF166" s="53" t="s">
        <v>264</v>
      </c>
      <c r="CG166" s="53">
        <v>25</v>
      </c>
      <c r="CH166" s="53" t="s">
        <v>264</v>
      </c>
      <c r="CI166" s="53" t="s">
        <v>264</v>
      </c>
      <c r="CJ166" s="53" t="s">
        <v>264</v>
      </c>
      <c r="CK166" s="53" t="s">
        <v>264</v>
      </c>
      <c r="CL166" s="53" t="s">
        <v>264</v>
      </c>
      <c r="CM166" s="53" t="s">
        <v>264</v>
      </c>
      <c r="CN166" s="206">
        <f>IF(ISERROR(AVERAGE(BV166:CM166)),CS166,AVERAGE(BV166:CM166))</f>
        <v>85</v>
      </c>
      <c r="CO166" s="206"/>
      <c r="CP166" s="206"/>
      <c r="CQ166" s="8">
        <f t="shared" si="74"/>
        <v>1</v>
      </c>
      <c r="CR166" s="8">
        <f t="shared" si="75"/>
        <v>400</v>
      </c>
      <c r="CS166" s="8">
        <f t="shared" si="76"/>
        <v>74.303030303030297</v>
      </c>
      <c r="CT166">
        <f t="shared" si="77"/>
        <v>46.005129682536833</v>
      </c>
      <c r="CU166" s="143">
        <f t="shared" si="78"/>
        <v>15</v>
      </c>
      <c r="CV166" s="143">
        <f t="shared" si="79"/>
        <v>72.5</v>
      </c>
      <c r="CX166" s="7">
        <f t="shared" si="80"/>
        <v>11.4</v>
      </c>
      <c r="CY166" s="7">
        <f t="shared" si="81"/>
        <v>24</v>
      </c>
      <c r="CZ166" s="7">
        <f t="shared" si="82"/>
        <v>25</v>
      </c>
      <c r="DA166" s="7">
        <f t="shared" si="83"/>
        <v>25</v>
      </c>
      <c r="DB166" s="7">
        <f t="shared" si="84"/>
        <v>55</v>
      </c>
      <c r="DC166" s="7">
        <f t="shared" si="85"/>
        <v>75</v>
      </c>
      <c r="DD166" s="7">
        <f t="shared" si="86"/>
        <v>75</v>
      </c>
      <c r="DE166" s="7">
        <f t="shared" si="87"/>
        <v>100</v>
      </c>
      <c r="DF166" s="7">
        <f t="shared" si="88"/>
        <v>109.99999999999999</v>
      </c>
      <c r="DH166" s="7">
        <f t="shared" si="89"/>
        <v>8</v>
      </c>
      <c r="DI166" s="7">
        <f t="shared" si="90"/>
        <v>17.5</v>
      </c>
      <c r="DJ166" s="7">
        <f t="shared" si="91"/>
        <v>20</v>
      </c>
      <c r="DK166" s="7">
        <f t="shared" si="92"/>
        <v>22.5</v>
      </c>
      <c r="DL166" s="7">
        <f t="shared" si="93"/>
        <v>45</v>
      </c>
      <c r="DM166" s="7">
        <f t="shared" si="94"/>
        <v>55</v>
      </c>
      <c r="DN166" s="7">
        <f t="shared" si="95"/>
        <v>57.5</v>
      </c>
      <c r="DO166" s="7">
        <f t="shared" si="96"/>
        <v>80</v>
      </c>
      <c r="DP166" s="7">
        <f t="shared" si="97"/>
        <v>102.5</v>
      </c>
    </row>
    <row r="167" spans="1:134" ht="25.5" hidden="1" customHeight="1" x14ac:dyDescent="0.25">
      <c r="A167" s="92" t="str">
        <f t="shared" si="98"/>
        <v>CM-SWVI [10]</v>
      </c>
      <c r="B167" s="92" t="str">
        <f t="shared" si="99"/>
        <v>Southwest Vancouver Island</v>
      </c>
      <c r="C167" s="93" t="str">
        <f t="shared" si="68"/>
        <v>SNUG BASIN CREEK_Chum</v>
      </c>
      <c r="D167" s="128" t="s">
        <v>598</v>
      </c>
      <c r="E167" s="128" t="s">
        <v>598</v>
      </c>
      <c r="F167" s="64">
        <v>23</v>
      </c>
      <c r="G167" s="72" t="s">
        <v>127</v>
      </c>
      <c r="H167" s="65" t="s">
        <v>96</v>
      </c>
      <c r="I167" s="119"/>
      <c r="J167" s="119"/>
      <c r="K167" s="64">
        <v>4</v>
      </c>
      <c r="L167" s="52">
        <v>11</v>
      </c>
      <c r="M167" s="52">
        <v>7</v>
      </c>
      <c r="N167" s="52">
        <f t="shared" si="69"/>
        <v>114.52453965267588</v>
      </c>
      <c r="O167" s="52">
        <f t="shared" si="70"/>
        <v>3500</v>
      </c>
      <c r="P167" s="52">
        <f t="shared" si="71"/>
        <v>344.97166100380173</v>
      </c>
      <c r="Q167" s="66"/>
      <c r="R167" s="39"/>
      <c r="S167" s="74" t="s">
        <v>327</v>
      </c>
      <c r="T167" s="81" t="e">
        <f t="shared" si="72"/>
        <v>#DIV/0!</v>
      </c>
      <c r="U167" s="81" t="e">
        <f t="shared" si="73"/>
        <v>#DIV/0!</v>
      </c>
      <c r="V167" s="52" t="s">
        <v>102</v>
      </c>
      <c r="W167" s="52" t="s">
        <v>102</v>
      </c>
      <c r="X167" s="52" t="s">
        <v>102</v>
      </c>
      <c r="Y167" s="54" t="s">
        <v>102</v>
      </c>
      <c r="Z167" s="52" t="s">
        <v>102</v>
      </c>
      <c r="AA167" s="52" t="s">
        <v>102</v>
      </c>
      <c r="AB167" s="52" t="s">
        <v>102</v>
      </c>
      <c r="AC167" s="52" t="s">
        <v>102</v>
      </c>
      <c r="AD167" s="52" t="s">
        <v>102</v>
      </c>
      <c r="AE167" s="144" t="s">
        <v>262</v>
      </c>
      <c r="AF167" s="52" t="s">
        <v>102</v>
      </c>
      <c r="AG167" s="52" t="s">
        <v>102</v>
      </c>
      <c r="AH167" s="52" t="s">
        <v>102</v>
      </c>
      <c r="AI167" s="52" t="s">
        <v>102</v>
      </c>
      <c r="AJ167" s="52" t="s">
        <v>102</v>
      </c>
      <c r="AK167" s="52" t="s">
        <v>102</v>
      </c>
      <c r="AL167" s="52" t="s">
        <v>102</v>
      </c>
      <c r="AM167" s="52" t="s">
        <v>262</v>
      </c>
      <c r="AN167" s="52">
        <v>75</v>
      </c>
      <c r="AO167" s="53">
        <v>625</v>
      </c>
      <c r="AP167" s="53">
        <v>525</v>
      </c>
      <c r="AQ167" s="53" t="s">
        <v>262</v>
      </c>
      <c r="AR167" s="53">
        <v>100</v>
      </c>
      <c r="AS167" s="52" t="s">
        <v>262</v>
      </c>
      <c r="AT167" s="52" t="s">
        <v>262</v>
      </c>
      <c r="AU167" s="52">
        <v>25</v>
      </c>
      <c r="AV167" s="52">
        <v>140</v>
      </c>
      <c r="AW167" s="52">
        <v>30</v>
      </c>
      <c r="AX167" s="51">
        <v>150</v>
      </c>
      <c r="AY167" s="53" t="s">
        <v>102</v>
      </c>
      <c r="AZ167" s="53" t="s">
        <v>102</v>
      </c>
      <c r="BA167" s="53" t="s">
        <v>102</v>
      </c>
      <c r="BB167" s="53">
        <v>200</v>
      </c>
      <c r="BC167" s="53" t="s">
        <v>102</v>
      </c>
      <c r="BD167" s="53">
        <v>120</v>
      </c>
      <c r="BE167" s="53" t="s">
        <v>102</v>
      </c>
      <c r="BF167" s="53" t="s">
        <v>102</v>
      </c>
      <c r="BG167" s="53">
        <v>400</v>
      </c>
      <c r="BH167" s="53" t="s">
        <v>264</v>
      </c>
      <c r="BI167" s="53" t="s">
        <v>264</v>
      </c>
      <c r="BJ167" s="53">
        <v>1050</v>
      </c>
      <c r="BK167" s="53">
        <v>400</v>
      </c>
      <c r="BL167" s="53">
        <v>2000</v>
      </c>
      <c r="BM167" s="53">
        <v>200</v>
      </c>
      <c r="BN167" s="53">
        <v>750</v>
      </c>
      <c r="BO167" s="53">
        <v>550</v>
      </c>
      <c r="BP167" s="53">
        <v>1700</v>
      </c>
      <c r="BQ167" s="53">
        <v>900</v>
      </c>
      <c r="BR167" s="53">
        <v>2500</v>
      </c>
      <c r="BS167" s="53">
        <v>1500</v>
      </c>
      <c r="BT167" s="53">
        <v>1500</v>
      </c>
      <c r="BU167" s="53">
        <v>200</v>
      </c>
      <c r="BV167" s="53">
        <v>750</v>
      </c>
      <c r="BW167" s="53">
        <v>750</v>
      </c>
      <c r="BX167" s="53">
        <v>1500</v>
      </c>
      <c r="BY167" s="53">
        <v>200</v>
      </c>
      <c r="BZ167" s="53">
        <v>400</v>
      </c>
      <c r="CA167" s="53">
        <v>25</v>
      </c>
      <c r="CB167" s="53">
        <v>75</v>
      </c>
      <c r="CC167" s="53">
        <v>25</v>
      </c>
      <c r="CD167" s="53">
        <v>75</v>
      </c>
      <c r="CE167" s="53">
        <v>75</v>
      </c>
      <c r="CF167" s="53">
        <v>200</v>
      </c>
      <c r="CG167" s="53">
        <v>200</v>
      </c>
      <c r="CH167" s="53">
        <v>1500</v>
      </c>
      <c r="CI167" s="53">
        <v>1500</v>
      </c>
      <c r="CJ167" s="53">
        <v>400</v>
      </c>
      <c r="CK167" s="53">
        <v>750</v>
      </c>
      <c r="CL167" s="53">
        <v>3500</v>
      </c>
      <c r="CM167" s="53">
        <v>1500</v>
      </c>
      <c r="CN167" s="206"/>
      <c r="CO167" s="206"/>
      <c r="CP167" s="206"/>
      <c r="CQ167" s="8">
        <f t="shared" si="74"/>
        <v>25</v>
      </c>
      <c r="CR167" s="8">
        <f t="shared" si="75"/>
        <v>3500</v>
      </c>
      <c r="CS167" s="8">
        <f t="shared" si="76"/>
        <v>708.90243902439022</v>
      </c>
      <c r="CT167">
        <f t="shared" si="77"/>
        <v>344.97166100380173</v>
      </c>
      <c r="CU167" s="143" t="e">
        <f t="shared" si="78"/>
        <v>#DIV/0!</v>
      </c>
      <c r="CV167" s="143" t="e">
        <f t="shared" si="79"/>
        <v>#DIV/0!</v>
      </c>
      <c r="CX167" s="7">
        <f t="shared" si="80"/>
        <v>25</v>
      </c>
      <c r="CY167" s="7">
        <f t="shared" si="81"/>
        <v>75</v>
      </c>
      <c r="CZ167" s="7">
        <f t="shared" si="82"/>
        <v>100</v>
      </c>
      <c r="DA167" s="7">
        <f t="shared" si="83"/>
        <v>140</v>
      </c>
      <c r="DB167" s="7">
        <f t="shared" si="84"/>
        <v>400</v>
      </c>
      <c r="DC167" s="7">
        <f t="shared" si="85"/>
        <v>625</v>
      </c>
      <c r="DD167" s="7">
        <f t="shared" si="86"/>
        <v>750</v>
      </c>
      <c r="DE167" s="7">
        <f t="shared" si="87"/>
        <v>1050</v>
      </c>
      <c r="DF167" s="7">
        <f t="shared" si="88"/>
        <v>1500</v>
      </c>
      <c r="DH167" s="7">
        <f t="shared" si="89"/>
        <v>26.5</v>
      </c>
      <c r="DI167" s="7">
        <f t="shared" si="90"/>
        <v>29.5</v>
      </c>
      <c r="DJ167" s="7">
        <f t="shared" si="91"/>
        <v>39.000000000000007</v>
      </c>
      <c r="DK167" s="7">
        <f t="shared" si="92"/>
        <v>52.5</v>
      </c>
      <c r="DL167" s="7">
        <f t="shared" si="93"/>
        <v>100</v>
      </c>
      <c r="DM167" s="7">
        <f t="shared" si="94"/>
        <v>123.99999999999999</v>
      </c>
      <c r="DN167" s="7">
        <f t="shared" si="95"/>
        <v>136</v>
      </c>
      <c r="DO167" s="7">
        <f t="shared" si="96"/>
        <v>332.5</v>
      </c>
      <c r="DP167" s="7">
        <f t="shared" si="97"/>
        <v>535</v>
      </c>
    </row>
    <row r="168" spans="1:134" ht="25.5" hidden="1" customHeight="1" x14ac:dyDescent="0.25">
      <c r="A168" s="92" t="str">
        <f t="shared" si="98"/>
        <v>CO-WVI [17]</v>
      </c>
      <c r="B168" s="92" t="str">
        <f t="shared" si="99"/>
        <v>West Vancouver Island</v>
      </c>
      <c r="C168" s="93" t="str">
        <f t="shared" si="68"/>
        <v>SNUG BASIN CREEK_Coho</v>
      </c>
      <c r="D168" s="128" t="s">
        <v>598</v>
      </c>
      <c r="E168" s="128" t="s">
        <v>598</v>
      </c>
      <c r="F168" s="64">
        <v>23</v>
      </c>
      <c r="G168" s="72" t="s">
        <v>127</v>
      </c>
      <c r="H168" s="65" t="s">
        <v>93</v>
      </c>
      <c r="I168" s="119"/>
      <c r="J168" s="119"/>
      <c r="K168" s="64">
        <v>4</v>
      </c>
      <c r="L168" s="52">
        <v>11</v>
      </c>
      <c r="M168" s="52">
        <v>8</v>
      </c>
      <c r="N168" s="52">
        <f t="shared" si="69"/>
        <v>19.634587827508486</v>
      </c>
      <c r="O168" s="52">
        <f t="shared" si="70"/>
        <v>200</v>
      </c>
      <c r="P168" s="52">
        <f t="shared" si="71"/>
        <v>31.86153605825648</v>
      </c>
      <c r="Q168" s="66"/>
      <c r="R168" s="39"/>
      <c r="S168" s="76" t="s">
        <v>327</v>
      </c>
      <c r="T168" s="81" t="e">
        <f t="shared" si="72"/>
        <v>#DIV/0!</v>
      </c>
      <c r="U168" s="81" t="e">
        <f t="shared" si="73"/>
        <v>#DIV/0!</v>
      </c>
      <c r="V168" s="52" t="s">
        <v>102</v>
      </c>
      <c r="W168" s="52" t="s">
        <v>102</v>
      </c>
      <c r="X168" s="52" t="s">
        <v>102</v>
      </c>
      <c r="Y168" s="54" t="s">
        <v>102</v>
      </c>
      <c r="Z168" s="52" t="s">
        <v>102</v>
      </c>
      <c r="AA168" s="52" t="s">
        <v>102</v>
      </c>
      <c r="AB168" s="52" t="s">
        <v>102</v>
      </c>
      <c r="AC168" s="52" t="s">
        <v>102</v>
      </c>
      <c r="AD168" s="52" t="s">
        <v>102</v>
      </c>
      <c r="AE168" s="144" t="s">
        <v>262</v>
      </c>
      <c r="AF168" s="52" t="s">
        <v>102</v>
      </c>
      <c r="AG168" s="52" t="s">
        <v>102</v>
      </c>
      <c r="AH168" s="52" t="s">
        <v>102</v>
      </c>
      <c r="AI168" s="52" t="s">
        <v>102</v>
      </c>
      <c r="AJ168" s="52" t="s">
        <v>102</v>
      </c>
      <c r="AK168" s="52" t="s">
        <v>102</v>
      </c>
      <c r="AL168" s="52" t="s">
        <v>102</v>
      </c>
      <c r="AM168" s="52" t="s">
        <v>262</v>
      </c>
      <c r="AN168" s="52">
        <v>15</v>
      </c>
      <c r="AO168" s="53">
        <v>25</v>
      </c>
      <c r="AP168" s="53">
        <v>10</v>
      </c>
      <c r="AQ168" s="53">
        <v>10</v>
      </c>
      <c r="AR168" s="53" t="s">
        <v>263</v>
      </c>
      <c r="AS168" s="52">
        <v>50</v>
      </c>
      <c r="AT168" s="52" t="s">
        <v>262</v>
      </c>
      <c r="AU168" s="53" t="s">
        <v>262</v>
      </c>
      <c r="AV168" s="52">
        <v>30</v>
      </c>
      <c r="AW168" s="52">
        <v>20</v>
      </c>
      <c r="AX168" s="51">
        <v>10</v>
      </c>
      <c r="AY168" s="53" t="s">
        <v>102</v>
      </c>
      <c r="AZ168" s="53" t="s">
        <v>102</v>
      </c>
      <c r="BA168" s="53" t="s">
        <v>102</v>
      </c>
      <c r="BB168" s="53" t="s">
        <v>264</v>
      </c>
      <c r="BC168" s="53" t="s">
        <v>102</v>
      </c>
      <c r="BD168" s="53" t="s">
        <v>264</v>
      </c>
      <c r="BE168" s="53" t="s">
        <v>102</v>
      </c>
      <c r="BF168" s="53" t="s">
        <v>102</v>
      </c>
      <c r="BG168" s="53" t="s">
        <v>264</v>
      </c>
      <c r="BH168" s="53" t="s">
        <v>264</v>
      </c>
      <c r="BI168" s="53" t="s">
        <v>264</v>
      </c>
      <c r="BJ168" s="53">
        <v>14</v>
      </c>
      <c r="BK168" s="53">
        <v>50</v>
      </c>
      <c r="BL168" s="53" t="s">
        <v>262</v>
      </c>
      <c r="BM168" s="53">
        <v>50</v>
      </c>
      <c r="BN168" s="53">
        <v>80</v>
      </c>
      <c r="BO168" s="53">
        <v>60</v>
      </c>
      <c r="BP168" s="53">
        <v>40</v>
      </c>
      <c r="BQ168" s="53">
        <v>25</v>
      </c>
      <c r="BR168" s="53">
        <v>150</v>
      </c>
      <c r="BS168" s="53">
        <v>200</v>
      </c>
      <c r="BT168" s="53">
        <v>25</v>
      </c>
      <c r="BU168" s="53">
        <v>25</v>
      </c>
      <c r="BV168" s="53">
        <v>75</v>
      </c>
      <c r="BW168" s="53">
        <v>25</v>
      </c>
      <c r="BX168" s="53">
        <v>75</v>
      </c>
      <c r="BY168" s="53">
        <v>25</v>
      </c>
      <c r="BZ168" s="53">
        <v>25</v>
      </c>
      <c r="CA168" s="53">
        <v>25</v>
      </c>
      <c r="CB168" s="53">
        <v>25</v>
      </c>
      <c r="CC168" s="53">
        <v>25</v>
      </c>
      <c r="CD168" s="53">
        <v>25</v>
      </c>
      <c r="CE168" s="53">
        <v>25</v>
      </c>
      <c r="CF168" s="53">
        <v>25</v>
      </c>
      <c r="CG168" s="53">
        <v>25</v>
      </c>
      <c r="CH168" s="53">
        <v>75</v>
      </c>
      <c r="CI168" s="53">
        <v>25</v>
      </c>
      <c r="CJ168" s="53">
        <v>25</v>
      </c>
      <c r="CK168" s="53">
        <v>75</v>
      </c>
      <c r="CL168" s="53">
        <v>25</v>
      </c>
      <c r="CM168" s="53">
        <v>25</v>
      </c>
      <c r="CN168" s="206"/>
      <c r="CO168" s="206"/>
      <c r="CP168" s="206"/>
      <c r="CQ168" s="8">
        <f t="shared" si="74"/>
        <v>10</v>
      </c>
      <c r="CR168" s="8">
        <f t="shared" si="75"/>
        <v>200</v>
      </c>
      <c r="CS168" s="8">
        <f t="shared" si="76"/>
        <v>41.594594594594597</v>
      </c>
      <c r="CT168">
        <f t="shared" si="77"/>
        <v>31.86153605825648</v>
      </c>
      <c r="CU168" s="143" t="e">
        <f t="shared" si="78"/>
        <v>#DIV/0!</v>
      </c>
      <c r="CV168" s="143" t="e">
        <f t="shared" si="79"/>
        <v>#DIV/0!</v>
      </c>
      <c r="CX168" s="7">
        <f t="shared" si="80"/>
        <v>10</v>
      </c>
      <c r="CY168" s="7">
        <f t="shared" si="81"/>
        <v>21.999999999999996</v>
      </c>
      <c r="CZ168" s="7">
        <f t="shared" si="82"/>
        <v>25</v>
      </c>
      <c r="DA168" s="7">
        <f t="shared" si="83"/>
        <v>25</v>
      </c>
      <c r="DB168" s="7">
        <f t="shared" si="84"/>
        <v>25</v>
      </c>
      <c r="DC168" s="7">
        <f t="shared" si="85"/>
        <v>25</v>
      </c>
      <c r="DD168" s="7">
        <f t="shared" si="86"/>
        <v>27.000000000000011</v>
      </c>
      <c r="DE168" s="7">
        <f t="shared" si="87"/>
        <v>50</v>
      </c>
      <c r="DF168" s="7">
        <f t="shared" si="88"/>
        <v>75</v>
      </c>
      <c r="DH168" s="7">
        <f t="shared" si="89"/>
        <v>10</v>
      </c>
      <c r="DI168" s="7">
        <f t="shared" si="90"/>
        <v>10</v>
      </c>
      <c r="DJ168" s="7">
        <f t="shared" si="91"/>
        <v>11</v>
      </c>
      <c r="DK168" s="7">
        <f t="shared" si="92"/>
        <v>12.5</v>
      </c>
      <c r="DL168" s="7">
        <f t="shared" si="93"/>
        <v>20</v>
      </c>
      <c r="DM168" s="7">
        <f t="shared" si="94"/>
        <v>23</v>
      </c>
      <c r="DN168" s="7">
        <f t="shared" si="95"/>
        <v>24.5</v>
      </c>
      <c r="DO168" s="7">
        <f t="shared" si="96"/>
        <v>27.5</v>
      </c>
      <c r="DP168" s="7">
        <f t="shared" si="97"/>
        <v>31.999999999999993</v>
      </c>
    </row>
    <row r="169" spans="1:134" ht="25.5" customHeight="1" x14ac:dyDescent="0.25">
      <c r="A169" s="92" t="str">
        <f t="shared" si="98"/>
        <v>CK-SWVI [31]</v>
      </c>
      <c r="B169" s="92" t="str">
        <f t="shared" si="99"/>
        <v>Southwest Vancouver Island</v>
      </c>
      <c r="C169" s="93" t="str">
        <f t="shared" si="68"/>
        <v>SOMASS SYSTEM_Chinook</v>
      </c>
      <c r="D169" s="128" t="s">
        <v>598</v>
      </c>
      <c r="E169" s="128" t="s">
        <v>598</v>
      </c>
      <c r="F169" s="64">
        <v>23</v>
      </c>
      <c r="G169" s="72" t="s">
        <v>40</v>
      </c>
      <c r="H169" s="65" t="s">
        <v>97</v>
      </c>
      <c r="I169" s="119"/>
      <c r="J169" s="119"/>
      <c r="K169" s="64">
        <v>1</v>
      </c>
      <c r="L169" s="52">
        <v>11</v>
      </c>
      <c r="M169" s="52">
        <v>11</v>
      </c>
      <c r="N169" s="52">
        <f t="shared" si="69"/>
        <v>19849.272822061361</v>
      </c>
      <c r="O169" s="52">
        <f t="shared" si="70"/>
        <v>117249</v>
      </c>
      <c r="P169" s="52">
        <f t="shared" si="71"/>
        <v>15580.648221356645</v>
      </c>
      <c r="Q169" s="66" t="s">
        <v>272</v>
      </c>
      <c r="R169" s="37"/>
      <c r="S169" s="74" t="s">
        <v>306</v>
      </c>
      <c r="T169" s="81">
        <f t="shared" si="72"/>
        <v>14578.75</v>
      </c>
      <c r="U169" s="81">
        <f t="shared" si="73"/>
        <v>15395.666666666666</v>
      </c>
      <c r="V169" s="228">
        <v>10490</v>
      </c>
      <c r="W169" s="52">
        <v>21537</v>
      </c>
      <c r="X169" s="52">
        <v>11184</v>
      </c>
      <c r="Y169" s="52">
        <v>15104</v>
      </c>
      <c r="Z169" s="52">
        <v>19015</v>
      </c>
      <c r="AA169" s="52">
        <v>23285</v>
      </c>
      <c r="AB169" s="52">
        <v>20822</v>
      </c>
      <c r="AC169" s="52">
        <v>17921</v>
      </c>
      <c r="AD169" s="52">
        <v>11865</v>
      </c>
      <c r="AE169" s="52">
        <v>9000</v>
      </c>
      <c r="AF169" s="52">
        <v>11507</v>
      </c>
      <c r="AG169" s="52">
        <v>13018</v>
      </c>
      <c r="AH169" s="52">
        <v>14109</v>
      </c>
      <c r="AI169" s="52">
        <v>17576</v>
      </c>
      <c r="AJ169" s="52">
        <v>19220</v>
      </c>
      <c r="AK169" s="52">
        <v>13956</v>
      </c>
      <c r="AL169" s="52">
        <v>37687</v>
      </c>
      <c r="AM169" s="52">
        <v>30815</v>
      </c>
      <c r="AN169" s="52">
        <v>37472</v>
      </c>
      <c r="AO169" s="52">
        <v>36246</v>
      </c>
      <c r="AP169" s="52">
        <v>24714</v>
      </c>
      <c r="AQ169" s="52">
        <v>16395</v>
      </c>
      <c r="AR169" s="52">
        <v>3543</v>
      </c>
      <c r="AS169" s="52">
        <v>16860</v>
      </c>
      <c r="AT169" s="52">
        <v>45752</v>
      </c>
      <c r="AU169" s="52">
        <v>13500</v>
      </c>
      <c r="AV169" s="52">
        <v>9995</v>
      </c>
      <c r="AW169" s="52">
        <v>23312</v>
      </c>
      <c r="AX169" s="51">
        <v>46604</v>
      </c>
      <c r="AY169" s="52">
        <v>76486</v>
      </c>
      <c r="AZ169" s="52">
        <v>117249</v>
      </c>
      <c r="BA169" s="52">
        <v>85844</v>
      </c>
      <c r="BB169" s="52">
        <v>76064</v>
      </c>
      <c r="BC169" s="52">
        <v>44786</v>
      </c>
      <c r="BD169" s="52">
        <v>54305</v>
      </c>
      <c r="BE169" s="52">
        <v>14490</v>
      </c>
      <c r="BF169" s="52">
        <v>29306</v>
      </c>
      <c r="BG169" s="52">
        <v>74279</v>
      </c>
      <c r="BH169" s="52">
        <v>6500</v>
      </c>
      <c r="BI169" s="53">
        <v>11000</v>
      </c>
      <c r="BJ169" s="53">
        <v>8474</v>
      </c>
      <c r="BK169" s="53">
        <v>7500</v>
      </c>
      <c r="BL169" s="53">
        <v>4000</v>
      </c>
      <c r="BM169" s="53">
        <v>10200</v>
      </c>
      <c r="BN169" s="53">
        <v>9000</v>
      </c>
      <c r="BO169" s="53">
        <v>12300</v>
      </c>
      <c r="BP169" s="53">
        <v>13000</v>
      </c>
      <c r="BQ169" s="53">
        <v>15000</v>
      </c>
      <c r="BR169" s="53">
        <v>12500</v>
      </c>
      <c r="BS169" s="53">
        <v>11000</v>
      </c>
      <c r="BT169" s="53">
        <v>9000</v>
      </c>
      <c r="BU169" s="53">
        <v>13500</v>
      </c>
      <c r="BV169" s="53">
        <v>8500</v>
      </c>
      <c r="BW169" s="53">
        <v>13000</v>
      </c>
      <c r="BX169" s="53">
        <v>12500</v>
      </c>
      <c r="BY169" s="53">
        <v>15000</v>
      </c>
      <c r="BZ169" s="53">
        <v>7500</v>
      </c>
      <c r="CA169" s="53">
        <v>7500</v>
      </c>
      <c r="CB169" s="53">
        <v>15000</v>
      </c>
      <c r="CC169" s="53">
        <v>7500</v>
      </c>
      <c r="CD169" s="53">
        <v>7500</v>
      </c>
      <c r="CE169" s="53">
        <v>7500</v>
      </c>
      <c r="CF169" s="53">
        <v>7500</v>
      </c>
      <c r="CG169" s="53">
        <v>7500</v>
      </c>
      <c r="CH169" s="53">
        <v>15000</v>
      </c>
      <c r="CI169" s="53">
        <v>7500</v>
      </c>
      <c r="CJ169" s="53">
        <v>15000</v>
      </c>
      <c r="CK169" s="53">
        <v>7500</v>
      </c>
      <c r="CL169" s="53">
        <v>7500</v>
      </c>
      <c r="CM169" s="53">
        <v>7500</v>
      </c>
      <c r="CN169" s="206"/>
      <c r="CO169" s="206"/>
      <c r="CP169" s="206"/>
      <c r="CQ169" s="8">
        <f t="shared" si="74"/>
        <v>3543</v>
      </c>
      <c r="CR169" s="8">
        <f t="shared" si="75"/>
        <v>117249</v>
      </c>
      <c r="CS169" s="8">
        <f t="shared" si="76"/>
        <v>21211.242857142857</v>
      </c>
      <c r="CT169">
        <f t="shared" si="77"/>
        <v>15428.636976549622</v>
      </c>
      <c r="CU169" s="143">
        <f t="shared" si="78"/>
        <v>15466</v>
      </c>
      <c r="CV169" s="143">
        <f t="shared" si="79"/>
        <v>15395.666666666666</v>
      </c>
      <c r="CX169" s="7">
        <f t="shared" si="80"/>
        <v>7500</v>
      </c>
      <c r="CY169" s="7">
        <f t="shared" si="81"/>
        <v>7500</v>
      </c>
      <c r="CZ169" s="7">
        <f t="shared" si="82"/>
        <v>7500</v>
      </c>
      <c r="DA169" s="7">
        <f t="shared" si="83"/>
        <v>9000</v>
      </c>
      <c r="DB169" s="7">
        <f t="shared" si="84"/>
        <v>13500</v>
      </c>
      <c r="DC169" s="7">
        <f t="shared" si="85"/>
        <v>15000</v>
      </c>
      <c r="DD169" s="7">
        <f t="shared" si="86"/>
        <v>16201.350000000002</v>
      </c>
      <c r="DE169" s="7">
        <f t="shared" si="87"/>
        <v>21358.25</v>
      </c>
      <c r="DF169" s="7">
        <f t="shared" si="88"/>
        <v>37042.9</v>
      </c>
      <c r="DH169" s="7">
        <f t="shared" si="89"/>
        <v>9348.25</v>
      </c>
      <c r="DI169" s="7">
        <f t="shared" si="90"/>
        <v>11200.15</v>
      </c>
      <c r="DJ169" s="7">
        <f t="shared" si="91"/>
        <v>11650.2</v>
      </c>
      <c r="DK169" s="7">
        <f t="shared" si="92"/>
        <v>12729.75</v>
      </c>
      <c r="DL169" s="7">
        <f t="shared" si="93"/>
        <v>17218</v>
      </c>
      <c r="DM169" s="7">
        <f t="shared" si="94"/>
        <v>19056</v>
      </c>
      <c r="DN169" s="7">
        <f t="shared" si="95"/>
        <v>20101.100000000002</v>
      </c>
      <c r="DO169" s="7">
        <f t="shared" si="96"/>
        <v>23291.75</v>
      </c>
      <c r="DP169" s="7">
        <f t="shared" si="97"/>
        <v>30509.949999999997</v>
      </c>
      <c r="EB169" s="7">
        <f>_xlfn.PERCENTILE.INC(BP169:CM169,0.25)</f>
        <v>7500</v>
      </c>
      <c r="EC169" s="7">
        <f>_xlfn.PERCENTILE.INC(BP169:CM169,0.75)</f>
        <v>13125</v>
      </c>
      <c r="ED169" t="s">
        <v>682</v>
      </c>
    </row>
    <row r="170" spans="1:134" ht="25.5" hidden="1" customHeight="1" x14ac:dyDescent="0.25">
      <c r="A170" s="92" t="str">
        <f t="shared" si="98"/>
        <v>CM-SWVI [10]</v>
      </c>
      <c r="B170" s="92" t="str">
        <f t="shared" si="99"/>
        <v>Southwest Vancouver Island</v>
      </c>
      <c r="C170" s="93" t="str">
        <f t="shared" si="68"/>
        <v>SOMASS SYSTEM_Chum</v>
      </c>
      <c r="D170" s="128" t="s">
        <v>598</v>
      </c>
      <c r="E170" s="128" t="s">
        <v>598</v>
      </c>
      <c r="F170" s="64">
        <v>23</v>
      </c>
      <c r="G170" s="72" t="s">
        <v>40</v>
      </c>
      <c r="H170" s="65" t="s">
        <v>96</v>
      </c>
      <c r="I170" s="119"/>
      <c r="J170" s="119"/>
      <c r="K170" s="64">
        <v>1</v>
      </c>
      <c r="L170" s="52">
        <v>11</v>
      </c>
      <c r="M170" s="52">
        <v>11</v>
      </c>
      <c r="N170" s="52">
        <f t="shared" si="69"/>
        <v>183.63046536837339</v>
      </c>
      <c r="O170" s="52">
        <f t="shared" si="70"/>
        <v>8392</v>
      </c>
      <c r="P170" s="52">
        <f t="shared" si="71"/>
        <v>608.55602921026718</v>
      </c>
      <c r="Q170" s="66" t="s">
        <v>272</v>
      </c>
      <c r="R170" s="37"/>
      <c r="S170" s="74" t="s">
        <v>305</v>
      </c>
      <c r="T170" s="81" t="e">
        <f t="shared" si="72"/>
        <v>#DIV/0!</v>
      </c>
      <c r="U170" s="81">
        <f t="shared" si="73"/>
        <v>95.008333333333326</v>
      </c>
      <c r="V170" s="228"/>
      <c r="W170" s="52"/>
      <c r="X170" s="52"/>
      <c r="Y170" s="52"/>
      <c r="Z170" s="123"/>
      <c r="AA170" s="123"/>
      <c r="AB170" s="123">
        <f>11.5+10.24</f>
        <v>21.740000000000002</v>
      </c>
      <c r="AC170" s="123">
        <f>47+13.31</f>
        <v>60.31</v>
      </c>
      <c r="AD170" s="123">
        <f>29+10.5</f>
        <v>39.5</v>
      </c>
      <c r="AE170" s="123">
        <f>36.5+1</f>
        <v>37.5</v>
      </c>
      <c r="AF170" s="123">
        <v>57</v>
      </c>
      <c r="AG170" s="123">
        <v>354</v>
      </c>
      <c r="AH170" s="123">
        <v>31</v>
      </c>
      <c r="AI170" s="123">
        <v>53</v>
      </c>
      <c r="AJ170" s="123">
        <v>43</v>
      </c>
      <c r="AK170" s="123">
        <v>80</v>
      </c>
      <c r="AL170" s="52">
        <v>159</v>
      </c>
      <c r="AM170" s="52">
        <v>81</v>
      </c>
      <c r="AN170" s="52">
        <v>66</v>
      </c>
      <c r="AO170" s="52">
        <v>224</v>
      </c>
      <c r="AP170" s="52">
        <v>91</v>
      </c>
      <c r="AQ170" s="52">
        <v>914</v>
      </c>
      <c r="AR170" s="52">
        <v>32</v>
      </c>
      <c r="AS170" s="52">
        <v>77</v>
      </c>
      <c r="AT170" s="52">
        <v>8392</v>
      </c>
      <c r="AU170" s="52">
        <v>1305</v>
      </c>
      <c r="AV170" s="52" t="s">
        <v>263</v>
      </c>
      <c r="AW170" s="52" t="s">
        <v>262</v>
      </c>
      <c r="AX170" s="51">
        <v>8</v>
      </c>
      <c r="AY170" s="52">
        <v>40</v>
      </c>
      <c r="AZ170" s="52">
        <v>18</v>
      </c>
      <c r="BA170" s="52">
        <v>62</v>
      </c>
      <c r="BB170" s="52">
        <v>25</v>
      </c>
      <c r="BC170" s="52" t="s">
        <v>262</v>
      </c>
      <c r="BD170" s="52" t="s">
        <v>262</v>
      </c>
      <c r="BE170" s="52" t="s">
        <v>262</v>
      </c>
      <c r="BF170" s="52" t="s">
        <v>262</v>
      </c>
      <c r="BG170" s="52">
        <v>2000</v>
      </c>
      <c r="BH170" s="52" t="s">
        <v>102</v>
      </c>
      <c r="BI170" s="53">
        <v>1</v>
      </c>
      <c r="BJ170" s="53" t="s">
        <v>262</v>
      </c>
      <c r="BK170" s="53">
        <v>1000</v>
      </c>
      <c r="BL170" s="53" t="s">
        <v>264</v>
      </c>
      <c r="BM170" s="53">
        <v>350</v>
      </c>
      <c r="BN170" s="53">
        <v>300</v>
      </c>
      <c r="BO170" s="53">
        <v>500</v>
      </c>
      <c r="BP170" s="53">
        <v>4500</v>
      </c>
      <c r="BQ170" s="53">
        <v>750</v>
      </c>
      <c r="BR170" s="53">
        <v>3500</v>
      </c>
      <c r="BS170" s="53">
        <v>7000</v>
      </c>
      <c r="BT170" s="53">
        <v>4000</v>
      </c>
      <c r="BU170" s="53">
        <v>1500</v>
      </c>
      <c r="BV170" s="53">
        <v>3000</v>
      </c>
      <c r="BW170" s="53">
        <v>2500</v>
      </c>
      <c r="BX170" s="53">
        <v>3500</v>
      </c>
      <c r="BY170" s="53">
        <v>1500</v>
      </c>
      <c r="BZ170" s="53">
        <v>1500</v>
      </c>
      <c r="CA170" s="53">
        <v>1500</v>
      </c>
      <c r="CB170" s="53">
        <v>750</v>
      </c>
      <c r="CC170" s="53">
        <v>1500</v>
      </c>
      <c r="CD170" s="53">
        <v>3500</v>
      </c>
      <c r="CE170" s="53">
        <v>3500</v>
      </c>
      <c r="CF170" s="53">
        <v>1500</v>
      </c>
      <c r="CG170" s="53">
        <v>3500</v>
      </c>
      <c r="CH170" s="53">
        <v>7500</v>
      </c>
      <c r="CI170" s="53">
        <v>7500</v>
      </c>
      <c r="CJ170" s="53">
        <v>1500</v>
      </c>
      <c r="CK170" s="53">
        <v>3500</v>
      </c>
      <c r="CL170" s="53">
        <v>7500</v>
      </c>
      <c r="CM170" s="53">
        <v>7500</v>
      </c>
      <c r="CN170" s="206">
        <f>IF(ISERROR(AVERAGE(BV170:CM170)),CS170,AVERAGE(BV170:CM170))</f>
        <v>3486.1111111111113</v>
      </c>
      <c r="CO170" s="206"/>
      <c r="CP170" s="206"/>
      <c r="CQ170" s="8">
        <f t="shared" si="74"/>
        <v>1</v>
      </c>
      <c r="CR170" s="8">
        <f t="shared" si="75"/>
        <v>8392</v>
      </c>
      <c r="CS170" s="8">
        <f t="shared" si="76"/>
        <v>1825.8554545454547</v>
      </c>
      <c r="CT170">
        <f t="shared" si="77"/>
        <v>426.95328345176114</v>
      </c>
      <c r="CU170" s="143" t="e">
        <f t="shared" si="78"/>
        <v>#DIV/0!</v>
      </c>
      <c r="CV170" s="143">
        <f t="shared" si="79"/>
        <v>95.008333333333326</v>
      </c>
      <c r="CX170" s="7">
        <f t="shared" si="80"/>
        <v>20.618000000000002</v>
      </c>
      <c r="CY170" s="7">
        <f t="shared" si="81"/>
        <v>39.549999999999997</v>
      </c>
      <c r="CZ170" s="7">
        <f t="shared" si="82"/>
        <v>51.000000000000007</v>
      </c>
      <c r="DA170" s="7">
        <f t="shared" si="83"/>
        <v>61.155000000000001</v>
      </c>
      <c r="DB170" s="7">
        <f t="shared" si="84"/>
        <v>750</v>
      </c>
      <c r="DC170" s="7">
        <f t="shared" si="85"/>
        <v>1500</v>
      </c>
      <c r="DD170" s="7">
        <f t="shared" si="86"/>
        <v>1500</v>
      </c>
      <c r="DE170" s="7">
        <f t="shared" si="87"/>
        <v>3250</v>
      </c>
      <c r="DF170" s="7">
        <f t="shared" si="88"/>
        <v>3500</v>
      </c>
      <c r="DH170" s="7">
        <f t="shared" si="89"/>
        <v>30.537000000000003</v>
      </c>
      <c r="DI170" s="7">
        <f t="shared" si="90"/>
        <v>36.674999999999997</v>
      </c>
      <c r="DJ170" s="7">
        <f t="shared" si="91"/>
        <v>39.1</v>
      </c>
      <c r="DK170" s="7">
        <f t="shared" si="92"/>
        <v>42.125</v>
      </c>
      <c r="DL170" s="7">
        <f t="shared" si="93"/>
        <v>71.5</v>
      </c>
      <c r="DM170" s="7">
        <f t="shared" si="94"/>
        <v>80.400000000000006</v>
      </c>
      <c r="DN170" s="7">
        <f t="shared" si="95"/>
        <v>84.5</v>
      </c>
      <c r="DO170" s="7">
        <f t="shared" si="96"/>
        <v>175.25</v>
      </c>
      <c r="DP170" s="7">
        <f t="shared" si="97"/>
        <v>437.9999999999992</v>
      </c>
      <c r="EB170" s="7">
        <f t="shared" ref="EB170:EB173" si="100">_xlfn.PERCENTILE.INC(BP170:CM170,0.25)</f>
        <v>1500</v>
      </c>
      <c r="EC170" s="7">
        <f t="shared" ref="EC170:EC173" si="101">_xlfn.PERCENTILE.INC(BP170:CM170,0.75)</f>
        <v>4125</v>
      </c>
      <c r="ED170" t="s">
        <v>682</v>
      </c>
    </row>
    <row r="171" spans="1:134" ht="25.5" hidden="1" customHeight="1" x14ac:dyDescent="0.25">
      <c r="A171" s="92" t="str">
        <f t="shared" si="98"/>
        <v>CO-WVI [17]</v>
      </c>
      <c r="B171" s="92" t="str">
        <f t="shared" si="99"/>
        <v>West Vancouver Island</v>
      </c>
      <c r="C171" s="93" t="str">
        <f t="shared" si="68"/>
        <v>SOMASS SYSTEM_Coho</v>
      </c>
      <c r="D171" s="128" t="s">
        <v>598</v>
      </c>
      <c r="E171" s="128" t="s">
        <v>598</v>
      </c>
      <c r="F171" s="64">
        <v>23</v>
      </c>
      <c r="G171" s="72" t="s">
        <v>40</v>
      </c>
      <c r="H171" s="65" t="s">
        <v>93</v>
      </c>
      <c r="I171" s="119"/>
      <c r="J171" s="119"/>
      <c r="K171" s="64">
        <v>1</v>
      </c>
      <c r="L171" s="52">
        <v>11</v>
      </c>
      <c r="M171" s="52">
        <v>11</v>
      </c>
      <c r="N171" s="52">
        <f t="shared" si="69"/>
        <v>10788.994460056238</v>
      </c>
      <c r="O171" s="52">
        <f t="shared" si="70"/>
        <v>130000</v>
      </c>
      <c r="P171" s="52">
        <f t="shared" si="71"/>
        <v>29122.370669247219</v>
      </c>
      <c r="Q171" s="66" t="s">
        <v>272</v>
      </c>
      <c r="R171" s="37"/>
      <c r="S171" s="74" t="s">
        <v>303</v>
      </c>
      <c r="T171" s="81">
        <f t="shared" si="72"/>
        <v>12513.5</v>
      </c>
      <c r="U171" s="81">
        <f t="shared" si="73"/>
        <v>25776.323702700916</v>
      </c>
      <c r="V171" s="228">
        <v>18526</v>
      </c>
      <c r="W171" s="52">
        <v>16258</v>
      </c>
      <c r="X171" s="52">
        <v>8999</v>
      </c>
      <c r="Y171" s="52">
        <v>6271</v>
      </c>
      <c r="Z171" s="123">
        <v>13632</v>
      </c>
      <c r="AA171" s="123">
        <v>13065</v>
      </c>
      <c r="AB171" s="123">
        <f>23002+6858</f>
        <v>29860</v>
      </c>
      <c r="AC171" s="123">
        <f>12776+2876</f>
        <v>15652</v>
      </c>
      <c r="AD171" s="123">
        <f>35009.7272727273+11327</f>
        <v>46336.727272727301</v>
      </c>
      <c r="AE171" s="123">
        <f>51890.1571596837+14610</f>
        <v>66500.157159683702</v>
      </c>
      <c r="AF171" s="123">
        <v>26676</v>
      </c>
      <c r="AG171" s="123">
        <v>47540</v>
      </c>
      <c r="AH171" s="123">
        <v>24116</v>
      </c>
      <c r="AI171" s="123">
        <v>78266</v>
      </c>
      <c r="AJ171" s="123">
        <v>49507</v>
      </c>
      <c r="AK171" s="123">
        <v>47517</v>
      </c>
      <c r="AL171" s="123">
        <v>11864</v>
      </c>
      <c r="AM171" s="123">
        <v>66099</v>
      </c>
      <c r="AN171" s="123">
        <v>40268</v>
      </c>
      <c r="AO171" s="52" t="s">
        <v>263</v>
      </c>
      <c r="AP171" s="52" t="s">
        <v>263</v>
      </c>
      <c r="AQ171" s="52">
        <v>10657</v>
      </c>
      <c r="AR171" s="52" t="s">
        <v>263</v>
      </c>
      <c r="AS171" s="52">
        <v>2170</v>
      </c>
      <c r="AT171" s="52">
        <v>32028</v>
      </c>
      <c r="AU171" s="52">
        <v>36</v>
      </c>
      <c r="AV171" s="52" t="s">
        <v>263</v>
      </c>
      <c r="AW171" s="52" t="s">
        <v>263</v>
      </c>
      <c r="AX171" s="51" t="s">
        <v>263</v>
      </c>
      <c r="AY171" s="52" t="s">
        <v>263</v>
      </c>
      <c r="AZ171" s="52" t="s">
        <v>263</v>
      </c>
      <c r="BA171" s="52" t="s">
        <v>263</v>
      </c>
      <c r="BB171" s="52" t="s">
        <v>263</v>
      </c>
      <c r="BC171" s="52" t="s">
        <v>263</v>
      </c>
      <c r="BD171" s="52" t="s">
        <v>263</v>
      </c>
      <c r="BE171" s="52" t="s">
        <v>263</v>
      </c>
      <c r="BF171" s="52" t="s">
        <v>263</v>
      </c>
      <c r="BG171" s="52">
        <v>44000</v>
      </c>
      <c r="BH171" s="52" t="s">
        <v>102</v>
      </c>
      <c r="BI171" s="53" t="s">
        <v>264</v>
      </c>
      <c r="BJ171" s="53">
        <v>8035</v>
      </c>
      <c r="BK171" s="53" t="s">
        <v>264</v>
      </c>
      <c r="BL171" s="53" t="s">
        <v>262</v>
      </c>
      <c r="BM171" s="53">
        <v>35000</v>
      </c>
      <c r="BN171" s="53">
        <v>32000</v>
      </c>
      <c r="BO171" s="53">
        <v>31200</v>
      </c>
      <c r="BP171" s="53">
        <v>35000</v>
      </c>
      <c r="BQ171" s="53">
        <v>40000</v>
      </c>
      <c r="BR171" s="53">
        <v>125000</v>
      </c>
      <c r="BS171" s="53">
        <v>130000</v>
      </c>
      <c r="BT171" s="53">
        <v>30000</v>
      </c>
      <c r="BU171" s="53">
        <v>85000</v>
      </c>
      <c r="BV171" s="53">
        <v>120000</v>
      </c>
      <c r="BW171" s="53">
        <v>35000</v>
      </c>
      <c r="BX171" s="53">
        <v>60000</v>
      </c>
      <c r="BY171" s="53">
        <v>75000</v>
      </c>
      <c r="BZ171" s="53">
        <v>75000</v>
      </c>
      <c r="CA171" s="53">
        <v>35000</v>
      </c>
      <c r="CB171" s="53">
        <v>35000</v>
      </c>
      <c r="CC171" s="53">
        <v>35000</v>
      </c>
      <c r="CD171" s="53">
        <v>35000</v>
      </c>
      <c r="CE171" s="53">
        <v>35000</v>
      </c>
      <c r="CF171" s="53">
        <v>15000</v>
      </c>
      <c r="CG171" s="53">
        <v>35000</v>
      </c>
      <c r="CH171" s="53">
        <v>35000</v>
      </c>
      <c r="CI171" s="53">
        <v>15000</v>
      </c>
      <c r="CJ171" s="53">
        <v>35000</v>
      </c>
      <c r="CK171" s="53">
        <v>35000</v>
      </c>
      <c r="CL171" s="53">
        <v>35000</v>
      </c>
      <c r="CM171" s="53">
        <v>35000</v>
      </c>
      <c r="CN171" s="206"/>
      <c r="CO171" s="206"/>
      <c r="CP171" s="206"/>
      <c r="CQ171" s="8">
        <f t="shared" si="74"/>
        <v>36</v>
      </c>
      <c r="CR171" s="8">
        <f t="shared" si="75"/>
        <v>130000</v>
      </c>
      <c r="CS171" s="8">
        <f t="shared" si="76"/>
        <v>39366.901623700214</v>
      </c>
      <c r="CT171">
        <f t="shared" si="77"/>
        <v>27274.230519895678</v>
      </c>
      <c r="CU171" s="143">
        <f t="shared" si="78"/>
        <v>12737.2</v>
      </c>
      <c r="CV171" s="143">
        <f t="shared" si="79"/>
        <v>25776.323702700916</v>
      </c>
      <c r="CX171" s="7">
        <f t="shared" si="80"/>
        <v>7241.2000000000007</v>
      </c>
      <c r="CY171" s="7">
        <f t="shared" si="81"/>
        <v>13433.55</v>
      </c>
      <c r="CZ171" s="7">
        <f t="shared" si="82"/>
        <v>15130.400000000001</v>
      </c>
      <c r="DA171" s="7">
        <f t="shared" si="83"/>
        <v>17959</v>
      </c>
      <c r="DB171" s="7">
        <f t="shared" si="84"/>
        <v>35000</v>
      </c>
      <c r="DC171" s="7">
        <f t="shared" si="85"/>
        <v>35000</v>
      </c>
      <c r="DD171" s="7">
        <f t="shared" si="86"/>
        <v>35000</v>
      </c>
      <c r="DE171" s="7">
        <f t="shared" si="87"/>
        <v>46631.795454545478</v>
      </c>
      <c r="DF171" s="7">
        <f t="shared" si="88"/>
        <v>66239.40500588929</v>
      </c>
      <c r="DH171" s="7">
        <f t="shared" si="89"/>
        <v>2580.1000000000004</v>
      </c>
      <c r="DI171" s="7">
        <f t="shared" si="90"/>
        <v>9496.4</v>
      </c>
      <c r="DJ171" s="7">
        <f t="shared" si="91"/>
        <v>11139.800000000001</v>
      </c>
      <c r="DK171" s="7">
        <f t="shared" si="92"/>
        <v>12464.5</v>
      </c>
      <c r="DL171" s="7">
        <f t="shared" si="93"/>
        <v>24116</v>
      </c>
      <c r="DM171" s="7">
        <f t="shared" si="94"/>
        <v>30293.599999999999</v>
      </c>
      <c r="DN171" s="7">
        <f t="shared" si="95"/>
        <v>34500.000000000007</v>
      </c>
      <c r="DO171" s="7">
        <f t="shared" si="96"/>
        <v>46926.863636363647</v>
      </c>
      <c r="DP171" s="7">
        <f t="shared" si="97"/>
        <v>48916.9</v>
      </c>
      <c r="EB171" s="7">
        <f t="shared" si="100"/>
        <v>35000</v>
      </c>
      <c r="EC171" s="7">
        <f t="shared" si="101"/>
        <v>63750</v>
      </c>
      <c r="ED171" t="s">
        <v>682</v>
      </c>
    </row>
    <row r="172" spans="1:134" ht="25.5" hidden="1" customHeight="1" x14ac:dyDescent="0.25">
      <c r="A172" s="92" t="str">
        <f t="shared" si="98"/>
        <v>Pkodd-WVI [6]</v>
      </c>
      <c r="B172" s="92" t="str">
        <f t="shared" si="99"/>
        <v>West Vancouver Island</v>
      </c>
      <c r="C172" s="93" t="str">
        <f t="shared" si="68"/>
        <v>SOMASS SYSTEM_Pink</v>
      </c>
      <c r="D172" s="128" t="s">
        <v>598</v>
      </c>
      <c r="E172" s="128" t="s">
        <v>598</v>
      </c>
      <c r="F172" s="64">
        <v>23</v>
      </c>
      <c r="G172" s="72" t="s">
        <v>40</v>
      </c>
      <c r="H172" s="65" t="s">
        <v>95</v>
      </c>
      <c r="I172" s="119"/>
      <c r="J172" s="119"/>
      <c r="K172" s="64">
        <v>1</v>
      </c>
      <c r="L172" s="52">
        <v>11</v>
      </c>
      <c r="M172" s="52">
        <v>9</v>
      </c>
      <c r="N172" s="52" t="e">
        <f t="shared" si="69"/>
        <v>#NUM!</v>
      </c>
      <c r="O172" s="52">
        <f t="shared" si="70"/>
        <v>3500</v>
      </c>
      <c r="P172" s="52" t="e">
        <f t="shared" si="71"/>
        <v>#NUM!</v>
      </c>
      <c r="Q172" s="66" t="s">
        <v>272</v>
      </c>
      <c r="R172" s="37"/>
      <c r="S172" s="74" t="s">
        <v>304</v>
      </c>
      <c r="T172" s="81" t="e">
        <f t="shared" si="72"/>
        <v>#DIV/0!</v>
      </c>
      <c r="U172" s="81">
        <f t="shared" si="73"/>
        <v>18.916666666666668</v>
      </c>
      <c r="V172" s="228"/>
      <c r="W172" s="52"/>
      <c r="X172" s="52"/>
      <c r="Y172" s="52"/>
      <c r="Z172" s="123"/>
      <c r="AA172" s="123"/>
      <c r="AB172" s="123">
        <f>8+0</f>
        <v>8</v>
      </c>
      <c r="AC172" s="123">
        <f>30+0</f>
        <v>30</v>
      </c>
      <c r="AD172" s="123">
        <f>22+0</f>
        <v>22</v>
      </c>
      <c r="AE172" s="123">
        <f>45.5+0</f>
        <v>45.5</v>
      </c>
      <c r="AF172" s="123">
        <v>1</v>
      </c>
      <c r="AG172" s="123">
        <v>7</v>
      </c>
      <c r="AH172" s="123">
        <v>2</v>
      </c>
      <c r="AI172" s="123">
        <v>2</v>
      </c>
      <c r="AJ172" s="123">
        <v>2</v>
      </c>
      <c r="AK172" s="123">
        <v>0</v>
      </c>
      <c r="AL172" s="123">
        <v>0</v>
      </c>
      <c r="AM172" s="123">
        <v>0</v>
      </c>
      <c r="AN172" s="123">
        <v>1</v>
      </c>
      <c r="AO172" s="52">
        <v>7</v>
      </c>
      <c r="AP172" s="52">
        <v>0</v>
      </c>
      <c r="AQ172" s="52">
        <v>6</v>
      </c>
      <c r="AR172" s="52">
        <v>5</v>
      </c>
      <c r="AS172" s="52">
        <v>4</v>
      </c>
      <c r="AT172" s="52">
        <v>12</v>
      </c>
      <c r="AU172" s="52">
        <v>14</v>
      </c>
      <c r="AV172" s="52" t="s">
        <v>102</v>
      </c>
      <c r="AW172" s="52" t="s">
        <v>102</v>
      </c>
      <c r="AX172" s="51" t="s">
        <v>102</v>
      </c>
      <c r="AY172" s="52" t="s">
        <v>102</v>
      </c>
      <c r="AZ172" s="52" t="s">
        <v>102</v>
      </c>
      <c r="BA172" s="52" t="s">
        <v>102</v>
      </c>
      <c r="BB172" s="52" t="s">
        <v>102</v>
      </c>
      <c r="BC172" s="52" t="s">
        <v>102</v>
      </c>
      <c r="BD172" s="52" t="s">
        <v>102</v>
      </c>
      <c r="BE172" s="52" t="s">
        <v>102</v>
      </c>
      <c r="BF172" s="52" t="s">
        <v>102</v>
      </c>
      <c r="BG172" s="52" t="s">
        <v>264</v>
      </c>
      <c r="BH172" s="52" t="s">
        <v>102</v>
      </c>
      <c r="BI172" s="53">
        <v>2</v>
      </c>
      <c r="BJ172" s="53" t="s">
        <v>264</v>
      </c>
      <c r="BK172" s="53" t="s">
        <v>264</v>
      </c>
      <c r="BL172" s="53" t="s">
        <v>264</v>
      </c>
      <c r="BM172" s="53" t="s">
        <v>262</v>
      </c>
      <c r="BN172" s="53" t="s">
        <v>262</v>
      </c>
      <c r="BO172" s="53" t="s">
        <v>262</v>
      </c>
      <c r="BP172" s="53">
        <v>500</v>
      </c>
      <c r="BQ172" s="53">
        <v>100</v>
      </c>
      <c r="BR172" s="53">
        <v>400</v>
      </c>
      <c r="BS172" s="53" t="s">
        <v>264</v>
      </c>
      <c r="BT172" s="53">
        <v>400</v>
      </c>
      <c r="BU172" s="53">
        <v>200</v>
      </c>
      <c r="BV172" s="53">
        <v>100</v>
      </c>
      <c r="BW172" s="53">
        <v>25</v>
      </c>
      <c r="BX172" s="53">
        <v>400</v>
      </c>
      <c r="BY172" s="53">
        <v>200</v>
      </c>
      <c r="BZ172" s="53">
        <v>1500</v>
      </c>
      <c r="CA172" s="53">
        <v>3500</v>
      </c>
      <c r="CB172" s="53">
        <v>75</v>
      </c>
      <c r="CC172" s="53">
        <v>3500</v>
      </c>
      <c r="CD172" s="53">
        <v>750</v>
      </c>
      <c r="CE172" s="53">
        <v>75</v>
      </c>
      <c r="CF172" s="53">
        <v>400</v>
      </c>
      <c r="CG172" s="53" t="s">
        <v>262</v>
      </c>
      <c r="CH172" s="53">
        <v>400</v>
      </c>
      <c r="CI172" s="53" t="s">
        <v>264</v>
      </c>
      <c r="CJ172" s="53">
        <v>75</v>
      </c>
      <c r="CK172" s="53" t="s">
        <v>264</v>
      </c>
      <c r="CL172" s="53" t="s">
        <v>264</v>
      </c>
      <c r="CM172" s="53" t="s">
        <v>264</v>
      </c>
      <c r="CN172" s="206"/>
      <c r="CO172" s="206"/>
      <c r="CP172" s="206"/>
      <c r="CQ172" s="8">
        <f t="shared" si="74"/>
        <v>0</v>
      </c>
      <c r="CR172" s="8">
        <f t="shared" si="75"/>
        <v>3500</v>
      </c>
      <c r="CS172" s="8">
        <f t="shared" si="76"/>
        <v>327.44871794871796</v>
      </c>
      <c r="CT172" t="e">
        <f t="shared" si="77"/>
        <v>#NUM!</v>
      </c>
      <c r="CU172" s="143" t="e">
        <f t="shared" si="78"/>
        <v>#DIV/0!</v>
      </c>
      <c r="CV172" s="143">
        <f t="shared" si="79"/>
        <v>18.916666666666668</v>
      </c>
      <c r="CX172" s="7">
        <f t="shared" si="80"/>
        <v>0</v>
      </c>
      <c r="CY172" s="7">
        <f t="shared" si="81"/>
        <v>1.7000000000000002</v>
      </c>
      <c r="CZ172" s="7">
        <f t="shared" si="82"/>
        <v>2</v>
      </c>
      <c r="DA172" s="7">
        <f t="shared" si="83"/>
        <v>3</v>
      </c>
      <c r="DB172" s="7">
        <f t="shared" si="84"/>
        <v>25</v>
      </c>
      <c r="DC172" s="7">
        <f t="shared" si="85"/>
        <v>75</v>
      </c>
      <c r="DD172" s="7">
        <f t="shared" si="86"/>
        <v>92.499999999999986</v>
      </c>
      <c r="DE172" s="7">
        <f t="shared" si="87"/>
        <v>300</v>
      </c>
      <c r="DF172" s="7">
        <f t="shared" si="88"/>
        <v>400</v>
      </c>
      <c r="DH172" s="7">
        <f t="shared" si="89"/>
        <v>0</v>
      </c>
      <c r="DI172" s="7">
        <f t="shared" si="90"/>
        <v>0</v>
      </c>
      <c r="DJ172" s="7">
        <f t="shared" si="91"/>
        <v>0.80000000000000071</v>
      </c>
      <c r="DK172" s="7">
        <f t="shared" si="92"/>
        <v>1</v>
      </c>
      <c r="DL172" s="7">
        <f t="shared" si="93"/>
        <v>4.5</v>
      </c>
      <c r="DM172" s="7">
        <f t="shared" si="94"/>
        <v>6.4</v>
      </c>
      <c r="DN172" s="7">
        <f t="shared" si="95"/>
        <v>7</v>
      </c>
      <c r="DO172" s="7">
        <f t="shared" si="96"/>
        <v>9</v>
      </c>
      <c r="DP172" s="7">
        <f t="shared" si="97"/>
        <v>15.199999999999989</v>
      </c>
      <c r="EB172" s="7">
        <f t="shared" si="100"/>
        <v>100</v>
      </c>
      <c r="EC172" s="7">
        <f t="shared" si="101"/>
        <v>475</v>
      </c>
      <c r="ED172" t="s">
        <v>682</v>
      </c>
    </row>
    <row r="173" spans="1:134" ht="25.5" hidden="1" customHeight="1" x14ac:dyDescent="0.25">
      <c r="A173" s="92" t="str">
        <f t="shared" si="98"/>
        <v>SK-L-13-10</v>
      </c>
      <c r="B173" s="92" t="str">
        <f t="shared" si="99"/>
        <v>Great Central/Sproat</v>
      </c>
      <c r="C173" s="93" t="str">
        <f t="shared" si="68"/>
        <v>SOMASS SYSTEM_Sockeye</v>
      </c>
      <c r="D173" s="128" t="s">
        <v>598</v>
      </c>
      <c r="E173" s="128" t="s">
        <v>598</v>
      </c>
      <c r="F173" s="64">
        <v>23</v>
      </c>
      <c r="G173" s="72" t="s">
        <v>40</v>
      </c>
      <c r="H173" s="65" t="s">
        <v>91</v>
      </c>
      <c r="I173" s="119"/>
      <c r="J173" s="119"/>
      <c r="K173" s="64">
        <v>1</v>
      </c>
      <c r="L173" s="52">
        <v>11</v>
      </c>
      <c r="M173" s="52">
        <v>11</v>
      </c>
      <c r="N173" s="52">
        <f t="shared" si="69"/>
        <v>252494.9047703477</v>
      </c>
      <c r="O173" s="52">
        <f t="shared" si="70"/>
        <v>543099</v>
      </c>
      <c r="P173" s="52">
        <f t="shared" si="71"/>
        <v>97961.825941782066</v>
      </c>
      <c r="Q173" s="66" t="s">
        <v>272</v>
      </c>
      <c r="R173" s="37"/>
      <c r="S173" s="74" t="s">
        <v>302</v>
      </c>
      <c r="T173" s="81">
        <f t="shared" si="72"/>
        <v>325299.25</v>
      </c>
      <c r="U173" s="81">
        <f t="shared" si="73"/>
        <v>375055.07315252972</v>
      </c>
      <c r="V173" s="228">
        <v>607643</v>
      </c>
      <c r="W173" s="52">
        <v>325751</v>
      </c>
      <c r="X173" s="52">
        <v>240703</v>
      </c>
      <c r="Y173" s="52">
        <v>127100</v>
      </c>
      <c r="Z173" s="123">
        <v>182438</v>
      </c>
      <c r="AA173" s="123">
        <v>267931</v>
      </c>
      <c r="AB173" s="123">
        <v>439035</v>
      </c>
      <c r="AC173" s="123">
        <v>721812</v>
      </c>
      <c r="AD173" s="123">
        <v>249048.06866940641</v>
      </c>
      <c r="AE173" s="123">
        <v>186340.29124981075</v>
      </c>
      <c r="AF173" s="123">
        <v>339666.62919828744</v>
      </c>
      <c r="AG173" s="123">
        <v>813192.88871285168</v>
      </c>
      <c r="AH173" s="123">
        <v>552295.54687400896</v>
      </c>
      <c r="AI173" s="123">
        <v>334147.63465366757</v>
      </c>
      <c r="AJ173" s="123">
        <v>124921.142101544</v>
      </c>
      <c r="AK173" s="123">
        <v>120553.92304421986</v>
      </c>
      <c r="AL173" s="123">
        <v>197432.81423256089</v>
      </c>
      <c r="AM173" s="123">
        <v>304911.28367093118</v>
      </c>
      <c r="AN173" s="123">
        <v>326818.89614841819</v>
      </c>
      <c r="AO173" s="52">
        <v>387353</v>
      </c>
      <c r="AP173" s="52">
        <v>450453</v>
      </c>
      <c r="AQ173" s="52">
        <v>466029</v>
      </c>
      <c r="AR173" s="52">
        <v>160611</v>
      </c>
      <c r="AS173" s="52">
        <v>366745</v>
      </c>
      <c r="AT173" s="52">
        <v>326902</v>
      </c>
      <c r="AU173" s="52">
        <v>300437</v>
      </c>
      <c r="AV173" s="52">
        <v>364803</v>
      </c>
      <c r="AW173" s="52">
        <v>84194</v>
      </c>
      <c r="AX173" s="51">
        <v>255283</v>
      </c>
      <c r="AY173" s="52">
        <v>415554</v>
      </c>
      <c r="AZ173" s="52">
        <v>342539</v>
      </c>
      <c r="BA173" s="52">
        <v>543099</v>
      </c>
      <c r="BB173" s="52">
        <v>256951</v>
      </c>
      <c r="BC173" s="52">
        <v>305001</v>
      </c>
      <c r="BD173" s="52">
        <v>405845</v>
      </c>
      <c r="BE173" s="52">
        <v>383019</v>
      </c>
      <c r="BF173" s="52">
        <v>293735</v>
      </c>
      <c r="BG173" s="52">
        <v>226027</v>
      </c>
      <c r="BH173" s="52" t="s">
        <v>102</v>
      </c>
      <c r="BI173" s="53" t="s">
        <v>264</v>
      </c>
      <c r="BJ173" s="53">
        <v>8035</v>
      </c>
      <c r="BK173" s="53" t="s">
        <v>264</v>
      </c>
      <c r="BL173" s="53" t="s">
        <v>262</v>
      </c>
      <c r="BM173" s="53">
        <v>35000</v>
      </c>
      <c r="BN173" s="53">
        <v>32000</v>
      </c>
      <c r="BO173" s="53">
        <v>31200</v>
      </c>
      <c r="BP173" s="53">
        <v>35000</v>
      </c>
      <c r="BQ173" s="53">
        <v>40000</v>
      </c>
      <c r="BR173" s="53">
        <v>125000</v>
      </c>
      <c r="BS173" s="53">
        <v>130000</v>
      </c>
      <c r="BT173" s="53">
        <v>30000</v>
      </c>
      <c r="BU173" s="53">
        <v>85000</v>
      </c>
      <c r="BV173" s="53">
        <v>120000</v>
      </c>
      <c r="BW173" s="53">
        <v>35000</v>
      </c>
      <c r="BX173" s="53">
        <v>60000</v>
      </c>
      <c r="BY173" s="53">
        <v>75000</v>
      </c>
      <c r="BZ173" s="53">
        <v>75000</v>
      </c>
      <c r="CA173" s="53">
        <v>35000</v>
      </c>
      <c r="CB173" s="53">
        <v>35000</v>
      </c>
      <c r="CC173" s="53">
        <v>35000</v>
      </c>
      <c r="CD173" s="53">
        <v>35000</v>
      </c>
      <c r="CE173" s="53">
        <v>35000</v>
      </c>
      <c r="CF173" s="53">
        <v>15000</v>
      </c>
      <c r="CG173" s="53">
        <v>35000</v>
      </c>
      <c r="CH173" s="53">
        <v>35000</v>
      </c>
      <c r="CI173" s="53">
        <v>15000</v>
      </c>
      <c r="CJ173" s="53">
        <v>35000</v>
      </c>
      <c r="CK173" s="53">
        <v>35000</v>
      </c>
      <c r="CL173" s="53">
        <v>35000</v>
      </c>
      <c r="CM173" s="53">
        <v>35000</v>
      </c>
      <c r="CN173" s="206"/>
      <c r="CO173" s="206"/>
      <c r="CP173" s="206"/>
      <c r="CQ173" s="8">
        <f t="shared" si="74"/>
        <v>8035</v>
      </c>
      <c r="CR173" s="8">
        <f t="shared" si="75"/>
        <v>813192.88871285168</v>
      </c>
      <c r="CS173" s="8">
        <f t="shared" si="76"/>
        <v>214053.89573569252</v>
      </c>
      <c r="CT173">
        <f t="shared" si="77"/>
        <v>127133.35031095785</v>
      </c>
      <c r="CU173" s="143">
        <f t="shared" si="78"/>
        <v>296727</v>
      </c>
      <c r="CV173" s="143">
        <f t="shared" si="79"/>
        <v>375055.07315252972</v>
      </c>
      <c r="CX173" s="7">
        <f t="shared" si="80"/>
        <v>30300</v>
      </c>
      <c r="CY173" s="7">
        <f t="shared" si="81"/>
        <v>35000</v>
      </c>
      <c r="CZ173" s="7">
        <f t="shared" si="82"/>
        <v>35000</v>
      </c>
      <c r="DA173" s="7">
        <f t="shared" si="83"/>
        <v>35000</v>
      </c>
      <c r="DB173" s="7">
        <f t="shared" si="84"/>
        <v>171524.5</v>
      </c>
      <c r="DC173" s="7">
        <f t="shared" si="85"/>
        <v>255283</v>
      </c>
      <c r="DD173" s="7">
        <f t="shared" si="86"/>
        <v>295410.5</v>
      </c>
      <c r="DE173" s="7">
        <f t="shared" si="87"/>
        <v>332336.22599025071</v>
      </c>
      <c r="DF173" s="7">
        <f t="shared" si="88"/>
        <v>391976</v>
      </c>
      <c r="DH173" s="7">
        <f t="shared" si="89"/>
        <v>122082.44971428331</v>
      </c>
      <c r="DI173" s="7">
        <f t="shared" si="90"/>
        <v>161702.35</v>
      </c>
      <c r="DJ173" s="7">
        <f t="shared" si="91"/>
        <v>183998.91649992429</v>
      </c>
      <c r="DK173" s="7">
        <f t="shared" si="92"/>
        <v>194659.68348687334</v>
      </c>
      <c r="DL173" s="7">
        <f t="shared" si="93"/>
        <v>326284.9480742091</v>
      </c>
      <c r="DM173" s="7">
        <f t="shared" si="94"/>
        <v>335251.43356259156</v>
      </c>
      <c r="DN173" s="7">
        <f t="shared" si="95"/>
        <v>353491.63313922938</v>
      </c>
      <c r="DO173" s="7">
        <f t="shared" si="96"/>
        <v>400273.5</v>
      </c>
      <c r="DP173" s="7">
        <f t="shared" si="97"/>
        <v>465250.2</v>
      </c>
      <c r="EB173" s="7">
        <f t="shared" si="100"/>
        <v>35000</v>
      </c>
      <c r="EC173" s="7">
        <f t="shared" si="101"/>
        <v>63750</v>
      </c>
      <c r="ED173" t="s">
        <v>682</v>
      </c>
    </row>
    <row r="174" spans="1:134" ht="25.5" customHeight="1" x14ac:dyDescent="0.25">
      <c r="A174" s="92" t="str">
        <f t="shared" si="98"/>
        <v>CK-SWVI [31]</v>
      </c>
      <c r="B174" s="92" t="str">
        <f t="shared" si="99"/>
        <v>Southwest Vancouver Island</v>
      </c>
      <c r="C174" s="93" t="str">
        <f t="shared" si="68"/>
        <v>SUGSAW CREEK_Chinook</v>
      </c>
      <c r="D174" s="128" t="s">
        <v>598</v>
      </c>
      <c r="E174" s="128" t="s">
        <v>598</v>
      </c>
      <c r="F174" s="64">
        <v>23</v>
      </c>
      <c r="G174" s="72" t="s">
        <v>110</v>
      </c>
      <c r="H174" s="65" t="s">
        <v>97</v>
      </c>
      <c r="I174" s="119"/>
      <c r="J174" s="119"/>
      <c r="K174" s="64">
        <v>4</v>
      </c>
      <c r="L174" s="52">
        <v>3</v>
      </c>
      <c r="M174" s="52">
        <v>2</v>
      </c>
      <c r="N174" s="52">
        <f t="shared" si="69"/>
        <v>4.4721359549995796</v>
      </c>
      <c r="O174" s="52">
        <f t="shared" si="70"/>
        <v>10</v>
      </c>
      <c r="P174" s="52">
        <f t="shared" si="71"/>
        <v>4.4721359549995796</v>
      </c>
      <c r="Q174" s="66"/>
      <c r="R174" s="39"/>
      <c r="S174" s="76" t="s">
        <v>343</v>
      </c>
      <c r="T174" s="81" t="e">
        <f t="shared" si="72"/>
        <v>#DIV/0!</v>
      </c>
      <c r="U174" s="81" t="e">
        <f t="shared" si="73"/>
        <v>#DIV/0!</v>
      </c>
      <c r="V174" s="52" t="s">
        <v>102</v>
      </c>
      <c r="W174" s="52" t="s">
        <v>262</v>
      </c>
      <c r="X174" s="52" t="s">
        <v>262</v>
      </c>
      <c r="Y174" s="52" t="s">
        <v>262</v>
      </c>
      <c r="Z174" s="52" t="s">
        <v>102</v>
      </c>
      <c r="AA174" s="52" t="s">
        <v>102</v>
      </c>
      <c r="AB174" s="52" t="s">
        <v>102</v>
      </c>
      <c r="AC174" s="52" t="s">
        <v>102</v>
      </c>
      <c r="AD174" s="52" t="s">
        <v>102</v>
      </c>
      <c r="AE174" s="52" t="s">
        <v>102</v>
      </c>
      <c r="AF174" s="52" t="s">
        <v>262</v>
      </c>
      <c r="AG174" s="52" t="s">
        <v>102</v>
      </c>
      <c r="AH174" s="52" t="s">
        <v>102</v>
      </c>
      <c r="AI174" s="52" t="s">
        <v>102</v>
      </c>
      <c r="AJ174" s="52" t="s">
        <v>102</v>
      </c>
      <c r="AK174" s="156"/>
      <c r="AL174" s="121" t="s">
        <v>102</v>
      </c>
      <c r="AM174" s="54"/>
      <c r="AN174" s="54"/>
      <c r="AO174" s="52" t="s">
        <v>102</v>
      </c>
      <c r="AP174" s="52" t="s">
        <v>102</v>
      </c>
      <c r="AQ174" s="53">
        <v>10</v>
      </c>
      <c r="AR174" s="54"/>
      <c r="AS174" s="54"/>
      <c r="AT174" s="54"/>
      <c r="AU174" s="52">
        <v>2</v>
      </c>
      <c r="AV174" s="52" t="s">
        <v>102</v>
      </c>
      <c r="AW174" s="52" t="s">
        <v>262</v>
      </c>
      <c r="AX174" s="51" t="s">
        <v>264</v>
      </c>
      <c r="AY174" s="53" t="s">
        <v>264</v>
      </c>
      <c r="AZ174" s="53" t="s">
        <v>102</v>
      </c>
      <c r="BA174" s="53" t="s">
        <v>102</v>
      </c>
      <c r="BB174" s="53" t="s">
        <v>102</v>
      </c>
      <c r="BC174" s="53" t="s">
        <v>102</v>
      </c>
      <c r="BD174" s="53" t="s">
        <v>264</v>
      </c>
      <c r="BE174" s="53" t="s">
        <v>102</v>
      </c>
      <c r="BF174" s="53" t="s">
        <v>264</v>
      </c>
      <c r="BG174" s="53" t="s">
        <v>264</v>
      </c>
      <c r="BH174" s="53" t="s">
        <v>262</v>
      </c>
      <c r="BI174" s="53" t="s">
        <v>264</v>
      </c>
      <c r="BJ174" s="53" t="s">
        <v>264</v>
      </c>
      <c r="BK174" s="53" t="s">
        <v>264</v>
      </c>
      <c r="BL174" s="53" t="s">
        <v>264</v>
      </c>
      <c r="BM174" s="53" t="s">
        <v>264</v>
      </c>
      <c r="BN174" s="53" t="s">
        <v>264</v>
      </c>
      <c r="BO174" s="53" t="s">
        <v>264</v>
      </c>
      <c r="BP174" s="53" t="s">
        <v>264</v>
      </c>
      <c r="BQ174" s="53" t="s">
        <v>264</v>
      </c>
      <c r="BR174" s="53" t="s">
        <v>264</v>
      </c>
      <c r="BS174" s="53" t="s">
        <v>264</v>
      </c>
      <c r="BT174" s="53" t="s">
        <v>264</v>
      </c>
      <c r="BU174" s="53" t="s">
        <v>264</v>
      </c>
      <c r="BV174" s="53" t="s">
        <v>264</v>
      </c>
      <c r="BW174" s="53" t="s">
        <v>264</v>
      </c>
      <c r="BX174" s="53" t="s">
        <v>264</v>
      </c>
      <c r="BY174" s="53" t="s">
        <v>264</v>
      </c>
      <c r="BZ174" s="53" t="s">
        <v>264</v>
      </c>
      <c r="CA174" s="53" t="s">
        <v>264</v>
      </c>
      <c r="CB174" s="53" t="s">
        <v>264</v>
      </c>
      <c r="CC174" s="53" t="s">
        <v>264</v>
      </c>
      <c r="CD174" s="53" t="s">
        <v>264</v>
      </c>
      <c r="CE174" s="53" t="s">
        <v>264</v>
      </c>
      <c r="CF174" s="53" t="s">
        <v>264</v>
      </c>
      <c r="CG174" s="53" t="s">
        <v>264</v>
      </c>
      <c r="CH174" s="53" t="s">
        <v>264</v>
      </c>
      <c r="CI174" s="53" t="s">
        <v>264</v>
      </c>
      <c r="CJ174" s="53" t="s">
        <v>264</v>
      </c>
      <c r="CK174" s="53" t="s">
        <v>264</v>
      </c>
      <c r="CL174" s="53" t="s">
        <v>264</v>
      </c>
      <c r="CM174" s="53" t="s">
        <v>264</v>
      </c>
      <c r="CN174" s="206"/>
      <c r="CO174" s="206"/>
      <c r="CP174" s="206"/>
      <c r="CQ174" s="8">
        <f t="shared" si="74"/>
        <v>2</v>
      </c>
      <c r="CR174" s="8">
        <f t="shared" si="75"/>
        <v>10</v>
      </c>
      <c r="CS174" s="8">
        <f t="shared" si="76"/>
        <v>6</v>
      </c>
      <c r="CT174">
        <f t="shared" si="77"/>
        <v>4.4721359549995796</v>
      </c>
      <c r="CU174" s="143" t="e">
        <f t="shared" si="78"/>
        <v>#DIV/0!</v>
      </c>
      <c r="CV174" s="143" t="e">
        <f t="shared" si="79"/>
        <v>#DIV/0!</v>
      </c>
      <c r="CX174" s="7">
        <f t="shared" si="80"/>
        <v>2.4000000000000004</v>
      </c>
      <c r="CY174" s="7">
        <f t="shared" si="81"/>
        <v>3.1999999999999993</v>
      </c>
      <c r="CZ174" s="7">
        <f t="shared" si="82"/>
        <v>3.5999999999999996</v>
      </c>
      <c r="DA174" s="7">
        <f t="shared" si="83"/>
        <v>4</v>
      </c>
      <c r="DB174" s="7">
        <f t="shared" si="84"/>
        <v>6</v>
      </c>
      <c r="DC174" s="7">
        <f t="shared" si="85"/>
        <v>6.8000000000000007</v>
      </c>
      <c r="DD174" s="7">
        <f t="shared" si="86"/>
        <v>7.1999999999999993</v>
      </c>
      <c r="DE174" s="7">
        <f t="shared" si="87"/>
        <v>8</v>
      </c>
      <c r="DF174" s="7">
        <f t="shared" si="88"/>
        <v>8.8000000000000007</v>
      </c>
      <c r="DH174" s="7">
        <f t="shared" si="89"/>
        <v>2.4000000000000004</v>
      </c>
      <c r="DI174" s="7">
        <f t="shared" si="90"/>
        <v>3.1999999999999993</v>
      </c>
      <c r="DJ174" s="7">
        <f t="shared" si="91"/>
        <v>3.5999999999999996</v>
      </c>
      <c r="DK174" s="7">
        <f t="shared" si="92"/>
        <v>4</v>
      </c>
      <c r="DL174" s="7">
        <f t="shared" si="93"/>
        <v>6</v>
      </c>
      <c r="DM174" s="7">
        <f t="shared" si="94"/>
        <v>6.8000000000000007</v>
      </c>
      <c r="DN174" s="7">
        <f t="shared" si="95"/>
        <v>7.1999999999999993</v>
      </c>
      <c r="DO174" s="7">
        <f t="shared" si="96"/>
        <v>8</v>
      </c>
      <c r="DP174" s="7">
        <f t="shared" si="97"/>
        <v>8.8000000000000007</v>
      </c>
    </row>
    <row r="175" spans="1:134" ht="25.5" hidden="1" customHeight="1" x14ac:dyDescent="0.25">
      <c r="A175" s="92" t="str">
        <f t="shared" si="98"/>
        <v>CM-SWVI [10]</v>
      </c>
      <c r="B175" s="92" t="str">
        <f t="shared" si="99"/>
        <v>Southwest Vancouver Island</v>
      </c>
      <c r="C175" s="93" t="str">
        <f t="shared" si="68"/>
        <v>SUGSAW CREEK_Chum</v>
      </c>
      <c r="D175" s="128" t="s">
        <v>598</v>
      </c>
      <c r="E175" s="128" t="s">
        <v>598</v>
      </c>
      <c r="F175" s="64">
        <v>23</v>
      </c>
      <c r="G175" s="72" t="s">
        <v>110</v>
      </c>
      <c r="H175" s="65" t="s">
        <v>96</v>
      </c>
      <c r="I175" s="119"/>
      <c r="J175" s="119"/>
      <c r="K175" s="64">
        <v>4</v>
      </c>
      <c r="L175" s="52">
        <v>3</v>
      </c>
      <c r="M175" s="52">
        <v>3</v>
      </c>
      <c r="N175" s="52">
        <f t="shared" si="69"/>
        <v>264.82208189575385</v>
      </c>
      <c r="O175" s="52">
        <f t="shared" si="70"/>
        <v>14000</v>
      </c>
      <c r="P175" s="52">
        <f t="shared" si="71"/>
        <v>1612.0413268925645</v>
      </c>
      <c r="Q175" s="66"/>
      <c r="R175" s="39"/>
      <c r="S175" s="76" t="s">
        <v>343</v>
      </c>
      <c r="T175" s="81">
        <f t="shared" si="72"/>
        <v>353</v>
      </c>
      <c r="U175" s="81">
        <f t="shared" si="73"/>
        <v>514.75</v>
      </c>
      <c r="V175" s="52" t="s">
        <v>102</v>
      </c>
      <c r="W175" s="52">
        <v>632</v>
      </c>
      <c r="X175" s="52">
        <v>131</v>
      </c>
      <c r="Y175" s="52">
        <v>296</v>
      </c>
      <c r="Z175" s="52" t="s">
        <v>102</v>
      </c>
      <c r="AA175" s="52" t="s">
        <v>102</v>
      </c>
      <c r="AB175" s="52" t="s">
        <v>102</v>
      </c>
      <c r="AC175" s="52" t="s">
        <v>102</v>
      </c>
      <c r="AD175" s="52" t="s">
        <v>102</v>
      </c>
      <c r="AE175" s="52" t="s">
        <v>102</v>
      </c>
      <c r="AF175" s="52">
        <v>1000</v>
      </c>
      <c r="AG175" s="52" t="s">
        <v>102</v>
      </c>
      <c r="AH175" s="52" t="s">
        <v>102</v>
      </c>
      <c r="AI175" s="52" t="s">
        <v>102</v>
      </c>
      <c r="AJ175" s="52" t="s">
        <v>102</v>
      </c>
      <c r="AK175" s="53">
        <v>414</v>
      </c>
      <c r="AL175" s="121" t="s">
        <v>102</v>
      </c>
      <c r="AM175" s="54"/>
      <c r="AN175" s="54"/>
      <c r="AO175" s="52" t="s">
        <v>102</v>
      </c>
      <c r="AP175" s="52" t="s">
        <v>102</v>
      </c>
      <c r="AQ175" s="53">
        <v>220</v>
      </c>
      <c r="AR175" s="54"/>
      <c r="AS175" s="54"/>
      <c r="AT175" s="54"/>
      <c r="AU175" s="52">
        <v>450</v>
      </c>
      <c r="AV175" s="52" t="s">
        <v>102</v>
      </c>
      <c r="AW175" s="52">
        <v>120</v>
      </c>
      <c r="AX175" s="51">
        <v>250</v>
      </c>
      <c r="AY175" s="53">
        <v>1200</v>
      </c>
      <c r="AZ175" s="53" t="s">
        <v>102</v>
      </c>
      <c r="BA175" s="53" t="s">
        <v>102</v>
      </c>
      <c r="BB175" s="53" t="s">
        <v>102</v>
      </c>
      <c r="BC175" s="53" t="s">
        <v>102</v>
      </c>
      <c r="BD175" s="53">
        <v>2000</v>
      </c>
      <c r="BE175" s="53" t="s">
        <v>102</v>
      </c>
      <c r="BF175" s="53">
        <v>1000</v>
      </c>
      <c r="BG175" s="53">
        <v>500</v>
      </c>
      <c r="BH175" s="53" t="s">
        <v>264</v>
      </c>
      <c r="BI175" s="53" t="s">
        <v>264</v>
      </c>
      <c r="BJ175" s="53">
        <v>3200</v>
      </c>
      <c r="BK175" s="53">
        <v>7000</v>
      </c>
      <c r="BL175" s="53">
        <v>11000</v>
      </c>
      <c r="BM175" s="53">
        <v>2000</v>
      </c>
      <c r="BN175" s="53">
        <v>14000</v>
      </c>
      <c r="BO175" s="53">
        <v>6000</v>
      </c>
      <c r="BP175" s="53">
        <v>400</v>
      </c>
      <c r="BQ175" s="53">
        <v>4000</v>
      </c>
      <c r="BR175" s="53">
        <v>4000</v>
      </c>
      <c r="BS175" s="53">
        <v>1500</v>
      </c>
      <c r="BT175" s="53">
        <v>750</v>
      </c>
      <c r="BU175" s="53">
        <v>1500</v>
      </c>
      <c r="BV175" s="53">
        <v>400</v>
      </c>
      <c r="BW175" s="53">
        <v>3500</v>
      </c>
      <c r="BX175" s="53">
        <v>1500</v>
      </c>
      <c r="BY175" s="53">
        <v>750</v>
      </c>
      <c r="BZ175" s="53">
        <v>1500</v>
      </c>
      <c r="CA175" s="53">
        <v>750</v>
      </c>
      <c r="CB175" s="53">
        <v>1500</v>
      </c>
      <c r="CC175" s="53">
        <v>1500</v>
      </c>
      <c r="CD175" s="53">
        <v>1500</v>
      </c>
      <c r="CE175" s="53">
        <v>1500</v>
      </c>
      <c r="CF175" s="53">
        <v>1500</v>
      </c>
      <c r="CG175" s="53">
        <v>3500</v>
      </c>
      <c r="CH175" s="53">
        <v>3500</v>
      </c>
      <c r="CI175" s="53">
        <v>3500</v>
      </c>
      <c r="CJ175" s="53">
        <v>3500</v>
      </c>
      <c r="CK175" s="53">
        <v>7500</v>
      </c>
      <c r="CL175" s="53">
        <v>3500</v>
      </c>
      <c r="CM175" s="53">
        <v>3500</v>
      </c>
      <c r="CN175" s="206"/>
      <c r="CO175" s="206"/>
      <c r="CP175" s="206"/>
      <c r="CQ175" s="8">
        <f t="shared" si="74"/>
        <v>120</v>
      </c>
      <c r="CR175" s="8">
        <f t="shared" si="75"/>
        <v>14000</v>
      </c>
      <c r="CS175" s="8">
        <f t="shared" si="76"/>
        <v>2510.7674418604652</v>
      </c>
      <c r="CT175">
        <f t="shared" si="77"/>
        <v>1414.577552243635</v>
      </c>
      <c r="CU175" s="143">
        <f t="shared" si="78"/>
        <v>353</v>
      </c>
      <c r="CV175" s="143">
        <f t="shared" si="79"/>
        <v>514.75</v>
      </c>
      <c r="CX175" s="7">
        <f t="shared" si="80"/>
        <v>223</v>
      </c>
      <c r="CY175" s="7">
        <f t="shared" si="81"/>
        <v>404.2</v>
      </c>
      <c r="CZ175" s="7">
        <f t="shared" si="82"/>
        <v>470</v>
      </c>
      <c r="DA175" s="7">
        <f t="shared" si="83"/>
        <v>691</v>
      </c>
      <c r="DB175" s="7">
        <f t="shared" si="84"/>
        <v>1500</v>
      </c>
      <c r="DC175" s="7">
        <f t="shared" si="85"/>
        <v>1599.9999999999995</v>
      </c>
      <c r="DD175" s="7">
        <f t="shared" si="86"/>
        <v>2360.0000000000009</v>
      </c>
      <c r="DE175" s="7">
        <f t="shared" si="87"/>
        <v>3500</v>
      </c>
      <c r="DF175" s="7">
        <f t="shared" si="88"/>
        <v>3849.9999999999977</v>
      </c>
      <c r="DH175" s="7">
        <f t="shared" si="89"/>
        <v>123.85</v>
      </c>
      <c r="DI175" s="7">
        <f t="shared" si="90"/>
        <v>135.44999999999999</v>
      </c>
      <c r="DJ175" s="7">
        <f t="shared" si="91"/>
        <v>166.60000000000002</v>
      </c>
      <c r="DK175" s="7">
        <f t="shared" si="92"/>
        <v>197.75</v>
      </c>
      <c r="DL175" s="7">
        <f t="shared" si="93"/>
        <v>355</v>
      </c>
      <c r="DM175" s="7">
        <f t="shared" si="94"/>
        <v>421.2</v>
      </c>
      <c r="DN175" s="7">
        <f t="shared" si="95"/>
        <v>433.8</v>
      </c>
      <c r="DO175" s="7">
        <f t="shared" si="96"/>
        <v>495.5</v>
      </c>
      <c r="DP175" s="7">
        <f t="shared" si="97"/>
        <v>622.90000000000009</v>
      </c>
    </row>
    <row r="176" spans="1:134" ht="25.5" hidden="1" customHeight="1" x14ac:dyDescent="0.25">
      <c r="A176" s="92" t="str">
        <f t="shared" si="98"/>
        <v>CO-JdF [16]</v>
      </c>
      <c r="B176" s="92" t="str">
        <f t="shared" si="99"/>
        <v>Georgia Strait Mainland</v>
      </c>
      <c r="C176" s="93" t="str">
        <f t="shared" si="68"/>
        <v>SUGSAW CREEK_Coho</v>
      </c>
      <c r="D176" s="128" t="s">
        <v>598</v>
      </c>
      <c r="E176" s="128" t="s">
        <v>598</v>
      </c>
      <c r="F176" s="64">
        <v>23</v>
      </c>
      <c r="G176" s="72" t="s">
        <v>110</v>
      </c>
      <c r="H176" s="65" t="s">
        <v>93</v>
      </c>
      <c r="I176" s="119"/>
      <c r="J176" s="119"/>
      <c r="K176" s="64">
        <v>4</v>
      </c>
      <c r="L176" s="52">
        <v>3</v>
      </c>
      <c r="M176" s="52">
        <v>2</v>
      </c>
      <c r="N176" s="52">
        <f t="shared" si="69"/>
        <v>2.4494897427831779</v>
      </c>
      <c r="O176" s="52">
        <f t="shared" si="70"/>
        <v>200</v>
      </c>
      <c r="P176" s="52">
        <f t="shared" si="71"/>
        <v>36.8280884098833</v>
      </c>
      <c r="Q176" s="66"/>
      <c r="R176" s="39"/>
      <c r="S176" s="76" t="s">
        <v>343</v>
      </c>
      <c r="T176" s="81" t="e">
        <f t="shared" si="72"/>
        <v>#DIV/0!</v>
      </c>
      <c r="U176" s="81" t="e">
        <f t="shared" si="73"/>
        <v>#DIV/0!</v>
      </c>
      <c r="V176" s="52" t="s">
        <v>102</v>
      </c>
      <c r="W176" s="52"/>
      <c r="X176" s="52" t="s">
        <v>262</v>
      </c>
      <c r="Y176" s="52" t="s">
        <v>262</v>
      </c>
      <c r="Z176" s="52" t="s">
        <v>102</v>
      </c>
      <c r="AA176" s="52" t="s">
        <v>102</v>
      </c>
      <c r="AB176" s="52" t="s">
        <v>102</v>
      </c>
      <c r="AC176" s="52" t="s">
        <v>102</v>
      </c>
      <c r="AD176" s="52" t="s">
        <v>102</v>
      </c>
      <c r="AE176" s="52" t="s">
        <v>102</v>
      </c>
      <c r="AF176" s="52" t="s">
        <v>262</v>
      </c>
      <c r="AG176" s="52" t="s">
        <v>102</v>
      </c>
      <c r="AH176" s="52" t="s">
        <v>102</v>
      </c>
      <c r="AI176" s="52" t="s">
        <v>102</v>
      </c>
      <c r="AJ176" s="52" t="s">
        <v>102</v>
      </c>
      <c r="AK176" s="226"/>
      <c r="AL176" s="121" t="s">
        <v>102</v>
      </c>
      <c r="AM176" s="54"/>
      <c r="AN176" s="54"/>
      <c r="AO176" s="52" t="s">
        <v>102</v>
      </c>
      <c r="AP176" s="52" t="s">
        <v>102</v>
      </c>
      <c r="AQ176" s="53">
        <v>3</v>
      </c>
      <c r="AR176" s="54"/>
      <c r="AS176" s="54"/>
      <c r="AT176" s="54"/>
      <c r="AU176" s="52">
        <v>2</v>
      </c>
      <c r="AV176" s="52" t="s">
        <v>102</v>
      </c>
      <c r="AW176" s="52" t="s">
        <v>262</v>
      </c>
      <c r="AX176" s="51" t="s">
        <v>262</v>
      </c>
      <c r="AY176" s="53" t="s">
        <v>264</v>
      </c>
      <c r="AZ176" s="53" t="s">
        <v>102</v>
      </c>
      <c r="BA176" s="53" t="s">
        <v>102</v>
      </c>
      <c r="BB176" s="53" t="s">
        <v>102</v>
      </c>
      <c r="BC176" s="53" t="s">
        <v>102</v>
      </c>
      <c r="BD176" s="53" t="s">
        <v>262</v>
      </c>
      <c r="BE176" s="53" t="s">
        <v>102</v>
      </c>
      <c r="BF176" s="53" t="s">
        <v>264</v>
      </c>
      <c r="BG176" s="53" t="s">
        <v>264</v>
      </c>
      <c r="BH176" s="53" t="s">
        <v>264</v>
      </c>
      <c r="BI176" s="53" t="s">
        <v>264</v>
      </c>
      <c r="BJ176" s="53" t="s">
        <v>264</v>
      </c>
      <c r="BK176" s="53" t="s">
        <v>264</v>
      </c>
      <c r="BL176" s="53" t="s">
        <v>262</v>
      </c>
      <c r="BM176" s="53">
        <v>75</v>
      </c>
      <c r="BN176" s="53">
        <v>140</v>
      </c>
      <c r="BO176" s="53">
        <v>160</v>
      </c>
      <c r="BP176" s="53">
        <v>50</v>
      </c>
      <c r="BQ176" s="53">
        <v>40</v>
      </c>
      <c r="BR176" s="53">
        <v>75</v>
      </c>
      <c r="BS176" s="53">
        <v>200</v>
      </c>
      <c r="BT176" s="53">
        <v>25</v>
      </c>
      <c r="BU176" s="53">
        <v>75</v>
      </c>
      <c r="BV176" s="53">
        <v>75</v>
      </c>
      <c r="BW176" s="53">
        <v>75</v>
      </c>
      <c r="BX176" s="53">
        <v>200</v>
      </c>
      <c r="BY176" s="53">
        <v>75</v>
      </c>
      <c r="BZ176" s="53">
        <v>25</v>
      </c>
      <c r="CA176" s="53">
        <v>25</v>
      </c>
      <c r="CB176" s="53">
        <v>25</v>
      </c>
      <c r="CC176" s="53">
        <v>25</v>
      </c>
      <c r="CD176" s="53">
        <v>25</v>
      </c>
      <c r="CE176" s="53">
        <v>25</v>
      </c>
      <c r="CF176" s="53">
        <v>25</v>
      </c>
      <c r="CG176" s="53">
        <v>25</v>
      </c>
      <c r="CH176" s="53">
        <v>25</v>
      </c>
      <c r="CI176" s="53">
        <v>25</v>
      </c>
      <c r="CJ176" s="53">
        <v>25</v>
      </c>
      <c r="CK176" s="53">
        <v>25</v>
      </c>
      <c r="CL176" s="53">
        <v>25</v>
      </c>
      <c r="CM176" s="53" t="s">
        <v>264</v>
      </c>
      <c r="CN176" s="206"/>
      <c r="CO176" s="206"/>
      <c r="CP176" s="206"/>
      <c r="CQ176" s="8">
        <f t="shared" si="74"/>
        <v>2</v>
      </c>
      <c r="CR176" s="8">
        <f t="shared" si="75"/>
        <v>200</v>
      </c>
      <c r="CS176" s="8">
        <f t="shared" si="76"/>
        <v>56.964285714285715</v>
      </c>
      <c r="CT176">
        <f t="shared" si="77"/>
        <v>36.8280884098833</v>
      </c>
      <c r="CU176" s="143" t="e">
        <f t="shared" si="78"/>
        <v>#DIV/0!</v>
      </c>
      <c r="CV176" s="143" t="e">
        <f t="shared" si="79"/>
        <v>#DIV/0!</v>
      </c>
      <c r="CX176" s="7">
        <f t="shared" si="80"/>
        <v>10.700000000000003</v>
      </c>
      <c r="CY176" s="7">
        <f t="shared" si="81"/>
        <v>25</v>
      </c>
      <c r="CZ176" s="7">
        <f t="shared" si="82"/>
        <v>25</v>
      </c>
      <c r="DA176" s="7">
        <f t="shared" si="83"/>
        <v>25</v>
      </c>
      <c r="DB176" s="7">
        <f t="shared" si="84"/>
        <v>25</v>
      </c>
      <c r="DC176" s="7">
        <f t="shared" si="85"/>
        <v>41.999999999999993</v>
      </c>
      <c r="DD176" s="7">
        <f t="shared" si="86"/>
        <v>63.750000000000014</v>
      </c>
      <c r="DE176" s="7">
        <f t="shared" si="87"/>
        <v>75</v>
      </c>
      <c r="DF176" s="7">
        <f t="shared" si="88"/>
        <v>75</v>
      </c>
      <c r="DH176" s="7">
        <f t="shared" si="89"/>
        <v>2.0499999999999998</v>
      </c>
      <c r="DI176" s="7">
        <f t="shared" si="90"/>
        <v>2.15</v>
      </c>
      <c r="DJ176" s="7">
        <f t="shared" si="91"/>
        <v>2.2000000000000002</v>
      </c>
      <c r="DK176" s="7">
        <f t="shared" si="92"/>
        <v>2.25</v>
      </c>
      <c r="DL176" s="7">
        <f t="shared" si="93"/>
        <v>2.5</v>
      </c>
      <c r="DM176" s="7">
        <f t="shared" si="94"/>
        <v>2.6</v>
      </c>
      <c r="DN176" s="7">
        <f t="shared" si="95"/>
        <v>2.65</v>
      </c>
      <c r="DO176" s="7">
        <f t="shared" si="96"/>
        <v>2.75</v>
      </c>
      <c r="DP176" s="7">
        <f t="shared" si="97"/>
        <v>2.85</v>
      </c>
    </row>
    <row r="177" spans="1:120" ht="25.5" customHeight="1" x14ac:dyDescent="0.25">
      <c r="A177" s="92" t="str">
        <f t="shared" si="98"/>
        <v>CK-SWVI [31]</v>
      </c>
      <c r="B177" s="92" t="str">
        <f t="shared" si="99"/>
        <v>Southwest Vancouver Island</v>
      </c>
      <c r="C177" s="93" t="str">
        <f t="shared" si="68"/>
        <v>THORNTON CREEK_Chinook</v>
      </c>
      <c r="D177" s="128" t="s">
        <v>598</v>
      </c>
      <c r="E177" s="128" t="s">
        <v>598</v>
      </c>
      <c r="F177" s="64">
        <v>23</v>
      </c>
      <c r="G177" s="72" t="s">
        <v>152</v>
      </c>
      <c r="H177" s="65" t="s">
        <v>97</v>
      </c>
      <c r="I177" s="119"/>
      <c r="J177" s="119"/>
      <c r="K177" s="64">
        <v>4</v>
      </c>
      <c r="L177" s="52">
        <v>10</v>
      </c>
      <c r="M177" s="52">
        <v>10</v>
      </c>
      <c r="N177" s="52">
        <f t="shared" si="69"/>
        <v>1056.7575183796889</v>
      </c>
      <c r="O177" s="52">
        <f t="shared" si="70"/>
        <v>3000</v>
      </c>
      <c r="P177" s="52">
        <f t="shared" si="71"/>
        <v>865.55879175238135</v>
      </c>
      <c r="Q177" s="66"/>
      <c r="R177" s="39"/>
      <c r="S177" s="74" t="s">
        <v>344</v>
      </c>
      <c r="T177" s="81">
        <f t="shared" si="72"/>
        <v>43</v>
      </c>
      <c r="U177" s="81">
        <f t="shared" si="73"/>
        <v>910</v>
      </c>
      <c r="V177" s="233">
        <v>43</v>
      </c>
      <c r="W177" s="52" t="s">
        <v>102</v>
      </c>
      <c r="X177" s="52" t="s">
        <v>102</v>
      </c>
      <c r="Y177" s="198"/>
      <c r="Z177" s="52" t="s">
        <v>102</v>
      </c>
      <c r="AA177" s="52" t="s">
        <v>102</v>
      </c>
      <c r="AB177" s="52" t="s">
        <v>102</v>
      </c>
      <c r="AC177" s="52" t="s">
        <v>102</v>
      </c>
      <c r="AD177" s="52" t="s">
        <v>102</v>
      </c>
      <c r="AE177" s="144">
        <v>1777</v>
      </c>
      <c r="AF177" s="52" t="s">
        <v>102</v>
      </c>
      <c r="AG177" s="52" t="s">
        <v>102</v>
      </c>
      <c r="AH177" s="52" t="s">
        <v>102</v>
      </c>
      <c r="AI177" s="52" t="s">
        <v>102</v>
      </c>
      <c r="AJ177" s="52" t="s">
        <v>102</v>
      </c>
      <c r="AK177" s="53">
        <v>507</v>
      </c>
      <c r="AL177" s="89">
        <v>2000</v>
      </c>
      <c r="AM177" s="52">
        <v>850</v>
      </c>
      <c r="AN177" s="53">
        <v>1500</v>
      </c>
      <c r="AO177" s="54"/>
      <c r="AP177" s="53">
        <v>2360</v>
      </c>
      <c r="AQ177" s="52">
        <v>3000</v>
      </c>
      <c r="AR177" s="52">
        <v>800</v>
      </c>
      <c r="AS177" s="52">
        <v>600</v>
      </c>
      <c r="AT177" s="52">
        <v>750</v>
      </c>
      <c r="AU177" s="52">
        <v>1500</v>
      </c>
      <c r="AV177" s="52">
        <v>1200</v>
      </c>
      <c r="AW177" s="52">
        <v>327</v>
      </c>
      <c r="AX177" s="51">
        <v>650</v>
      </c>
      <c r="AY177" s="53">
        <v>1500</v>
      </c>
      <c r="AZ177" s="53">
        <v>1000</v>
      </c>
      <c r="BA177" s="53">
        <v>511</v>
      </c>
      <c r="BB177" s="53">
        <v>270</v>
      </c>
      <c r="BC177" s="52" t="s">
        <v>262</v>
      </c>
      <c r="BD177" s="53">
        <v>285</v>
      </c>
      <c r="BE177" s="53" t="s">
        <v>102</v>
      </c>
      <c r="BF177" s="53" t="s">
        <v>102</v>
      </c>
      <c r="BG177" s="53" t="s">
        <v>102</v>
      </c>
      <c r="BH177" s="53" t="s">
        <v>102</v>
      </c>
      <c r="BI177" s="53" t="s">
        <v>102</v>
      </c>
      <c r="BJ177" s="53" t="s">
        <v>102</v>
      </c>
      <c r="BK177" s="53" t="s">
        <v>102</v>
      </c>
      <c r="BL177" s="53" t="s">
        <v>102</v>
      </c>
      <c r="BM177" s="53" t="s">
        <v>102</v>
      </c>
      <c r="BN177" s="53" t="s">
        <v>102</v>
      </c>
      <c r="BO177" s="53" t="s">
        <v>102</v>
      </c>
      <c r="BP177" s="53" t="s">
        <v>102</v>
      </c>
      <c r="BQ177" s="53" t="s">
        <v>102</v>
      </c>
      <c r="BR177" s="53" t="s">
        <v>102</v>
      </c>
      <c r="BS177" s="53" t="s">
        <v>102</v>
      </c>
      <c r="BT177" s="53" t="s">
        <v>102</v>
      </c>
      <c r="BU177" s="53" t="s">
        <v>102</v>
      </c>
      <c r="BV177" s="53" t="s">
        <v>102</v>
      </c>
      <c r="BW177" s="53" t="s">
        <v>102</v>
      </c>
      <c r="BX177" s="53" t="s">
        <v>102</v>
      </c>
      <c r="BY177" s="53" t="s">
        <v>102</v>
      </c>
      <c r="BZ177" s="53" t="s">
        <v>102</v>
      </c>
      <c r="CA177" s="53" t="s">
        <v>102</v>
      </c>
      <c r="CB177" s="53" t="s">
        <v>102</v>
      </c>
      <c r="CC177" s="53" t="s">
        <v>102</v>
      </c>
      <c r="CD177" s="53" t="s">
        <v>102</v>
      </c>
      <c r="CE177" s="53" t="s">
        <v>102</v>
      </c>
      <c r="CF177" s="53" t="s">
        <v>102</v>
      </c>
      <c r="CG177" s="53" t="s">
        <v>102</v>
      </c>
      <c r="CH177" s="53" t="s">
        <v>102</v>
      </c>
      <c r="CI177" s="53" t="s">
        <v>102</v>
      </c>
      <c r="CJ177" s="53" t="s">
        <v>102</v>
      </c>
      <c r="CK177" s="53" t="s">
        <v>102</v>
      </c>
      <c r="CL177" s="53" t="s">
        <v>102</v>
      </c>
      <c r="CM177" s="53" t="s">
        <v>102</v>
      </c>
      <c r="CN177" s="206"/>
      <c r="CO177" s="206"/>
      <c r="CP177" s="206"/>
      <c r="CQ177" s="8">
        <f t="shared" si="74"/>
        <v>43</v>
      </c>
      <c r="CR177" s="8">
        <f t="shared" si="75"/>
        <v>3000</v>
      </c>
      <c r="CS177" s="8">
        <f t="shared" si="76"/>
        <v>1071.5</v>
      </c>
      <c r="CT177">
        <f t="shared" si="77"/>
        <v>772.19095273518485</v>
      </c>
      <c r="CU177" s="143">
        <f t="shared" si="78"/>
        <v>43</v>
      </c>
      <c r="CV177" s="143">
        <f t="shared" si="79"/>
        <v>910</v>
      </c>
      <c r="CX177" s="7">
        <f t="shared" si="80"/>
        <v>258.65000000000003</v>
      </c>
      <c r="CY177" s="7">
        <f t="shared" si="81"/>
        <v>320.7</v>
      </c>
      <c r="CZ177" s="7">
        <f t="shared" si="82"/>
        <v>471.00000000000011</v>
      </c>
      <c r="DA177" s="7">
        <f t="shared" si="83"/>
        <v>510</v>
      </c>
      <c r="DB177" s="7">
        <f t="shared" si="84"/>
        <v>825</v>
      </c>
      <c r="DC177" s="7">
        <f t="shared" si="85"/>
        <v>1080</v>
      </c>
      <c r="DD177" s="7">
        <f t="shared" si="86"/>
        <v>1305</v>
      </c>
      <c r="DE177" s="7">
        <f t="shared" si="87"/>
        <v>1500</v>
      </c>
      <c r="DF177" s="7">
        <f t="shared" si="88"/>
        <v>1810.4499999999996</v>
      </c>
      <c r="DH177" s="7">
        <f t="shared" si="89"/>
        <v>227.59999999999997</v>
      </c>
      <c r="DI177" s="7">
        <f t="shared" si="90"/>
        <v>498</v>
      </c>
      <c r="DJ177" s="7">
        <f t="shared" si="91"/>
        <v>562.79999999999995</v>
      </c>
      <c r="DK177" s="7">
        <f t="shared" si="92"/>
        <v>637.5</v>
      </c>
      <c r="DL177" s="7">
        <f t="shared" si="93"/>
        <v>1025</v>
      </c>
      <c r="DM177" s="7">
        <f t="shared" si="94"/>
        <v>1440.0000000000002</v>
      </c>
      <c r="DN177" s="7">
        <f t="shared" si="95"/>
        <v>1500</v>
      </c>
      <c r="DO177" s="7">
        <f t="shared" si="96"/>
        <v>1707.75</v>
      </c>
      <c r="DP177" s="7">
        <f t="shared" si="97"/>
        <v>2017.9999999999995</v>
      </c>
    </row>
    <row r="178" spans="1:120" ht="25.5" hidden="1" customHeight="1" x14ac:dyDescent="0.25">
      <c r="A178" s="92" t="str">
        <f t="shared" si="98"/>
        <v>CM-SWVI [10]</v>
      </c>
      <c r="B178" s="92" t="str">
        <f t="shared" si="99"/>
        <v>Southwest Vancouver Island</v>
      </c>
      <c r="C178" s="93" t="str">
        <f t="shared" si="68"/>
        <v>THORNTON CREEK_Chum</v>
      </c>
      <c r="D178" s="128" t="s">
        <v>598</v>
      </c>
      <c r="E178" s="128" t="s">
        <v>598</v>
      </c>
      <c r="F178" s="64">
        <v>23</v>
      </c>
      <c r="G178" s="72" t="s">
        <v>152</v>
      </c>
      <c r="H178" s="65" t="s">
        <v>96</v>
      </c>
      <c r="I178" s="119"/>
      <c r="J178" s="119"/>
      <c r="K178" s="64">
        <v>4</v>
      </c>
      <c r="L178" s="52">
        <v>10</v>
      </c>
      <c r="M178" s="52">
        <v>10</v>
      </c>
      <c r="N178" s="52">
        <f t="shared" si="69"/>
        <v>44.873389199124276</v>
      </c>
      <c r="O178" s="52">
        <f t="shared" si="70"/>
        <v>583</v>
      </c>
      <c r="P178" s="52">
        <f t="shared" si="71"/>
        <v>36.442910003713656</v>
      </c>
      <c r="Q178" s="66"/>
      <c r="R178" s="39"/>
      <c r="S178" s="74" t="s">
        <v>344</v>
      </c>
      <c r="T178" s="81">
        <f t="shared" si="72"/>
        <v>43</v>
      </c>
      <c r="U178" s="81">
        <f t="shared" si="73"/>
        <v>31.5</v>
      </c>
      <c r="V178" s="233">
        <v>43</v>
      </c>
      <c r="W178" s="52" t="s">
        <v>102</v>
      </c>
      <c r="X178" s="52" t="s">
        <v>102</v>
      </c>
      <c r="Y178" s="198"/>
      <c r="Z178" s="52" t="s">
        <v>102</v>
      </c>
      <c r="AA178" s="52" t="s">
        <v>102</v>
      </c>
      <c r="AB178" s="52" t="s">
        <v>102</v>
      </c>
      <c r="AC178" s="52" t="s">
        <v>102</v>
      </c>
      <c r="AD178" s="52" t="s">
        <v>102</v>
      </c>
      <c r="AE178" s="144">
        <v>20</v>
      </c>
      <c r="AF178" s="52" t="s">
        <v>102</v>
      </c>
      <c r="AG178" s="52" t="s">
        <v>102</v>
      </c>
      <c r="AH178" s="52" t="s">
        <v>102</v>
      </c>
      <c r="AI178" s="52" t="s">
        <v>102</v>
      </c>
      <c r="AJ178" s="52" t="s">
        <v>102</v>
      </c>
      <c r="AK178" s="53">
        <v>50</v>
      </c>
      <c r="AL178" s="89">
        <v>55</v>
      </c>
      <c r="AM178" s="52">
        <v>235</v>
      </c>
      <c r="AN178" s="53">
        <v>300</v>
      </c>
      <c r="AO178" s="54"/>
      <c r="AP178" s="53">
        <v>75</v>
      </c>
      <c r="AQ178" s="52">
        <v>125</v>
      </c>
      <c r="AR178" s="52">
        <v>35</v>
      </c>
      <c r="AS178" s="52">
        <v>35</v>
      </c>
      <c r="AT178" s="52">
        <v>47</v>
      </c>
      <c r="AU178" s="52">
        <v>13</v>
      </c>
      <c r="AV178" s="52">
        <v>7</v>
      </c>
      <c r="AW178" s="52">
        <v>7</v>
      </c>
      <c r="AX178" s="51">
        <v>7</v>
      </c>
      <c r="AY178" s="53" t="s">
        <v>264</v>
      </c>
      <c r="AZ178" s="53">
        <v>25</v>
      </c>
      <c r="BA178" s="53">
        <v>45</v>
      </c>
      <c r="BB178" s="53">
        <v>6</v>
      </c>
      <c r="BC178" s="53">
        <v>7</v>
      </c>
      <c r="BD178" s="53">
        <v>583</v>
      </c>
      <c r="BE178" s="53" t="s">
        <v>102</v>
      </c>
      <c r="BF178" s="53" t="s">
        <v>102</v>
      </c>
      <c r="BG178" s="53" t="s">
        <v>102</v>
      </c>
      <c r="BH178" s="53" t="s">
        <v>102</v>
      </c>
      <c r="BI178" s="53" t="s">
        <v>102</v>
      </c>
      <c r="BJ178" s="53" t="s">
        <v>102</v>
      </c>
      <c r="BK178" s="53" t="s">
        <v>102</v>
      </c>
      <c r="BL178" s="53" t="s">
        <v>102</v>
      </c>
      <c r="BM178" s="53" t="s">
        <v>102</v>
      </c>
      <c r="BN178" s="53" t="s">
        <v>102</v>
      </c>
      <c r="BO178" s="53" t="s">
        <v>102</v>
      </c>
      <c r="BP178" s="53" t="s">
        <v>102</v>
      </c>
      <c r="BQ178" s="53" t="s">
        <v>102</v>
      </c>
      <c r="BR178" s="53" t="s">
        <v>102</v>
      </c>
      <c r="BS178" s="53" t="s">
        <v>102</v>
      </c>
      <c r="BT178" s="53" t="s">
        <v>102</v>
      </c>
      <c r="BU178" s="53" t="s">
        <v>102</v>
      </c>
      <c r="BV178" s="53" t="s">
        <v>102</v>
      </c>
      <c r="BW178" s="53" t="s">
        <v>102</v>
      </c>
      <c r="BX178" s="53" t="s">
        <v>102</v>
      </c>
      <c r="BY178" s="53" t="s">
        <v>102</v>
      </c>
      <c r="BZ178" s="53" t="s">
        <v>102</v>
      </c>
      <c r="CA178" s="53" t="s">
        <v>102</v>
      </c>
      <c r="CB178" s="53" t="s">
        <v>102</v>
      </c>
      <c r="CC178" s="53" t="s">
        <v>102</v>
      </c>
      <c r="CD178" s="53" t="s">
        <v>102</v>
      </c>
      <c r="CE178" s="53" t="s">
        <v>102</v>
      </c>
      <c r="CF178" s="53" t="s">
        <v>102</v>
      </c>
      <c r="CG178" s="53" t="s">
        <v>102</v>
      </c>
      <c r="CH178" s="53" t="s">
        <v>102</v>
      </c>
      <c r="CI178" s="53" t="s">
        <v>102</v>
      </c>
      <c r="CJ178" s="53" t="s">
        <v>102</v>
      </c>
      <c r="CK178" s="53" t="s">
        <v>102</v>
      </c>
      <c r="CL178" s="53" t="s">
        <v>102</v>
      </c>
      <c r="CM178" s="53" t="s">
        <v>102</v>
      </c>
      <c r="CN178" s="206"/>
      <c r="CO178" s="206"/>
      <c r="CP178" s="206"/>
      <c r="CQ178" s="8">
        <f t="shared" si="74"/>
        <v>6</v>
      </c>
      <c r="CR178" s="8">
        <f t="shared" si="75"/>
        <v>583</v>
      </c>
      <c r="CS178" s="8">
        <f t="shared" si="76"/>
        <v>86</v>
      </c>
      <c r="CT178">
        <f t="shared" si="77"/>
        <v>35.659616335118322</v>
      </c>
      <c r="CU178" s="143">
        <f t="shared" si="78"/>
        <v>43</v>
      </c>
      <c r="CV178" s="143">
        <f t="shared" si="79"/>
        <v>31.5</v>
      </c>
      <c r="CX178" s="7">
        <f t="shared" si="80"/>
        <v>6.95</v>
      </c>
      <c r="CY178" s="7">
        <f t="shared" si="81"/>
        <v>7</v>
      </c>
      <c r="CZ178" s="7">
        <f t="shared" si="82"/>
        <v>7</v>
      </c>
      <c r="DA178" s="7">
        <f t="shared" si="83"/>
        <v>11.5</v>
      </c>
      <c r="DB178" s="7">
        <f t="shared" si="84"/>
        <v>39</v>
      </c>
      <c r="DC178" s="7">
        <f t="shared" si="85"/>
        <v>45.8</v>
      </c>
      <c r="DD178" s="7">
        <f t="shared" si="86"/>
        <v>48.05</v>
      </c>
      <c r="DE178" s="7">
        <f t="shared" si="87"/>
        <v>60</v>
      </c>
      <c r="DF178" s="7">
        <f t="shared" si="88"/>
        <v>141.49999999999983</v>
      </c>
      <c r="DH178" s="7">
        <f t="shared" si="89"/>
        <v>7</v>
      </c>
      <c r="DI178" s="7">
        <f t="shared" si="90"/>
        <v>12.700000000000001</v>
      </c>
      <c r="DJ178" s="7">
        <f t="shared" si="91"/>
        <v>17.200000000000003</v>
      </c>
      <c r="DK178" s="7">
        <f t="shared" si="92"/>
        <v>23.75</v>
      </c>
      <c r="DL178" s="7">
        <f t="shared" si="93"/>
        <v>45</v>
      </c>
      <c r="DM178" s="7">
        <f t="shared" si="94"/>
        <v>49.400000000000006</v>
      </c>
      <c r="DN178" s="7">
        <f t="shared" si="95"/>
        <v>52.250000000000007</v>
      </c>
      <c r="DO178" s="7">
        <f t="shared" si="96"/>
        <v>70</v>
      </c>
      <c r="DP178" s="7">
        <f t="shared" si="97"/>
        <v>130.49999999999989</v>
      </c>
    </row>
    <row r="179" spans="1:120" ht="25.5" hidden="1" customHeight="1" x14ac:dyDescent="0.25">
      <c r="A179" s="92" t="str">
        <f t="shared" si="98"/>
        <v>CO-WVI [17]</v>
      </c>
      <c r="B179" s="92" t="str">
        <f t="shared" si="99"/>
        <v>West Vancouver Island</v>
      </c>
      <c r="C179" s="93" t="str">
        <f t="shared" si="68"/>
        <v>THORNTON CREEK_Coho</v>
      </c>
      <c r="D179" s="128" t="s">
        <v>598</v>
      </c>
      <c r="E179" s="128" t="s">
        <v>598</v>
      </c>
      <c r="F179" s="64">
        <v>23</v>
      </c>
      <c r="G179" s="72" t="s">
        <v>152</v>
      </c>
      <c r="H179" s="65" t="s">
        <v>93</v>
      </c>
      <c r="I179" s="119"/>
      <c r="J179" s="119"/>
      <c r="K179" s="64">
        <v>4</v>
      </c>
      <c r="L179" s="52">
        <v>10</v>
      </c>
      <c r="M179" s="52">
        <v>10</v>
      </c>
      <c r="N179" s="52">
        <f t="shared" si="69"/>
        <v>592.85362247213004</v>
      </c>
      <c r="O179" s="52">
        <f t="shared" si="70"/>
        <v>2903</v>
      </c>
      <c r="P179" s="52">
        <f t="shared" si="71"/>
        <v>702.65717535098406</v>
      </c>
      <c r="Q179" s="66"/>
      <c r="R179" s="39"/>
      <c r="S179" s="74" t="s">
        <v>344</v>
      </c>
      <c r="T179" s="81" t="e">
        <f t="shared" si="72"/>
        <v>#DIV/0!</v>
      </c>
      <c r="U179" s="81">
        <f t="shared" si="73"/>
        <v>389</v>
      </c>
      <c r="V179" s="232" t="s">
        <v>263</v>
      </c>
      <c r="W179" s="52" t="s">
        <v>102</v>
      </c>
      <c r="X179" s="52" t="s">
        <v>102</v>
      </c>
      <c r="Y179" s="198"/>
      <c r="Z179" s="52" t="s">
        <v>102</v>
      </c>
      <c r="AA179" s="52" t="s">
        <v>102</v>
      </c>
      <c r="AB179" s="52" t="s">
        <v>102</v>
      </c>
      <c r="AC179" s="52" t="s">
        <v>102</v>
      </c>
      <c r="AD179" s="52" t="s">
        <v>102</v>
      </c>
      <c r="AE179" s="144">
        <v>389</v>
      </c>
      <c r="AF179" s="52" t="s">
        <v>102</v>
      </c>
      <c r="AG179" s="52" t="s">
        <v>102</v>
      </c>
      <c r="AH179" s="52" t="s">
        <v>102</v>
      </c>
      <c r="AI179" s="52" t="s">
        <v>102</v>
      </c>
      <c r="AJ179" s="52" t="s">
        <v>102</v>
      </c>
      <c r="AK179" s="53" t="s">
        <v>262</v>
      </c>
      <c r="AL179" s="89">
        <v>125</v>
      </c>
      <c r="AM179" s="52">
        <v>220</v>
      </c>
      <c r="AN179" s="53">
        <v>700</v>
      </c>
      <c r="AO179" s="54"/>
      <c r="AP179" s="53">
        <v>720</v>
      </c>
      <c r="AQ179" s="52">
        <v>1200</v>
      </c>
      <c r="AR179" s="52">
        <v>600</v>
      </c>
      <c r="AS179" s="52">
        <v>800</v>
      </c>
      <c r="AT179" s="52">
        <v>1050</v>
      </c>
      <c r="AU179" s="52">
        <v>725</v>
      </c>
      <c r="AV179" s="52">
        <v>575</v>
      </c>
      <c r="AW179" s="52">
        <v>910</v>
      </c>
      <c r="AX179" s="51">
        <v>225</v>
      </c>
      <c r="AY179" s="53">
        <v>750</v>
      </c>
      <c r="AZ179" s="53">
        <v>700</v>
      </c>
      <c r="BA179" s="53">
        <v>1078</v>
      </c>
      <c r="BB179" s="53">
        <v>736</v>
      </c>
      <c r="BC179" s="53">
        <v>2903</v>
      </c>
      <c r="BD179" s="53">
        <v>2015</v>
      </c>
      <c r="BE179" s="53" t="s">
        <v>102</v>
      </c>
      <c r="BF179" s="53" t="s">
        <v>102</v>
      </c>
      <c r="BG179" s="53" t="s">
        <v>102</v>
      </c>
      <c r="BH179" s="53" t="s">
        <v>102</v>
      </c>
      <c r="BI179" s="53" t="s">
        <v>102</v>
      </c>
      <c r="BJ179" s="53" t="s">
        <v>102</v>
      </c>
      <c r="BK179" s="53" t="s">
        <v>102</v>
      </c>
      <c r="BL179" s="53" t="s">
        <v>102</v>
      </c>
      <c r="BM179" s="53" t="s">
        <v>102</v>
      </c>
      <c r="BN179" s="53" t="s">
        <v>102</v>
      </c>
      <c r="BO179" s="53" t="s">
        <v>102</v>
      </c>
      <c r="BP179" s="53" t="s">
        <v>102</v>
      </c>
      <c r="BQ179" s="53" t="s">
        <v>102</v>
      </c>
      <c r="BR179" s="53" t="s">
        <v>102</v>
      </c>
      <c r="BS179" s="53" t="s">
        <v>102</v>
      </c>
      <c r="BT179" s="53" t="s">
        <v>102</v>
      </c>
      <c r="BU179" s="53" t="s">
        <v>102</v>
      </c>
      <c r="BV179" s="53" t="s">
        <v>102</v>
      </c>
      <c r="BW179" s="53" t="s">
        <v>102</v>
      </c>
      <c r="BX179" s="53" t="s">
        <v>102</v>
      </c>
      <c r="BY179" s="53" t="s">
        <v>102</v>
      </c>
      <c r="BZ179" s="53" t="s">
        <v>102</v>
      </c>
      <c r="CA179" s="53" t="s">
        <v>102</v>
      </c>
      <c r="CB179" s="53" t="s">
        <v>102</v>
      </c>
      <c r="CC179" s="53" t="s">
        <v>102</v>
      </c>
      <c r="CD179" s="53" t="s">
        <v>102</v>
      </c>
      <c r="CE179" s="53" t="s">
        <v>102</v>
      </c>
      <c r="CF179" s="53" t="s">
        <v>102</v>
      </c>
      <c r="CG179" s="53" t="s">
        <v>102</v>
      </c>
      <c r="CH179" s="53" t="s">
        <v>102</v>
      </c>
      <c r="CI179" s="53" t="s">
        <v>102</v>
      </c>
      <c r="CJ179" s="53" t="s">
        <v>102</v>
      </c>
      <c r="CK179" s="53" t="s">
        <v>102</v>
      </c>
      <c r="CL179" s="53" t="s">
        <v>102</v>
      </c>
      <c r="CM179" s="53" t="s">
        <v>102</v>
      </c>
      <c r="CN179" s="206">
        <f>IF(ISERROR(AVERAGE(BV179:CM179)),CS179,AVERAGE(BV179:CM179))</f>
        <v>864.26315789473688</v>
      </c>
      <c r="CO179" s="206"/>
      <c r="CP179" s="206"/>
      <c r="CQ179" s="8">
        <f t="shared" si="74"/>
        <v>125</v>
      </c>
      <c r="CR179" s="8">
        <f t="shared" si="75"/>
        <v>2903</v>
      </c>
      <c r="CS179" s="8">
        <f t="shared" si="76"/>
        <v>864.26315789473688</v>
      </c>
      <c r="CT179">
        <f t="shared" si="77"/>
        <v>681.12687734514827</v>
      </c>
      <c r="CU179" s="143" t="e">
        <f t="shared" si="78"/>
        <v>#DIV/0!</v>
      </c>
      <c r="CV179" s="143">
        <f t="shared" si="79"/>
        <v>389</v>
      </c>
      <c r="CX179" s="7">
        <f t="shared" si="80"/>
        <v>210.5</v>
      </c>
      <c r="CY179" s="7">
        <f t="shared" si="81"/>
        <v>339.79999999999995</v>
      </c>
      <c r="CZ179" s="7">
        <f t="shared" si="82"/>
        <v>500.59999999999991</v>
      </c>
      <c r="DA179" s="7">
        <f t="shared" si="83"/>
        <v>587.5</v>
      </c>
      <c r="DB179" s="7">
        <f t="shared" si="84"/>
        <v>725</v>
      </c>
      <c r="DC179" s="7">
        <f t="shared" si="85"/>
        <v>747.19999999999993</v>
      </c>
      <c r="DD179" s="7">
        <f t="shared" si="86"/>
        <v>785</v>
      </c>
      <c r="DE179" s="7">
        <f t="shared" si="87"/>
        <v>980</v>
      </c>
      <c r="DF179" s="7">
        <f t="shared" si="88"/>
        <v>1114.5999999999997</v>
      </c>
      <c r="DH179" s="7">
        <f t="shared" si="89"/>
        <v>177.25</v>
      </c>
      <c r="DI179" s="7">
        <f t="shared" si="90"/>
        <v>329.84999999999997</v>
      </c>
      <c r="DJ179" s="7">
        <f t="shared" si="91"/>
        <v>426.20000000000005</v>
      </c>
      <c r="DK179" s="7">
        <f t="shared" si="92"/>
        <v>528.5</v>
      </c>
      <c r="DL179" s="7">
        <f t="shared" si="93"/>
        <v>710</v>
      </c>
      <c r="DM179" s="7">
        <f t="shared" si="94"/>
        <v>723</v>
      </c>
      <c r="DN179" s="7">
        <f t="shared" si="95"/>
        <v>736.25</v>
      </c>
      <c r="DO179" s="7">
        <f t="shared" si="96"/>
        <v>827.5</v>
      </c>
      <c r="DP179" s="7">
        <f t="shared" si="97"/>
        <v>959</v>
      </c>
    </row>
    <row r="180" spans="1:120" ht="25.5" hidden="1" customHeight="1" x14ac:dyDescent="0.25">
      <c r="A180" s="92" t="str">
        <f t="shared" si="98"/>
        <v>Pkodd-WVI [6]</v>
      </c>
      <c r="B180" s="92" t="str">
        <f t="shared" si="99"/>
        <v>West Vancouver Island</v>
      </c>
      <c r="C180" s="93" t="str">
        <f t="shared" si="68"/>
        <v>THORNTON CREEK_Pink</v>
      </c>
      <c r="D180" s="128" t="s">
        <v>598</v>
      </c>
      <c r="E180" s="128" t="s">
        <v>598</v>
      </c>
      <c r="F180" s="64">
        <v>23</v>
      </c>
      <c r="G180" s="72" t="s">
        <v>152</v>
      </c>
      <c r="H180" s="65" t="s">
        <v>95</v>
      </c>
      <c r="I180" s="119"/>
      <c r="J180" s="119"/>
      <c r="K180" s="64">
        <v>4</v>
      </c>
      <c r="L180" s="52">
        <v>10</v>
      </c>
      <c r="M180" s="52">
        <v>3</v>
      </c>
      <c r="N180" s="52">
        <f t="shared" si="69"/>
        <v>2.6207413942088964</v>
      </c>
      <c r="O180" s="52">
        <f t="shared" si="70"/>
        <v>3</v>
      </c>
      <c r="P180" s="52">
        <f t="shared" si="71"/>
        <v>2.6207413942088964</v>
      </c>
      <c r="Q180" s="66"/>
      <c r="R180" s="39"/>
      <c r="S180" s="74" t="s">
        <v>344</v>
      </c>
      <c r="T180" s="81" t="e">
        <f t="shared" si="72"/>
        <v>#DIV/0!</v>
      </c>
      <c r="U180" s="81" t="e">
        <f t="shared" si="73"/>
        <v>#DIV/0!</v>
      </c>
      <c r="V180" s="232" t="s">
        <v>262</v>
      </c>
      <c r="W180" s="52" t="s">
        <v>102</v>
      </c>
      <c r="X180" s="52" t="s">
        <v>102</v>
      </c>
      <c r="Y180" s="198"/>
      <c r="Z180" s="52" t="s">
        <v>102</v>
      </c>
      <c r="AA180" s="52" t="s">
        <v>102</v>
      </c>
      <c r="AB180" s="52" t="s">
        <v>102</v>
      </c>
      <c r="AC180" s="52" t="s">
        <v>102</v>
      </c>
      <c r="AD180" s="52" t="s">
        <v>102</v>
      </c>
      <c r="AE180" s="144" t="s">
        <v>262</v>
      </c>
      <c r="AF180" s="52" t="s">
        <v>102</v>
      </c>
      <c r="AG180" s="52" t="s">
        <v>102</v>
      </c>
      <c r="AH180" s="52" t="s">
        <v>102</v>
      </c>
      <c r="AI180" s="52" t="s">
        <v>102</v>
      </c>
      <c r="AJ180" s="52" t="s">
        <v>102</v>
      </c>
      <c r="AK180" s="123" t="s">
        <v>262</v>
      </c>
      <c r="AL180" s="89" t="s">
        <v>262</v>
      </c>
      <c r="AM180" s="52" t="s">
        <v>262</v>
      </c>
      <c r="AN180" s="53" t="s">
        <v>262</v>
      </c>
      <c r="AO180" s="54"/>
      <c r="AP180" s="53" t="s">
        <v>262</v>
      </c>
      <c r="AQ180" s="52" t="s">
        <v>262</v>
      </c>
      <c r="AR180" s="52" t="s">
        <v>262</v>
      </c>
      <c r="AS180" s="52">
        <v>3</v>
      </c>
      <c r="AT180" s="52" t="s">
        <v>262</v>
      </c>
      <c r="AU180" s="52">
        <v>3</v>
      </c>
      <c r="AV180" s="52">
        <v>2</v>
      </c>
      <c r="AW180" s="52" t="s">
        <v>262</v>
      </c>
      <c r="AX180" s="51" t="s">
        <v>264</v>
      </c>
      <c r="AY180" s="53" t="s">
        <v>264</v>
      </c>
      <c r="AZ180" s="53" t="s">
        <v>264</v>
      </c>
      <c r="BA180" s="53" t="s">
        <v>264</v>
      </c>
      <c r="BB180" s="53" t="s">
        <v>264</v>
      </c>
      <c r="BC180" s="53" t="s">
        <v>264</v>
      </c>
      <c r="BD180" s="53" t="s">
        <v>264</v>
      </c>
      <c r="BE180" s="53" t="s">
        <v>102</v>
      </c>
      <c r="BF180" s="53" t="s">
        <v>102</v>
      </c>
      <c r="BG180" s="53" t="s">
        <v>102</v>
      </c>
      <c r="BH180" s="53" t="s">
        <v>102</v>
      </c>
      <c r="BI180" s="53" t="s">
        <v>102</v>
      </c>
      <c r="BJ180" s="53" t="s">
        <v>102</v>
      </c>
      <c r="BK180" s="53" t="s">
        <v>102</v>
      </c>
      <c r="BL180" s="53" t="s">
        <v>102</v>
      </c>
      <c r="BM180" s="53" t="s">
        <v>102</v>
      </c>
      <c r="BN180" s="53" t="s">
        <v>102</v>
      </c>
      <c r="BO180" s="53" t="s">
        <v>102</v>
      </c>
      <c r="BP180" s="53" t="s">
        <v>102</v>
      </c>
      <c r="BQ180" s="53" t="s">
        <v>102</v>
      </c>
      <c r="BR180" s="53" t="s">
        <v>102</v>
      </c>
      <c r="BS180" s="53" t="s">
        <v>102</v>
      </c>
      <c r="BT180" s="53" t="s">
        <v>102</v>
      </c>
      <c r="BU180" s="53" t="s">
        <v>102</v>
      </c>
      <c r="BV180" s="53" t="s">
        <v>102</v>
      </c>
      <c r="BW180" s="53" t="s">
        <v>102</v>
      </c>
      <c r="BX180" s="53" t="s">
        <v>102</v>
      </c>
      <c r="BY180" s="53" t="s">
        <v>102</v>
      </c>
      <c r="BZ180" s="53" t="s">
        <v>102</v>
      </c>
      <c r="CA180" s="53" t="s">
        <v>102</v>
      </c>
      <c r="CB180" s="53" t="s">
        <v>102</v>
      </c>
      <c r="CC180" s="53" t="s">
        <v>102</v>
      </c>
      <c r="CD180" s="53" t="s">
        <v>102</v>
      </c>
      <c r="CE180" s="53" t="s">
        <v>102</v>
      </c>
      <c r="CF180" s="53" t="s">
        <v>102</v>
      </c>
      <c r="CG180" s="53" t="s">
        <v>102</v>
      </c>
      <c r="CH180" s="53" t="s">
        <v>102</v>
      </c>
      <c r="CI180" s="53" t="s">
        <v>102</v>
      </c>
      <c r="CJ180" s="53" t="s">
        <v>102</v>
      </c>
      <c r="CK180" s="53" t="s">
        <v>102</v>
      </c>
      <c r="CL180" s="53" t="s">
        <v>102</v>
      </c>
      <c r="CM180" s="53" t="s">
        <v>102</v>
      </c>
      <c r="CN180" s="206"/>
      <c r="CO180" s="206"/>
      <c r="CP180" s="206"/>
      <c r="CQ180" s="8">
        <f t="shared" si="74"/>
        <v>2</v>
      </c>
      <c r="CR180" s="8">
        <f t="shared" si="75"/>
        <v>3</v>
      </c>
      <c r="CS180" s="8">
        <f t="shared" si="76"/>
        <v>2.6666666666666665</v>
      </c>
      <c r="CT180">
        <f t="shared" si="77"/>
        <v>2.6207413942088964</v>
      </c>
      <c r="CU180" s="143" t="e">
        <f t="shared" si="78"/>
        <v>#DIV/0!</v>
      </c>
      <c r="CV180" s="143" t="e">
        <f t="shared" si="79"/>
        <v>#DIV/0!</v>
      </c>
      <c r="CX180" s="7">
        <f t="shared" si="80"/>
        <v>2.1</v>
      </c>
      <c r="CY180" s="7">
        <f t="shared" si="81"/>
        <v>2.2999999999999998</v>
      </c>
      <c r="CZ180" s="7">
        <f t="shared" si="82"/>
        <v>2.4</v>
      </c>
      <c r="DA180" s="7">
        <f t="shared" si="83"/>
        <v>2.5</v>
      </c>
      <c r="DB180" s="7">
        <f t="shared" si="84"/>
        <v>3</v>
      </c>
      <c r="DC180" s="7">
        <f t="shared" si="85"/>
        <v>3</v>
      </c>
      <c r="DD180" s="7">
        <f t="shared" si="86"/>
        <v>3</v>
      </c>
      <c r="DE180" s="7">
        <f t="shared" si="87"/>
        <v>3</v>
      </c>
      <c r="DF180" s="7">
        <f t="shared" si="88"/>
        <v>3</v>
      </c>
      <c r="DH180" s="7">
        <f t="shared" si="89"/>
        <v>2.1</v>
      </c>
      <c r="DI180" s="7">
        <f t="shared" si="90"/>
        <v>2.2999999999999998</v>
      </c>
      <c r="DJ180" s="7">
        <f t="shared" si="91"/>
        <v>2.4</v>
      </c>
      <c r="DK180" s="7">
        <f t="shared" si="92"/>
        <v>2.5</v>
      </c>
      <c r="DL180" s="7">
        <f t="shared" si="93"/>
        <v>3</v>
      </c>
      <c r="DM180" s="7">
        <f t="shared" si="94"/>
        <v>3</v>
      </c>
      <c r="DN180" s="7">
        <f t="shared" si="95"/>
        <v>3</v>
      </c>
      <c r="DO180" s="7">
        <f t="shared" si="96"/>
        <v>3</v>
      </c>
      <c r="DP180" s="7">
        <f t="shared" si="97"/>
        <v>3</v>
      </c>
    </row>
    <row r="181" spans="1:120" ht="25.5" customHeight="1" x14ac:dyDescent="0.25">
      <c r="A181" s="92" t="str">
        <f t="shared" si="98"/>
        <v>CK-SWVI [31]</v>
      </c>
      <c r="B181" s="92" t="str">
        <f t="shared" si="99"/>
        <v>Southwest Vancouver Island</v>
      </c>
      <c r="C181" s="93" t="str">
        <f t="shared" si="68"/>
        <v>TOQUART RIVER_Chinook</v>
      </c>
      <c r="D181" s="128" t="s">
        <v>598</v>
      </c>
      <c r="E181" s="128" t="s">
        <v>598</v>
      </c>
      <c r="F181" s="64">
        <v>23</v>
      </c>
      <c r="G181" s="72" t="s">
        <v>143</v>
      </c>
      <c r="H181" s="65" t="s">
        <v>97</v>
      </c>
      <c r="I181" s="119"/>
      <c r="J181" s="119"/>
      <c r="K181" s="64">
        <v>3</v>
      </c>
      <c r="L181" s="52">
        <v>10</v>
      </c>
      <c r="M181" s="52">
        <v>10</v>
      </c>
      <c r="N181" s="52">
        <f t="shared" si="69"/>
        <v>266.52943135301115</v>
      </c>
      <c r="O181" s="52">
        <f t="shared" si="70"/>
        <v>864</v>
      </c>
      <c r="P181" s="52">
        <f t="shared" si="71"/>
        <v>73.121180339392396</v>
      </c>
      <c r="Q181" s="66" t="s">
        <v>270</v>
      </c>
      <c r="R181" s="37"/>
      <c r="S181" s="74" t="s">
        <v>1</v>
      </c>
      <c r="T181" s="81">
        <f t="shared" si="72"/>
        <v>53.75</v>
      </c>
      <c r="U181" s="81">
        <f t="shared" si="73"/>
        <v>158.45454545454547</v>
      </c>
      <c r="V181" s="233">
        <v>21</v>
      </c>
      <c r="W181" s="52">
        <v>21</v>
      </c>
      <c r="X181" s="52">
        <v>110</v>
      </c>
      <c r="Y181" s="52">
        <v>63</v>
      </c>
      <c r="Z181" s="52">
        <v>89</v>
      </c>
      <c r="AA181" s="52">
        <v>191</v>
      </c>
      <c r="AB181" s="52">
        <v>168</v>
      </c>
      <c r="AC181" s="52">
        <v>336</v>
      </c>
      <c r="AD181" s="52">
        <v>161</v>
      </c>
      <c r="AE181" s="144">
        <v>249</v>
      </c>
      <c r="AF181" s="52">
        <v>334</v>
      </c>
      <c r="AG181" s="52" t="s">
        <v>102</v>
      </c>
      <c r="AH181" s="53">
        <v>317</v>
      </c>
      <c r="AI181" s="52" t="s">
        <v>102</v>
      </c>
      <c r="AJ181" s="52" t="s">
        <v>102</v>
      </c>
      <c r="AK181" s="52" t="s">
        <v>262</v>
      </c>
      <c r="AL181" s="89">
        <v>864</v>
      </c>
      <c r="AM181" s="52" t="s">
        <v>102</v>
      </c>
      <c r="AN181" s="52">
        <v>704</v>
      </c>
      <c r="AO181" s="52">
        <v>463</v>
      </c>
      <c r="AP181" s="53">
        <v>202</v>
      </c>
      <c r="AQ181" s="53">
        <v>168</v>
      </c>
      <c r="AR181" s="53">
        <v>100</v>
      </c>
      <c r="AS181" s="53">
        <v>160</v>
      </c>
      <c r="AT181" s="52">
        <v>308</v>
      </c>
      <c r="AU181" s="52">
        <v>382</v>
      </c>
      <c r="AV181" s="52">
        <v>268</v>
      </c>
      <c r="AW181" s="52">
        <v>100</v>
      </c>
      <c r="AX181" s="51">
        <v>95</v>
      </c>
      <c r="AY181" s="53">
        <v>15</v>
      </c>
      <c r="AZ181" s="53">
        <v>3</v>
      </c>
      <c r="BA181" s="53">
        <v>4</v>
      </c>
      <c r="BB181" s="53">
        <v>3</v>
      </c>
      <c r="BC181" s="53">
        <v>3</v>
      </c>
      <c r="BD181" s="53">
        <v>25</v>
      </c>
      <c r="BE181" s="53" t="s">
        <v>264</v>
      </c>
      <c r="BF181" s="53" t="s">
        <v>102</v>
      </c>
      <c r="BG181" s="53">
        <v>300</v>
      </c>
      <c r="BH181" s="53" t="s">
        <v>264</v>
      </c>
      <c r="BI181" s="53">
        <v>25</v>
      </c>
      <c r="BJ181" s="53" t="s">
        <v>264</v>
      </c>
      <c r="BK181" s="53">
        <v>10</v>
      </c>
      <c r="BL181" s="53" t="s">
        <v>264</v>
      </c>
      <c r="BM181" s="53">
        <v>50</v>
      </c>
      <c r="BN181" s="53">
        <v>50</v>
      </c>
      <c r="BO181" s="53">
        <v>60</v>
      </c>
      <c r="BP181" s="53">
        <v>45</v>
      </c>
      <c r="BQ181" s="53">
        <v>75</v>
      </c>
      <c r="BR181" s="53">
        <v>40</v>
      </c>
      <c r="BS181" s="53">
        <v>75</v>
      </c>
      <c r="BT181" s="53">
        <v>25</v>
      </c>
      <c r="BU181" s="53">
        <v>25</v>
      </c>
      <c r="BV181" s="53">
        <v>25</v>
      </c>
      <c r="BW181" s="53" t="s">
        <v>264</v>
      </c>
      <c r="BX181" s="53" t="s">
        <v>264</v>
      </c>
      <c r="BY181" s="53">
        <v>25</v>
      </c>
      <c r="BZ181" s="53">
        <v>200</v>
      </c>
      <c r="CA181" s="53">
        <v>25</v>
      </c>
      <c r="CB181" s="53">
        <v>25</v>
      </c>
      <c r="CC181" s="53">
        <v>25</v>
      </c>
      <c r="CD181" s="53">
        <v>75</v>
      </c>
      <c r="CE181" s="53">
        <v>200</v>
      </c>
      <c r="CF181" s="53">
        <v>200</v>
      </c>
      <c r="CG181" s="53">
        <v>75</v>
      </c>
      <c r="CH181" s="53">
        <v>200</v>
      </c>
      <c r="CI181" s="53">
        <v>200</v>
      </c>
      <c r="CJ181" s="53">
        <v>200</v>
      </c>
      <c r="CK181" s="53">
        <v>400</v>
      </c>
      <c r="CL181" s="53">
        <v>750</v>
      </c>
      <c r="CM181" s="53">
        <v>400</v>
      </c>
      <c r="CN181" s="206"/>
      <c r="CO181" s="206"/>
      <c r="CP181" s="206"/>
      <c r="CQ181" s="8">
        <f t="shared" si="74"/>
        <v>3</v>
      </c>
      <c r="CR181" s="8">
        <f t="shared" si="75"/>
        <v>864</v>
      </c>
      <c r="CS181" s="8">
        <f t="shared" si="76"/>
        <v>167.79310344827587</v>
      </c>
      <c r="CT181">
        <f t="shared" si="77"/>
        <v>81.480331303786514</v>
      </c>
      <c r="CU181" s="143">
        <f t="shared" si="78"/>
        <v>60.8</v>
      </c>
      <c r="CV181" s="143">
        <f t="shared" si="79"/>
        <v>158.45454545454547</v>
      </c>
      <c r="CX181" s="7">
        <f t="shared" si="80"/>
        <v>3.85</v>
      </c>
      <c r="CY181" s="7">
        <f t="shared" si="81"/>
        <v>25</v>
      </c>
      <c r="CZ181" s="7">
        <f t="shared" si="82"/>
        <v>25</v>
      </c>
      <c r="DA181" s="7">
        <f t="shared" si="83"/>
        <v>25</v>
      </c>
      <c r="DB181" s="7">
        <f t="shared" si="84"/>
        <v>97.5</v>
      </c>
      <c r="DC181" s="7">
        <f t="shared" si="85"/>
        <v>168</v>
      </c>
      <c r="DD181" s="7">
        <f t="shared" si="86"/>
        <v>200</v>
      </c>
      <c r="DE181" s="7">
        <f t="shared" si="87"/>
        <v>201.5</v>
      </c>
      <c r="DF181" s="7">
        <f t="shared" si="88"/>
        <v>324.64999999999992</v>
      </c>
      <c r="DH181" s="7">
        <f t="shared" si="89"/>
        <v>25.200000000000003</v>
      </c>
      <c r="DI181" s="7">
        <f t="shared" si="90"/>
        <v>92.3</v>
      </c>
      <c r="DJ181" s="7">
        <f t="shared" si="91"/>
        <v>100</v>
      </c>
      <c r="DK181" s="7">
        <f t="shared" si="92"/>
        <v>105</v>
      </c>
      <c r="DL181" s="7">
        <f t="shared" si="93"/>
        <v>191</v>
      </c>
      <c r="DM181" s="7">
        <f t="shared" si="94"/>
        <v>252.79999999999998</v>
      </c>
      <c r="DN181" s="7">
        <f t="shared" si="95"/>
        <v>280</v>
      </c>
      <c r="DO181" s="7">
        <f t="shared" si="96"/>
        <v>325.5</v>
      </c>
      <c r="DP181" s="7">
        <f t="shared" si="97"/>
        <v>368.2</v>
      </c>
    </row>
    <row r="182" spans="1:120" ht="25.5" hidden="1" customHeight="1" x14ac:dyDescent="0.25">
      <c r="A182" s="92" t="str">
        <f t="shared" si="98"/>
        <v>CM-SWVI [10]</v>
      </c>
      <c r="B182" s="92" t="str">
        <f t="shared" si="99"/>
        <v>Southwest Vancouver Island</v>
      </c>
      <c r="C182" s="93" t="str">
        <f t="shared" si="68"/>
        <v>TOQUART RIVER_Chum</v>
      </c>
      <c r="D182" s="128" t="s">
        <v>598</v>
      </c>
      <c r="E182" s="128" t="s">
        <v>598</v>
      </c>
      <c r="F182" s="64">
        <v>23</v>
      </c>
      <c r="G182" s="72" t="s">
        <v>143</v>
      </c>
      <c r="H182" s="65" t="s">
        <v>96</v>
      </c>
      <c r="I182" s="119"/>
      <c r="J182" s="119"/>
      <c r="K182" s="64">
        <v>3</v>
      </c>
      <c r="L182" s="52">
        <v>10</v>
      </c>
      <c r="M182" s="52">
        <v>10</v>
      </c>
      <c r="N182" s="52">
        <f t="shared" si="69"/>
        <v>3835.3294160835562</v>
      </c>
      <c r="O182" s="52">
        <f t="shared" si="70"/>
        <v>75000</v>
      </c>
      <c r="P182" s="52">
        <f t="shared" si="71"/>
        <v>8193.6781711154235</v>
      </c>
      <c r="Q182" s="66" t="s">
        <v>270</v>
      </c>
      <c r="R182" s="37"/>
      <c r="S182" s="74" t="s">
        <v>1</v>
      </c>
      <c r="T182" s="81">
        <f t="shared" si="72"/>
        <v>3706.75</v>
      </c>
      <c r="U182" s="81">
        <f t="shared" si="73"/>
        <v>2514.818181818182</v>
      </c>
      <c r="V182" s="233">
        <v>5852</v>
      </c>
      <c r="W182" s="52">
        <v>274</v>
      </c>
      <c r="X182" s="52">
        <v>7958</v>
      </c>
      <c r="Y182" s="52">
        <v>743</v>
      </c>
      <c r="Z182" s="52">
        <v>137</v>
      </c>
      <c r="AA182" s="52">
        <v>249</v>
      </c>
      <c r="AB182" s="52">
        <v>1091</v>
      </c>
      <c r="AC182" s="52">
        <v>4802</v>
      </c>
      <c r="AD182" s="52">
        <v>1921</v>
      </c>
      <c r="AE182" s="144">
        <v>3949</v>
      </c>
      <c r="AF182" s="52">
        <v>687</v>
      </c>
      <c r="AG182" s="52" t="s">
        <v>102</v>
      </c>
      <c r="AH182" s="53">
        <v>1725</v>
      </c>
      <c r="AI182" s="52" t="s">
        <v>102</v>
      </c>
      <c r="AJ182" s="52" t="s">
        <v>102</v>
      </c>
      <c r="AK182" s="52">
        <v>7500</v>
      </c>
      <c r="AL182" s="89">
        <v>2091</v>
      </c>
      <c r="AM182" s="52" t="s">
        <v>102</v>
      </c>
      <c r="AN182" s="52">
        <v>1713</v>
      </c>
      <c r="AO182" s="53">
        <v>8921</v>
      </c>
      <c r="AP182" s="53">
        <v>1340</v>
      </c>
      <c r="AQ182" s="53">
        <v>791</v>
      </c>
      <c r="AR182" s="53">
        <v>3772</v>
      </c>
      <c r="AS182" s="52">
        <v>9950</v>
      </c>
      <c r="AT182" s="52">
        <v>11000</v>
      </c>
      <c r="AU182" s="52">
        <v>10000</v>
      </c>
      <c r="AV182" s="52">
        <v>4600</v>
      </c>
      <c r="AW182" s="52">
        <v>2100</v>
      </c>
      <c r="AX182" s="51">
        <v>22500</v>
      </c>
      <c r="AY182" s="53">
        <v>20000</v>
      </c>
      <c r="AZ182" s="53">
        <v>30000</v>
      </c>
      <c r="BA182" s="53">
        <v>8000</v>
      </c>
      <c r="BB182" s="53">
        <v>3000</v>
      </c>
      <c r="BC182" s="53">
        <v>3500</v>
      </c>
      <c r="BD182" s="53">
        <v>7000</v>
      </c>
      <c r="BE182" s="53" t="s">
        <v>264</v>
      </c>
      <c r="BF182" s="53" t="s">
        <v>102</v>
      </c>
      <c r="BG182" s="53">
        <v>25000</v>
      </c>
      <c r="BH182" s="53">
        <v>10190</v>
      </c>
      <c r="BI182" s="53">
        <v>3000</v>
      </c>
      <c r="BJ182" s="53">
        <v>11500</v>
      </c>
      <c r="BK182" s="53">
        <v>10000</v>
      </c>
      <c r="BL182" s="53" t="s">
        <v>262</v>
      </c>
      <c r="BM182" s="53">
        <v>10000</v>
      </c>
      <c r="BN182" s="53">
        <v>4500</v>
      </c>
      <c r="BO182" s="53">
        <v>17000</v>
      </c>
      <c r="BP182" s="53">
        <v>19000</v>
      </c>
      <c r="BQ182" s="53">
        <v>20000</v>
      </c>
      <c r="BR182" s="53">
        <v>15000</v>
      </c>
      <c r="BS182" s="53">
        <v>10000</v>
      </c>
      <c r="BT182" s="53">
        <v>18000</v>
      </c>
      <c r="BU182" s="53">
        <v>5000</v>
      </c>
      <c r="BV182" s="53">
        <v>11000</v>
      </c>
      <c r="BW182" s="53">
        <v>5000</v>
      </c>
      <c r="BX182" s="53">
        <v>7500</v>
      </c>
      <c r="BY182" s="53">
        <v>25000</v>
      </c>
      <c r="BZ182" s="53">
        <v>15000</v>
      </c>
      <c r="CA182" s="53">
        <v>3500</v>
      </c>
      <c r="CB182" s="53">
        <v>7500</v>
      </c>
      <c r="CC182" s="53">
        <v>1500</v>
      </c>
      <c r="CD182" s="53">
        <v>7500</v>
      </c>
      <c r="CE182" s="53">
        <v>7500</v>
      </c>
      <c r="CF182" s="53">
        <v>7500</v>
      </c>
      <c r="CG182" s="53">
        <v>15000</v>
      </c>
      <c r="CH182" s="53">
        <v>35000</v>
      </c>
      <c r="CI182" s="53">
        <v>15000</v>
      </c>
      <c r="CJ182" s="53">
        <v>7500</v>
      </c>
      <c r="CK182" s="53">
        <v>3500</v>
      </c>
      <c r="CL182" s="53">
        <v>75000</v>
      </c>
      <c r="CM182" s="53">
        <v>35000</v>
      </c>
      <c r="CN182" s="206"/>
      <c r="CO182" s="206"/>
      <c r="CP182" s="206"/>
      <c r="CQ182" s="8">
        <f t="shared" si="74"/>
        <v>137</v>
      </c>
      <c r="CR182" s="8">
        <f t="shared" si="75"/>
        <v>75000</v>
      </c>
      <c r="CS182" s="8">
        <f t="shared" si="76"/>
        <v>10315.174603174602</v>
      </c>
      <c r="CT182">
        <f t="shared" si="77"/>
        <v>5731.352545383761</v>
      </c>
      <c r="CU182" s="143">
        <f t="shared" si="78"/>
        <v>2992.8</v>
      </c>
      <c r="CV182" s="143">
        <f t="shared" si="79"/>
        <v>2514.818181818182</v>
      </c>
      <c r="CX182" s="7">
        <f t="shared" si="80"/>
        <v>692.6</v>
      </c>
      <c r="CY182" s="7">
        <f t="shared" si="81"/>
        <v>1716.6</v>
      </c>
      <c r="CZ182" s="7">
        <f t="shared" si="82"/>
        <v>2094.6</v>
      </c>
      <c r="DA182" s="7">
        <f t="shared" si="83"/>
        <v>3250</v>
      </c>
      <c r="DB182" s="7">
        <f t="shared" si="84"/>
        <v>7500</v>
      </c>
      <c r="DC182" s="7">
        <f t="shared" si="85"/>
        <v>9126.7999999999956</v>
      </c>
      <c r="DD182" s="7">
        <f t="shared" si="86"/>
        <v>10000</v>
      </c>
      <c r="DE182" s="7">
        <f t="shared" si="87"/>
        <v>13250</v>
      </c>
      <c r="DF182" s="7">
        <f t="shared" si="88"/>
        <v>18699.999999999996</v>
      </c>
      <c r="DH182" s="7">
        <f t="shared" si="89"/>
        <v>252.75</v>
      </c>
      <c r="DI182" s="7">
        <f t="shared" si="90"/>
        <v>712.19999999999993</v>
      </c>
      <c r="DJ182" s="7">
        <f t="shared" si="91"/>
        <v>771.80000000000007</v>
      </c>
      <c r="DK182" s="7">
        <f t="shared" si="92"/>
        <v>1016</v>
      </c>
      <c r="DL182" s="7">
        <f t="shared" si="93"/>
        <v>2095.5</v>
      </c>
      <c r="DM182" s="7">
        <f t="shared" si="94"/>
        <v>3913.6</v>
      </c>
      <c r="DN182" s="7">
        <f t="shared" si="95"/>
        <v>4567.4500000000007</v>
      </c>
      <c r="DO182" s="7">
        <f t="shared" si="96"/>
        <v>6264</v>
      </c>
      <c r="DP182" s="7">
        <f t="shared" si="97"/>
        <v>8487.6500000000015</v>
      </c>
    </row>
    <row r="183" spans="1:120" ht="25.5" hidden="1" customHeight="1" x14ac:dyDescent="0.25">
      <c r="A183" s="92" t="str">
        <f t="shared" si="98"/>
        <v>CO-WVI [17]</v>
      </c>
      <c r="B183" s="92" t="str">
        <f t="shared" si="99"/>
        <v>West Vancouver Island</v>
      </c>
      <c r="C183" s="93" t="str">
        <f t="shared" si="68"/>
        <v>TOQUART RIVER_Coho</v>
      </c>
      <c r="D183" s="128" t="s">
        <v>598</v>
      </c>
      <c r="E183" s="128" t="s">
        <v>598</v>
      </c>
      <c r="F183" s="64">
        <v>23</v>
      </c>
      <c r="G183" s="72" t="s">
        <v>143</v>
      </c>
      <c r="H183" s="65" t="s">
        <v>93</v>
      </c>
      <c r="I183" s="119"/>
      <c r="J183" s="119"/>
      <c r="K183" s="64">
        <v>3</v>
      </c>
      <c r="L183" s="52">
        <v>10</v>
      </c>
      <c r="M183" s="52">
        <v>10</v>
      </c>
      <c r="N183" s="52">
        <f t="shared" si="69"/>
        <v>747.95577664859468</v>
      </c>
      <c r="O183" s="52">
        <f t="shared" si="70"/>
        <v>35000</v>
      </c>
      <c r="P183" s="52">
        <f t="shared" si="71"/>
        <v>1326.7616512828781</v>
      </c>
      <c r="Q183" s="66" t="s">
        <v>270</v>
      </c>
      <c r="R183" s="37"/>
      <c r="S183" s="74" t="s">
        <v>1</v>
      </c>
      <c r="T183" s="81">
        <f t="shared" si="72"/>
        <v>631.25</v>
      </c>
      <c r="U183" s="81">
        <f t="shared" si="73"/>
        <v>667.81818181818187</v>
      </c>
      <c r="V183" s="233">
        <v>961</v>
      </c>
      <c r="W183" s="52">
        <v>823</v>
      </c>
      <c r="X183" s="52">
        <v>427</v>
      </c>
      <c r="Y183" s="52">
        <v>314</v>
      </c>
      <c r="Z183" s="52">
        <v>746</v>
      </c>
      <c r="AA183" s="52">
        <v>310</v>
      </c>
      <c r="AB183" s="52">
        <v>360</v>
      </c>
      <c r="AC183" s="52">
        <v>888</v>
      </c>
      <c r="AD183" s="52">
        <v>552</v>
      </c>
      <c r="AE183" s="144">
        <v>1282</v>
      </c>
      <c r="AF183" s="52">
        <v>683</v>
      </c>
      <c r="AG183" s="52" t="s">
        <v>102</v>
      </c>
      <c r="AH183" s="53">
        <v>122</v>
      </c>
      <c r="AI183" s="52" t="s">
        <v>102</v>
      </c>
      <c r="AJ183" s="52" t="s">
        <v>102</v>
      </c>
      <c r="AK183" s="123">
        <v>140</v>
      </c>
      <c r="AL183" s="89">
        <v>83</v>
      </c>
      <c r="AM183" s="52" t="s">
        <v>102</v>
      </c>
      <c r="AN183" s="52">
        <v>583</v>
      </c>
      <c r="AO183" s="53">
        <v>929</v>
      </c>
      <c r="AP183" s="53">
        <v>2465</v>
      </c>
      <c r="AQ183" s="53">
        <v>1332</v>
      </c>
      <c r="AR183" s="53">
        <v>987</v>
      </c>
      <c r="AS183" s="52">
        <v>1922</v>
      </c>
      <c r="AT183" s="52">
        <v>2000</v>
      </c>
      <c r="AU183" s="52">
        <v>600</v>
      </c>
      <c r="AV183" s="52">
        <v>931</v>
      </c>
      <c r="AW183" s="52">
        <v>700</v>
      </c>
      <c r="AX183" s="51">
        <v>125</v>
      </c>
      <c r="AY183" s="53">
        <v>300</v>
      </c>
      <c r="AZ183" s="53">
        <v>500</v>
      </c>
      <c r="BA183" s="53">
        <v>700</v>
      </c>
      <c r="BB183" s="53">
        <v>850</v>
      </c>
      <c r="BC183" s="53">
        <v>750</v>
      </c>
      <c r="BD183" s="53">
        <v>500</v>
      </c>
      <c r="BE183" s="53" t="s">
        <v>264</v>
      </c>
      <c r="BF183" s="53" t="s">
        <v>102</v>
      </c>
      <c r="BG183" s="53" t="s">
        <v>264</v>
      </c>
      <c r="BH183" s="53" t="s">
        <v>264</v>
      </c>
      <c r="BI183" s="53" t="s">
        <v>264</v>
      </c>
      <c r="BJ183" s="53">
        <v>25</v>
      </c>
      <c r="BK183" s="53">
        <v>30</v>
      </c>
      <c r="BL183" s="53" t="s">
        <v>262</v>
      </c>
      <c r="BM183" s="53">
        <v>1500</v>
      </c>
      <c r="BN183" s="53">
        <v>2000</v>
      </c>
      <c r="BO183" s="53">
        <v>1950</v>
      </c>
      <c r="BP183" s="53">
        <v>1200</v>
      </c>
      <c r="BQ183" s="53">
        <v>1500</v>
      </c>
      <c r="BR183" s="53">
        <v>750</v>
      </c>
      <c r="BS183" s="53">
        <v>3500</v>
      </c>
      <c r="BT183" s="53">
        <v>1500</v>
      </c>
      <c r="BU183" s="53">
        <v>1500</v>
      </c>
      <c r="BV183" s="53">
        <v>3500</v>
      </c>
      <c r="BW183" s="53">
        <v>750</v>
      </c>
      <c r="BX183" s="53">
        <v>3500</v>
      </c>
      <c r="BY183" s="53">
        <v>3500</v>
      </c>
      <c r="BZ183" s="53">
        <v>3500</v>
      </c>
      <c r="CA183" s="53">
        <v>3500</v>
      </c>
      <c r="CB183" s="53">
        <v>3500</v>
      </c>
      <c r="CC183" s="53">
        <v>3500</v>
      </c>
      <c r="CD183" s="53">
        <v>3500</v>
      </c>
      <c r="CE183" s="53">
        <v>3500</v>
      </c>
      <c r="CF183" s="53">
        <v>3500</v>
      </c>
      <c r="CG183" s="53">
        <v>3500</v>
      </c>
      <c r="CH183" s="53">
        <v>7500</v>
      </c>
      <c r="CI183" s="53">
        <v>3500</v>
      </c>
      <c r="CJ183" s="53">
        <v>3500</v>
      </c>
      <c r="CK183" s="53">
        <v>7500</v>
      </c>
      <c r="CL183" s="53">
        <v>35000</v>
      </c>
      <c r="CM183" s="53">
        <v>7500</v>
      </c>
      <c r="CN183" s="206"/>
      <c r="CO183" s="206"/>
      <c r="CP183" s="206"/>
      <c r="CQ183" s="8">
        <f t="shared" si="74"/>
        <v>25</v>
      </c>
      <c r="CR183" s="8">
        <f t="shared" si="75"/>
        <v>35000</v>
      </c>
      <c r="CS183" s="8">
        <f t="shared" si="76"/>
        <v>2384.5</v>
      </c>
      <c r="CT183">
        <f t="shared" si="77"/>
        <v>1103.1876745270392</v>
      </c>
      <c r="CU183" s="143">
        <f t="shared" si="78"/>
        <v>654.20000000000005</v>
      </c>
      <c r="CV183" s="143">
        <f t="shared" si="79"/>
        <v>667.81818181818187</v>
      </c>
      <c r="CX183" s="7">
        <f t="shared" si="80"/>
        <v>120.05000000000001</v>
      </c>
      <c r="CY183" s="7">
        <f t="shared" si="81"/>
        <v>353.09999999999997</v>
      </c>
      <c r="CZ183" s="7">
        <f t="shared" si="82"/>
        <v>500</v>
      </c>
      <c r="DA183" s="7">
        <f t="shared" si="83"/>
        <v>595.75</v>
      </c>
      <c r="DB183" s="7">
        <f t="shared" si="84"/>
        <v>1093.5</v>
      </c>
      <c r="DC183" s="7">
        <f t="shared" si="85"/>
        <v>1500</v>
      </c>
      <c r="DD183" s="7">
        <f t="shared" si="86"/>
        <v>1967.5</v>
      </c>
      <c r="DE183" s="7">
        <f t="shared" si="87"/>
        <v>3500</v>
      </c>
      <c r="DF183" s="7">
        <f t="shared" si="88"/>
        <v>3500</v>
      </c>
      <c r="DH183" s="7">
        <f t="shared" si="89"/>
        <v>124.7</v>
      </c>
      <c r="DI183" s="7">
        <f t="shared" si="90"/>
        <v>311.8</v>
      </c>
      <c r="DJ183" s="7">
        <f t="shared" si="91"/>
        <v>341.6</v>
      </c>
      <c r="DK183" s="7">
        <f t="shared" si="92"/>
        <v>410.25</v>
      </c>
      <c r="DL183" s="7">
        <f t="shared" si="93"/>
        <v>723</v>
      </c>
      <c r="DM183" s="7">
        <f t="shared" si="94"/>
        <v>874.99999999999989</v>
      </c>
      <c r="DN183" s="7">
        <f t="shared" si="95"/>
        <v>926.95</v>
      </c>
      <c r="DO183" s="7">
        <f t="shared" si="96"/>
        <v>967.5</v>
      </c>
      <c r="DP183" s="7">
        <f t="shared" si="97"/>
        <v>1309.5</v>
      </c>
    </row>
    <row r="184" spans="1:120" ht="25.5" hidden="1" customHeight="1" x14ac:dyDescent="0.25">
      <c r="A184" s="92" t="str">
        <f t="shared" si="98"/>
        <v>Pkodd-WVI [6]</v>
      </c>
      <c r="B184" s="92" t="str">
        <f t="shared" si="99"/>
        <v>West Vancouver Island</v>
      </c>
      <c r="C184" s="93" t="str">
        <f t="shared" si="68"/>
        <v>TOQUART RIVER_Pink</v>
      </c>
      <c r="D184" s="128" t="s">
        <v>598</v>
      </c>
      <c r="E184" s="128" t="s">
        <v>598</v>
      </c>
      <c r="F184" s="64">
        <v>23</v>
      </c>
      <c r="G184" s="72" t="s">
        <v>143</v>
      </c>
      <c r="H184" s="65" t="s">
        <v>95</v>
      </c>
      <c r="I184" s="119"/>
      <c r="J184" s="119"/>
      <c r="K184" s="64">
        <v>3</v>
      </c>
      <c r="L184" s="52">
        <v>10</v>
      </c>
      <c r="M184" s="52">
        <v>8</v>
      </c>
      <c r="N184" s="52">
        <f t="shared" si="69"/>
        <v>7.568701853783228</v>
      </c>
      <c r="O184" s="52">
        <f t="shared" si="70"/>
        <v>200</v>
      </c>
      <c r="P184" s="52">
        <f t="shared" si="71"/>
        <v>19.07879007463006</v>
      </c>
      <c r="Q184" s="66" t="s">
        <v>270</v>
      </c>
      <c r="R184" s="37"/>
      <c r="S184" s="74"/>
      <c r="T184" s="81" t="e">
        <f t="shared" si="72"/>
        <v>#DIV/0!</v>
      </c>
      <c r="U184" s="81">
        <f t="shared" si="73"/>
        <v>35</v>
      </c>
      <c r="V184" s="232" t="s">
        <v>262</v>
      </c>
      <c r="W184" s="52" t="s">
        <v>262</v>
      </c>
      <c r="X184" s="52" t="s">
        <v>262</v>
      </c>
      <c r="Y184" s="52" t="s">
        <v>262</v>
      </c>
      <c r="Z184" s="52" t="s">
        <v>262</v>
      </c>
      <c r="AA184" s="52" t="s">
        <v>262</v>
      </c>
      <c r="AB184" s="52" t="s">
        <v>262</v>
      </c>
      <c r="AC184" s="52">
        <v>67</v>
      </c>
      <c r="AD184" s="53">
        <v>6</v>
      </c>
      <c r="AE184" s="144">
        <v>32</v>
      </c>
      <c r="AF184" s="52" t="s">
        <v>262</v>
      </c>
      <c r="AG184" s="52" t="s">
        <v>102</v>
      </c>
      <c r="AH184" s="52" t="s">
        <v>262</v>
      </c>
      <c r="AI184" s="52" t="s">
        <v>102</v>
      </c>
      <c r="AJ184" s="52" t="s">
        <v>102</v>
      </c>
      <c r="AK184" s="52" t="s">
        <v>102</v>
      </c>
      <c r="AL184" s="89" t="s">
        <v>262</v>
      </c>
      <c r="AM184" s="52" t="s">
        <v>102</v>
      </c>
      <c r="AN184" s="52" t="s">
        <v>262</v>
      </c>
      <c r="AO184" s="53">
        <v>1</v>
      </c>
      <c r="AP184" s="53">
        <v>12</v>
      </c>
      <c r="AQ184" s="53">
        <v>38</v>
      </c>
      <c r="AR184" s="53">
        <v>6</v>
      </c>
      <c r="AS184" s="52">
        <v>41</v>
      </c>
      <c r="AT184" s="52">
        <v>48</v>
      </c>
      <c r="AU184" s="52">
        <v>1</v>
      </c>
      <c r="AV184" s="52" t="s">
        <v>262</v>
      </c>
      <c r="AW184" s="52">
        <v>2</v>
      </c>
      <c r="AX184" s="51" t="s">
        <v>264</v>
      </c>
      <c r="AY184" s="53" t="s">
        <v>264</v>
      </c>
      <c r="AZ184" s="53" t="s">
        <v>264</v>
      </c>
      <c r="BA184" s="53" t="s">
        <v>264</v>
      </c>
      <c r="BB184" s="53" t="s">
        <v>264</v>
      </c>
      <c r="BC184" s="53" t="s">
        <v>264</v>
      </c>
      <c r="BD184" s="53" t="s">
        <v>264</v>
      </c>
      <c r="BE184" s="53" t="s">
        <v>262</v>
      </c>
      <c r="BF184" s="53" t="s">
        <v>102</v>
      </c>
      <c r="BG184" s="53" t="s">
        <v>264</v>
      </c>
      <c r="BH184" s="53" t="s">
        <v>262</v>
      </c>
      <c r="BI184" s="53" t="s">
        <v>264</v>
      </c>
      <c r="BJ184" s="53" t="s">
        <v>264</v>
      </c>
      <c r="BK184" s="53">
        <v>2</v>
      </c>
      <c r="BL184" s="53" t="s">
        <v>264</v>
      </c>
      <c r="BM184" s="53" t="s">
        <v>264</v>
      </c>
      <c r="BN184" s="53" t="s">
        <v>264</v>
      </c>
      <c r="BO184" s="53" t="s">
        <v>262</v>
      </c>
      <c r="BP184" s="53">
        <v>150</v>
      </c>
      <c r="BQ184" s="53" t="s">
        <v>264</v>
      </c>
      <c r="BR184" s="53" t="s">
        <v>264</v>
      </c>
      <c r="BS184" s="53" t="s">
        <v>264</v>
      </c>
      <c r="BT184" s="53" t="s">
        <v>264</v>
      </c>
      <c r="BU184" s="53" t="s">
        <v>264</v>
      </c>
      <c r="BV184" s="53" t="s">
        <v>264</v>
      </c>
      <c r="BW184" s="53" t="s">
        <v>264</v>
      </c>
      <c r="BX184" s="53" t="s">
        <v>264</v>
      </c>
      <c r="BY184" s="53" t="s">
        <v>262</v>
      </c>
      <c r="BZ184" s="53" t="s">
        <v>262</v>
      </c>
      <c r="CA184" s="53" t="s">
        <v>262</v>
      </c>
      <c r="CB184" s="53" t="s">
        <v>262</v>
      </c>
      <c r="CC184" s="53">
        <v>25</v>
      </c>
      <c r="CD184" s="53">
        <v>25</v>
      </c>
      <c r="CE184" s="53" t="s">
        <v>262</v>
      </c>
      <c r="CF184" s="53">
        <v>200</v>
      </c>
      <c r="CG184" s="53" t="s">
        <v>262</v>
      </c>
      <c r="CH184" s="53">
        <v>200</v>
      </c>
      <c r="CI184" s="53" t="s">
        <v>264</v>
      </c>
      <c r="CJ184" s="53">
        <v>200</v>
      </c>
      <c r="CK184" s="53" t="s">
        <v>264</v>
      </c>
      <c r="CL184" s="53" t="s">
        <v>262</v>
      </c>
      <c r="CM184" s="53" t="s">
        <v>262</v>
      </c>
      <c r="CN184" s="206"/>
      <c r="CO184" s="206"/>
      <c r="CP184" s="206"/>
      <c r="CQ184" s="8">
        <f t="shared" si="74"/>
        <v>1</v>
      </c>
      <c r="CR184" s="8">
        <f t="shared" si="75"/>
        <v>200</v>
      </c>
      <c r="CS184" s="8">
        <f t="shared" si="76"/>
        <v>58.666666666666664</v>
      </c>
      <c r="CT184">
        <f t="shared" si="77"/>
        <v>19.743509799153738</v>
      </c>
      <c r="CU184" s="143" t="e">
        <f t="shared" si="78"/>
        <v>#DIV/0!</v>
      </c>
      <c r="CV184" s="143">
        <f t="shared" si="79"/>
        <v>35</v>
      </c>
      <c r="CX184" s="7">
        <f t="shared" si="80"/>
        <v>1</v>
      </c>
      <c r="CY184" s="7">
        <f t="shared" si="81"/>
        <v>2</v>
      </c>
      <c r="CZ184" s="7">
        <f t="shared" si="82"/>
        <v>3.6000000000000014</v>
      </c>
      <c r="DA184" s="7">
        <f t="shared" si="83"/>
        <v>6</v>
      </c>
      <c r="DB184" s="7">
        <f t="shared" si="84"/>
        <v>28.5</v>
      </c>
      <c r="DC184" s="7">
        <f t="shared" si="85"/>
        <v>38.599999999999994</v>
      </c>
      <c r="DD184" s="7">
        <f t="shared" si="86"/>
        <v>41.350000000000009</v>
      </c>
      <c r="DE184" s="7">
        <f t="shared" si="87"/>
        <v>62.25</v>
      </c>
      <c r="DF184" s="7">
        <f t="shared" si="88"/>
        <v>172.49999999999997</v>
      </c>
      <c r="DH184" s="7">
        <f t="shared" si="89"/>
        <v>1</v>
      </c>
      <c r="DI184" s="7">
        <f t="shared" si="90"/>
        <v>1.5</v>
      </c>
      <c r="DJ184" s="7">
        <f t="shared" si="91"/>
        <v>2</v>
      </c>
      <c r="DK184" s="7">
        <f t="shared" si="92"/>
        <v>4</v>
      </c>
      <c r="DL184" s="7">
        <f t="shared" si="93"/>
        <v>12</v>
      </c>
      <c r="DM184" s="7">
        <f t="shared" si="94"/>
        <v>32</v>
      </c>
      <c r="DN184" s="7">
        <f t="shared" si="95"/>
        <v>35</v>
      </c>
      <c r="DO184" s="7">
        <f t="shared" si="96"/>
        <v>39.5</v>
      </c>
      <c r="DP184" s="7">
        <f t="shared" si="97"/>
        <v>44.5</v>
      </c>
    </row>
    <row r="185" spans="1:120" ht="25.5" hidden="1" customHeight="1" x14ac:dyDescent="0.25">
      <c r="A185" s="92" t="str">
        <f t="shared" si="98"/>
        <v>SK-L-13-17</v>
      </c>
      <c r="B185" s="92" t="str">
        <f t="shared" si="99"/>
        <v>Maggie</v>
      </c>
      <c r="C185" s="93" t="str">
        <f t="shared" si="68"/>
        <v>TOQUART RIVER_Sockeye</v>
      </c>
      <c r="D185" s="128" t="s">
        <v>598</v>
      </c>
      <c r="E185" s="128" t="s">
        <v>598</v>
      </c>
      <c r="F185" s="64">
        <v>23</v>
      </c>
      <c r="G185" s="72" t="s">
        <v>143</v>
      </c>
      <c r="H185" s="65" t="s">
        <v>91</v>
      </c>
      <c r="I185" s="119"/>
      <c r="J185" s="119"/>
      <c r="K185" s="64">
        <v>3</v>
      </c>
      <c r="L185" s="52">
        <v>10</v>
      </c>
      <c r="M185" s="52">
        <v>10</v>
      </c>
      <c r="N185" s="52">
        <f t="shared" si="69"/>
        <v>10.333969676574528</v>
      </c>
      <c r="O185" s="52">
        <f t="shared" si="70"/>
        <v>100</v>
      </c>
      <c r="P185" s="52">
        <f t="shared" si="71"/>
        <v>12.651113924733886</v>
      </c>
      <c r="Q185" s="66" t="s">
        <v>270</v>
      </c>
      <c r="R185" s="37"/>
      <c r="S185" s="74"/>
      <c r="T185" s="81">
        <f t="shared" si="72"/>
        <v>9.75</v>
      </c>
      <c r="U185" s="81">
        <f t="shared" si="73"/>
        <v>62.18181818181818</v>
      </c>
      <c r="V185" s="233">
        <v>19</v>
      </c>
      <c r="W185" s="52">
        <v>1</v>
      </c>
      <c r="X185" s="52">
        <v>2</v>
      </c>
      <c r="Y185" s="52">
        <v>17</v>
      </c>
      <c r="Z185" s="52">
        <v>3</v>
      </c>
      <c r="AA185" s="52">
        <v>36</v>
      </c>
      <c r="AB185" s="52">
        <v>30</v>
      </c>
      <c r="AC185" s="52">
        <v>497</v>
      </c>
      <c r="AD185" s="53">
        <v>35</v>
      </c>
      <c r="AE185" s="144">
        <v>15</v>
      </c>
      <c r="AF185" s="52">
        <v>29</v>
      </c>
      <c r="AG185" s="52" t="s">
        <v>102</v>
      </c>
      <c r="AH185" s="53">
        <v>30</v>
      </c>
      <c r="AI185" s="52" t="s">
        <v>102</v>
      </c>
      <c r="AJ185" s="52" t="s">
        <v>102</v>
      </c>
      <c r="AK185" s="52" t="s">
        <v>102</v>
      </c>
      <c r="AL185" s="89">
        <v>3</v>
      </c>
      <c r="AM185" s="52" t="s">
        <v>102</v>
      </c>
      <c r="AN185" s="52">
        <v>26</v>
      </c>
      <c r="AO185" s="53">
        <v>3</v>
      </c>
      <c r="AP185" s="53">
        <v>17</v>
      </c>
      <c r="AQ185" s="53">
        <v>48</v>
      </c>
      <c r="AR185" s="53">
        <v>6</v>
      </c>
      <c r="AS185" s="52">
        <v>12</v>
      </c>
      <c r="AT185" s="52">
        <v>29</v>
      </c>
      <c r="AU185" s="52">
        <v>15</v>
      </c>
      <c r="AV185" s="52">
        <v>12</v>
      </c>
      <c r="AW185" s="52">
        <v>2</v>
      </c>
      <c r="AX185" s="51" t="s">
        <v>264</v>
      </c>
      <c r="AY185" s="53">
        <v>100</v>
      </c>
      <c r="AZ185" s="53">
        <v>20</v>
      </c>
      <c r="BA185" s="53">
        <v>25</v>
      </c>
      <c r="BB185" s="53">
        <v>20</v>
      </c>
      <c r="BC185" s="53">
        <v>3</v>
      </c>
      <c r="BD185" s="53" t="s">
        <v>264</v>
      </c>
      <c r="BE185" s="53" t="s">
        <v>262</v>
      </c>
      <c r="BF185" s="53" t="s">
        <v>102</v>
      </c>
      <c r="BG185" s="53" t="s">
        <v>262</v>
      </c>
      <c r="BH185" s="53" t="s">
        <v>262</v>
      </c>
      <c r="BI185" s="53" t="s">
        <v>264</v>
      </c>
      <c r="BJ185" s="53" t="s">
        <v>264</v>
      </c>
      <c r="BK185" s="53" t="s">
        <v>264</v>
      </c>
      <c r="BL185" s="53" t="s">
        <v>264</v>
      </c>
      <c r="BM185" s="53" t="s">
        <v>264</v>
      </c>
      <c r="BN185" s="53" t="s">
        <v>264</v>
      </c>
      <c r="BO185" s="53" t="s">
        <v>264</v>
      </c>
      <c r="BP185" s="53" t="s">
        <v>264</v>
      </c>
      <c r="BQ185" s="53" t="s">
        <v>264</v>
      </c>
      <c r="BR185" s="53" t="s">
        <v>264</v>
      </c>
      <c r="BS185" s="53" t="s">
        <v>264</v>
      </c>
      <c r="BT185" s="53" t="s">
        <v>264</v>
      </c>
      <c r="BU185" s="53" t="s">
        <v>264</v>
      </c>
      <c r="BV185" s="53" t="s">
        <v>264</v>
      </c>
      <c r="BW185" s="53" t="s">
        <v>264</v>
      </c>
      <c r="BX185" s="53" t="s">
        <v>264</v>
      </c>
      <c r="BY185" s="53" t="s">
        <v>264</v>
      </c>
      <c r="BZ185" s="53" t="s">
        <v>264</v>
      </c>
      <c r="CA185" s="53" t="s">
        <v>264</v>
      </c>
      <c r="CB185" s="53" t="s">
        <v>264</v>
      </c>
      <c r="CC185" s="53" t="s">
        <v>264</v>
      </c>
      <c r="CD185" s="53" t="s">
        <v>264</v>
      </c>
      <c r="CE185" s="53" t="s">
        <v>264</v>
      </c>
      <c r="CF185" s="53" t="s">
        <v>264</v>
      </c>
      <c r="CG185" s="53" t="s">
        <v>264</v>
      </c>
      <c r="CH185" s="53" t="s">
        <v>264</v>
      </c>
      <c r="CI185" s="53" t="s">
        <v>264</v>
      </c>
      <c r="CJ185" s="53" t="s">
        <v>264</v>
      </c>
      <c r="CK185" s="53" t="s">
        <v>264</v>
      </c>
      <c r="CL185" s="53" t="s">
        <v>264</v>
      </c>
      <c r="CM185" s="53" t="s">
        <v>264</v>
      </c>
      <c r="CN185" s="206"/>
      <c r="CO185" s="206"/>
      <c r="CP185" s="206"/>
      <c r="CQ185" s="8">
        <f t="shared" si="74"/>
        <v>1</v>
      </c>
      <c r="CR185" s="8">
        <f t="shared" si="75"/>
        <v>497</v>
      </c>
      <c r="CS185" s="8">
        <f t="shared" si="76"/>
        <v>37.678571428571431</v>
      </c>
      <c r="CT185">
        <f t="shared" si="77"/>
        <v>14.254754451646559</v>
      </c>
      <c r="CU185" s="143">
        <f t="shared" si="78"/>
        <v>8.4</v>
      </c>
      <c r="CV185" s="143">
        <f t="shared" si="79"/>
        <v>62.18181818181818</v>
      </c>
      <c r="CX185" s="7">
        <f t="shared" si="80"/>
        <v>2</v>
      </c>
      <c r="CY185" s="7">
        <f t="shared" si="81"/>
        <v>3</v>
      </c>
      <c r="CZ185" s="7">
        <f t="shared" si="82"/>
        <v>3</v>
      </c>
      <c r="DA185" s="7">
        <f t="shared" si="83"/>
        <v>5.25</v>
      </c>
      <c r="DB185" s="7">
        <f t="shared" si="84"/>
        <v>18</v>
      </c>
      <c r="DC185" s="7">
        <f t="shared" si="85"/>
        <v>20.999999999999996</v>
      </c>
      <c r="DD185" s="7">
        <f t="shared" si="86"/>
        <v>25.55</v>
      </c>
      <c r="DE185" s="7">
        <f t="shared" si="87"/>
        <v>29.25</v>
      </c>
      <c r="DF185" s="7">
        <f t="shared" si="88"/>
        <v>34.75</v>
      </c>
      <c r="DH185" s="7">
        <f t="shared" si="89"/>
        <v>2</v>
      </c>
      <c r="DI185" s="7">
        <f t="shared" si="90"/>
        <v>3</v>
      </c>
      <c r="DJ185" s="7">
        <f t="shared" si="91"/>
        <v>3</v>
      </c>
      <c r="DK185" s="7">
        <f t="shared" si="92"/>
        <v>4.5</v>
      </c>
      <c r="DL185" s="7">
        <f t="shared" si="93"/>
        <v>17</v>
      </c>
      <c r="DM185" s="7">
        <f t="shared" si="94"/>
        <v>20.399999999999995</v>
      </c>
      <c r="DN185" s="7">
        <f t="shared" si="95"/>
        <v>26.900000000000002</v>
      </c>
      <c r="DO185" s="7">
        <f t="shared" si="96"/>
        <v>29.5</v>
      </c>
      <c r="DP185" s="7">
        <f t="shared" si="97"/>
        <v>33.5</v>
      </c>
    </row>
    <row r="186" spans="1:120" ht="25.5" hidden="1" customHeight="1" x14ac:dyDescent="0.25">
      <c r="A186" s="92" t="str">
        <f t="shared" si="98"/>
        <v>CM-SWVI [10]</v>
      </c>
      <c r="B186" s="92" t="str">
        <f t="shared" si="99"/>
        <v>Southwest Vancouver Island</v>
      </c>
      <c r="C186" s="93" t="str">
        <f t="shared" si="68"/>
        <v>TWIN RIVERS EAST CREEK_Chum</v>
      </c>
      <c r="D186" s="128" t="s">
        <v>598</v>
      </c>
      <c r="E186" s="128" t="s">
        <v>598</v>
      </c>
      <c r="F186" s="64">
        <v>23</v>
      </c>
      <c r="G186" s="72" t="s">
        <v>147</v>
      </c>
      <c r="H186" s="65" t="s">
        <v>96</v>
      </c>
      <c r="I186" s="119"/>
      <c r="J186" s="119"/>
      <c r="K186" s="64">
        <v>4</v>
      </c>
      <c r="L186" s="52">
        <v>9</v>
      </c>
      <c r="M186" s="52">
        <v>9</v>
      </c>
      <c r="N186" s="52">
        <f t="shared" si="69"/>
        <v>250.60103236964042</v>
      </c>
      <c r="O186" s="52">
        <f t="shared" si="70"/>
        <v>7500</v>
      </c>
      <c r="P186" s="52">
        <f t="shared" si="71"/>
        <v>684.63861131816225</v>
      </c>
      <c r="Q186" s="66"/>
      <c r="R186" s="39"/>
      <c r="S186" s="74" t="s">
        <v>345</v>
      </c>
      <c r="T186" s="81">
        <f t="shared" si="72"/>
        <v>215.5</v>
      </c>
      <c r="U186" s="81">
        <f t="shared" si="73"/>
        <v>173.71428571428572</v>
      </c>
      <c r="V186" s="233">
        <v>415</v>
      </c>
      <c r="W186" s="52">
        <v>40</v>
      </c>
      <c r="X186" s="52">
        <v>210</v>
      </c>
      <c r="Y186" s="52">
        <v>197</v>
      </c>
      <c r="Z186" s="52">
        <v>109</v>
      </c>
      <c r="AA186" s="52">
        <v>32</v>
      </c>
      <c r="AB186" s="52" t="s">
        <v>102</v>
      </c>
      <c r="AC186" s="52" t="s">
        <v>102</v>
      </c>
      <c r="AD186" s="52">
        <v>213</v>
      </c>
      <c r="AE186" s="144" t="s">
        <v>263</v>
      </c>
      <c r="AF186" s="52" t="s">
        <v>102</v>
      </c>
      <c r="AG186" s="52" t="s">
        <v>102</v>
      </c>
      <c r="AH186" s="52" t="s">
        <v>263</v>
      </c>
      <c r="AI186" s="52" t="s">
        <v>102</v>
      </c>
      <c r="AJ186" s="52" t="s">
        <v>102</v>
      </c>
      <c r="AK186" s="53">
        <v>75</v>
      </c>
      <c r="AL186" s="89">
        <v>128</v>
      </c>
      <c r="AM186" s="52" t="s">
        <v>102</v>
      </c>
      <c r="AN186" s="53">
        <v>850</v>
      </c>
      <c r="AO186" s="54"/>
      <c r="AP186" s="53">
        <v>160</v>
      </c>
      <c r="AQ186" s="52">
        <v>500</v>
      </c>
      <c r="AR186" s="52">
        <v>100</v>
      </c>
      <c r="AS186" s="52">
        <v>100</v>
      </c>
      <c r="AT186" s="52">
        <v>2500</v>
      </c>
      <c r="AU186" s="52">
        <v>1500</v>
      </c>
      <c r="AV186" s="52">
        <v>500</v>
      </c>
      <c r="AW186" s="52">
        <v>20</v>
      </c>
      <c r="AX186" s="51">
        <v>450</v>
      </c>
      <c r="AY186" s="53">
        <v>3000</v>
      </c>
      <c r="AZ186" s="53">
        <v>2000</v>
      </c>
      <c r="BA186" s="53">
        <v>450</v>
      </c>
      <c r="BB186" s="53" t="s">
        <v>102</v>
      </c>
      <c r="BC186" s="53" t="s">
        <v>102</v>
      </c>
      <c r="BD186" s="53" t="s">
        <v>102</v>
      </c>
      <c r="BE186" s="53" t="s">
        <v>102</v>
      </c>
      <c r="BF186" s="53" t="s">
        <v>102</v>
      </c>
      <c r="BG186" s="53" t="s">
        <v>102</v>
      </c>
      <c r="BH186" s="53" t="s">
        <v>264</v>
      </c>
      <c r="BI186" s="53" t="s">
        <v>264</v>
      </c>
      <c r="BJ186" s="53">
        <v>300</v>
      </c>
      <c r="BK186" s="53" t="s">
        <v>102</v>
      </c>
      <c r="BL186" s="53" t="s">
        <v>102</v>
      </c>
      <c r="BM186" s="53">
        <v>350</v>
      </c>
      <c r="BN186" s="53">
        <v>50</v>
      </c>
      <c r="BO186" s="53">
        <v>500</v>
      </c>
      <c r="BP186" s="53">
        <v>700</v>
      </c>
      <c r="BQ186" s="53">
        <v>750</v>
      </c>
      <c r="BR186" s="53">
        <v>3500</v>
      </c>
      <c r="BS186" s="53">
        <v>1500</v>
      </c>
      <c r="BT186" s="53">
        <v>3500</v>
      </c>
      <c r="BU186" s="53" t="s">
        <v>264</v>
      </c>
      <c r="BV186" s="53">
        <v>3500</v>
      </c>
      <c r="BW186" s="53">
        <v>3500</v>
      </c>
      <c r="BX186" s="53">
        <v>750</v>
      </c>
      <c r="BY186" s="53">
        <v>200</v>
      </c>
      <c r="BZ186" s="53">
        <v>3500</v>
      </c>
      <c r="CA186" s="53">
        <v>400</v>
      </c>
      <c r="CB186" s="53">
        <v>400</v>
      </c>
      <c r="CC186" s="53">
        <v>750</v>
      </c>
      <c r="CD186" s="53">
        <v>400</v>
      </c>
      <c r="CE186" s="53">
        <v>400</v>
      </c>
      <c r="CF186" s="53">
        <v>400</v>
      </c>
      <c r="CG186" s="53">
        <v>3500</v>
      </c>
      <c r="CH186" s="53">
        <v>7500</v>
      </c>
      <c r="CI186" s="53">
        <v>3500</v>
      </c>
      <c r="CJ186" s="53">
        <v>3500</v>
      </c>
      <c r="CK186" s="53">
        <v>200</v>
      </c>
      <c r="CL186" s="53">
        <v>7500</v>
      </c>
      <c r="CM186" s="53" t="s">
        <v>102</v>
      </c>
      <c r="CN186" s="206">
        <f>IF(ISERROR(AVERAGE(BV186:CM186)),CS186,AVERAGE(BV186:CM186))</f>
        <v>2347.0588235294117</v>
      </c>
      <c r="CO186" s="206"/>
      <c r="CP186" s="206"/>
      <c r="CQ186" s="8">
        <f t="shared" si="74"/>
        <v>20</v>
      </c>
      <c r="CR186" s="8">
        <f t="shared" si="75"/>
        <v>7500</v>
      </c>
      <c r="CS186" s="8">
        <f t="shared" si="76"/>
        <v>1345.8125</v>
      </c>
      <c r="CT186">
        <f t="shared" si="77"/>
        <v>535.01758207154137</v>
      </c>
      <c r="CU186" s="143">
        <f t="shared" si="78"/>
        <v>194.2</v>
      </c>
      <c r="CV186" s="143">
        <f t="shared" si="79"/>
        <v>173.71428571428572</v>
      </c>
      <c r="CX186" s="7">
        <f t="shared" si="80"/>
        <v>43.5</v>
      </c>
      <c r="CY186" s="7">
        <f t="shared" si="81"/>
        <v>109.95000000000002</v>
      </c>
      <c r="CZ186" s="7">
        <f t="shared" si="82"/>
        <v>174.8</v>
      </c>
      <c r="DA186" s="7">
        <f t="shared" si="83"/>
        <v>200</v>
      </c>
      <c r="DB186" s="7">
        <f t="shared" si="84"/>
        <v>450</v>
      </c>
      <c r="DC186" s="7">
        <f t="shared" si="85"/>
        <v>710</v>
      </c>
      <c r="DD186" s="7">
        <f t="shared" si="86"/>
        <v>750</v>
      </c>
      <c r="DE186" s="7">
        <f t="shared" si="87"/>
        <v>2125</v>
      </c>
      <c r="DF186" s="7">
        <f t="shared" si="88"/>
        <v>3500</v>
      </c>
      <c r="DH186" s="7">
        <f t="shared" si="89"/>
        <v>30.200000000000003</v>
      </c>
      <c r="DI186" s="7">
        <f t="shared" si="90"/>
        <v>59.249999999999993</v>
      </c>
      <c r="DJ186" s="7">
        <f t="shared" si="91"/>
        <v>85.000000000000014</v>
      </c>
      <c r="DK186" s="7">
        <f t="shared" si="92"/>
        <v>100</v>
      </c>
      <c r="DL186" s="7">
        <f t="shared" si="93"/>
        <v>178.5</v>
      </c>
      <c r="DM186" s="7">
        <f t="shared" si="94"/>
        <v>210.6</v>
      </c>
      <c r="DN186" s="7">
        <f t="shared" si="95"/>
        <v>223.10000000000014</v>
      </c>
      <c r="DO186" s="7">
        <f t="shared" si="96"/>
        <v>478.75</v>
      </c>
      <c r="DP186" s="7">
        <f t="shared" si="97"/>
        <v>657.49999999999977</v>
      </c>
    </row>
    <row r="187" spans="1:120" ht="25.5" hidden="1" customHeight="1" x14ac:dyDescent="0.25">
      <c r="A187" s="92" t="str">
        <f t="shared" si="98"/>
        <v>CO-WVI [17]</v>
      </c>
      <c r="B187" s="92" t="str">
        <f t="shared" si="99"/>
        <v>West Vancouver Island</v>
      </c>
      <c r="C187" s="93" t="str">
        <f t="shared" si="68"/>
        <v>TWIN RIVERS EAST CREEK_Coho</v>
      </c>
      <c r="D187" s="128" t="s">
        <v>598</v>
      </c>
      <c r="E187" s="128" t="s">
        <v>598</v>
      </c>
      <c r="F187" s="64">
        <v>23</v>
      </c>
      <c r="G187" s="72" t="s">
        <v>147</v>
      </c>
      <c r="H187" s="65" t="s">
        <v>93</v>
      </c>
      <c r="I187" s="119"/>
      <c r="J187" s="119"/>
      <c r="K187" s="64">
        <v>4</v>
      </c>
      <c r="L187" s="52">
        <v>9</v>
      </c>
      <c r="M187" s="52">
        <v>4</v>
      </c>
      <c r="N187" s="52">
        <f t="shared" si="69"/>
        <v>8.8405391544249472</v>
      </c>
      <c r="O187" s="52">
        <f t="shared" si="70"/>
        <v>400</v>
      </c>
      <c r="P187" s="52">
        <f t="shared" si="71"/>
        <v>38.814237008553576</v>
      </c>
      <c r="Q187" s="66"/>
      <c r="R187" s="39"/>
      <c r="S187" s="74" t="s">
        <v>345</v>
      </c>
      <c r="T187" s="81">
        <f t="shared" si="72"/>
        <v>30.666666666666668</v>
      </c>
      <c r="U187" s="81">
        <f t="shared" si="73"/>
        <v>40.4</v>
      </c>
      <c r="V187" s="232" t="s">
        <v>262</v>
      </c>
      <c r="W187" s="52">
        <v>26</v>
      </c>
      <c r="X187" s="52">
        <v>9</v>
      </c>
      <c r="Y187" s="52">
        <v>57</v>
      </c>
      <c r="Z187" s="52">
        <v>32</v>
      </c>
      <c r="AA187" s="52">
        <v>78</v>
      </c>
      <c r="AB187" s="52" t="s">
        <v>102</v>
      </c>
      <c r="AC187" s="52" t="s">
        <v>102</v>
      </c>
      <c r="AD187" s="52" t="s">
        <v>262</v>
      </c>
      <c r="AE187" s="144" t="s">
        <v>263</v>
      </c>
      <c r="AF187" s="52" t="s">
        <v>102</v>
      </c>
      <c r="AG187" s="52" t="s">
        <v>102</v>
      </c>
      <c r="AH187" s="52" t="s">
        <v>262</v>
      </c>
      <c r="AI187" s="52" t="s">
        <v>102</v>
      </c>
      <c r="AJ187" s="52" t="s">
        <v>102</v>
      </c>
      <c r="AK187" s="53" t="s">
        <v>262</v>
      </c>
      <c r="AL187" s="89">
        <v>5</v>
      </c>
      <c r="AM187" s="52" t="s">
        <v>102</v>
      </c>
      <c r="AN187" s="53">
        <v>30</v>
      </c>
      <c r="AO187" s="54"/>
      <c r="AP187" s="53" t="s">
        <v>262</v>
      </c>
      <c r="AQ187" s="52" t="s">
        <v>262</v>
      </c>
      <c r="AR187" s="52" t="s">
        <v>262</v>
      </c>
      <c r="AS187" s="52" t="s">
        <v>262</v>
      </c>
      <c r="AT187" s="52">
        <v>9</v>
      </c>
      <c r="AU187" s="52">
        <v>10</v>
      </c>
      <c r="AV187" s="52" t="s">
        <v>262</v>
      </c>
      <c r="AW187" s="52">
        <v>4</v>
      </c>
      <c r="AX187" s="51" t="s">
        <v>262</v>
      </c>
      <c r="AY187" s="53" t="s">
        <v>264</v>
      </c>
      <c r="AZ187" s="53" t="s">
        <v>264</v>
      </c>
      <c r="BA187" s="53" t="s">
        <v>262</v>
      </c>
      <c r="BB187" s="53" t="s">
        <v>102</v>
      </c>
      <c r="BC187" s="53" t="s">
        <v>102</v>
      </c>
      <c r="BD187" s="53" t="s">
        <v>102</v>
      </c>
      <c r="BE187" s="53" t="s">
        <v>102</v>
      </c>
      <c r="BF187" s="53" t="s">
        <v>102</v>
      </c>
      <c r="BG187" s="53" t="s">
        <v>102</v>
      </c>
      <c r="BH187" s="53" t="s">
        <v>264</v>
      </c>
      <c r="BI187" s="53" t="s">
        <v>264</v>
      </c>
      <c r="BJ187" s="53" t="s">
        <v>264</v>
      </c>
      <c r="BK187" s="53" t="s">
        <v>102</v>
      </c>
      <c r="BL187" s="53" t="s">
        <v>102</v>
      </c>
      <c r="BM187" s="53">
        <v>80</v>
      </c>
      <c r="BN187" s="53">
        <v>100</v>
      </c>
      <c r="BO187" s="53">
        <v>85</v>
      </c>
      <c r="BP187" s="53">
        <v>75</v>
      </c>
      <c r="BQ187" s="53">
        <v>75</v>
      </c>
      <c r="BR187" s="53">
        <v>75</v>
      </c>
      <c r="BS187" s="53">
        <v>200</v>
      </c>
      <c r="BT187" s="53">
        <v>75</v>
      </c>
      <c r="BU187" s="53" t="s">
        <v>264</v>
      </c>
      <c r="BV187" s="53">
        <v>200</v>
      </c>
      <c r="BW187" s="53">
        <v>400</v>
      </c>
      <c r="BX187" s="53">
        <v>75</v>
      </c>
      <c r="BY187" s="53">
        <v>75</v>
      </c>
      <c r="BZ187" s="53">
        <v>75</v>
      </c>
      <c r="CA187" s="53">
        <v>25</v>
      </c>
      <c r="CB187" s="53">
        <v>25</v>
      </c>
      <c r="CC187" s="53">
        <v>25</v>
      </c>
      <c r="CD187" s="53">
        <v>25</v>
      </c>
      <c r="CE187" s="53">
        <v>25</v>
      </c>
      <c r="CF187" s="53">
        <v>25</v>
      </c>
      <c r="CG187" s="53">
        <v>25</v>
      </c>
      <c r="CH187" s="53">
        <v>25</v>
      </c>
      <c r="CI187" s="53">
        <v>25</v>
      </c>
      <c r="CJ187" s="53">
        <v>25</v>
      </c>
      <c r="CK187" s="53">
        <v>25</v>
      </c>
      <c r="CL187" s="53">
        <v>25</v>
      </c>
      <c r="CM187" s="53" t="s">
        <v>102</v>
      </c>
      <c r="CN187" s="206"/>
      <c r="CO187" s="206"/>
      <c r="CP187" s="206"/>
      <c r="CQ187" s="8">
        <f t="shared" si="74"/>
        <v>4</v>
      </c>
      <c r="CR187" s="8">
        <f t="shared" si="75"/>
        <v>400</v>
      </c>
      <c r="CS187" s="8">
        <f t="shared" si="76"/>
        <v>61.428571428571431</v>
      </c>
      <c r="CT187">
        <f t="shared" si="77"/>
        <v>37.749934034015062</v>
      </c>
      <c r="CU187" s="143">
        <f t="shared" si="78"/>
        <v>31</v>
      </c>
      <c r="CV187" s="143">
        <f t="shared" si="79"/>
        <v>40.4</v>
      </c>
      <c r="CX187" s="7">
        <f t="shared" si="80"/>
        <v>7.8000000000000007</v>
      </c>
      <c r="CY187" s="7">
        <f t="shared" si="81"/>
        <v>25</v>
      </c>
      <c r="CZ187" s="7">
        <f t="shared" si="82"/>
        <v>25</v>
      </c>
      <c r="DA187" s="7">
        <f t="shared" si="83"/>
        <v>25</v>
      </c>
      <c r="DB187" s="7">
        <f t="shared" si="84"/>
        <v>26</v>
      </c>
      <c r="DC187" s="7">
        <f t="shared" si="85"/>
        <v>64.199999999999974</v>
      </c>
      <c r="DD187" s="7">
        <f t="shared" si="86"/>
        <v>75</v>
      </c>
      <c r="DE187" s="7">
        <f t="shared" si="87"/>
        <v>75</v>
      </c>
      <c r="DF187" s="7">
        <f t="shared" si="88"/>
        <v>79.8</v>
      </c>
      <c r="DH187" s="7">
        <f t="shared" si="89"/>
        <v>4.45</v>
      </c>
      <c r="DI187" s="7">
        <f t="shared" si="90"/>
        <v>6.3999999999999986</v>
      </c>
      <c r="DJ187" s="7">
        <f t="shared" si="91"/>
        <v>8.1999999999999993</v>
      </c>
      <c r="DK187" s="7">
        <f t="shared" si="92"/>
        <v>9</v>
      </c>
      <c r="DL187" s="7">
        <f t="shared" si="93"/>
        <v>18</v>
      </c>
      <c r="DM187" s="7">
        <f t="shared" si="94"/>
        <v>27.599999999999998</v>
      </c>
      <c r="DN187" s="7">
        <f t="shared" si="95"/>
        <v>29.400000000000002</v>
      </c>
      <c r="DO187" s="7">
        <f t="shared" si="96"/>
        <v>31.5</v>
      </c>
      <c r="DP187" s="7">
        <f t="shared" si="97"/>
        <v>48.249999999999964</v>
      </c>
    </row>
    <row r="188" spans="1:120" ht="25.5" hidden="1" customHeight="1" x14ac:dyDescent="0.25">
      <c r="A188" s="92" t="str">
        <f t="shared" si="98"/>
        <v>CM-SWVI [10]</v>
      </c>
      <c r="B188" s="92" t="str">
        <f t="shared" si="99"/>
        <v>Southwest Vancouver Island</v>
      </c>
      <c r="C188" s="93" t="str">
        <f t="shared" si="68"/>
        <v>TWIN RIVERS WEST CREEK_Chum</v>
      </c>
      <c r="D188" s="128" t="s">
        <v>598</v>
      </c>
      <c r="E188" s="128" t="s">
        <v>598</v>
      </c>
      <c r="F188" s="64">
        <v>23</v>
      </c>
      <c r="G188" s="72" t="s">
        <v>148</v>
      </c>
      <c r="H188" s="65" t="s">
        <v>96</v>
      </c>
      <c r="I188" s="119"/>
      <c r="J188" s="119"/>
      <c r="K188" s="64">
        <v>5</v>
      </c>
      <c r="L188" s="52">
        <v>4</v>
      </c>
      <c r="M188" s="52">
        <v>4</v>
      </c>
      <c r="N188" s="52">
        <f t="shared" si="69"/>
        <v>45.269723865652168</v>
      </c>
      <c r="O188" s="52">
        <f t="shared" si="70"/>
        <v>9000</v>
      </c>
      <c r="P188" s="52">
        <f t="shared" si="71"/>
        <v>303.83321551962138</v>
      </c>
      <c r="Q188" s="66"/>
      <c r="R188" s="37"/>
      <c r="S188" s="74" t="s">
        <v>346</v>
      </c>
      <c r="T188" s="81" t="e">
        <f t="shared" si="72"/>
        <v>#DIV/0!</v>
      </c>
      <c r="U188" s="81">
        <f t="shared" si="73"/>
        <v>109</v>
      </c>
      <c r="V188" s="52" t="s">
        <v>102</v>
      </c>
      <c r="W188" s="52" t="s">
        <v>102</v>
      </c>
      <c r="X188" s="52" t="s">
        <v>102</v>
      </c>
      <c r="Y188" s="198" t="s">
        <v>102</v>
      </c>
      <c r="Z188" s="198">
        <v>109</v>
      </c>
      <c r="AA188" s="52" t="s">
        <v>102</v>
      </c>
      <c r="AB188" s="52" t="s">
        <v>102</v>
      </c>
      <c r="AC188" s="52" t="s">
        <v>102</v>
      </c>
      <c r="AD188" s="52" t="s">
        <v>102</v>
      </c>
      <c r="AE188" s="144" t="s">
        <v>263</v>
      </c>
      <c r="AF188" s="52" t="s">
        <v>102</v>
      </c>
      <c r="AG188" s="52" t="s">
        <v>102</v>
      </c>
      <c r="AH188" s="52" t="s">
        <v>102</v>
      </c>
      <c r="AI188" s="52" t="s">
        <v>102</v>
      </c>
      <c r="AJ188" s="52" t="s">
        <v>102</v>
      </c>
      <c r="AK188" s="123">
        <v>75</v>
      </c>
      <c r="AL188" s="52" t="s">
        <v>102</v>
      </c>
      <c r="AM188" s="52" t="s">
        <v>102</v>
      </c>
      <c r="AN188" s="52" t="s">
        <v>102</v>
      </c>
      <c r="AO188" s="52" t="s">
        <v>102</v>
      </c>
      <c r="AP188" s="52" t="s">
        <v>102</v>
      </c>
      <c r="AQ188" s="54"/>
      <c r="AR188" s="54"/>
      <c r="AS188" s="52">
        <v>10</v>
      </c>
      <c r="AT188" s="52">
        <v>39</v>
      </c>
      <c r="AU188" s="52">
        <v>100</v>
      </c>
      <c r="AV188" s="52">
        <v>65</v>
      </c>
      <c r="AW188" s="52" t="s">
        <v>102</v>
      </c>
      <c r="AX188" s="51" t="s">
        <v>102</v>
      </c>
      <c r="AY188" s="53">
        <v>50</v>
      </c>
      <c r="AZ188" s="53">
        <v>150</v>
      </c>
      <c r="BA188" s="53">
        <v>30</v>
      </c>
      <c r="BB188" s="53">
        <v>45</v>
      </c>
      <c r="BC188" s="53" t="s">
        <v>264</v>
      </c>
      <c r="BD188" s="53" t="s">
        <v>102</v>
      </c>
      <c r="BE188" s="53" t="s">
        <v>102</v>
      </c>
      <c r="BF188" s="53" t="s">
        <v>102</v>
      </c>
      <c r="BG188" s="53" t="s">
        <v>102</v>
      </c>
      <c r="BH188" s="53" t="s">
        <v>264</v>
      </c>
      <c r="BI188" s="53">
        <v>750</v>
      </c>
      <c r="BJ188" s="53">
        <v>9000</v>
      </c>
      <c r="BK188" s="53">
        <v>500</v>
      </c>
      <c r="BL188" s="53" t="s">
        <v>102</v>
      </c>
      <c r="BM188" s="53">
        <v>450</v>
      </c>
      <c r="BN188" s="53">
        <v>150</v>
      </c>
      <c r="BO188" s="53">
        <v>2200</v>
      </c>
      <c r="BP188" s="53">
        <v>4800</v>
      </c>
      <c r="BQ188" s="53">
        <v>3000</v>
      </c>
      <c r="BR188" s="53">
        <v>3500</v>
      </c>
      <c r="BS188" s="53">
        <v>750</v>
      </c>
      <c r="BT188" s="53">
        <v>3500</v>
      </c>
      <c r="BU188" s="53">
        <v>200</v>
      </c>
      <c r="BV188" s="53">
        <v>3500</v>
      </c>
      <c r="BW188" s="53">
        <v>3500</v>
      </c>
      <c r="BX188" s="53">
        <v>400</v>
      </c>
      <c r="BY188" s="53">
        <v>200</v>
      </c>
      <c r="BZ188" s="53">
        <v>750</v>
      </c>
      <c r="CA188" s="53">
        <v>25</v>
      </c>
      <c r="CB188" s="53">
        <v>200</v>
      </c>
      <c r="CC188" s="53">
        <v>400</v>
      </c>
      <c r="CD188" s="53">
        <v>75</v>
      </c>
      <c r="CE188" s="53">
        <v>25</v>
      </c>
      <c r="CF188" s="53">
        <v>75</v>
      </c>
      <c r="CG188" s="53">
        <v>750</v>
      </c>
      <c r="CH188" s="53">
        <v>400</v>
      </c>
      <c r="CI188" s="53">
        <v>200</v>
      </c>
      <c r="CJ188" s="53">
        <v>75</v>
      </c>
      <c r="CK188" s="53">
        <v>200</v>
      </c>
      <c r="CL188" s="53">
        <v>400</v>
      </c>
      <c r="CM188" s="53">
        <v>3500</v>
      </c>
      <c r="CN188" s="206"/>
      <c r="CO188" s="206"/>
      <c r="CP188" s="206"/>
      <c r="CQ188" s="8">
        <f t="shared" si="74"/>
        <v>10</v>
      </c>
      <c r="CR188" s="8">
        <f t="shared" si="75"/>
        <v>9000</v>
      </c>
      <c r="CS188" s="8">
        <f t="shared" si="76"/>
        <v>1103.7</v>
      </c>
      <c r="CT188">
        <f t="shared" si="77"/>
        <v>296.14542720781594</v>
      </c>
      <c r="CU188" s="143">
        <f t="shared" si="78"/>
        <v>109</v>
      </c>
      <c r="CV188" s="143">
        <f t="shared" si="79"/>
        <v>109</v>
      </c>
      <c r="CX188" s="7">
        <f t="shared" si="80"/>
        <v>25</v>
      </c>
      <c r="CY188" s="7">
        <f t="shared" si="81"/>
        <v>49.25</v>
      </c>
      <c r="CZ188" s="7">
        <f t="shared" si="82"/>
        <v>73</v>
      </c>
      <c r="DA188" s="7">
        <f t="shared" si="83"/>
        <v>75</v>
      </c>
      <c r="DB188" s="7">
        <f t="shared" si="84"/>
        <v>200</v>
      </c>
      <c r="DC188" s="7">
        <f t="shared" si="85"/>
        <v>400</v>
      </c>
      <c r="DD188" s="7">
        <f t="shared" si="86"/>
        <v>467.50000000000006</v>
      </c>
      <c r="DE188" s="7">
        <f t="shared" si="87"/>
        <v>750</v>
      </c>
      <c r="DF188" s="7">
        <f t="shared" si="88"/>
        <v>3500</v>
      </c>
      <c r="DH188" s="7">
        <f t="shared" si="89"/>
        <v>17.25</v>
      </c>
      <c r="DI188" s="7">
        <f t="shared" si="90"/>
        <v>31.75</v>
      </c>
      <c r="DJ188" s="7">
        <f t="shared" si="91"/>
        <v>39</v>
      </c>
      <c r="DK188" s="7">
        <f t="shared" si="92"/>
        <v>45.5</v>
      </c>
      <c r="DL188" s="7">
        <f t="shared" si="93"/>
        <v>70</v>
      </c>
      <c r="DM188" s="7">
        <f t="shared" si="94"/>
        <v>75</v>
      </c>
      <c r="DN188" s="7">
        <f t="shared" si="95"/>
        <v>81.25</v>
      </c>
      <c r="DO188" s="7">
        <f t="shared" si="96"/>
        <v>93.75</v>
      </c>
      <c r="DP188" s="7">
        <f t="shared" si="97"/>
        <v>102.25</v>
      </c>
    </row>
    <row r="189" spans="1:120" ht="25.5" hidden="1" customHeight="1" x14ac:dyDescent="0.25">
      <c r="A189" s="92" t="str">
        <f t="shared" si="98"/>
        <v>CO-WVI [17]</v>
      </c>
      <c r="B189" s="92" t="str">
        <f t="shared" si="99"/>
        <v>West Vancouver Island</v>
      </c>
      <c r="C189" s="93" t="str">
        <f t="shared" si="68"/>
        <v>TWIN RIVERS WEST CREEK_Coho</v>
      </c>
      <c r="D189" s="128" t="s">
        <v>598</v>
      </c>
      <c r="E189" s="128" t="s">
        <v>598</v>
      </c>
      <c r="F189" s="64">
        <v>23</v>
      </c>
      <c r="G189" s="72" t="s">
        <v>148</v>
      </c>
      <c r="H189" s="65" t="s">
        <v>93</v>
      </c>
      <c r="I189" s="119"/>
      <c r="J189" s="119"/>
      <c r="K189" s="64">
        <v>5</v>
      </c>
      <c r="L189" s="52">
        <v>4</v>
      </c>
      <c r="M189" s="52">
        <v>3</v>
      </c>
      <c r="N189" s="52">
        <f t="shared" si="69"/>
        <v>1.7320508075688774</v>
      </c>
      <c r="O189" s="52">
        <f t="shared" si="70"/>
        <v>400</v>
      </c>
      <c r="P189" s="52">
        <f t="shared" si="71"/>
        <v>41.729961243506061</v>
      </c>
      <c r="Q189" s="66"/>
      <c r="R189" s="37"/>
      <c r="S189" s="74" t="s">
        <v>346</v>
      </c>
      <c r="T189" s="81" t="e">
        <f t="shared" si="72"/>
        <v>#DIV/0!</v>
      </c>
      <c r="U189" s="81" t="e">
        <f t="shared" si="73"/>
        <v>#DIV/0!</v>
      </c>
      <c r="V189" s="52" t="s">
        <v>102</v>
      </c>
      <c r="W189" s="52" t="s">
        <v>102</v>
      </c>
      <c r="X189" s="52" t="s">
        <v>102</v>
      </c>
      <c r="Y189" s="198" t="s">
        <v>102</v>
      </c>
      <c r="Z189" s="198" t="s">
        <v>262</v>
      </c>
      <c r="AA189" s="52" t="s">
        <v>102</v>
      </c>
      <c r="AB189" s="52" t="s">
        <v>102</v>
      </c>
      <c r="AC189" s="52" t="s">
        <v>102</v>
      </c>
      <c r="AD189" s="52" t="s">
        <v>102</v>
      </c>
      <c r="AE189" s="144" t="s">
        <v>263</v>
      </c>
      <c r="AF189" s="52" t="s">
        <v>102</v>
      </c>
      <c r="AG189" s="52" t="s">
        <v>102</v>
      </c>
      <c r="AH189" s="52" t="s">
        <v>102</v>
      </c>
      <c r="AI189" s="52" t="s">
        <v>102</v>
      </c>
      <c r="AJ189" s="52" t="s">
        <v>102</v>
      </c>
      <c r="AK189" s="52" t="s">
        <v>102</v>
      </c>
      <c r="AL189" s="52" t="s">
        <v>102</v>
      </c>
      <c r="AM189" s="52" t="s">
        <v>102</v>
      </c>
      <c r="AN189" s="52" t="s">
        <v>102</v>
      </c>
      <c r="AO189" s="52" t="s">
        <v>102</v>
      </c>
      <c r="AP189" s="52" t="s">
        <v>102</v>
      </c>
      <c r="AQ189" s="54"/>
      <c r="AR189" s="54"/>
      <c r="AS189" s="52">
        <v>1</v>
      </c>
      <c r="AT189" s="52">
        <v>3</v>
      </c>
      <c r="AU189" s="52" t="s">
        <v>262</v>
      </c>
      <c r="AV189" s="52" t="s">
        <v>263</v>
      </c>
      <c r="AW189" s="52" t="s">
        <v>102</v>
      </c>
      <c r="AX189" s="51" t="s">
        <v>102</v>
      </c>
      <c r="AY189" s="53" t="s">
        <v>264</v>
      </c>
      <c r="AZ189" s="53" t="s">
        <v>264</v>
      </c>
      <c r="BA189" s="53" t="s">
        <v>262</v>
      </c>
      <c r="BB189" s="53">
        <v>2</v>
      </c>
      <c r="BC189" s="53" t="s">
        <v>264</v>
      </c>
      <c r="BD189" s="53" t="s">
        <v>102</v>
      </c>
      <c r="BE189" s="53" t="s">
        <v>102</v>
      </c>
      <c r="BF189" s="53" t="s">
        <v>102</v>
      </c>
      <c r="BG189" s="53" t="s">
        <v>102</v>
      </c>
      <c r="BH189" s="53" t="s">
        <v>264</v>
      </c>
      <c r="BI189" s="53" t="s">
        <v>264</v>
      </c>
      <c r="BJ189" s="53">
        <v>32</v>
      </c>
      <c r="BK189" s="53" t="s">
        <v>264</v>
      </c>
      <c r="BL189" s="53" t="s">
        <v>102</v>
      </c>
      <c r="BM189" s="53">
        <v>150</v>
      </c>
      <c r="BN189" s="53">
        <v>180</v>
      </c>
      <c r="BO189" s="53">
        <v>150</v>
      </c>
      <c r="BP189" s="53">
        <v>175</v>
      </c>
      <c r="BQ189" s="53">
        <v>200</v>
      </c>
      <c r="BR189" s="53">
        <v>75</v>
      </c>
      <c r="BS189" s="53">
        <v>400</v>
      </c>
      <c r="BT189" s="53">
        <v>200</v>
      </c>
      <c r="BU189" s="53" t="s">
        <v>264</v>
      </c>
      <c r="BV189" s="53">
        <v>200</v>
      </c>
      <c r="BW189" s="53">
        <v>200</v>
      </c>
      <c r="BX189" s="53">
        <v>25</v>
      </c>
      <c r="BY189" s="53">
        <v>75</v>
      </c>
      <c r="BZ189" s="53">
        <v>75</v>
      </c>
      <c r="CA189" s="53">
        <v>25</v>
      </c>
      <c r="CB189" s="53">
        <v>25</v>
      </c>
      <c r="CC189" s="53">
        <v>25</v>
      </c>
      <c r="CD189" s="53">
        <v>25</v>
      </c>
      <c r="CE189" s="53">
        <v>25</v>
      </c>
      <c r="CF189" s="53">
        <v>25</v>
      </c>
      <c r="CG189" s="53">
        <v>25</v>
      </c>
      <c r="CH189" s="53">
        <v>25</v>
      </c>
      <c r="CI189" s="53">
        <v>25</v>
      </c>
      <c r="CJ189" s="53">
        <v>25</v>
      </c>
      <c r="CK189" s="53">
        <v>25</v>
      </c>
      <c r="CL189" s="53">
        <v>25</v>
      </c>
      <c r="CM189" s="53">
        <v>75</v>
      </c>
      <c r="CN189" s="206"/>
      <c r="CO189" s="206"/>
      <c r="CP189" s="206"/>
      <c r="CQ189" s="8">
        <f t="shared" si="74"/>
        <v>1</v>
      </c>
      <c r="CR189" s="8">
        <f t="shared" si="75"/>
        <v>400</v>
      </c>
      <c r="CS189" s="8">
        <f t="shared" si="76"/>
        <v>83.933333333333337</v>
      </c>
      <c r="CT189">
        <f t="shared" si="77"/>
        <v>41.729961243506061</v>
      </c>
      <c r="CU189" s="143" t="e">
        <f t="shared" si="78"/>
        <v>#DIV/0!</v>
      </c>
      <c r="CV189" s="143" t="e">
        <f t="shared" si="79"/>
        <v>#DIV/0!</v>
      </c>
      <c r="CX189" s="7">
        <f t="shared" si="80"/>
        <v>2.4500000000000002</v>
      </c>
      <c r="CY189" s="7">
        <f t="shared" si="81"/>
        <v>25</v>
      </c>
      <c r="CZ189" s="7">
        <f t="shared" si="82"/>
        <v>25</v>
      </c>
      <c r="DA189" s="7">
        <f t="shared" si="83"/>
        <v>25</v>
      </c>
      <c r="DB189" s="7">
        <f t="shared" si="84"/>
        <v>25</v>
      </c>
      <c r="DC189" s="7">
        <f t="shared" si="85"/>
        <v>75</v>
      </c>
      <c r="DD189" s="7">
        <f t="shared" si="86"/>
        <v>75</v>
      </c>
      <c r="DE189" s="7">
        <f t="shared" si="87"/>
        <v>150</v>
      </c>
      <c r="DF189" s="7">
        <f t="shared" si="88"/>
        <v>192.99999999999997</v>
      </c>
      <c r="DH189" s="7">
        <f t="shared" si="89"/>
        <v>1.1000000000000001</v>
      </c>
      <c r="DI189" s="7">
        <f t="shared" si="90"/>
        <v>1.2999999999999998</v>
      </c>
      <c r="DJ189" s="7">
        <f t="shared" si="91"/>
        <v>1.4</v>
      </c>
      <c r="DK189" s="7">
        <f t="shared" si="92"/>
        <v>1.5</v>
      </c>
      <c r="DL189" s="7">
        <f t="shared" si="93"/>
        <v>2</v>
      </c>
      <c r="DM189" s="7">
        <f t="shared" si="94"/>
        <v>2.2000000000000002</v>
      </c>
      <c r="DN189" s="7">
        <f t="shared" si="95"/>
        <v>2.2999999999999998</v>
      </c>
      <c r="DO189" s="7">
        <f t="shared" si="96"/>
        <v>2.5</v>
      </c>
      <c r="DP189" s="7">
        <f t="shared" si="97"/>
        <v>2.7</v>
      </c>
    </row>
    <row r="190" spans="1:120" ht="25.5" customHeight="1" x14ac:dyDescent="0.25">
      <c r="A190" s="92" t="str">
        <f t="shared" si="98"/>
        <v>CK-SWVI [31]</v>
      </c>
      <c r="B190" s="92" t="str">
        <f t="shared" si="99"/>
        <v>Southwest Vancouver Island</v>
      </c>
      <c r="C190" s="93" t="str">
        <f t="shared" si="68"/>
        <v>UCHUCK CREEK_Chinook</v>
      </c>
      <c r="D190" s="128" t="s">
        <v>598</v>
      </c>
      <c r="E190" s="128" t="s">
        <v>598</v>
      </c>
      <c r="F190" s="64">
        <v>23</v>
      </c>
      <c r="G190" s="72" t="s">
        <v>129</v>
      </c>
      <c r="H190" s="65" t="s">
        <v>97</v>
      </c>
      <c r="I190" s="119"/>
      <c r="J190" s="119"/>
      <c r="K190" s="64">
        <v>4</v>
      </c>
      <c r="L190" s="52">
        <v>11</v>
      </c>
      <c r="M190" s="52">
        <v>0</v>
      </c>
      <c r="N190" s="52" t="e">
        <f t="shared" si="69"/>
        <v>#NUM!</v>
      </c>
      <c r="O190" s="52">
        <f t="shared" si="70"/>
        <v>25</v>
      </c>
      <c r="P190" s="52">
        <f t="shared" si="71"/>
        <v>25</v>
      </c>
      <c r="Q190" s="66"/>
      <c r="R190" s="39"/>
      <c r="S190" s="76" t="s">
        <v>326</v>
      </c>
      <c r="T190" s="81" t="e">
        <f t="shared" si="72"/>
        <v>#DIV/0!</v>
      </c>
      <c r="U190" s="81" t="e">
        <f t="shared" si="73"/>
        <v>#DIV/0!</v>
      </c>
      <c r="V190" s="230" t="s">
        <v>262</v>
      </c>
      <c r="W190" s="52" t="s">
        <v>102</v>
      </c>
      <c r="X190" s="52" t="s">
        <v>102</v>
      </c>
      <c r="Y190" s="198" t="s">
        <v>102</v>
      </c>
      <c r="Z190" s="198" t="s">
        <v>102</v>
      </c>
      <c r="AA190" s="52" t="s">
        <v>102</v>
      </c>
      <c r="AB190" s="52" t="s">
        <v>102</v>
      </c>
      <c r="AC190" s="52" t="s">
        <v>102</v>
      </c>
      <c r="AD190" s="52" t="s">
        <v>102</v>
      </c>
      <c r="AE190" s="144" t="s">
        <v>263</v>
      </c>
      <c r="AF190" s="52" t="s">
        <v>102</v>
      </c>
      <c r="AG190" s="52" t="s">
        <v>102</v>
      </c>
      <c r="AH190" s="52" t="s">
        <v>102</v>
      </c>
      <c r="AI190" s="52" t="s">
        <v>102</v>
      </c>
      <c r="AJ190" s="52" t="s">
        <v>102</v>
      </c>
      <c r="AK190" s="52" t="s">
        <v>102</v>
      </c>
      <c r="AL190" s="52" t="s">
        <v>102</v>
      </c>
      <c r="AM190" s="57" t="s">
        <v>262</v>
      </c>
      <c r="AN190" s="57" t="s">
        <v>262</v>
      </c>
      <c r="AO190" s="57" t="s">
        <v>262</v>
      </c>
      <c r="AP190" s="53" t="s">
        <v>262</v>
      </c>
      <c r="AQ190" s="53" t="s">
        <v>262</v>
      </c>
      <c r="AR190" s="53" t="s">
        <v>262</v>
      </c>
      <c r="AS190" s="52" t="s">
        <v>262</v>
      </c>
      <c r="AT190" s="52" t="s">
        <v>262</v>
      </c>
      <c r="AU190" s="53" t="s">
        <v>262</v>
      </c>
      <c r="AV190" s="53" t="s">
        <v>262</v>
      </c>
      <c r="AW190" s="52" t="s">
        <v>262</v>
      </c>
      <c r="AX190" s="51" t="s">
        <v>264</v>
      </c>
      <c r="AY190" s="53" t="s">
        <v>264</v>
      </c>
      <c r="AZ190" s="53" t="s">
        <v>102</v>
      </c>
      <c r="BA190" s="53" t="s">
        <v>102</v>
      </c>
      <c r="BB190" s="53" t="s">
        <v>264</v>
      </c>
      <c r="BC190" s="53" t="s">
        <v>102</v>
      </c>
      <c r="BD190" s="53" t="s">
        <v>264</v>
      </c>
      <c r="BE190" s="53" t="s">
        <v>102</v>
      </c>
      <c r="BF190" s="53" t="s">
        <v>102</v>
      </c>
      <c r="BG190" s="53" t="s">
        <v>264</v>
      </c>
      <c r="BH190" s="53" t="s">
        <v>262</v>
      </c>
      <c r="BI190" s="53" t="s">
        <v>264</v>
      </c>
      <c r="BJ190" s="53" t="s">
        <v>264</v>
      </c>
      <c r="BK190" s="53" t="s">
        <v>264</v>
      </c>
      <c r="BL190" s="53" t="s">
        <v>264</v>
      </c>
      <c r="BM190" s="53" t="s">
        <v>264</v>
      </c>
      <c r="BN190" s="53" t="s">
        <v>264</v>
      </c>
      <c r="BO190" s="53" t="s">
        <v>264</v>
      </c>
      <c r="BP190" s="53" t="s">
        <v>264</v>
      </c>
      <c r="BQ190" s="53" t="s">
        <v>264</v>
      </c>
      <c r="BR190" s="53" t="s">
        <v>264</v>
      </c>
      <c r="BS190" s="53" t="s">
        <v>264</v>
      </c>
      <c r="BT190" s="53" t="s">
        <v>264</v>
      </c>
      <c r="BU190" s="53" t="s">
        <v>264</v>
      </c>
      <c r="BV190" s="53" t="s">
        <v>264</v>
      </c>
      <c r="BW190" s="53" t="s">
        <v>264</v>
      </c>
      <c r="BX190" s="53" t="s">
        <v>264</v>
      </c>
      <c r="BY190" s="53" t="s">
        <v>264</v>
      </c>
      <c r="BZ190" s="53" t="s">
        <v>264</v>
      </c>
      <c r="CA190" s="53" t="s">
        <v>264</v>
      </c>
      <c r="CB190" s="53" t="s">
        <v>264</v>
      </c>
      <c r="CC190" s="53" t="s">
        <v>264</v>
      </c>
      <c r="CD190" s="53" t="s">
        <v>264</v>
      </c>
      <c r="CE190" s="53" t="s">
        <v>264</v>
      </c>
      <c r="CF190" s="53" t="s">
        <v>264</v>
      </c>
      <c r="CG190" s="53" t="s">
        <v>264</v>
      </c>
      <c r="CH190" s="53" t="s">
        <v>264</v>
      </c>
      <c r="CI190" s="53">
        <v>25</v>
      </c>
      <c r="CJ190" s="53" t="s">
        <v>264</v>
      </c>
      <c r="CK190" s="53" t="s">
        <v>264</v>
      </c>
      <c r="CL190" s="53" t="s">
        <v>264</v>
      </c>
      <c r="CM190" s="53">
        <v>25</v>
      </c>
      <c r="CN190" s="206"/>
      <c r="CO190" s="206"/>
      <c r="CP190" s="206"/>
      <c r="CQ190" s="8">
        <f t="shared" si="74"/>
        <v>25</v>
      </c>
      <c r="CR190" s="8">
        <f t="shared" si="75"/>
        <v>25</v>
      </c>
      <c r="CS190" s="8">
        <f t="shared" si="76"/>
        <v>25</v>
      </c>
      <c r="CT190">
        <f t="shared" si="77"/>
        <v>25</v>
      </c>
      <c r="CU190" s="143" t="e">
        <f t="shared" si="78"/>
        <v>#DIV/0!</v>
      </c>
      <c r="CV190" s="143" t="e">
        <f t="shared" si="79"/>
        <v>#DIV/0!</v>
      </c>
      <c r="CX190" s="7">
        <f t="shared" si="80"/>
        <v>25</v>
      </c>
      <c r="CY190" s="7">
        <f t="shared" si="81"/>
        <v>25</v>
      </c>
      <c r="CZ190" s="7">
        <f t="shared" si="82"/>
        <v>25</v>
      </c>
      <c r="DA190" s="7">
        <f t="shared" si="83"/>
        <v>25</v>
      </c>
      <c r="DB190" s="7">
        <f t="shared" si="84"/>
        <v>25</v>
      </c>
      <c r="DC190" s="7">
        <f t="shared" si="85"/>
        <v>25</v>
      </c>
      <c r="DD190" s="7">
        <f t="shared" si="86"/>
        <v>25</v>
      </c>
      <c r="DE190" s="7">
        <f t="shared" si="87"/>
        <v>25</v>
      </c>
      <c r="DF190" s="7">
        <f t="shared" si="88"/>
        <v>25</v>
      </c>
      <c r="DH190" s="7" t="e">
        <f t="shared" si="89"/>
        <v>#NUM!</v>
      </c>
      <c r="DI190" s="7" t="e">
        <f t="shared" si="90"/>
        <v>#NUM!</v>
      </c>
      <c r="DJ190" s="7" t="e">
        <f t="shared" si="91"/>
        <v>#NUM!</v>
      </c>
      <c r="DK190" s="7" t="e">
        <f t="shared" si="92"/>
        <v>#NUM!</v>
      </c>
      <c r="DL190" s="7" t="e">
        <f t="shared" si="93"/>
        <v>#NUM!</v>
      </c>
      <c r="DM190" s="7" t="e">
        <f t="shared" si="94"/>
        <v>#NUM!</v>
      </c>
      <c r="DN190" s="7" t="e">
        <f t="shared" si="95"/>
        <v>#NUM!</v>
      </c>
      <c r="DO190" s="7" t="e">
        <f t="shared" si="96"/>
        <v>#NUM!</v>
      </c>
      <c r="DP190" s="7" t="e">
        <f t="shared" si="97"/>
        <v>#NUM!</v>
      </c>
    </row>
    <row r="191" spans="1:120" ht="25.5" hidden="1" customHeight="1" x14ac:dyDescent="0.25">
      <c r="A191" s="92" t="str">
        <f t="shared" si="98"/>
        <v>CM-SWVI [10]</v>
      </c>
      <c r="B191" s="92" t="str">
        <f t="shared" si="99"/>
        <v>Southwest Vancouver Island</v>
      </c>
      <c r="C191" s="93" t="str">
        <f t="shared" si="68"/>
        <v>UCHUCK CREEK_Chum</v>
      </c>
      <c r="D191" s="128" t="s">
        <v>598</v>
      </c>
      <c r="E191" s="128" t="s">
        <v>598</v>
      </c>
      <c r="F191" s="64">
        <v>23</v>
      </c>
      <c r="G191" s="72" t="s">
        <v>129</v>
      </c>
      <c r="H191" s="65" t="s">
        <v>96</v>
      </c>
      <c r="I191" s="119"/>
      <c r="J191" s="119"/>
      <c r="K191" s="64">
        <v>4</v>
      </c>
      <c r="L191" s="52">
        <v>11</v>
      </c>
      <c r="M191" s="52">
        <v>8</v>
      </c>
      <c r="N191" s="52">
        <f t="shared" si="69"/>
        <v>1456.1521142007714</v>
      </c>
      <c r="O191" s="52">
        <f t="shared" si="70"/>
        <v>10000</v>
      </c>
      <c r="P191" s="52">
        <f t="shared" si="71"/>
        <v>2451.8749559469306</v>
      </c>
      <c r="Q191" s="66"/>
      <c r="R191" s="39"/>
      <c r="S191" s="76" t="s">
        <v>326</v>
      </c>
      <c r="T191" s="81">
        <f t="shared" si="72"/>
        <v>19</v>
      </c>
      <c r="U191" s="81">
        <f t="shared" si="73"/>
        <v>111.5</v>
      </c>
      <c r="V191" s="230">
        <v>19</v>
      </c>
      <c r="W191" s="52" t="s">
        <v>102</v>
      </c>
      <c r="X191" s="52" t="s">
        <v>102</v>
      </c>
      <c r="Y191" s="198" t="s">
        <v>102</v>
      </c>
      <c r="Z191" s="198" t="s">
        <v>102</v>
      </c>
      <c r="AA191" s="52" t="s">
        <v>102</v>
      </c>
      <c r="AB191" s="52" t="s">
        <v>102</v>
      </c>
      <c r="AC191" s="52" t="s">
        <v>102</v>
      </c>
      <c r="AD191" s="52" t="s">
        <v>102</v>
      </c>
      <c r="AE191" s="144">
        <v>204</v>
      </c>
      <c r="AF191" s="52" t="s">
        <v>102</v>
      </c>
      <c r="AG191" s="52" t="s">
        <v>102</v>
      </c>
      <c r="AH191" s="52" t="s">
        <v>102</v>
      </c>
      <c r="AI191" s="52" t="s">
        <v>102</v>
      </c>
      <c r="AJ191" s="52" t="s">
        <v>102</v>
      </c>
      <c r="AK191" s="52" t="s">
        <v>102</v>
      </c>
      <c r="AL191" s="52" t="s">
        <v>102</v>
      </c>
      <c r="AM191" s="52">
        <v>7500</v>
      </c>
      <c r="AN191" s="52">
        <v>4267</v>
      </c>
      <c r="AO191" s="53">
        <v>2750</v>
      </c>
      <c r="AP191" s="53">
        <v>1500</v>
      </c>
      <c r="AQ191" s="53">
        <v>500</v>
      </c>
      <c r="AR191" s="53" t="s">
        <v>262</v>
      </c>
      <c r="AS191" s="52" t="s">
        <v>262</v>
      </c>
      <c r="AT191" s="52" t="s">
        <v>262</v>
      </c>
      <c r="AU191" s="52">
        <v>500</v>
      </c>
      <c r="AV191" s="52">
        <v>2450</v>
      </c>
      <c r="AW191" s="52">
        <v>250</v>
      </c>
      <c r="AX191" s="51">
        <v>2500</v>
      </c>
      <c r="AY191" s="53">
        <v>5500</v>
      </c>
      <c r="AZ191" s="53" t="s">
        <v>102</v>
      </c>
      <c r="BA191" s="53" t="s">
        <v>102</v>
      </c>
      <c r="BB191" s="53">
        <v>250</v>
      </c>
      <c r="BC191" s="53" t="s">
        <v>102</v>
      </c>
      <c r="BD191" s="53">
        <v>1000</v>
      </c>
      <c r="BE191" s="53" t="s">
        <v>102</v>
      </c>
      <c r="BF191" s="53" t="s">
        <v>102</v>
      </c>
      <c r="BG191" s="53">
        <v>1000</v>
      </c>
      <c r="BH191" s="53">
        <v>1010</v>
      </c>
      <c r="BI191" s="53" t="s">
        <v>264</v>
      </c>
      <c r="BJ191" s="53">
        <v>2700</v>
      </c>
      <c r="BK191" s="53">
        <v>1000</v>
      </c>
      <c r="BL191" s="53">
        <v>5000</v>
      </c>
      <c r="BM191" s="53">
        <v>500</v>
      </c>
      <c r="BN191" s="53">
        <v>2500</v>
      </c>
      <c r="BO191" s="53">
        <v>3500</v>
      </c>
      <c r="BP191" s="53">
        <v>4400</v>
      </c>
      <c r="BQ191" s="53">
        <v>6000</v>
      </c>
      <c r="BR191" s="53">
        <v>10000</v>
      </c>
      <c r="BS191" s="53">
        <v>5500</v>
      </c>
      <c r="BT191" s="53">
        <v>3500</v>
      </c>
      <c r="BU191" s="53">
        <v>7500</v>
      </c>
      <c r="BV191" s="53">
        <v>7500</v>
      </c>
      <c r="BW191" s="53">
        <v>7500</v>
      </c>
      <c r="BX191" s="53">
        <v>3500</v>
      </c>
      <c r="BY191" s="53">
        <v>1500</v>
      </c>
      <c r="BZ191" s="53">
        <v>3500</v>
      </c>
      <c r="CA191" s="53">
        <v>1500</v>
      </c>
      <c r="CB191" s="53">
        <v>1500</v>
      </c>
      <c r="CC191" s="53">
        <v>750</v>
      </c>
      <c r="CD191" s="53">
        <v>3500</v>
      </c>
      <c r="CE191" s="53">
        <v>1500</v>
      </c>
      <c r="CF191" s="53">
        <v>1500</v>
      </c>
      <c r="CG191" s="53">
        <v>3500</v>
      </c>
      <c r="CH191" s="53">
        <v>7500</v>
      </c>
      <c r="CI191" s="53">
        <v>7500</v>
      </c>
      <c r="CJ191" s="53">
        <v>3500</v>
      </c>
      <c r="CK191" s="53">
        <v>3500</v>
      </c>
      <c r="CL191" s="53">
        <v>7500</v>
      </c>
      <c r="CM191" s="53">
        <v>3500</v>
      </c>
      <c r="CN191" s="206"/>
      <c r="CO191" s="206"/>
      <c r="CP191" s="206"/>
      <c r="CQ191" s="8">
        <f t="shared" si="74"/>
        <v>19</v>
      </c>
      <c r="CR191" s="8">
        <f t="shared" si="75"/>
        <v>10000</v>
      </c>
      <c r="CS191" s="8">
        <f t="shared" si="76"/>
        <v>3338.0434782608695</v>
      </c>
      <c r="CT191">
        <f t="shared" si="77"/>
        <v>2089.9561223081232</v>
      </c>
      <c r="CU191" s="143">
        <f t="shared" si="78"/>
        <v>19</v>
      </c>
      <c r="CV191" s="143">
        <f t="shared" si="79"/>
        <v>111.5</v>
      </c>
      <c r="CX191" s="7">
        <f t="shared" si="80"/>
        <v>250</v>
      </c>
      <c r="CY191" s="7">
        <f t="shared" si="81"/>
        <v>687.5</v>
      </c>
      <c r="CZ191" s="7">
        <f t="shared" si="82"/>
        <v>1000</v>
      </c>
      <c r="DA191" s="7">
        <f t="shared" si="83"/>
        <v>1132.5</v>
      </c>
      <c r="DB191" s="7">
        <f t="shared" si="84"/>
        <v>3125</v>
      </c>
      <c r="DC191" s="7">
        <f t="shared" si="85"/>
        <v>3500</v>
      </c>
      <c r="DD191" s="7">
        <f t="shared" si="86"/>
        <v>3500</v>
      </c>
      <c r="DE191" s="7">
        <f t="shared" si="87"/>
        <v>4850</v>
      </c>
      <c r="DF191" s="7">
        <f t="shared" si="88"/>
        <v>7500</v>
      </c>
      <c r="DH191" s="7">
        <f t="shared" si="89"/>
        <v>102.24999999999999</v>
      </c>
      <c r="DI191" s="7">
        <f t="shared" si="90"/>
        <v>220.1</v>
      </c>
      <c r="DJ191" s="7">
        <f t="shared" si="91"/>
        <v>240.79999999999998</v>
      </c>
      <c r="DK191" s="7">
        <f t="shared" si="92"/>
        <v>312.5</v>
      </c>
      <c r="DL191" s="7">
        <f t="shared" si="93"/>
        <v>1000</v>
      </c>
      <c r="DM191" s="7">
        <f t="shared" si="94"/>
        <v>1879.9999999999995</v>
      </c>
      <c r="DN191" s="7">
        <f t="shared" si="95"/>
        <v>2307.5000000000005</v>
      </c>
      <c r="DO191" s="7">
        <f t="shared" si="96"/>
        <v>2675</v>
      </c>
      <c r="DP191" s="7">
        <f t="shared" si="97"/>
        <v>3736.0499999999979</v>
      </c>
    </row>
    <row r="192" spans="1:120" ht="25.5" hidden="1" customHeight="1" x14ac:dyDescent="0.25">
      <c r="A192" s="92" t="str">
        <f t="shared" si="98"/>
        <v>CO-WVI [17]</v>
      </c>
      <c r="B192" s="92" t="str">
        <f t="shared" si="99"/>
        <v>West Vancouver Island</v>
      </c>
      <c r="C192" s="93" t="str">
        <f t="shared" si="68"/>
        <v>UCHUCK CREEK_Coho</v>
      </c>
      <c r="D192" s="128" t="s">
        <v>598</v>
      </c>
      <c r="E192" s="128" t="s">
        <v>598</v>
      </c>
      <c r="F192" s="64">
        <v>23</v>
      </c>
      <c r="G192" s="72" t="s">
        <v>129</v>
      </c>
      <c r="H192" s="65" t="s">
        <v>93</v>
      </c>
      <c r="I192" s="119"/>
      <c r="J192" s="119"/>
      <c r="K192" s="64">
        <v>4</v>
      </c>
      <c r="L192" s="52">
        <v>11</v>
      </c>
      <c r="M192" s="52">
        <v>2</v>
      </c>
      <c r="N192" s="52">
        <f t="shared" si="69"/>
        <v>51.234753829797988</v>
      </c>
      <c r="O192" s="52">
        <f t="shared" si="70"/>
        <v>3500</v>
      </c>
      <c r="P192" s="52">
        <f t="shared" si="71"/>
        <v>156.3376381578704</v>
      </c>
      <c r="Q192" s="66"/>
      <c r="R192" s="39"/>
      <c r="S192" s="76" t="s">
        <v>326</v>
      </c>
      <c r="T192" s="81">
        <f t="shared" si="72"/>
        <v>4</v>
      </c>
      <c r="U192" s="81">
        <f t="shared" si="73"/>
        <v>20</v>
      </c>
      <c r="V192" s="230">
        <v>4</v>
      </c>
      <c r="W192" s="52" t="s">
        <v>102</v>
      </c>
      <c r="X192" s="52" t="s">
        <v>102</v>
      </c>
      <c r="Y192" s="198" t="s">
        <v>102</v>
      </c>
      <c r="Z192" s="198" t="s">
        <v>262</v>
      </c>
      <c r="AA192" s="52" t="s">
        <v>102</v>
      </c>
      <c r="AB192" s="52" t="s">
        <v>102</v>
      </c>
      <c r="AC192" s="52" t="s">
        <v>102</v>
      </c>
      <c r="AD192" s="52" t="s">
        <v>102</v>
      </c>
      <c r="AE192" s="144">
        <v>36</v>
      </c>
      <c r="AF192" s="52" t="s">
        <v>102</v>
      </c>
      <c r="AG192" s="52" t="s">
        <v>102</v>
      </c>
      <c r="AH192" s="52" t="s">
        <v>102</v>
      </c>
      <c r="AI192" s="52" t="s">
        <v>102</v>
      </c>
      <c r="AJ192" s="52" t="s">
        <v>102</v>
      </c>
      <c r="AK192" s="52" t="s">
        <v>102</v>
      </c>
      <c r="AL192" s="52" t="s">
        <v>102</v>
      </c>
      <c r="AM192" s="57" t="s">
        <v>262</v>
      </c>
      <c r="AN192" s="53" t="s">
        <v>262</v>
      </c>
      <c r="AO192" s="53" t="s">
        <v>262</v>
      </c>
      <c r="AP192" s="53" t="s">
        <v>262</v>
      </c>
      <c r="AQ192" s="53">
        <v>75</v>
      </c>
      <c r="AR192" s="53" t="s">
        <v>262</v>
      </c>
      <c r="AS192" s="52" t="s">
        <v>262</v>
      </c>
      <c r="AT192" s="52" t="s">
        <v>262</v>
      </c>
      <c r="AU192" s="52" t="s">
        <v>262</v>
      </c>
      <c r="AV192" s="52" t="s">
        <v>262</v>
      </c>
      <c r="AW192" s="52">
        <v>35</v>
      </c>
      <c r="AX192" s="51" t="s">
        <v>262</v>
      </c>
      <c r="AY192" s="53" t="s">
        <v>264</v>
      </c>
      <c r="AZ192" s="53" t="s">
        <v>102</v>
      </c>
      <c r="BA192" s="53" t="s">
        <v>102</v>
      </c>
      <c r="BB192" s="53" t="s">
        <v>264</v>
      </c>
      <c r="BC192" s="53" t="s">
        <v>102</v>
      </c>
      <c r="BD192" s="53" t="s">
        <v>262</v>
      </c>
      <c r="BE192" s="53" t="s">
        <v>102</v>
      </c>
      <c r="BF192" s="53" t="s">
        <v>102</v>
      </c>
      <c r="BG192" s="53" t="s">
        <v>264</v>
      </c>
      <c r="BH192" s="53" t="s">
        <v>264</v>
      </c>
      <c r="BI192" s="53" t="s">
        <v>264</v>
      </c>
      <c r="BJ192" s="53" t="s">
        <v>264</v>
      </c>
      <c r="BK192" s="53" t="s">
        <v>264</v>
      </c>
      <c r="BL192" s="53" t="s">
        <v>264</v>
      </c>
      <c r="BM192" s="53">
        <v>360</v>
      </c>
      <c r="BN192" s="53">
        <v>500</v>
      </c>
      <c r="BO192" s="53">
        <v>390</v>
      </c>
      <c r="BP192" s="53">
        <v>325</v>
      </c>
      <c r="BQ192" s="53">
        <v>200</v>
      </c>
      <c r="BR192" s="53">
        <v>400</v>
      </c>
      <c r="BS192" s="53">
        <v>400</v>
      </c>
      <c r="BT192" s="53">
        <v>200</v>
      </c>
      <c r="BU192" s="53">
        <v>400</v>
      </c>
      <c r="BV192" s="53">
        <v>400</v>
      </c>
      <c r="BW192" s="53">
        <v>400</v>
      </c>
      <c r="BX192" s="53">
        <v>200</v>
      </c>
      <c r="BY192" s="53">
        <v>25</v>
      </c>
      <c r="BZ192" s="53">
        <v>25</v>
      </c>
      <c r="CA192" s="53">
        <v>75</v>
      </c>
      <c r="CB192" s="53">
        <v>25</v>
      </c>
      <c r="CC192" s="53">
        <v>25</v>
      </c>
      <c r="CD192" s="53">
        <v>200</v>
      </c>
      <c r="CE192" s="53">
        <v>200</v>
      </c>
      <c r="CF192" s="53">
        <v>25</v>
      </c>
      <c r="CG192" s="53">
        <v>75</v>
      </c>
      <c r="CH192" s="53">
        <v>200</v>
      </c>
      <c r="CI192" s="53">
        <v>25</v>
      </c>
      <c r="CJ192" s="53">
        <v>75</v>
      </c>
      <c r="CK192" s="53">
        <v>400</v>
      </c>
      <c r="CL192" s="53">
        <v>750</v>
      </c>
      <c r="CM192" s="53">
        <v>3500</v>
      </c>
      <c r="CN192" s="206"/>
      <c r="CO192" s="206"/>
      <c r="CP192" s="206"/>
      <c r="CQ192" s="8">
        <f t="shared" si="74"/>
        <v>4</v>
      </c>
      <c r="CR192" s="8">
        <f t="shared" si="75"/>
        <v>3500</v>
      </c>
      <c r="CS192" s="8">
        <f t="shared" si="76"/>
        <v>320.96774193548384</v>
      </c>
      <c r="CT192">
        <f t="shared" si="77"/>
        <v>132.4755271316632</v>
      </c>
      <c r="CU192" s="143">
        <f t="shared" si="78"/>
        <v>4</v>
      </c>
      <c r="CV192" s="143">
        <f t="shared" si="79"/>
        <v>20</v>
      </c>
      <c r="CX192" s="7">
        <f t="shared" si="80"/>
        <v>25</v>
      </c>
      <c r="CY192" s="7">
        <f t="shared" si="81"/>
        <v>25</v>
      </c>
      <c r="CZ192" s="7">
        <f t="shared" si="82"/>
        <v>25</v>
      </c>
      <c r="DA192" s="7">
        <f t="shared" si="83"/>
        <v>35.5</v>
      </c>
      <c r="DB192" s="7">
        <f t="shared" si="84"/>
        <v>200</v>
      </c>
      <c r="DC192" s="7">
        <f t="shared" si="85"/>
        <v>200</v>
      </c>
      <c r="DD192" s="7">
        <f t="shared" si="86"/>
        <v>342.5</v>
      </c>
      <c r="DE192" s="7">
        <f t="shared" si="87"/>
        <v>400</v>
      </c>
      <c r="DF192" s="7">
        <f t="shared" si="88"/>
        <v>400</v>
      </c>
      <c r="DH192" s="7">
        <f t="shared" si="89"/>
        <v>8.6499999999999968</v>
      </c>
      <c r="DI192" s="7">
        <f t="shared" si="90"/>
        <v>17.95</v>
      </c>
      <c r="DJ192" s="7">
        <f t="shared" si="91"/>
        <v>22.6</v>
      </c>
      <c r="DK192" s="7">
        <f t="shared" si="92"/>
        <v>27.25</v>
      </c>
      <c r="DL192" s="7">
        <f t="shared" si="93"/>
        <v>35.5</v>
      </c>
      <c r="DM192" s="7">
        <f t="shared" si="94"/>
        <v>35.799999999999997</v>
      </c>
      <c r="DN192" s="7">
        <f t="shared" si="95"/>
        <v>35.950000000000003</v>
      </c>
      <c r="DO192" s="7">
        <f t="shared" si="96"/>
        <v>45.75</v>
      </c>
      <c r="DP192" s="7">
        <f t="shared" si="97"/>
        <v>57.449999999999989</v>
      </c>
    </row>
    <row r="193" spans="1:130" ht="25.5" hidden="1" customHeight="1" x14ac:dyDescent="0.25">
      <c r="A193" s="92" t="str">
        <f t="shared" si="98"/>
        <v>CM-SWVI [10]</v>
      </c>
      <c r="B193" s="92" t="str">
        <f t="shared" si="99"/>
        <v>Southwest Vancouver Island</v>
      </c>
      <c r="C193" s="93" t="str">
        <f t="shared" si="68"/>
        <v>USELESS CREEK_Chum</v>
      </c>
      <c r="D193" s="128" t="s">
        <v>598</v>
      </c>
      <c r="E193" s="128" t="s">
        <v>598</v>
      </c>
      <c r="F193" s="64">
        <v>23</v>
      </c>
      <c r="G193" s="72" t="s">
        <v>131</v>
      </c>
      <c r="H193" s="65" t="s">
        <v>96</v>
      </c>
      <c r="I193" s="119"/>
      <c r="J193" s="119"/>
      <c r="K193" s="64">
        <v>5</v>
      </c>
      <c r="L193" s="52">
        <v>6</v>
      </c>
      <c r="M193" s="52">
        <v>3</v>
      </c>
      <c r="N193" s="52">
        <f t="shared" si="69"/>
        <v>34.641016151377549</v>
      </c>
      <c r="O193" s="52">
        <f t="shared" si="70"/>
        <v>750</v>
      </c>
      <c r="P193" s="52">
        <f t="shared" si="71"/>
        <v>142.53164294927632</v>
      </c>
      <c r="Q193" s="66"/>
      <c r="R193" s="37"/>
      <c r="S193" s="76" t="s">
        <v>347</v>
      </c>
      <c r="T193" s="81" t="e">
        <f t="shared" si="72"/>
        <v>#DIV/0!</v>
      </c>
      <c r="U193" s="81" t="e">
        <f t="shared" si="73"/>
        <v>#DIV/0!</v>
      </c>
      <c r="V193" s="52" t="s">
        <v>102</v>
      </c>
      <c r="W193" s="52" t="s">
        <v>102</v>
      </c>
      <c r="X193" s="52" t="s">
        <v>102</v>
      </c>
      <c r="Y193" s="52" t="s">
        <v>102</v>
      </c>
      <c r="Z193" s="52" t="s">
        <v>102</v>
      </c>
      <c r="AA193" s="52" t="s">
        <v>102</v>
      </c>
      <c r="AB193" s="52" t="s">
        <v>102</v>
      </c>
      <c r="AC193" s="52" t="s">
        <v>102</v>
      </c>
      <c r="AD193" s="52" t="s">
        <v>102</v>
      </c>
      <c r="AE193" s="52" t="s">
        <v>102</v>
      </c>
      <c r="AF193" s="52" t="s">
        <v>102</v>
      </c>
      <c r="AG193" s="52" t="s">
        <v>102</v>
      </c>
      <c r="AH193" s="52" t="s">
        <v>102</v>
      </c>
      <c r="AI193" s="52" t="s">
        <v>102</v>
      </c>
      <c r="AJ193" s="52" t="s">
        <v>102</v>
      </c>
      <c r="AK193" s="52" t="s">
        <v>102</v>
      </c>
      <c r="AL193" s="52" t="s">
        <v>102</v>
      </c>
      <c r="AM193" s="52" t="s">
        <v>102</v>
      </c>
      <c r="AN193" s="52" t="s">
        <v>262</v>
      </c>
      <c r="AO193" s="52" t="s">
        <v>102</v>
      </c>
      <c r="AP193" s="52" t="s">
        <v>102</v>
      </c>
      <c r="AQ193" s="52" t="s">
        <v>102</v>
      </c>
      <c r="AR193" s="53" t="s">
        <v>262</v>
      </c>
      <c r="AS193" s="52" t="s">
        <v>102</v>
      </c>
      <c r="AT193" s="52">
        <v>100</v>
      </c>
      <c r="AU193" s="52" t="s">
        <v>263</v>
      </c>
      <c r="AV193" s="52">
        <v>12</v>
      </c>
      <c r="AW193" s="52" t="s">
        <v>262</v>
      </c>
      <c r="AX193" s="51">
        <v>15</v>
      </c>
      <c r="AY193" s="53" t="s">
        <v>102</v>
      </c>
      <c r="AZ193" s="53" t="s">
        <v>102</v>
      </c>
      <c r="BA193" s="53" t="s">
        <v>264</v>
      </c>
      <c r="BB193" s="53" t="s">
        <v>102</v>
      </c>
      <c r="BC193" s="53" t="s">
        <v>102</v>
      </c>
      <c r="BD193" s="53" t="s">
        <v>102</v>
      </c>
      <c r="BE193" s="53" t="s">
        <v>102</v>
      </c>
      <c r="BF193" s="53">
        <v>200</v>
      </c>
      <c r="BG193" s="53" t="s">
        <v>102</v>
      </c>
      <c r="BH193" s="53" t="s">
        <v>264</v>
      </c>
      <c r="BI193" s="53" t="s">
        <v>264</v>
      </c>
      <c r="BJ193" s="53" t="s">
        <v>102</v>
      </c>
      <c r="BK193" s="53" t="s">
        <v>264</v>
      </c>
      <c r="BL193" s="53" t="s">
        <v>264</v>
      </c>
      <c r="BM193" s="53">
        <v>30</v>
      </c>
      <c r="BN193" s="53">
        <v>300</v>
      </c>
      <c r="BO193" s="53">
        <v>685</v>
      </c>
      <c r="BP193" s="53">
        <v>700</v>
      </c>
      <c r="BQ193" s="53">
        <v>75</v>
      </c>
      <c r="BR193" s="53">
        <v>200</v>
      </c>
      <c r="BS193" s="53">
        <v>750</v>
      </c>
      <c r="BT193" s="53">
        <v>400</v>
      </c>
      <c r="BU193" s="53">
        <v>25</v>
      </c>
      <c r="BV193" s="53">
        <v>750</v>
      </c>
      <c r="BW193" s="53">
        <v>750</v>
      </c>
      <c r="BX193" s="53">
        <v>200</v>
      </c>
      <c r="BY193" s="53">
        <v>75</v>
      </c>
      <c r="BZ193" s="53">
        <v>75</v>
      </c>
      <c r="CA193" s="53">
        <v>75</v>
      </c>
      <c r="CB193" s="53">
        <v>75</v>
      </c>
      <c r="CC193" s="53">
        <v>25</v>
      </c>
      <c r="CD193" s="53">
        <v>25</v>
      </c>
      <c r="CE193" s="53">
        <v>75</v>
      </c>
      <c r="CF193" s="53">
        <v>75</v>
      </c>
      <c r="CG193" s="53">
        <v>400</v>
      </c>
      <c r="CH193" s="53">
        <v>200</v>
      </c>
      <c r="CI193" s="53">
        <v>400</v>
      </c>
      <c r="CJ193" s="53">
        <v>200</v>
      </c>
      <c r="CK193" s="53">
        <v>75</v>
      </c>
      <c r="CL193" s="53">
        <v>750</v>
      </c>
      <c r="CM193" s="53">
        <v>750</v>
      </c>
      <c r="CN193" s="206"/>
      <c r="CO193" s="206"/>
      <c r="CP193" s="206"/>
      <c r="CQ193" s="8">
        <f t="shared" si="74"/>
        <v>12</v>
      </c>
      <c r="CR193" s="8">
        <f t="shared" si="75"/>
        <v>750</v>
      </c>
      <c r="CS193" s="8">
        <f t="shared" si="76"/>
        <v>273.12903225806451</v>
      </c>
      <c r="CT193">
        <f t="shared" si="77"/>
        <v>142.53164294927632</v>
      </c>
      <c r="CU193" s="143" t="e">
        <f t="shared" si="78"/>
        <v>#DIV/0!</v>
      </c>
      <c r="CV193" s="143" t="e">
        <f t="shared" si="79"/>
        <v>#DIV/0!</v>
      </c>
      <c r="CX193" s="7">
        <f t="shared" si="80"/>
        <v>20</v>
      </c>
      <c r="CY193" s="7">
        <f t="shared" si="81"/>
        <v>27.5</v>
      </c>
      <c r="CZ193" s="7">
        <f t="shared" si="82"/>
        <v>75</v>
      </c>
      <c r="DA193" s="7">
        <f t="shared" si="83"/>
        <v>75</v>
      </c>
      <c r="DB193" s="7">
        <f t="shared" si="84"/>
        <v>200</v>
      </c>
      <c r="DC193" s="7">
        <f t="shared" si="85"/>
        <v>200</v>
      </c>
      <c r="DD193" s="7">
        <f t="shared" si="86"/>
        <v>250</v>
      </c>
      <c r="DE193" s="7">
        <f t="shared" si="87"/>
        <v>400</v>
      </c>
      <c r="DF193" s="7">
        <f t="shared" si="88"/>
        <v>725</v>
      </c>
      <c r="DH193" s="7">
        <f t="shared" si="89"/>
        <v>16.400000000000006</v>
      </c>
      <c r="DI193" s="7">
        <f t="shared" si="90"/>
        <v>25.199999999999992</v>
      </c>
      <c r="DJ193" s="7">
        <f t="shared" si="91"/>
        <v>29.599999999999994</v>
      </c>
      <c r="DK193" s="7">
        <f t="shared" si="92"/>
        <v>34</v>
      </c>
      <c r="DL193" s="7">
        <f t="shared" si="93"/>
        <v>56</v>
      </c>
      <c r="DM193" s="7">
        <f t="shared" si="94"/>
        <v>64.800000000000011</v>
      </c>
      <c r="DN193" s="7">
        <f t="shared" si="95"/>
        <v>69.199999999999989</v>
      </c>
      <c r="DO193" s="7">
        <f t="shared" si="96"/>
        <v>78</v>
      </c>
      <c r="DP193" s="7">
        <f t="shared" si="97"/>
        <v>86.800000000000011</v>
      </c>
    </row>
    <row r="194" spans="1:130" ht="25.5" hidden="1" customHeight="1" x14ac:dyDescent="0.25">
      <c r="A194" s="92" t="str">
        <f t="shared" si="98"/>
        <v>CO-WVI [17]</v>
      </c>
      <c r="B194" s="92" t="str">
        <f t="shared" si="99"/>
        <v>West Vancouver Island</v>
      </c>
      <c r="C194" s="93" t="str">
        <f t="shared" si="68"/>
        <v>USELESS CREEK_Coho</v>
      </c>
      <c r="D194" s="128" t="s">
        <v>598</v>
      </c>
      <c r="E194" s="128" t="s">
        <v>598</v>
      </c>
      <c r="F194" s="64">
        <v>23</v>
      </c>
      <c r="G194" s="72" t="s">
        <v>131</v>
      </c>
      <c r="H194" s="65" t="s">
        <v>93</v>
      </c>
      <c r="I194" s="119"/>
      <c r="J194" s="119"/>
      <c r="K194" s="64">
        <v>5</v>
      </c>
      <c r="L194" s="52">
        <v>6</v>
      </c>
      <c r="M194" s="52">
        <v>1</v>
      </c>
      <c r="N194" s="52" t="e">
        <f t="shared" si="69"/>
        <v>#NUM!</v>
      </c>
      <c r="O194" s="52">
        <f t="shared" si="70"/>
        <v>75</v>
      </c>
      <c r="P194" s="52">
        <f t="shared" si="71"/>
        <v>35.391958210856387</v>
      </c>
      <c r="Q194" s="66"/>
      <c r="R194" s="37"/>
      <c r="S194" s="76" t="s">
        <v>347</v>
      </c>
      <c r="T194" s="81" t="e">
        <f t="shared" si="72"/>
        <v>#DIV/0!</v>
      </c>
      <c r="U194" s="81" t="e">
        <f t="shared" si="73"/>
        <v>#DIV/0!</v>
      </c>
      <c r="V194" s="52" t="s">
        <v>102</v>
      </c>
      <c r="W194" s="52" t="s">
        <v>102</v>
      </c>
      <c r="X194" s="52" t="s">
        <v>102</v>
      </c>
      <c r="Y194" s="52" t="s">
        <v>102</v>
      </c>
      <c r="Z194" s="52" t="s">
        <v>102</v>
      </c>
      <c r="AA194" s="52" t="s">
        <v>102</v>
      </c>
      <c r="AB194" s="52" t="s">
        <v>102</v>
      </c>
      <c r="AC194" s="52" t="s">
        <v>102</v>
      </c>
      <c r="AD194" s="52" t="s">
        <v>102</v>
      </c>
      <c r="AE194" s="52" t="s">
        <v>102</v>
      </c>
      <c r="AF194" s="52" t="s">
        <v>102</v>
      </c>
      <c r="AG194" s="52" t="s">
        <v>102</v>
      </c>
      <c r="AH194" s="52" t="s">
        <v>102</v>
      </c>
      <c r="AI194" s="52" t="s">
        <v>102</v>
      </c>
      <c r="AJ194" s="52" t="s">
        <v>102</v>
      </c>
      <c r="AK194" s="52" t="s">
        <v>102</v>
      </c>
      <c r="AL194" s="52" t="s">
        <v>102</v>
      </c>
      <c r="AM194" s="52" t="s">
        <v>102</v>
      </c>
      <c r="AN194" s="52" t="s">
        <v>262</v>
      </c>
      <c r="AO194" s="52" t="s">
        <v>102</v>
      </c>
      <c r="AP194" s="52" t="s">
        <v>102</v>
      </c>
      <c r="AQ194" s="52" t="s">
        <v>102</v>
      </c>
      <c r="AR194" s="53" t="s">
        <v>262</v>
      </c>
      <c r="AS194" s="52" t="s">
        <v>102</v>
      </c>
      <c r="AT194" s="52" t="s">
        <v>262</v>
      </c>
      <c r="AU194" s="52" t="s">
        <v>263</v>
      </c>
      <c r="AV194" s="52" t="s">
        <v>262</v>
      </c>
      <c r="AW194" s="52" t="s">
        <v>262</v>
      </c>
      <c r="AX194" s="51" t="s">
        <v>262</v>
      </c>
      <c r="AY194" s="53" t="s">
        <v>102</v>
      </c>
      <c r="AZ194" s="53" t="s">
        <v>102</v>
      </c>
      <c r="BA194" s="53" t="s">
        <v>262</v>
      </c>
      <c r="BB194" s="53" t="s">
        <v>102</v>
      </c>
      <c r="BC194" s="53" t="s">
        <v>102</v>
      </c>
      <c r="BD194" s="53" t="s">
        <v>102</v>
      </c>
      <c r="BE194" s="53" t="s">
        <v>102</v>
      </c>
      <c r="BF194" s="53" t="s">
        <v>264</v>
      </c>
      <c r="BG194" s="53" t="s">
        <v>102</v>
      </c>
      <c r="BH194" s="53" t="s">
        <v>264</v>
      </c>
      <c r="BI194" s="53" t="s">
        <v>264</v>
      </c>
      <c r="BJ194" s="53" t="s">
        <v>102</v>
      </c>
      <c r="BK194" s="53" t="s">
        <v>264</v>
      </c>
      <c r="BL194" s="53" t="s">
        <v>264</v>
      </c>
      <c r="BM194" s="53">
        <v>50</v>
      </c>
      <c r="BN194" s="53">
        <v>60</v>
      </c>
      <c r="BO194" s="53">
        <v>50</v>
      </c>
      <c r="BP194" s="53">
        <v>45</v>
      </c>
      <c r="BQ194" s="53">
        <v>25</v>
      </c>
      <c r="BR194" s="53">
        <v>75</v>
      </c>
      <c r="BS194" s="53">
        <v>75</v>
      </c>
      <c r="BT194" s="53">
        <v>25</v>
      </c>
      <c r="BU194" s="53">
        <v>25</v>
      </c>
      <c r="BV194" s="53">
        <v>75</v>
      </c>
      <c r="BW194" s="53">
        <v>75</v>
      </c>
      <c r="BX194" s="53">
        <v>75</v>
      </c>
      <c r="BY194" s="53">
        <v>25</v>
      </c>
      <c r="BZ194" s="53">
        <v>25</v>
      </c>
      <c r="CA194" s="53">
        <v>25</v>
      </c>
      <c r="CB194" s="53" t="s">
        <v>262</v>
      </c>
      <c r="CC194" s="53">
        <v>25</v>
      </c>
      <c r="CD194" s="53">
        <v>25</v>
      </c>
      <c r="CE194" s="53">
        <v>25</v>
      </c>
      <c r="CF194" s="53" t="s">
        <v>262</v>
      </c>
      <c r="CG194" s="53" t="s">
        <v>264</v>
      </c>
      <c r="CH194" s="53">
        <v>25</v>
      </c>
      <c r="CI194" s="53">
        <v>25</v>
      </c>
      <c r="CJ194" s="53">
        <v>25</v>
      </c>
      <c r="CK194" s="53">
        <v>25</v>
      </c>
      <c r="CL194" s="53">
        <v>25</v>
      </c>
      <c r="CM194" s="53">
        <v>25</v>
      </c>
      <c r="CN194" s="206"/>
      <c r="CO194" s="206"/>
      <c r="CP194" s="206"/>
      <c r="CQ194" s="8">
        <f t="shared" si="74"/>
        <v>25</v>
      </c>
      <c r="CR194" s="8">
        <f t="shared" si="75"/>
        <v>75</v>
      </c>
      <c r="CS194" s="8">
        <f t="shared" si="76"/>
        <v>39.791666666666664</v>
      </c>
      <c r="CT194">
        <f t="shared" si="77"/>
        <v>35.391958210856387</v>
      </c>
      <c r="CU194" s="143" t="e">
        <f t="shared" si="78"/>
        <v>#DIV/0!</v>
      </c>
      <c r="CV194" s="143" t="e">
        <f t="shared" si="79"/>
        <v>#DIV/0!</v>
      </c>
      <c r="CX194" s="7">
        <f t="shared" si="80"/>
        <v>25</v>
      </c>
      <c r="CY194" s="7">
        <f t="shared" si="81"/>
        <v>25</v>
      </c>
      <c r="CZ194" s="7">
        <f t="shared" si="82"/>
        <v>25</v>
      </c>
      <c r="DA194" s="7">
        <f t="shared" si="83"/>
        <v>25</v>
      </c>
      <c r="DB194" s="7">
        <f t="shared" si="84"/>
        <v>25</v>
      </c>
      <c r="DC194" s="7">
        <f t="shared" si="85"/>
        <v>25</v>
      </c>
      <c r="DD194" s="7">
        <f t="shared" si="86"/>
        <v>44.000000000000021</v>
      </c>
      <c r="DE194" s="7">
        <f t="shared" si="87"/>
        <v>52.5</v>
      </c>
      <c r="DF194" s="7">
        <f t="shared" si="88"/>
        <v>75</v>
      </c>
      <c r="DH194" s="7" t="e">
        <f t="shared" si="89"/>
        <v>#NUM!</v>
      </c>
      <c r="DI194" s="7" t="e">
        <f t="shared" si="90"/>
        <v>#NUM!</v>
      </c>
      <c r="DJ194" s="7" t="e">
        <f t="shared" si="91"/>
        <v>#NUM!</v>
      </c>
      <c r="DK194" s="7" t="e">
        <f t="shared" si="92"/>
        <v>#NUM!</v>
      </c>
      <c r="DL194" s="7" t="e">
        <f t="shared" si="93"/>
        <v>#NUM!</v>
      </c>
      <c r="DM194" s="7" t="e">
        <f t="shared" si="94"/>
        <v>#NUM!</v>
      </c>
      <c r="DN194" s="7" t="e">
        <f t="shared" si="95"/>
        <v>#NUM!</v>
      </c>
      <c r="DO194" s="7" t="e">
        <f t="shared" si="96"/>
        <v>#NUM!</v>
      </c>
      <c r="DP194" s="7" t="e">
        <f t="shared" si="97"/>
        <v>#NUM!</v>
      </c>
    </row>
    <row r="195" spans="1:130" ht="25.5" hidden="1" customHeight="1" x14ac:dyDescent="0.25">
      <c r="A195" s="92" t="str">
        <f t="shared" si="98"/>
        <v>CM-SWVI [10]</v>
      </c>
      <c r="B195" s="92" t="str">
        <f t="shared" si="99"/>
        <v>Southwest Vancouver Island</v>
      </c>
      <c r="C195" s="93" t="str">
        <f t="shared" si="68"/>
        <v>VERNON BAY CREEK_Chum</v>
      </c>
      <c r="D195" s="128" t="s">
        <v>598</v>
      </c>
      <c r="E195" s="128" t="s">
        <v>598</v>
      </c>
      <c r="F195" s="64">
        <v>23</v>
      </c>
      <c r="G195" s="72" t="s">
        <v>132</v>
      </c>
      <c r="H195" s="65" t="s">
        <v>96</v>
      </c>
      <c r="I195" s="119"/>
      <c r="J195" s="119"/>
      <c r="K195" s="64">
        <v>5</v>
      </c>
      <c r="L195" s="52">
        <v>9</v>
      </c>
      <c r="M195" s="52">
        <v>5</v>
      </c>
      <c r="N195" s="52">
        <f t="shared" si="69"/>
        <v>35.341188430493951</v>
      </c>
      <c r="O195" s="52">
        <f t="shared" si="70"/>
        <v>2700</v>
      </c>
      <c r="P195" s="52">
        <f t="shared" si="71"/>
        <v>133.97309914675057</v>
      </c>
      <c r="Q195" s="66"/>
      <c r="R195" s="37"/>
      <c r="S195" s="76" t="s">
        <v>327</v>
      </c>
      <c r="T195" s="81" t="e">
        <f t="shared" si="72"/>
        <v>#DIV/0!</v>
      </c>
      <c r="U195" s="81" t="e">
        <f t="shared" si="73"/>
        <v>#DIV/0!</v>
      </c>
      <c r="V195" s="52" t="s">
        <v>102</v>
      </c>
      <c r="W195" s="52" t="s">
        <v>102</v>
      </c>
      <c r="X195" s="52" t="s">
        <v>102</v>
      </c>
      <c r="Y195" s="52" t="s">
        <v>102</v>
      </c>
      <c r="Z195" s="52" t="s">
        <v>102</v>
      </c>
      <c r="AA195" s="52" t="s">
        <v>102</v>
      </c>
      <c r="AB195" s="52" t="s">
        <v>102</v>
      </c>
      <c r="AC195" s="52" t="s">
        <v>102</v>
      </c>
      <c r="AD195" s="52" t="s">
        <v>102</v>
      </c>
      <c r="AE195" s="52" t="s">
        <v>102</v>
      </c>
      <c r="AF195" s="52" t="s">
        <v>102</v>
      </c>
      <c r="AG195" s="52" t="s">
        <v>102</v>
      </c>
      <c r="AH195" s="52" t="s">
        <v>102</v>
      </c>
      <c r="AI195" s="52" t="s">
        <v>102</v>
      </c>
      <c r="AJ195" s="52" t="s">
        <v>102</v>
      </c>
      <c r="AK195" s="52" t="s">
        <v>102</v>
      </c>
      <c r="AL195" s="52" t="s">
        <v>102</v>
      </c>
      <c r="AM195" s="52" t="s">
        <v>102</v>
      </c>
      <c r="AN195" s="52">
        <v>50</v>
      </c>
      <c r="AO195" s="57" t="s">
        <v>262</v>
      </c>
      <c r="AP195" s="53" t="s">
        <v>262</v>
      </c>
      <c r="AQ195" s="53">
        <v>13</v>
      </c>
      <c r="AR195" s="53" t="s">
        <v>262</v>
      </c>
      <c r="AS195" s="52" t="s">
        <v>102</v>
      </c>
      <c r="AT195" s="52" t="s">
        <v>263</v>
      </c>
      <c r="AU195" s="52">
        <v>80</v>
      </c>
      <c r="AV195" s="52">
        <v>30</v>
      </c>
      <c r="AW195" s="52" t="s">
        <v>262</v>
      </c>
      <c r="AX195" s="51" t="s">
        <v>264</v>
      </c>
      <c r="AY195" s="53" t="s">
        <v>102</v>
      </c>
      <c r="AZ195" s="53" t="s">
        <v>102</v>
      </c>
      <c r="BA195" s="53" t="s">
        <v>102</v>
      </c>
      <c r="BB195" s="53">
        <v>20</v>
      </c>
      <c r="BC195" s="53" t="s">
        <v>102</v>
      </c>
      <c r="BD195" s="53" t="s">
        <v>102</v>
      </c>
      <c r="BE195" s="53" t="s">
        <v>102</v>
      </c>
      <c r="BF195" s="53" t="s">
        <v>102</v>
      </c>
      <c r="BG195" s="53">
        <v>800</v>
      </c>
      <c r="BH195" s="53" t="s">
        <v>264</v>
      </c>
      <c r="BI195" s="53" t="s">
        <v>102</v>
      </c>
      <c r="BJ195" s="53" t="s">
        <v>102</v>
      </c>
      <c r="BK195" s="53" t="s">
        <v>102</v>
      </c>
      <c r="BL195" s="53" t="s">
        <v>102</v>
      </c>
      <c r="BM195" s="53">
        <v>750</v>
      </c>
      <c r="BN195" s="53">
        <v>400</v>
      </c>
      <c r="BO195" s="53">
        <v>2700</v>
      </c>
      <c r="BP195" s="53">
        <v>450</v>
      </c>
      <c r="BQ195" s="53">
        <v>200</v>
      </c>
      <c r="BR195" s="53">
        <v>400</v>
      </c>
      <c r="BS195" s="53">
        <v>200</v>
      </c>
      <c r="BT195" s="53">
        <v>400</v>
      </c>
      <c r="BU195" s="53">
        <v>25</v>
      </c>
      <c r="BV195" s="53">
        <v>200</v>
      </c>
      <c r="BW195" s="53">
        <v>750</v>
      </c>
      <c r="BX195" s="53">
        <v>400</v>
      </c>
      <c r="BY195" s="53">
        <v>75</v>
      </c>
      <c r="BZ195" s="53">
        <v>200</v>
      </c>
      <c r="CA195" s="53">
        <v>200</v>
      </c>
      <c r="CB195" s="53">
        <v>75</v>
      </c>
      <c r="CC195" s="53">
        <v>25</v>
      </c>
      <c r="CD195" s="53">
        <v>25</v>
      </c>
      <c r="CE195" s="53">
        <v>200</v>
      </c>
      <c r="CF195" s="53">
        <v>75</v>
      </c>
      <c r="CG195" s="53">
        <v>75</v>
      </c>
      <c r="CH195" s="53">
        <v>200</v>
      </c>
      <c r="CI195" s="53">
        <v>75</v>
      </c>
      <c r="CJ195" s="53">
        <v>25</v>
      </c>
      <c r="CK195" s="53">
        <v>75</v>
      </c>
      <c r="CL195" s="53">
        <v>200</v>
      </c>
      <c r="CM195" s="53">
        <v>200</v>
      </c>
      <c r="CN195" s="206"/>
      <c r="CO195" s="206"/>
      <c r="CP195" s="206"/>
      <c r="CQ195" s="8">
        <f t="shared" si="74"/>
        <v>13</v>
      </c>
      <c r="CR195" s="8">
        <f t="shared" si="75"/>
        <v>2700</v>
      </c>
      <c r="CS195" s="8">
        <f t="shared" si="76"/>
        <v>290.69696969696969</v>
      </c>
      <c r="CT195">
        <f t="shared" si="77"/>
        <v>133.97309914675057</v>
      </c>
      <c r="CU195" s="143" t="e">
        <f t="shared" si="78"/>
        <v>#DIV/0!</v>
      </c>
      <c r="CV195" s="143" t="e">
        <f t="shared" si="79"/>
        <v>#DIV/0!</v>
      </c>
      <c r="CX195" s="7">
        <f t="shared" si="80"/>
        <v>23</v>
      </c>
      <c r="CY195" s="7">
        <f t="shared" si="81"/>
        <v>25</v>
      </c>
      <c r="CZ195" s="7">
        <f t="shared" si="82"/>
        <v>38.000000000000007</v>
      </c>
      <c r="DA195" s="7">
        <f t="shared" si="83"/>
        <v>75</v>
      </c>
      <c r="DB195" s="7">
        <f t="shared" si="84"/>
        <v>200</v>
      </c>
      <c r="DC195" s="7">
        <f t="shared" si="85"/>
        <v>200</v>
      </c>
      <c r="DD195" s="7">
        <f t="shared" si="86"/>
        <v>200</v>
      </c>
      <c r="DE195" s="7">
        <f t="shared" si="87"/>
        <v>400</v>
      </c>
      <c r="DF195" s="7">
        <f t="shared" si="88"/>
        <v>409.99999999999994</v>
      </c>
      <c r="DH195" s="7">
        <f t="shared" si="89"/>
        <v>15.549999999999999</v>
      </c>
      <c r="DI195" s="7">
        <f t="shared" si="90"/>
        <v>20.65</v>
      </c>
      <c r="DJ195" s="7">
        <f t="shared" si="91"/>
        <v>23.200000000000003</v>
      </c>
      <c r="DK195" s="7">
        <f t="shared" si="92"/>
        <v>25.75</v>
      </c>
      <c r="DL195" s="7">
        <f t="shared" si="93"/>
        <v>40</v>
      </c>
      <c r="DM195" s="7">
        <f t="shared" si="94"/>
        <v>46</v>
      </c>
      <c r="DN195" s="7">
        <f t="shared" si="95"/>
        <v>49</v>
      </c>
      <c r="DO195" s="7">
        <f t="shared" si="96"/>
        <v>57.5</v>
      </c>
      <c r="DP195" s="7">
        <f t="shared" si="97"/>
        <v>66.5</v>
      </c>
    </row>
    <row r="196" spans="1:130" ht="25.5" hidden="1" customHeight="1" x14ac:dyDescent="0.25">
      <c r="A196" s="92" t="str">
        <f t="shared" si="98"/>
        <v>CO-WVI [17]</v>
      </c>
      <c r="B196" s="92" t="str">
        <f t="shared" si="99"/>
        <v>West Vancouver Island</v>
      </c>
      <c r="C196" s="93" t="str">
        <f t="shared" si="68"/>
        <v>VERNON BAY CREEK_Coho</v>
      </c>
      <c r="D196" s="128" t="s">
        <v>598</v>
      </c>
      <c r="E196" s="128" t="s">
        <v>598</v>
      </c>
      <c r="F196" s="64">
        <v>23</v>
      </c>
      <c r="G196" s="72" t="s">
        <v>132</v>
      </c>
      <c r="H196" s="65" t="s">
        <v>93</v>
      </c>
      <c r="I196" s="119"/>
      <c r="J196" s="119"/>
      <c r="K196" s="64">
        <v>5</v>
      </c>
      <c r="L196" s="52">
        <v>9</v>
      </c>
      <c r="M196" s="52">
        <v>5</v>
      </c>
      <c r="N196" s="52">
        <f t="shared" si="69"/>
        <v>14.416868484808525</v>
      </c>
      <c r="O196" s="52">
        <f t="shared" si="70"/>
        <v>200</v>
      </c>
      <c r="P196" s="52">
        <f t="shared" si="71"/>
        <v>35.708725285770569</v>
      </c>
      <c r="Q196" s="66"/>
      <c r="R196" s="37"/>
      <c r="S196" s="76" t="s">
        <v>327</v>
      </c>
      <c r="T196" s="81" t="e">
        <f t="shared" si="72"/>
        <v>#DIV/0!</v>
      </c>
      <c r="U196" s="81" t="e">
        <f t="shared" si="73"/>
        <v>#DIV/0!</v>
      </c>
      <c r="V196" s="52" t="s">
        <v>102</v>
      </c>
      <c r="W196" s="52" t="s">
        <v>102</v>
      </c>
      <c r="X196" s="52" t="s">
        <v>102</v>
      </c>
      <c r="Y196" s="52" t="s">
        <v>102</v>
      </c>
      <c r="Z196" s="52" t="s">
        <v>102</v>
      </c>
      <c r="AA196" s="52" t="s">
        <v>102</v>
      </c>
      <c r="AB196" s="52" t="s">
        <v>102</v>
      </c>
      <c r="AC196" s="52" t="s">
        <v>102</v>
      </c>
      <c r="AD196" s="52" t="s">
        <v>102</v>
      </c>
      <c r="AE196" s="52" t="s">
        <v>102</v>
      </c>
      <c r="AF196" s="52" t="s">
        <v>102</v>
      </c>
      <c r="AG196" s="52" t="s">
        <v>102</v>
      </c>
      <c r="AH196" s="52" t="s">
        <v>102</v>
      </c>
      <c r="AI196" s="52" t="s">
        <v>102</v>
      </c>
      <c r="AJ196" s="52" t="s">
        <v>102</v>
      </c>
      <c r="AK196" s="52" t="s">
        <v>102</v>
      </c>
      <c r="AL196" s="52" t="s">
        <v>102</v>
      </c>
      <c r="AM196" s="52" t="s">
        <v>102</v>
      </c>
      <c r="AN196" s="52">
        <v>12</v>
      </c>
      <c r="AO196" s="53" t="s">
        <v>262</v>
      </c>
      <c r="AP196" s="53" t="s">
        <v>262</v>
      </c>
      <c r="AQ196" s="53">
        <v>6</v>
      </c>
      <c r="AR196" s="53" t="s">
        <v>262</v>
      </c>
      <c r="AS196" s="52" t="s">
        <v>102</v>
      </c>
      <c r="AT196" s="52" t="s">
        <v>263</v>
      </c>
      <c r="AU196" s="52">
        <v>15</v>
      </c>
      <c r="AV196" s="52">
        <v>40</v>
      </c>
      <c r="AW196" s="52" t="s">
        <v>262</v>
      </c>
      <c r="AX196" s="51" t="s">
        <v>264</v>
      </c>
      <c r="AY196" s="53" t="s">
        <v>102</v>
      </c>
      <c r="AZ196" s="53" t="s">
        <v>102</v>
      </c>
      <c r="BA196" s="53" t="s">
        <v>102</v>
      </c>
      <c r="BB196" s="53" t="s">
        <v>264</v>
      </c>
      <c r="BC196" s="53" t="s">
        <v>102</v>
      </c>
      <c r="BD196" s="53" t="s">
        <v>102</v>
      </c>
      <c r="BE196" s="53" t="s">
        <v>102</v>
      </c>
      <c r="BF196" s="53" t="s">
        <v>102</v>
      </c>
      <c r="BG196" s="53" t="s">
        <v>264</v>
      </c>
      <c r="BH196" s="53" t="s">
        <v>264</v>
      </c>
      <c r="BI196" s="53" t="s">
        <v>102</v>
      </c>
      <c r="BJ196" s="53" t="s">
        <v>102</v>
      </c>
      <c r="BK196" s="53" t="s">
        <v>102</v>
      </c>
      <c r="BL196" s="53" t="s">
        <v>102</v>
      </c>
      <c r="BM196" s="53">
        <v>60</v>
      </c>
      <c r="BN196" s="53">
        <v>70</v>
      </c>
      <c r="BO196" s="53">
        <v>45</v>
      </c>
      <c r="BP196" s="53">
        <v>35</v>
      </c>
      <c r="BQ196" s="53">
        <v>75</v>
      </c>
      <c r="BR196" s="53">
        <v>75</v>
      </c>
      <c r="BS196" s="53">
        <v>75</v>
      </c>
      <c r="BT196" s="53">
        <v>25</v>
      </c>
      <c r="BU196" s="53">
        <v>25</v>
      </c>
      <c r="BV196" s="53">
        <v>75</v>
      </c>
      <c r="BW196" s="53">
        <v>75</v>
      </c>
      <c r="BX196" s="53">
        <v>200</v>
      </c>
      <c r="BY196" s="53" t="s">
        <v>264</v>
      </c>
      <c r="BZ196" s="53" t="s">
        <v>262</v>
      </c>
      <c r="CA196" s="53" t="s">
        <v>262</v>
      </c>
      <c r="CB196" s="53" t="s">
        <v>262</v>
      </c>
      <c r="CC196" s="53">
        <v>25</v>
      </c>
      <c r="CD196" s="53" t="s">
        <v>262</v>
      </c>
      <c r="CE196" s="53" t="s">
        <v>262</v>
      </c>
      <c r="CF196" s="53" t="s">
        <v>262</v>
      </c>
      <c r="CG196" s="53">
        <v>25</v>
      </c>
      <c r="CH196" s="53">
        <v>25</v>
      </c>
      <c r="CI196" s="53">
        <v>25</v>
      </c>
      <c r="CJ196" s="53">
        <v>25</v>
      </c>
      <c r="CK196" s="53">
        <v>25</v>
      </c>
      <c r="CL196" s="53">
        <v>25</v>
      </c>
      <c r="CM196" s="53" t="s">
        <v>264</v>
      </c>
      <c r="CN196" s="206"/>
      <c r="CO196" s="206"/>
      <c r="CP196" s="206"/>
      <c r="CQ196" s="8">
        <f t="shared" si="74"/>
        <v>6</v>
      </c>
      <c r="CR196" s="8">
        <f t="shared" si="75"/>
        <v>200</v>
      </c>
      <c r="CS196" s="8">
        <f t="shared" si="76"/>
        <v>47.086956521739133</v>
      </c>
      <c r="CT196">
        <f t="shared" si="77"/>
        <v>35.708725285770569</v>
      </c>
      <c r="CU196" s="143" t="e">
        <f t="shared" si="78"/>
        <v>#DIV/0!</v>
      </c>
      <c r="CV196" s="143" t="e">
        <f t="shared" si="79"/>
        <v>#DIV/0!</v>
      </c>
      <c r="CX196" s="7">
        <f t="shared" si="80"/>
        <v>12.3</v>
      </c>
      <c r="CY196" s="7">
        <f t="shared" si="81"/>
        <v>25</v>
      </c>
      <c r="CZ196" s="7">
        <f t="shared" si="82"/>
        <v>25</v>
      </c>
      <c r="DA196" s="7">
        <f t="shared" si="83"/>
        <v>25</v>
      </c>
      <c r="DB196" s="7">
        <f t="shared" si="84"/>
        <v>25</v>
      </c>
      <c r="DC196" s="7">
        <f t="shared" si="85"/>
        <v>41</v>
      </c>
      <c r="DD196" s="7">
        <f t="shared" si="86"/>
        <v>49.500000000000014</v>
      </c>
      <c r="DE196" s="7">
        <f t="shared" si="87"/>
        <v>72.5</v>
      </c>
      <c r="DF196" s="7">
        <f t="shared" si="88"/>
        <v>75</v>
      </c>
      <c r="DH196" s="7">
        <f t="shared" si="89"/>
        <v>6.8999999999999995</v>
      </c>
      <c r="DI196" s="7">
        <f t="shared" si="90"/>
        <v>8.6999999999999993</v>
      </c>
      <c r="DJ196" s="7">
        <f t="shared" si="91"/>
        <v>9.6000000000000014</v>
      </c>
      <c r="DK196" s="7">
        <f t="shared" si="92"/>
        <v>10.5</v>
      </c>
      <c r="DL196" s="7">
        <f t="shared" si="93"/>
        <v>13.5</v>
      </c>
      <c r="DM196" s="7">
        <f t="shared" si="94"/>
        <v>14.399999999999999</v>
      </c>
      <c r="DN196" s="7">
        <f t="shared" si="95"/>
        <v>14.850000000000001</v>
      </c>
      <c r="DO196" s="7">
        <f t="shared" si="96"/>
        <v>21.25</v>
      </c>
      <c r="DP196" s="7">
        <f t="shared" si="97"/>
        <v>28.749999999999996</v>
      </c>
    </row>
    <row r="197" spans="1:130" ht="25.5" customHeight="1" x14ac:dyDescent="0.25">
      <c r="A197" s="92" t="str">
        <f t="shared" si="98"/>
        <v>CK-SWVI [31]</v>
      </c>
      <c r="B197" s="92" t="str">
        <f t="shared" si="99"/>
        <v>Southwest Vancouver Island</v>
      </c>
      <c r="C197" s="93" t="str">
        <f t="shared" ref="C197:C260" si="102">CONCATENATE(G197,"_",H197)</f>
        <v>WALLACE CREEK_Chinook</v>
      </c>
      <c r="D197" s="128" t="s">
        <v>598</v>
      </c>
      <c r="E197" s="128" t="s">
        <v>598</v>
      </c>
      <c r="F197" s="64">
        <v>23</v>
      </c>
      <c r="G197" s="72" t="s">
        <v>135</v>
      </c>
      <c r="H197" s="65" t="s">
        <v>97</v>
      </c>
      <c r="I197" s="119"/>
      <c r="J197" s="119"/>
      <c r="K197" s="64">
        <v>4</v>
      </c>
      <c r="L197" s="52">
        <v>9</v>
      </c>
      <c r="M197" s="52">
        <v>0</v>
      </c>
      <c r="N197" s="52" t="e">
        <f t="shared" ref="N197:N222" si="103">GEOMEAN(AJ197:AW197)</f>
        <v>#NUM!</v>
      </c>
      <c r="O197" s="52">
        <f t="shared" ref="O197:O222" si="104">MAX(AJ197:CM197)</f>
        <v>25</v>
      </c>
      <c r="P197" s="52">
        <f t="shared" ref="P197:P222" si="105">GEOMEAN(AJ197:CM197)</f>
        <v>25</v>
      </c>
      <c r="Q197" s="66"/>
      <c r="R197" s="39"/>
      <c r="S197" s="74" t="s">
        <v>327</v>
      </c>
      <c r="T197" s="81" t="e">
        <f t="shared" si="72"/>
        <v>#DIV/0!</v>
      </c>
      <c r="U197" s="81" t="e">
        <f t="shared" si="73"/>
        <v>#DIV/0!</v>
      </c>
      <c r="V197" s="52" t="s">
        <v>102</v>
      </c>
      <c r="W197" s="52" t="s">
        <v>102</v>
      </c>
      <c r="X197" s="52" t="s">
        <v>102</v>
      </c>
      <c r="Y197" s="52" t="s">
        <v>102</v>
      </c>
      <c r="Z197" s="52" t="s">
        <v>102</v>
      </c>
      <c r="AA197" s="52" t="s">
        <v>102</v>
      </c>
      <c r="AB197" s="52" t="s">
        <v>102</v>
      </c>
      <c r="AC197" s="52" t="s">
        <v>102</v>
      </c>
      <c r="AD197" s="52" t="s">
        <v>102</v>
      </c>
      <c r="AE197" s="52" t="s">
        <v>102</v>
      </c>
      <c r="AF197" s="52" t="s">
        <v>102</v>
      </c>
      <c r="AG197" s="52" t="s">
        <v>102</v>
      </c>
      <c r="AH197" s="52" t="s">
        <v>102</v>
      </c>
      <c r="AI197" s="52" t="s">
        <v>102</v>
      </c>
      <c r="AJ197" s="52" t="s">
        <v>102</v>
      </c>
      <c r="AK197" s="52" t="s">
        <v>102</v>
      </c>
      <c r="AL197" s="52" t="s">
        <v>102</v>
      </c>
      <c r="AM197" s="52" t="s">
        <v>102</v>
      </c>
      <c r="AN197" s="53" t="s">
        <v>262</v>
      </c>
      <c r="AO197" s="53" t="s">
        <v>262</v>
      </c>
      <c r="AP197" s="53" t="s">
        <v>262</v>
      </c>
      <c r="AQ197" s="53" t="s">
        <v>102</v>
      </c>
      <c r="AR197" s="53" t="s">
        <v>262</v>
      </c>
      <c r="AS197" s="52" t="s">
        <v>262</v>
      </c>
      <c r="AT197" s="52" t="s">
        <v>262</v>
      </c>
      <c r="AU197" s="52" t="s">
        <v>262</v>
      </c>
      <c r="AV197" s="52" t="s">
        <v>262</v>
      </c>
      <c r="AW197" s="52" t="s">
        <v>262</v>
      </c>
      <c r="AX197" s="51" t="s">
        <v>264</v>
      </c>
      <c r="AY197" s="53" t="s">
        <v>264</v>
      </c>
      <c r="AZ197" s="53" t="s">
        <v>264</v>
      </c>
      <c r="BA197" s="53" t="s">
        <v>264</v>
      </c>
      <c r="BB197" s="53" t="s">
        <v>264</v>
      </c>
      <c r="BC197" s="53" t="s">
        <v>102</v>
      </c>
      <c r="BD197" s="53" t="s">
        <v>264</v>
      </c>
      <c r="BE197" s="53" t="s">
        <v>102</v>
      </c>
      <c r="BF197" s="53" t="s">
        <v>102</v>
      </c>
      <c r="BG197" s="53" t="s">
        <v>264</v>
      </c>
      <c r="BH197" s="53" t="s">
        <v>262</v>
      </c>
      <c r="BI197" s="53" t="s">
        <v>264</v>
      </c>
      <c r="BJ197" s="53" t="s">
        <v>264</v>
      </c>
      <c r="BK197" s="53" t="s">
        <v>264</v>
      </c>
      <c r="BL197" s="53" t="s">
        <v>264</v>
      </c>
      <c r="BM197" s="53" t="s">
        <v>264</v>
      </c>
      <c r="BN197" s="53" t="s">
        <v>264</v>
      </c>
      <c r="BO197" s="53" t="s">
        <v>264</v>
      </c>
      <c r="BP197" s="53" t="s">
        <v>264</v>
      </c>
      <c r="BQ197" s="53" t="s">
        <v>264</v>
      </c>
      <c r="BR197" s="53" t="s">
        <v>264</v>
      </c>
      <c r="BS197" s="53" t="s">
        <v>264</v>
      </c>
      <c r="BT197" s="53" t="s">
        <v>264</v>
      </c>
      <c r="BU197" s="53">
        <v>25</v>
      </c>
      <c r="BV197" s="53" t="s">
        <v>264</v>
      </c>
      <c r="BW197" s="53" t="s">
        <v>264</v>
      </c>
      <c r="BX197" s="53" t="s">
        <v>264</v>
      </c>
      <c r="BY197" s="53" t="s">
        <v>264</v>
      </c>
      <c r="BZ197" s="53" t="s">
        <v>264</v>
      </c>
      <c r="CA197" s="53" t="s">
        <v>264</v>
      </c>
      <c r="CB197" s="53" t="s">
        <v>264</v>
      </c>
      <c r="CC197" s="53">
        <v>25</v>
      </c>
      <c r="CD197" s="53" t="s">
        <v>264</v>
      </c>
      <c r="CE197" s="53" t="s">
        <v>262</v>
      </c>
      <c r="CF197" s="53" t="s">
        <v>264</v>
      </c>
      <c r="CG197" s="53" t="s">
        <v>264</v>
      </c>
      <c r="CH197" s="53">
        <v>25</v>
      </c>
      <c r="CI197" s="53">
        <v>25</v>
      </c>
      <c r="CJ197" s="53" t="s">
        <v>264</v>
      </c>
      <c r="CK197" s="53" t="s">
        <v>264</v>
      </c>
      <c r="CL197" s="53" t="s">
        <v>264</v>
      </c>
      <c r="CM197" s="53" t="s">
        <v>264</v>
      </c>
      <c r="CN197" s="206"/>
      <c r="CO197" s="206"/>
      <c r="CP197" s="206"/>
      <c r="CQ197" s="8">
        <f t="shared" si="74"/>
        <v>25</v>
      </c>
      <c r="CR197" s="8">
        <f t="shared" si="75"/>
        <v>25</v>
      </c>
      <c r="CS197" s="8">
        <f t="shared" si="76"/>
        <v>25</v>
      </c>
      <c r="CT197">
        <f t="shared" si="77"/>
        <v>25</v>
      </c>
      <c r="CU197" s="143" t="e">
        <f t="shared" si="78"/>
        <v>#DIV/0!</v>
      </c>
      <c r="CV197" s="143" t="e">
        <f t="shared" si="79"/>
        <v>#DIV/0!</v>
      </c>
      <c r="CW197" s="7"/>
      <c r="CX197" s="7">
        <f t="shared" si="80"/>
        <v>25</v>
      </c>
      <c r="CY197" s="7">
        <f t="shared" si="81"/>
        <v>25</v>
      </c>
      <c r="CZ197" s="7">
        <f t="shared" si="82"/>
        <v>25</v>
      </c>
      <c r="DA197" s="7">
        <f t="shared" si="83"/>
        <v>25</v>
      </c>
      <c r="DB197" s="7">
        <f t="shared" si="84"/>
        <v>25</v>
      </c>
      <c r="DC197" s="7">
        <f t="shared" si="85"/>
        <v>25</v>
      </c>
      <c r="DD197" s="7">
        <f t="shared" si="86"/>
        <v>25</v>
      </c>
      <c r="DE197" s="7">
        <f t="shared" si="87"/>
        <v>25</v>
      </c>
      <c r="DF197" s="7">
        <f t="shared" si="88"/>
        <v>25</v>
      </c>
      <c r="DG197" s="7"/>
      <c r="DH197" s="7" t="e">
        <f t="shared" si="89"/>
        <v>#NUM!</v>
      </c>
      <c r="DI197" s="7" t="e">
        <f t="shared" si="90"/>
        <v>#NUM!</v>
      </c>
      <c r="DJ197" s="7" t="e">
        <f t="shared" si="91"/>
        <v>#NUM!</v>
      </c>
      <c r="DK197" s="7" t="e">
        <f t="shared" si="92"/>
        <v>#NUM!</v>
      </c>
      <c r="DL197" s="7" t="e">
        <f t="shared" si="93"/>
        <v>#NUM!</v>
      </c>
      <c r="DM197" s="7" t="e">
        <f t="shared" si="94"/>
        <v>#NUM!</v>
      </c>
      <c r="DN197" s="7" t="e">
        <f t="shared" si="95"/>
        <v>#NUM!</v>
      </c>
      <c r="DO197" s="7" t="e">
        <f t="shared" si="96"/>
        <v>#NUM!</v>
      </c>
      <c r="DP197" s="7" t="e">
        <f t="shared" si="97"/>
        <v>#NUM!</v>
      </c>
      <c r="DQ197" s="7"/>
      <c r="DR197" s="7"/>
      <c r="DS197" s="7"/>
      <c r="DT197" s="7"/>
      <c r="DU197" s="7"/>
      <c r="DV197" s="7"/>
      <c r="DW197" s="7"/>
      <c r="DX197" s="7"/>
      <c r="DY197" s="7"/>
      <c r="DZ197" s="7"/>
    </row>
    <row r="198" spans="1:130" ht="25.5" hidden="1" customHeight="1" x14ac:dyDescent="0.25">
      <c r="A198" s="92" t="str">
        <f t="shared" si="98"/>
        <v>CM-SWVI [10]</v>
      </c>
      <c r="B198" s="92" t="str">
        <f t="shared" si="99"/>
        <v>Southwest Vancouver Island</v>
      </c>
      <c r="C198" s="93" t="str">
        <f t="shared" si="102"/>
        <v>WALLACE CREEK_Chum</v>
      </c>
      <c r="D198" s="128" t="s">
        <v>598</v>
      </c>
      <c r="E198" s="128" t="s">
        <v>598</v>
      </c>
      <c r="F198" s="64">
        <v>23</v>
      </c>
      <c r="G198" s="72" t="s">
        <v>135</v>
      </c>
      <c r="H198" s="65" t="s">
        <v>96</v>
      </c>
      <c r="I198" s="119"/>
      <c r="J198" s="119"/>
      <c r="K198" s="64">
        <v>4</v>
      </c>
      <c r="L198" s="52">
        <v>9</v>
      </c>
      <c r="M198" s="52">
        <v>9</v>
      </c>
      <c r="N198" s="52">
        <f t="shared" si="103"/>
        <v>2653.1228936772604</v>
      </c>
      <c r="O198" s="52">
        <f t="shared" si="104"/>
        <v>11685</v>
      </c>
      <c r="P198" s="52">
        <f t="shared" si="105"/>
        <v>2135.1715756869535</v>
      </c>
      <c r="Q198" s="66"/>
      <c r="R198" s="39"/>
      <c r="S198" s="74" t="s">
        <v>327</v>
      </c>
      <c r="T198" s="81" t="e">
        <f t="shared" ref="T198:T261" si="106">AVERAGE(V198:Y198)</f>
        <v>#DIV/0!</v>
      </c>
      <c r="U198" s="81" t="e">
        <f t="shared" ref="U198:U261" si="107">AVERAGE(V198:AG198)</f>
        <v>#DIV/0!</v>
      </c>
      <c r="V198" s="52" t="s">
        <v>102</v>
      </c>
      <c r="W198" s="52" t="s">
        <v>102</v>
      </c>
      <c r="X198" s="52" t="s">
        <v>102</v>
      </c>
      <c r="Y198" s="52" t="s">
        <v>102</v>
      </c>
      <c r="Z198" s="52" t="s">
        <v>102</v>
      </c>
      <c r="AA198" s="52" t="s">
        <v>102</v>
      </c>
      <c r="AB198" s="52" t="s">
        <v>102</v>
      </c>
      <c r="AC198" s="52" t="s">
        <v>102</v>
      </c>
      <c r="AD198" s="52" t="s">
        <v>102</v>
      </c>
      <c r="AE198" s="52" t="s">
        <v>102</v>
      </c>
      <c r="AF198" s="52" t="s">
        <v>102</v>
      </c>
      <c r="AG198" s="52" t="s">
        <v>102</v>
      </c>
      <c r="AH198" s="52" t="s">
        <v>102</v>
      </c>
      <c r="AI198" s="52" t="s">
        <v>102</v>
      </c>
      <c r="AJ198" s="52" t="s">
        <v>102</v>
      </c>
      <c r="AK198" s="52" t="s">
        <v>102</v>
      </c>
      <c r="AL198" s="52" t="s">
        <v>102</v>
      </c>
      <c r="AM198" s="52" t="s">
        <v>102</v>
      </c>
      <c r="AN198" s="53">
        <v>3360</v>
      </c>
      <c r="AO198" s="53">
        <v>2667</v>
      </c>
      <c r="AP198" s="53">
        <v>11685</v>
      </c>
      <c r="AQ198" s="53" t="s">
        <v>102</v>
      </c>
      <c r="AR198" s="53">
        <v>1300</v>
      </c>
      <c r="AS198" s="52">
        <v>10000</v>
      </c>
      <c r="AT198" s="52">
        <v>2500</v>
      </c>
      <c r="AU198" s="52">
        <v>1100</v>
      </c>
      <c r="AV198" s="52">
        <v>5800</v>
      </c>
      <c r="AW198" s="52">
        <v>300</v>
      </c>
      <c r="AX198" s="51">
        <v>1800</v>
      </c>
      <c r="AY198" s="53">
        <v>1200</v>
      </c>
      <c r="AZ198" s="53">
        <v>3500</v>
      </c>
      <c r="BA198" s="53" t="s">
        <v>264</v>
      </c>
      <c r="BB198" s="53">
        <v>500</v>
      </c>
      <c r="BC198" s="53" t="s">
        <v>102</v>
      </c>
      <c r="BD198" s="53">
        <v>1175</v>
      </c>
      <c r="BE198" s="53" t="s">
        <v>102</v>
      </c>
      <c r="BF198" s="53" t="s">
        <v>102</v>
      </c>
      <c r="BG198" s="53">
        <v>6000</v>
      </c>
      <c r="BH198" s="53" t="s">
        <v>264</v>
      </c>
      <c r="BI198" s="53">
        <v>455</v>
      </c>
      <c r="BJ198" s="53" t="s">
        <v>264</v>
      </c>
      <c r="BK198" s="53">
        <v>2000</v>
      </c>
      <c r="BL198" s="53">
        <v>10000</v>
      </c>
      <c r="BM198" s="53">
        <v>1500</v>
      </c>
      <c r="BN198" s="53">
        <v>5000</v>
      </c>
      <c r="BO198" s="53">
        <v>3200</v>
      </c>
      <c r="BP198" s="53">
        <v>3500</v>
      </c>
      <c r="BQ198" s="53">
        <v>3000</v>
      </c>
      <c r="BR198" s="53">
        <v>3500</v>
      </c>
      <c r="BS198" s="53">
        <v>3500</v>
      </c>
      <c r="BT198" s="53">
        <v>3500</v>
      </c>
      <c r="BU198" s="53">
        <v>3500</v>
      </c>
      <c r="BV198" s="53">
        <v>7500</v>
      </c>
      <c r="BW198" s="53">
        <v>3500</v>
      </c>
      <c r="BX198" s="53">
        <v>7500</v>
      </c>
      <c r="BY198" s="53">
        <v>750</v>
      </c>
      <c r="BZ198" s="53">
        <v>1500</v>
      </c>
      <c r="CA198" s="53">
        <v>1500</v>
      </c>
      <c r="CB198" s="53">
        <v>3500</v>
      </c>
      <c r="CC198" s="53">
        <v>400</v>
      </c>
      <c r="CD198" s="53">
        <v>750</v>
      </c>
      <c r="CE198" s="53">
        <v>75</v>
      </c>
      <c r="CF198" s="53">
        <v>1500</v>
      </c>
      <c r="CG198" s="53">
        <v>400</v>
      </c>
      <c r="CH198" s="53">
        <v>7500</v>
      </c>
      <c r="CI198" s="53">
        <v>1500</v>
      </c>
      <c r="CJ198" s="53">
        <v>7500</v>
      </c>
      <c r="CK198" s="53">
        <v>1500</v>
      </c>
      <c r="CL198" s="53">
        <v>7500</v>
      </c>
      <c r="CM198" s="53">
        <v>750</v>
      </c>
      <c r="CN198" s="206"/>
      <c r="CO198" s="206"/>
      <c r="CP198" s="206"/>
      <c r="CQ198" s="8">
        <f t="shared" ref="CQ198:CQ261" si="108">MIN(V198:CM198)</f>
        <v>75</v>
      </c>
      <c r="CR198" s="8">
        <f t="shared" ref="CR198:CR261" si="109">MAX(V198:CM198)</f>
        <v>11685</v>
      </c>
      <c r="CS198" s="8">
        <f t="shared" ref="CS198:CS261" si="110">AVERAGE(V198:CM198)</f>
        <v>3348.1555555555556</v>
      </c>
      <c r="CT198">
        <f t="shared" ref="CT198:CT261" si="111">GEOMEAN(V198:CM198)</f>
        <v>2135.1715756869535</v>
      </c>
      <c r="CU198" s="143" t="e">
        <f t="shared" ref="CU198:CU261" si="112">AVERAGE(V198:Z198)</f>
        <v>#DIV/0!</v>
      </c>
      <c r="CV198" s="143" t="e">
        <f t="shared" ref="CV198:CV261" si="113">AVERAGE(V198:AG198)</f>
        <v>#DIV/0!</v>
      </c>
      <c r="CW198" s="7"/>
      <c r="CX198" s="7">
        <f t="shared" ref="CX198:CX261" si="114">_xlfn.PERCENTILE.INC(V198:CM198,0.05)</f>
        <v>400</v>
      </c>
      <c r="CY198" s="7">
        <f t="shared" ref="CY198:CY261" si="115">_xlfn.PERCENTILE.INC(V198:CM198,0.15)</f>
        <v>750</v>
      </c>
      <c r="CZ198" s="7">
        <f t="shared" ref="CZ198:CZ261" si="116">_xlfn.PERCENTILE.INC(V198:CM198,0.2)</f>
        <v>1030.0000000000002</v>
      </c>
      <c r="DA198" s="7">
        <f t="shared" ref="DA198:DA261" si="117">_xlfn.PERCENTILE.INC(V198:CM198,0.25)</f>
        <v>1200</v>
      </c>
      <c r="DB198" s="7">
        <f t="shared" ref="DB198:DB261" si="118">_xlfn.PERCENTILE.INC(V198:CM198,0.5)</f>
        <v>2667</v>
      </c>
      <c r="DC198" s="7">
        <f t="shared" ref="DC198:DC261" si="119">_xlfn.PERCENTILE.INC(V198:CM198,0.6)</f>
        <v>3500</v>
      </c>
      <c r="DD198" s="7">
        <f t="shared" ref="DD198:DD261" si="120">_xlfn.PERCENTILE.INC(V198:CM198,0.65)</f>
        <v>3500</v>
      </c>
      <c r="DE198" s="7">
        <f t="shared" ref="DE198:DE261" si="121">_xlfn.PERCENTILE.INC(V198:CM198,0.75)</f>
        <v>3500</v>
      </c>
      <c r="DF198" s="7">
        <f t="shared" ref="DF198:DF261" si="122">_xlfn.PERCENTILE.INC(V198:CM198,0.85)</f>
        <v>7500</v>
      </c>
      <c r="DG198" s="7"/>
      <c r="DH198" s="7">
        <f t="shared" ref="DH198:DH261" si="123">_xlfn.PERCENTILE.INC(V198:AW198,0.05)</f>
        <v>620</v>
      </c>
      <c r="DI198" s="7">
        <f t="shared" ref="DI198:DI261" si="124">_xlfn.PERCENTILE.INC(V198:AW198,0.15)</f>
        <v>1140</v>
      </c>
      <c r="DJ198" s="7">
        <f t="shared" ref="DJ198:DJ261" si="125">_xlfn.PERCENTILE.INC(V198:AW198,0.2)</f>
        <v>1220</v>
      </c>
      <c r="DK198" s="7">
        <f t="shared" ref="DK198:DK261" si="126">_xlfn.PERCENTILE.INC(V198:AW198,0.25)</f>
        <v>1300</v>
      </c>
      <c r="DL198" s="7">
        <f t="shared" ref="DL198:DL261" si="127">_xlfn.PERCENTILE.INC(V198:AW198,0.5)</f>
        <v>2667</v>
      </c>
      <c r="DM198" s="7">
        <f t="shared" ref="DM198:DM261" si="128">_xlfn.PERCENTILE.INC(V198:AW198,0.6)</f>
        <v>3221.3999999999996</v>
      </c>
      <c r="DN198" s="7">
        <f t="shared" ref="DN198:DN261" si="129">_xlfn.PERCENTILE.INC(V198:AW198,0.65)</f>
        <v>3848.0000000000005</v>
      </c>
      <c r="DO198" s="7">
        <f t="shared" ref="DO198:DO261" si="130">_xlfn.PERCENTILE.INC(V198:AW198,0.75)</f>
        <v>5800</v>
      </c>
      <c r="DP198" s="7">
        <f t="shared" ref="DP198:DP261" si="131">_xlfn.PERCENTILE.INC(V198:AW198,0.85)</f>
        <v>9160</v>
      </c>
      <c r="DQ198" s="7"/>
      <c r="DR198" s="7"/>
      <c r="DS198" s="7"/>
      <c r="DT198" s="7"/>
      <c r="DU198" s="7"/>
      <c r="DV198" s="7"/>
      <c r="DW198" s="7"/>
      <c r="DX198" s="7"/>
      <c r="DY198" s="7"/>
      <c r="DZ198" s="7"/>
    </row>
    <row r="199" spans="1:130" ht="25.5" hidden="1" customHeight="1" x14ac:dyDescent="0.25">
      <c r="A199" s="92" t="str">
        <f t="shared" si="98"/>
        <v>CO-WVI [17]</v>
      </c>
      <c r="B199" s="92" t="str">
        <f t="shared" si="99"/>
        <v>West Vancouver Island</v>
      </c>
      <c r="C199" s="93" t="str">
        <f t="shared" si="102"/>
        <v>WALLACE CREEK_Coho</v>
      </c>
      <c r="D199" s="128" t="s">
        <v>598</v>
      </c>
      <c r="E199" s="128" t="s">
        <v>598</v>
      </c>
      <c r="F199" s="64">
        <v>23</v>
      </c>
      <c r="G199" s="72" t="s">
        <v>135</v>
      </c>
      <c r="H199" s="65" t="s">
        <v>93</v>
      </c>
      <c r="I199" s="119"/>
      <c r="J199" s="119"/>
      <c r="K199" s="64">
        <v>4</v>
      </c>
      <c r="L199" s="52">
        <v>9</v>
      </c>
      <c r="M199" s="52">
        <v>5</v>
      </c>
      <c r="N199" s="52">
        <f t="shared" si="103"/>
        <v>22.081667224484562</v>
      </c>
      <c r="O199" s="52">
        <f t="shared" si="104"/>
        <v>200</v>
      </c>
      <c r="P199" s="52">
        <f t="shared" si="105"/>
        <v>38.290222433170747</v>
      </c>
      <c r="Q199" s="66"/>
      <c r="R199" s="39"/>
      <c r="S199" s="74" t="s">
        <v>327</v>
      </c>
      <c r="T199" s="81" t="e">
        <f t="shared" si="106"/>
        <v>#DIV/0!</v>
      </c>
      <c r="U199" s="81" t="e">
        <f t="shared" si="107"/>
        <v>#DIV/0!</v>
      </c>
      <c r="V199" s="52" t="s">
        <v>102</v>
      </c>
      <c r="W199" s="52" t="s">
        <v>102</v>
      </c>
      <c r="X199" s="52" t="s">
        <v>102</v>
      </c>
      <c r="Y199" s="52" t="s">
        <v>102</v>
      </c>
      <c r="Z199" s="52" t="s">
        <v>102</v>
      </c>
      <c r="AA199" s="52" t="s">
        <v>102</v>
      </c>
      <c r="AB199" s="52" t="s">
        <v>102</v>
      </c>
      <c r="AC199" s="52" t="s">
        <v>102</v>
      </c>
      <c r="AD199" s="52" t="s">
        <v>102</v>
      </c>
      <c r="AE199" s="52" t="s">
        <v>102</v>
      </c>
      <c r="AF199" s="52" t="s">
        <v>102</v>
      </c>
      <c r="AG199" s="52" t="s">
        <v>102</v>
      </c>
      <c r="AH199" s="52" t="s">
        <v>102</v>
      </c>
      <c r="AI199" s="52" t="s">
        <v>102</v>
      </c>
      <c r="AJ199" s="52" t="s">
        <v>102</v>
      </c>
      <c r="AK199" s="52" t="s">
        <v>102</v>
      </c>
      <c r="AL199" s="52" t="s">
        <v>102</v>
      </c>
      <c r="AM199" s="52" t="s">
        <v>102</v>
      </c>
      <c r="AN199" s="53" t="s">
        <v>262</v>
      </c>
      <c r="AO199" s="53" t="s">
        <v>262</v>
      </c>
      <c r="AP199" s="53" t="s">
        <v>262</v>
      </c>
      <c r="AQ199" s="53" t="s">
        <v>102</v>
      </c>
      <c r="AR199" s="53" t="s">
        <v>262</v>
      </c>
      <c r="AS199" s="52">
        <v>50</v>
      </c>
      <c r="AT199" s="52">
        <v>50</v>
      </c>
      <c r="AU199" s="52">
        <v>4</v>
      </c>
      <c r="AV199" s="52">
        <v>21</v>
      </c>
      <c r="AW199" s="52">
        <v>25</v>
      </c>
      <c r="AX199" s="51" t="s">
        <v>262</v>
      </c>
      <c r="AY199" s="53">
        <v>30</v>
      </c>
      <c r="AZ199" s="53" t="s">
        <v>264</v>
      </c>
      <c r="BA199" s="53" t="s">
        <v>262</v>
      </c>
      <c r="BB199" s="53" t="s">
        <v>264</v>
      </c>
      <c r="BC199" s="53" t="s">
        <v>102</v>
      </c>
      <c r="BD199" s="53" t="s">
        <v>264</v>
      </c>
      <c r="BE199" s="53" t="s">
        <v>102</v>
      </c>
      <c r="BF199" s="53" t="s">
        <v>102</v>
      </c>
      <c r="BG199" s="53" t="s">
        <v>264</v>
      </c>
      <c r="BH199" s="53" t="s">
        <v>264</v>
      </c>
      <c r="BI199" s="53" t="s">
        <v>264</v>
      </c>
      <c r="BJ199" s="53" t="s">
        <v>264</v>
      </c>
      <c r="BK199" s="53" t="s">
        <v>264</v>
      </c>
      <c r="BL199" s="53">
        <v>20</v>
      </c>
      <c r="BM199" s="53">
        <v>80</v>
      </c>
      <c r="BN199" s="53">
        <v>100</v>
      </c>
      <c r="BO199" s="53">
        <v>50</v>
      </c>
      <c r="BP199" s="53">
        <v>30</v>
      </c>
      <c r="BQ199" s="53">
        <v>25</v>
      </c>
      <c r="BR199" s="53">
        <v>200</v>
      </c>
      <c r="BS199" s="53">
        <v>200</v>
      </c>
      <c r="BT199" s="53">
        <v>25</v>
      </c>
      <c r="BU199" s="53">
        <v>25</v>
      </c>
      <c r="BV199" s="53">
        <v>75</v>
      </c>
      <c r="BW199" s="53">
        <v>75</v>
      </c>
      <c r="BX199" s="53">
        <v>200</v>
      </c>
      <c r="BY199" s="53">
        <v>75</v>
      </c>
      <c r="BZ199" s="53">
        <v>25</v>
      </c>
      <c r="CA199" s="53">
        <v>25</v>
      </c>
      <c r="CB199" s="53">
        <v>25</v>
      </c>
      <c r="CC199" s="53">
        <v>25</v>
      </c>
      <c r="CD199" s="53">
        <v>25</v>
      </c>
      <c r="CE199" s="53">
        <v>25</v>
      </c>
      <c r="CF199" s="53">
        <v>25</v>
      </c>
      <c r="CG199" s="53">
        <v>25</v>
      </c>
      <c r="CH199" s="53">
        <v>25</v>
      </c>
      <c r="CI199" s="53">
        <v>25</v>
      </c>
      <c r="CJ199" s="53">
        <v>25</v>
      </c>
      <c r="CK199" s="53">
        <v>25</v>
      </c>
      <c r="CL199" s="53">
        <v>75</v>
      </c>
      <c r="CM199" s="53">
        <v>75</v>
      </c>
      <c r="CN199" s="206"/>
      <c r="CO199" s="206"/>
      <c r="CP199" s="206"/>
      <c r="CQ199" s="8">
        <f t="shared" si="108"/>
        <v>4</v>
      </c>
      <c r="CR199" s="8">
        <f t="shared" si="109"/>
        <v>200</v>
      </c>
      <c r="CS199" s="8">
        <f t="shared" si="110"/>
        <v>53.235294117647058</v>
      </c>
      <c r="CT199">
        <f t="shared" si="111"/>
        <v>38.290222433170747</v>
      </c>
      <c r="CU199" s="143" t="e">
        <f t="shared" si="112"/>
        <v>#DIV/0!</v>
      </c>
      <c r="CV199" s="143" t="e">
        <f t="shared" si="113"/>
        <v>#DIV/0!</v>
      </c>
      <c r="CW199" s="7"/>
      <c r="CX199" s="7">
        <f t="shared" si="114"/>
        <v>20.65</v>
      </c>
      <c r="CY199" s="7">
        <f t="shared" si="115"/>
        <v>25</v>
      </c>
      <c r="CZ199" s="7">
        <f t="shared" si="116"/>
        <v>25</v>
      </c>
      <c r="DA199" s="7">
        <f t="shared" si="117"/>
        <v>25</v>
      </c>
      <c r="DB199" s="7">
        <f t="shared" si="118"/>
        <v>25</v>
      </c>
      <c r="DC199" s="7">
        <f t="shared" si="119"/>
        <v>30</v>
      </c>
      <c r="DD199" s="7">
        <f t="shared" si="120"/>
        <v>50</v>
      </c>
      <c r="DE199" s="7">
        <f t="shared" si="121"/>
        <v>75</v>
      </c>
      <c r="DF199" s="7">
        <f t="shared" si="122"/>
        <v>75.25</v>
      </c>
      <c r="DG199" s="7"/>
      <c r="DH199" s="7">
        <f t="shared" si="123"/>
        <v>7.3999999999999995</v>
      </c>
      <c r="DI199" s="7">
        <f t="shared" si="124"/>
        <v>14.200000000000001</v>
      </c>
      <c r="DJ199" s="7">
        <f t="shared" si="125"/>
        <v>17.600000000000001</v>
      </c>
      <c r="DK199" s="7">
        <f t="shared" si="126"/>
        <v>21</v>
      </c>
      <c r="DL199" s="7">
        <f t="shared" si="127"/>
        <v>25</v>
      </c>
      <c r="DM199" s="7">
        <f t="shared" si="128"/>
        <v>35</v>
      </c>
      <c r="DN199" s="7">
        <f t="shared" si="129"/>
        <v>40</v>
      </c>
      <c r="DO199" s="7">
        <f t="shared" si="130"/>
        <v>50</v>
      </c>
      <c r="DP199" s="7">
        <f t="shared" si="131"/>
        <v>50</v>
      </c>
      <c r="DQ199" s="7"/>
      <c r="DR199" s="7"/>
      <c r="DS199" s="7"/>
      <c r="DT199" s="7"/>
      <c r="DU199" s="7"/>
      <c r="DV199" s="7"/>
      <c r="DW199" s="7"/>
      <c r="DX199" s="7"/>
      <c r="DY199" s="7"/>
      <c r="DZ199" s="7"/>
    </row>
    <row r="200" spans="1:130" ht="25.5" hidden="1" customHeight="1" x14ac:dyDescent="0.25">
      <c r="A200" s="92" t="str">
        <f t="shared" si="98"/>
        <v>CM-SWVI [10]</v>
      </c>
      <c r="B200" s="92" t="str">
        <f t="shared" si="99"/>
        <v>Southwest Vancouver Island</v>
      </c>
      <c r="C200" s="93" t="str">
        <f t="shared" si="102"/>
        <v>ANGORA CREEK_Chum</v>
      </c>
      <c r="D200" s="128" t="s">
        <v>598</v>
      </c>
      <c r="E200" s="128" t="s">
        <v>598</v>
      </c>
      <c r="F200" s="64">
        <v>24</v>
      </c>
      <c r="G200" s="72" t="s">
        <v>178</v>
      </c>
      <c r="H200" s="65" t="s">
        <v>96</v>
      </c>
      <c r="I200" s="119"/>
      <c r="J200" s="119"/>
      <c r="K200" s="64">
        <v>5</v>
      </c>
      <c r="L200" s="52">
        <v>6</v>
      </c>
      <c r="M200" s="52">
        <v>0</v>
      </c>
      <c r="N200" s="52" t="e">
        <f t="shared" si="103"/>
        <v>#NUM!</v>
      </c>
      <c r="O200" s="52">
        <f t="shared" si="104"/>
        <v>0</v>
      </c>
      <c r="P200" s="52" t="e">
        <f t="shared" si="105"/>
        <v>#NUM!</v>
      </c>
      <c r="Q200" s="66"/>
      <c r="R200" s="37"/>
      <c r="S200" s="74" t="s">
        <v>376</v>
      </c>
      <c r="T200" s="81" t="e">
        <f t="shared" si="106"/>
        <v>#DIV/0!</v>
      </c>
      <c r="U200" s="81" t="e">
        <f t="shared" si="107"/>
        <v>#DIV/0!</v>
      </c>
      <c r="V200" s="52" t="s">
        <v>102</v>
      </c>
      <c r="W200" s="52" t="s">
        <v>102</v>
      </c>
      <c r="X200" s="52" t="s">
        <v>102</v>
      </c>
      <c r="Y200" s="52"/>
      <c r="Z200" s="52" t="s">
        <v>102</v>
      </c>
      <c r="AA200" s="52" t="s">
        <v>102</v>
      </c>
      <c r="AB200" s="52" t="s">
        <v>102</v>
      </c>
      <c r="AC200" s="52" t="s">
        <v>102</v>
      </c>
      <c r="AD200" s="52" t="s">
        <v>262</v>
      </c>
      <c r="AE200" s="52" t="s">
        <v>262</v>
      </c>
      <c r="AF200" s="52" t="s">
        <v>102</v>
      </c>
      <c r="AG200" s="52" t="s">
        <v>102</v>
      </c>
      <c r="AH200" s="52" t="s">
        <v>262</v>
      </c>
      <c r="AI200" s="52" t="s">
        <v>102</v>
      </c>
      <c r="AJ200" s="52" t="s">
        <v>102</v>
      </c>
      <c r="AK200" s="52" t="s">
        <v>102</v>
      </c>
      <c r="AL200" s="52" t="s">
        <v>102</v>
      </c>
      <c r="AM200" s="52" t="s">
        <v>102</v>
      </c>
      <c r="AN200" s="52" t="s">
        <v>262</v>
      </c>
      <c r="AO200" s="52" t="s">
        <v>102</v>
      </c>
      <c r="AP200" s="53" t="s">
        <v>262</v>
      </c>
      <c r="AQ200" s="52" t="s">
        <v>262</v>
      </c>
      <c r="AR200" s="53" t="s">
        <v>102</v>
      </c>
      <c r="AS200" s="52" t="s">
        <v>262</v>
      </c>
      <c r="AT200" s="54"/>
      <c r="AU200" s="53" t="s">
        <v>262</v>
      </c>
      <c r="AV200" s="53" t="s">
        <v>262</v>
      </c>
      <c r="AW200" s="54"/>
      <c r="AX200" s="51" t="s">
        <v>264</v>
      </c>
      <c r="AY200" s="53" t="s">
        <v>102</v>
      </c>
      <c r="AZ200" s="53" t="s">
        <v>102</v>
      </c>
      <c r="BA200" s="53" t="s">
        <v>102</v>
      </c>
      <c r="BB200" s="53" t="s">
        <v>102</v>
      </c>
      <c r="BC200" s="53" t="s">
        <v>102</v>
      </c>
      <c r="BD200" s="53" t="s">
        <v>102</v>
      </c>
      <c r="BE200" s="53" t="s">
        <v>102</v>
      </c>
      <c r="BF200" s="53" t="s">
        <v>264</v>
      </c>
      <c r="BG200" s="53" t="s">
        <v>102</v>
      </c>
      <c r="BH200" s="53" t="s">
        <v>102</v>
      </c>
      <c r="BI200" s="53" t="s">
        <v>102</v>
      </c>
      <c r="BJ200" s="53" t="s">
        <v>102</v>
      </c>
      <c r="BK200" s="53" t="s">
        <v>102</v>
      </c>
      <c r="BL200" s="53" t="s">
        <v>102</v>
      </c>
      <c r="BM200" s="53" t="s">
        <v>102</v>
      </c>
      <c r="BN200" s="53" t="s">
        <v>102</v>
      </c>
      <c r="BO200" s="53" t="s">
        <v>102</v>
      </c>
      <c r="BP200" s="53" t="s">
        <v>102</v>
      </c>
      <c r="BQ200" s="53" t="s">
        <v>102</v>
      </c>
      <c r="BR200" s="53" t="s">
        <v>102</v>
      </c>
      <c r="BS200" s="53" t="s">
        <v>102</v>
      </c>
      <c r="BT200" s="53" t="s">
        <v>102</v>
      </c>
      <c r="BU200" s="53" t="s">
        <v>102</v>
      </c>
      <c r="BV200" s="53" t="s">
        <v>102</v>
      </c>
      <c r="BW200" s="53" t="s">
        <v>102</v>
      </c>
      <c r="BX200" s="53" t="s">
        <v>102</v>
      </c>
      <c r="BY200" s="53" t="s">
        <v>102</v>
      </c>
      <c r="BZ200" s="53" t="s">
        <v>102</v>
      </c>
      <c r="CA200" s="53" t="s">
        <v>102</v>
      </c>
      <c r="CB200" s="53" t="s">
        <v>102</v>
      </c>
      <c r="CC200" s="53" t="s">
        <v>102</v>
      </c>
      <c r="CD200" s="53" t="s">
        <v>102</v>
      </c>
      <c r="CE200" s="53" t="s">
        <v>102</v>
      </c>
      <c r="CF200" s="53" t="s">
        <v>102</v>
      </c>
      <c r="CG200" s="53" t="s">
        <v>102</v>
      </c>
      <c r="CH200" s="53" t="s">
        <v>102</v>
      </c>
      <c r="CI200" s="53" t="s">
        <v>102</v>
      </c>
      <c r="CJ200" s="53" t="s">
        <v>102</v>
      </c>
      <c r="CK200" s="53" t="s">
        <v>102</v>
      </c>
      <c r="CL200" s="53" t="s">
        <v>102</v>
      </c>
      <c r="CM200" s="53" t="s">
        <v>102</v>
      </c>
      <c r="CN200" s="206" t="e">
        <f>IF(ISERROR(AVERAGE(BV200:CM200)),CS200,AVERAGE(BV200:CM200))</f>
        <v>#DIV/0!</v>
      </c>
      <c r="CO200" s="206"/>
      <c r="CP200" s="206"/>
      <c r="CQ200" s="8">
        <f t="shared" si="108"/>
        <v>0</v>
      </c>
      <c r="CR200" s="8">
        <f t="shared" si="109"/>
        <v>0</v>
      </c>
      <c r="CS200" s="8" t="e">
        <f t="shared" si="110"/>
        <v>#DIV/0!</v>
      </c>
      <c r="CT200" t="e">
        <f t="shared" si="111"/>
        <v>#NUM!</v>
      </c>
      <c r="CU200" s="143" t="e">
        <f t="shared" si="112"/>
        <v>#DIV/0!</v>
      </c>
      <c r="CV200" s="143" t="e">
        <f t="shared" si="113"/>
        <v>#DIV/0!</v>
      </c>
      <c r="CX200" s="7" t="e">
        <f t="shared" si="114"/>
        <v>#NUM!</v>
      </c>
      <c r="CY200" s="7" t="e">
        <f t="shared" si="115"/>
        <v>#NUM!</v>
      </c>
      <c r="CZ200" s="7" t="e">
        <f t="shared" si="116"/>
        <v>#NUM!</v>
      </c>
      <c r="DA200" s="7" t="e">
        <f t="shared" si="117"/>
        <v>#NUM!</v>
      </c>
      <c r="DB200" s="7" t="e">
        <f t="shared" si="118"/>
        <v>#NUM!</v>
      </c>
      <c r="DC200" s="7" t="e">
        <f t="shared" si="119"/>
        <v>#NUM!</v>
      </c>
      <c r="DD200" s="7" t="e">
        <f t="shared" si="120"/>
        <v>#NUM!</v>
      </c>
      <c r="DE200" s="7" t="e">
        <f t="shared" si="121"/>
        <v>#NUM!</v>
      </c>
      <c r="DF200" s="7" t="e">
        <f t="shared" si="122"/>
        <v>#NUM!</v>
      </c>
      <c r="DH200" s="7" t="e">
        <f t="shared" si="123"/>
        <v>#NUM!</v>
      </c>
      <c r="DI200" s="7" t="e">
        <f t="shared" si="124"/>
        <v>#NUM!</v>
      </c>
      <c r="DJ200" s="7" t="e">
        <f t="shared" si="125"/>
        <v>#NUM!</v>
      </c>
      <c r="DK200" s="7" t="e">
        <f t="shared" si="126"/>
        <v>#NUM!</v>
      </c>
      <c r="DL200" s="7" t="e">
        <f t="shared" si="127"/>
        <v>#NUM!</v>
      </c>
      <c r="DM200" s="7" t="e">
        <f t="shared" si="128"/>
        <v>#NUM!</v>
      </c>
      <c r="DN200" s="7" t="e">
        <f t="shared" si="129"/>
        <v>#NUM!</v>
      </c>
      <c r="DO200" s="7" t="e">
        <f t="shared" si="130"/>
        <v>#NUM!</v>
      </c>
      <c r="DP200" s="7" t="e">
        <f t="shared" si="131"/>
        <v>#NUM!</v>
      </c>
      <c r="DR200" s="7" t="e">
        <f>_xlfn.PERCENTILE.INC(Y200:AV200,0.05)</f>
        <v>#NUM!</v>
      </c>
      <c r="DS200" s="7" t="e">
        <f>_xlfn.PERCENTILE.INC(Y200:AV200,0.15)</f>
        <v>#NUM!</v>
      </c>
      <c r="DT200" s="7" t="e">
        <f>_xlfn.PERCENTILE.INC(Y200:AV200,0.2)</f>
        <v>#NUM!</v>
      </c>
      <c r="DU200" s="7" t="e">
        <f>_xlfn.PERCENTILE.INC(Y200:AV200,0.25)</f>
        <v>#NUM!</v>
      </c>
      <c r="DV200" s="7" t="e">
        <f>_xlfn.PERCENTILE.INC(Y200:AV200,0.5)</f>
        <v>#NUM!</v>
      </c>
      <c r="DW200" s="7" t="e">
        <f>_xlfn.PERCENTILE.INC(Y200:AV200,0.6)</f>
        <v>#NUM!</v>
      </c>
      <c r="DX200" s="7" t="e">
        <f>_xlfn.PERCENTILE.INC(Y200:AV200,0.65)</f>
        <v>#NUM!</v>
      </c>
      <c r="DY200" s="7" t="e">
        <f>_xlfn.PERCENTILE.INC(Y200:AV200,0.75)</f>
        <v>#NUM!</v>
      </c>
      <c r="DZ200" s="7" t="e">
        <f>_xlfn.PERCENTILE.INC(Y200:AV200,0.85)</f>
        <v>#NUM!</v>
      </c>
    </row>
    <row r="201" spans="1:130" ht="25.5" hidden="1" customHeight="1" x14ac:dyDescent="0.25">
      <c r="A201" s="92" t="str">
        <f t="shared" ref="A201:A222" si="132">VLOOKUP(C201,CU,6,FALSE)</f>
        <v>CO-CLAY [18]</v>
      </c>
      <c r="B201" s="92" t="str">
        <f t="shared" ref="B201:B222" si="133">VLOOKUP(C201,CU,7,FALSE)</f>
        <v>Clayoquot</v>
      </c>
      <c r="C201" s="93" t="str">
        <f t="shared" si="102"/>
        <v>ANGORA CREEK_Coho</v>
      </c>
      <c r="D201" s="128" t="s">
        <v>598</v>
      </c>
      <c r="E201" s="128" t="s">
        <v>598</v>
      </c>
      <c r="F201" s="64">
        <v>24</v>
      </c>
      <c r="G201" s="72" t="s">
        <v>178</v>
      </c>
      <c r="H201" s="65" t="s">
        <v>93</v>
      </c>
      <c r="I201" s="119"/>
      <c r="J201" s="119"/>
      <c r="K201" s="64">
        <v>5</v>
      </c>
      <c r="L201" s="52">
        <v>6</v>
      </c>
      <c r="M201" s="52">
        <v>6</v>
      </c>
      <c r="N201" s="52">
        <f t="shared" si="103"/>
        <v>171.61592846293161</v>
      </c>
      <c r="O201" s="52">
        <f t="shared" si="104"/>
        <v>575</v>
      </c>
      <c r="P201" s="52">
        <f t="shared" si="105"/>
        <v>158.87273298704775</v>
      </c>
      <c r="Q201" s="66"/>
      <c r="R201" s="37"/>
      <c r="S201" s="74" t="s">
        <v>376</v>
      </c>
      <c r="T201" s="81" t="e">
        <f t="shared" si="106"/>
        <v>#DIV/0!</v>
      </c>
      <c r="U201" s="81">
        <f t="shared" si="107"/>
        <v>388.5</v>
      </c>
      <c r="V201" s="52" t="s">
        <v>102</v>
      </c>
      <c r="W201" s="52" t="s">
        <v>102</v>
      </c>
      <c r="X201" s="52" t="s">
        <v>102</v>
      </c>
      <c r="Y201" s="52"/>
      <c r="Z201" s="52" t="s">
        <v>102</v>
      </c>
      <c r="AA201" s="52" t="s">
        <v>102</v>
      </c>
      <c r="AB201" s="52" t="s">
        <v>102</v>
      </c>
      <c r="AC201" s="52" t="s">
        <v>102</v>
      </c>
      <c r="AD201" s="52">
        <v>436</v>
      </c>
      <c r="AE201" s="52">
        <v>341</v>
      </c>
      <c r="AF201" s="52" t="s">
        <v>102</v>
      </c>
      <c r="AG201" s="52" t="s">
        <v>102</v>
      </c>
      <c r="AH201" s="142"/>
      <c r="AI201" s="52" t="s">
        <v>102</v>
      </c>
      <c r="AJ201" s="52" t="s">
        <v>102</v>
      </c>
      <c r="AK201" s="52" t="s">
        <v>102</v>
      </c>
      <c r="AL201" s="52" t="s">
        <v>102</v>
      </c>
      <c r="AM201" s="52" t="s">
        <v>102</v>
      </c>
      <c r="AN201" s="52">
        <v>193</v>
      </c>
      <c r="AO201" s="52" t="s">
        <v>102</v>
      </c>
      <c r="AP201" s="53">
        <v>352</v>
      </c>
      <c r="AQ201" s="52">
        <v>327</v>
      </c>
      <c r="AR201" s="53" t="s">
        <v>102</v>
      </c>
      <c r="AS201" s="52">
        <v>575</v>
      </c>
      <c r="AT201" s="54"/>
      <c r="AU201" s="52">
        <v>100</v>
      </c>
      <c r="AV201" s="52">
        <v>20</v>
      </c>
      <c r="AW201" s="54"/>
      <c r="AX201" s="51" t="s">
        <v>264</v>
      </c>
      <c r="AY201" s="53" t="s">
        <v>102</v>
      </c>
      <c r="AZ201" s="53" t="s">
        <v>102</v>
      </c>
      <c r="BA201" s="53" t="s">
        <v>102</v>
      </c>
      <c r="BB201" s="53" t="s">
        <v>102</v>
      </c>
      <c r="BC201" s="53" t="s">
        <v>102</v>
      </c>
      <c r="BD201" s="53" t="s">
        <v>102</v>
      </c>
      <c r="BE201" s="53" t="s">
        <v>102</v>
      </c>
      <c r="BF201" s="53">
        <v>100</v>
      </c>
      <c r="BG201" s="53" t="s">
        <v>102</v>
      </c>
      <c r="BH201" s="53" t="s">
        <v>102</v>
      </c>
      <c r="BI201" s="53" t="s">
        <v>102</v>
      </c>
      <c r="BJ201" s="53" t="s">
        <v>102</v>
      </c>
      <c r="BK201" s="53" t="s">
        <v>102</v>
      </c>
      <c r="BL201" s="53" t="s">
        <v>102</v>
      </c>
      <c r="BM201" s="53" t="s">
        <v>102</v>
      </c>
      <c r="BN201" s="53" t="s">
        <v>102</v>
      </c>
      <c r="BO201" s="53" t="s">
        <v>102</v>
      </c>
      <c r="BP201" s="53" t="s">
        <v>102</v>
      </c>
      <c r="BQ201" s="53" t="s">
        <v>102</v>
      </c>
      <c r="BR201" s="53" t="s">
        <v>102</v>
      </c>
      <c r="BS201" s="53" t="s">
        <v>102</v>
      </c>
      <c r="BT201" s="53" t="s">
        <v>102</v>
      </c>
      <c r="BU201" s="53" t="s">
        <v>102</v>
      </c>
      <c r="BV201" s="53" t="s">
        <v>102</v>
      </c>
      <c r="BW201" s="53" t="s">
        <v>102</v>
      </c>
      <c r="BX201" s="53" t="s">
        <v>102</v>
      </c>
      <c r="BY201" s="53" t="s">
        <v>102</v>
      </c>
      <c r="BZ201" s="53" t="s">
        <v>102</v>
      </c>
      <c r="CA201" s="53" t="s">
        <v>102</v>
      </c>
      <c r="CB201" s="53" t="s">
        <v>102</v>
      </c>
      <c r="CC201" s="53" t="s">
        <v>102</v>
      </c>
      <c r="CD201" s="53" t="s">
        <v>102</v>
      </c>
      <c r="CE201" s="53" t="s">
        <v>102</v>
      </c>
      <c r="CF201" s="53" t="s">
        <v>102</v>
      </c>
      <c r="CG201" s="53" t="s">
        <v>102</v>
      </c>
      <c r="CH201" s="53" t="s">
        <v>102</v>
      </c>
      <c r="CI201" s="53" t="s">
        <v>102</v>
      </c>
      <c r="CJ201" s="53" t="s">
        <v>102</v>
      </c>
      <c r="CK201" s="53" t="s">
        <v>102</v>
      </c>
      <c r="CL201" s="53" t="s">
        <v>102</v>
      </c>
      <c r="CM201" s="53" t="s">
        <v>102</v>
      </c>
      <c r="CN201" s="206"/>
      <c r="CO201" s="206"/>
      <c r="CP201" s="206"/>
      <c r="CQ201" s="8">
        <f t="shared" si="108"/>
        <v>20</v>
      </c>
      <c r="CR201" s="8">
        <f t="shared" si="109"/>
        <v>575</v>
      </c>
      <c r="CS201" s="8">
        <f t="shared" si="110"/>
        <v>271.55555555555554</v>
      </c>
      <c r="CT201">
        <f t="shared" si="111"/>
        <v>193.47315546009685</v>
      </c>
      <c r="CU201" s="143" t="e">
        <f t="shared" si="112"/>
        <v>#DIV/0!</v>
      </c>
      <c r="CV201" s="143">
        <f t="shared" si="113"/>
        <v>388.5</v>
      </c>
      <c r="CX201" s="7">
        <f t="shared" si="114"/>
        <v>51.999999999999993</v>
      </c>
      <c r="CY201" s="7">
        <f t="shared" si="115"/>
        <v>100</v>
      </c>
      <c r="CZ201" s="7">
        <f t="shared" si="116"/>
        <v>100</v>
      </c>
      <c r="DA201" s="7">
        <f t="shared" si="117"/>
        <v>100</v>
      </c>
      <c r="DB201" s="7">
        <f t="shared" si="118"/>
        <v>327</v>
      </c>
      <c r="DC201" s="7">
        <f t="shared" si="119"/>
        <v>338.2</v>
      </c>
      <c r="DD201" s="7">
        <f t="shared" si="120"/>
        <v>343.2</v>
      </c>
      <c r="DE201" s="7">
        <f t="shared" si="121"/>
        <v>352</v>
      </c>
      <c r="DF201" s="7">
        <f t="shared" si="122"/>
        <v>419.2</v>
      </c>
      <c r="DH201" s="7">
        <f t="shared" si="123"/>
        <v>48.000000000000007</v>
      </c>
      <c r="DI201" s="7">
        <f t="shared" si="124"/>
        <v>104.64999999999998</v>
      </c>
      <c r="DJ201" s="7">
        <f t="shared" si="125"/>
        <v>137.20000000000005</v>
      </c>
      <c r="DK201" s="7">
        <f t="shared" si="126"/>
        <v>169.75</v>
      </c>
      <c r="DL201" s="7">
        <f t="shared" si="127"/>
        <v>334</v>
      </c>
      <c r="DM201" s="7">
        <f t="shared" si="128"/>
        <v>343.2</v>
      </c>
      <c r="DN201" s="7">
        <f t="shared" si="129"/>
        <v>347.05</v>
      </c>
      <c r="DO201" s="7">
        <f t="shared" si="130"/>
        <v>373</v>
      </c>
      <c r="DP201" s="7">
        <f t="shared" si="131"/>
        <v>431.8</v>
      </c>
    </row>
    <row r="202" spans="1:130" ht="25.5" hidden="1" customHeight="1" x14ac:dyDescent="0.25">
      <c r="A202" s="92" t="str">
        <f t="shared" si="132"/>
        <v>CM-SWVI [10]</v>
      </c>
      <c r="B202" s="92" t="str">
        <f t="shared" si="133"/>
        <v>Southwest Vancouver Island</v>
      </c>
      <c r="C202" s="93" t="str">
        <f t="shared" si="102"/>
        <v>ATLEO RIVER_Chum</v>
      </c>
      <c r="D202" s="128" t="s">
        <v>598</v>
      </c>
      <c r="E202" s="128" t="s">
        <v>598</v>
      </c>
      <c r="F202" s="64">
        <v>24</v>
      </c>
      <c r="G202" s="72" t="s">
        <v>195</v>
      </c>
      <c r="H202" s="65" t="s">
        <v>96</v>
      </c>
      <c r="I202" s="119"/>
      <c r="J202" s="119"/>
      <c r="K202" s="64">
        <v>4</v>
      </c>
      <c r="L202" s="52">
        <v>5</v>
      </c>
      <c r="M202" s="52">
        <v>5</v>
      </c>
      <c r="N202" s="52">
        <f t="shared" si="103"/>
        <v>1164.0349384296394</v>
      </c>
      <c r="O202" s="52">
        <f t="shared" si="104"/>
        <v>75000</v>
      </c>
      <c r="P202" s="52">
        <f t="shared" si="105"/>
        <v>6444.9013522668865</v>
      </c>
      <c r="Q202" s="66"/>
      <c r="R202" s="39"/>
      <c r="S202" s="76" t="s">
        <v>349</v>
      </c>
      <c r="T202" s="81">
        <f t="shared" si="106"/>
        <v>110.5</v>
      </c>
      <c r="U202" s="81">
        <f t="shared" si="107"/>
        <v>118.8</v>
      </c>
      <c r="V202" s="52" t="s">
        <v>102</v>
      </c>
      <c r="W202" s="52">
        <v>19</v>
      </c>
      <c r="X202" s="52">
        <v>202</v>
      </c>
      <c r="Y202" s="52"/>
      <c r="Z202" s="52">
        <v>46</v>
      </c>
      <c r="AA202" s="52" t="s">
        <v>102</v>
      </c>
      <c r="AB202" s="52" t="s">
        <v>102</v>
      </c>
      <c r="AC202" s="52" t="s">
        <v>102</v>
      </c>
      <c r="AD202" s="52">
        <v>89</v>
      </c>
      <c r="AE202" s="52">
        <v>238</v>
      </c>
      <c r="AF202" s="52" t="s">
        <v>102</v>
      </c>
      <c r="AG202" s="52" t="s">
        <v>102</v>
      </c>
      <c r="AH202" s="52" t="s">
        <v>102</v>
      </c>
      <c r="AI202" s="52" t="s">
        <v>102</v>
      </c>
      <c r="AJ202" s="53">
        <v>17</v>
      </c>
      <c r="AK202" s="52" t="s">
        <v>102</v>
      </c>
      <c r="AL202" s="52" t="s">
        <v>102</v>
      </c>
      <c r="AM202" s="52" t="s">
        <v>102</v>
      </c>
      <c r="AN202" s="52" t="s">
        <v>102</v>
      </c>
      <c r="AO202" s="52" t="s">
        <v>102</v>
      </c>
      <c r="AP202" s="53">
        <v>35714</v>
      </c>
      <c r="AQ202" s="53">
        <v>440</v>
      </c>
      <c r="AR202" s="53">
        <v>1000</v>
      </c>
      <c r="AS202" s="52" t="s">
        <v>102</v>
      </c>
      <c r="AT202" s="52" t="s">
        <v>263</v>
      </c>
      <c r="AU202" s="52">
        <v>8000</v>
      </c>
      <c r="AV202" s="53" t="s">
        <v>102</v>
      </c>
      <c r="AW202" s="54"/>
      <c r="AX202" s="51">
        <v>3000</v>
      </c>
      <c r="AY202" s="53">
        <v>4000</v>
      </c>
      <c r="AZ202" s="53" t="s">
        <v>264</v>
      </c>
      <c r="BA202" s="53">
        <v>12000</v>
      </c>
      <c r="BB202" s="53">
        <v>4000</v>
      </c>
      <c r="BC202" s="53">
        <v>2000</v>
      </c>
      <c r="BD202" s="53">
        <v>12000</v>
      </c>
      <c r="BE202" s="53">
        <v>5200</v>
      </c>
      <c r="BF202" s="53">
        <v>30000</v>
      </c>
      <c r="BG202" s="53">
        <v>38500</v>
      </c>
      <c r="BH202" s="53">
        <v>22000</v>
      </c>
      <c r="BI202" s="53">
        <v>25000</v>
      </c>
      <c r="BJ202" s="53">
        <v>18000</v>
      </c>
      <c r="BK202" s="53">
        <v>30000</v>
      </c>
      <c r="BL202" s="53">
        <v>34000</v>
      </c>
      <c r="BM202" s="53">
        <v>9000</v>
      </c>
      <c r="BN202" s="53">
        <v>35000</v>
      </c>
      <c r="BO202" s="53">
        <v>27000</v>
      </c>
      <c r="BP202" s="53">
        <v>18000</v>
      </c>
      <c r="BQ202" s="53">
        <v>9000</v>
      </c>
      <c r="BR202" s="53">
        <v>25000</v>
      </c>
      <c r="BS202" s="53">
        <v>15000</v>
      </c>
      <c r="BT202" s="53">
        <v>75000</v>
      </c>
      <c r="BU202" s="53">
        <v>1500</v>
      </c>
      <c r="BV202" s="53">
        <v>3500</v>
      </c>
      <c r="BW202" s="53">
        <v>3500</v>
      </c>
      <c r="BX202" s="53">
        <v>18500</v>
      </c>
      <c r="BY202" s="53">
        <v>1500</v>
      </c>
      <c r="BZ202" s="53">
        <v>1500</v>
      </c>
      <c r="CA202" s="53">
        <v>500</v>
      </c>
      <c r="CB202" s="53">
        <v>4000</v>
      </c>
      <c r="CC202" s="53">
        <v>3000</v>
      </c>
      <c r="CD202" s="53">
        <v>7500</v>
      </c>
      <c r="CE202" s="53">
        <v>750</v>
      </c>
      <c r="CF202" s="53">
        <v>15000</v>
      </c>
      <c r="CG202" s="53">
        <v>7500</v>
      </c>
      <c r="CH202" s="53">
        <v>7500</v>
      </c>
      <c r="CI202" s="53">
        <v>7500</v>
      </c>
      <c r="CJ202" s="53">
        <v>7500</v>
      </c>
      <c r="CK202" s="53">
        <v>7500</v>
      </c>
      <c r="CL202" s="53">
        <v>7500</v>
      </c>
      <c r="CM202" s="53">
        <v>3500</v>
      </c>
      <c r="CN202" s="206"/>
      <c r="CO202" s="206"/>
      <c r="CP202" s="206"/>
      <c r="CQ202" s="8">
        <f t="shared" si="108"/>
        <v>17</v>
      </c>
      <c r="CR202" s="8">
        <f t="shared" si="109"/>
        <v>75000</v>
      </c>
      <c r="CS202" s="8">
        <f t="shared" si="110"/>
        <v>11915.980392156862</v>
      </c>
      <c r="CT202">
        <f t="shared" si="111"/>
        <v>4202.0986399415651</v>
      </c>
      <c r="CU202" s="143">
        <f t="shared" si="112"/>
        <v>89</v>
      </c>
      <c r="CV202" s="143">
        <f t="shared" si="113"/>
        <v>118.8</v>
      </c>
      <c r="CX202" s="7">
        <f t="shared" si="114"/>
        <v>67.5</v>
      </c>
      <c r="CY202" s="7">
        <f t="shared" si="115"/>
        <v>625</v>
      </c>
      <c r="CZ202" s="7">
        <f t="shared" si="116"/>
        <v>1500</v>
      </c>
      <c r="DA202" s="7">
        <f t="shared" si="117"/>
        <v>1750</v>
      </c>
      <c r="DB202" s="7">
        <f t="shared" si="118"/>
        <v>7500</v>
      </c>
      <c r="DC202" s="7">
        <f t="shared" si="119"/>
        <v>8000</v>
      </c>
      <c r="DD202" s="7">
        <f t="shared" si="120"/>
        <v>10500</v>
      </c>
      <c r="DE202" s="7">
        <f t="shared" si="121"/>
        <v>18000</v>
      </c>
      <c r="DF202" s="7">
        <f t="shared" si="122"/>
        <v>26000</v>
      </c>
      <c r="DH202" s="7">
        <f t="shared" si="123"/>
        <v>17.899999999999999</v>
      </c>
      <c r="DI202" s="7">
        <f t="shared" si="124"/>
        <v>28.449999999999989</v>
      </c>
      <c r="DJ202" s="7">
        <f t="shared" si="125"/>
        <v>40.599999999999994</v>
      </c>
      <c r="DK202" s="7">
        <f t="shared" si="126"/>
        <v>56.75</v>
      </c>
      <c r="DL202" s="7">
        <f t="shared" si="127"/>
        <v>220</v>
      </c>
      <c r="DM202" s="7">
        <f t="shared" si="128"/>
        <v>318.7999999999999</v>
      </c>
      <c r="DN202" s="7">
        <f t="shared" si="129"/>
        <v>409.7000000000001</v>
      </c>
      <c r="DO202" s="7">
        <f t="shared" si="130"/>
        <v>860</v>
      </c>
      <c r="DP202" s="7">
        <f t="shared" si="131"/>
        <v>5549.99999999999</v>
      </c>
    </row>
    <row r="203" spans="1:130" ht="25.5" hidden="1" customHeight="1" x14ac:dyDescent="0.25">
      <c r="A203" s="92" t="str">
        <f t="shared" si="132"/>
        <v>CO-CLAY [18]</v>
      </c>
      <c r="B203" s="92" t="str">
        <f t="shared" si="133"/>
        <v>Clayoquot</v>
      </c>
      <c r="C203" s="93" t="str">
        <f t="shared" si="102"/>
        <v>ATLEO RIVER_Coho</v>
      </c>
      <c r="D203" s="128" t="s">
        <v>598</v>
      </c>
      <c r="E203" s="128" t="s">
        <v>598</v>
      </c>
      <c r="F203" s="64">
        <v>24</v>
      </c>
      <c r="G203" s="72" t="s">
        <v>195</v>
      </c>
      <c r="H203" s="65" t="s">
        <v>93</v>
      </c>
      <c r="I203" s="119"/>
      <c r="J203" s="119"/>
      <c r="K203" s="64">
        <v>4</v>
      </c>
      <c r="L203" s="52">
        <v>5</v>
      </c>
      <c r="M203" s="52">
        <v>2</v>
      </c>
      <c r="N203" s="52">
        <f t="shared" si="103"/>
        <v>165.22711641858305</v>
      </c>
      <c r="O203" s="52">
        <f t="shared" si="104"/>
        <v>750</v>
      </c>
      <c r="P203" s="52">
        <f t="shared" si="105"/>
        <v>216.40051155349028</v>
      </c>
      <c r="Q203" s="66"/>
      <c r="R203" s="39"/>
      <c r="S203" s="76" t="s">
        <v>349</v>
      </c>
      <c r="T203" s="81">
        <f t="shared" si="106"/>
        <v>163</v>
      </c>
      <c r="U203" s="81">
        <f t="shared" si="107"/>
        <v>255.8</v>
      </c>
      <c r="V203" s="52" t="s">
        <v>102</v>
      </c>
      <c r="W203" s="52">
        <v>100</v>
      </c>
      <c r="X203" s="52">
        <v>226</v>
      </c>
      <c r="Y203" s="52"/>
      <c r="Z203" s="52">
        <v>157</v>
      </c>
      <c r="AA203" s="52" t="s">
        <v>102</v>
      </c>
      <c r="AB203" s="52" t="s">
        <v>102</v>
      </c>
      <c r="AC203" s="52" t="s">
        <v>102</v>
      </c>
      <c r="AD203" s="52">
        <v>436</v>
      </c>
      <c r="AE203" s="52">
        <v>360</v>
      </c>
      <c r="AF203" s="52" t="s">
        <v>102</v>
      </c>
      <c r="AG203" s="52" t="s">
        <v>102</v>
      </c>
      <c r="AH203" s="52" t="s">
        <v>102</v>
      </c>
      <c r="AI203" s="52" t="s">
        <v>102</v>
      </c>
      <c r="AJ203" s="53">
        <v>42</v>
      </c>
      <c r="AK203" s="52" t="s">
        <v>102</v>
      </c>
      <c r="AL203" s="52" t="s">
        <v>102</v>
      </c>
      <c r="AM203" s="52" t="s">
        <v>102</v>
      </c>
      <c r="AN203" s="52" t="s">
        <v>102</v>
      </c>
      <c r="AO203" s="52" t="s">
        <v>102</v>
      </c>
      <c r="AP203" s="53" t="s">
        <v>262</v>
      </c>
      <c r="AQ203" s="53">
        <v>650</v>
      </c>
      <c r="AR203" s="53" t="s">
        <v>263</v>
      </c>
      <c r="AS203" s="52" t="s">
        <v>102</v>
      </c>
      <c r="AT203" s="52" t="s">
        <v>262</v>
      </c>
      <c r="AU203" s="53" t="s">
        <v>262</v>
      </c>
      <c r="AV203" s="53" t="s">
        <v>102</v>
      </c>
      <c r="AW203" s="54"/>
      <c r="AX203" s="51">
        <v>100</v>
      </c>
      <c r="AY203" s="53" t="s">
        <v>264</v>
      </c>
      <c r="AZ203" s="53" t="s">
        <v>264</v>
      </c>
      <c r="BA203" s="53">
        <v>120</v>
      </c>
      <c r="BB203" s="53">
        <v>150</v>
      </c>
      <c r="BC203" s="53">
        <v>200</v>
      </c>
      <c r="BD203" s="53">
        <v>90</v>
      </c>
      <c r="BE203" s="53">
        <v>90</v>
      </c>
      <c r="BF203" s="53">
        <v>180</v>
      </c>
      <c r="BG203" s="53">
        <v>100</v>
      </c>
      <c r="BH203" s="53" t="s">
        <v>264</v>
      </c>
      <c r="BI203" s="53" t="s">
        <v>264</v>
      </c>
      <c r="BJ203" s="53" t="s">
        <v>264</v>
      </c>
      <c r="BK203" s="53" t="s">
        <v>262</v>
      </c>
      <c r="BL203" s="53">
        <v>300</v>
      </c>
      <c r="BM203" s="53">
        <v>500</v>
      </c>
      <c r="BN203" s="53">
        <v>300</v>
      </c>
      <c r="BO203" s="53">
        <v>400</v>
      </c>
      <c r="BP203" s="53" t="s">
        <v>264</v>
      </c>
      <c r="BQ203" s="53">
        <v>200</v>
      </c>
      <c r="BR203" s="53">
        <v>200</v>
      </c>
      <c r="BS203" s="53">
        <v>200</v>
      </c>
      <c r="BT203" s="53">
        <v>25</v>
      </c>
      <c r="BU203" s="53">
        <v>200</v>
      </c>
      <c r="BV203" s="53">
        <v>25</v>
      </c>
      <c r="BW203" s="53">
        <v>400</v>
      </c>
      <c r="BX203" s="53">
        <v>45</v>
      </c>
      <c r="BY203" s="53">
        <v>25</v>
      </c>
      <c r="BZ203" s="53">
        <v>750</v>
      </c>
      <c r="CA203" s="53">
        <v>200</v>
      </c>
      <c r="CB203" s="53">
        <v>300</v>
      </c>
      <c r="CC203" s="53">
        <v>200</v>
      </c>
      <c r="CD203" s="53">
        <v>400</v>
      </c>
      <c r="CE203" s="53">
        <v>400</v>
      </c>
      <c r="CF203" s="53">
        <v>400</v>
      </c>
      <c r="CG203" s="53">
        <v>750</v>
      </c>
      <c r="CH203" s="53">
        <v>750</v>
      </c>
      <c r="CI203" s="53">
        <v>750</v>
      </c>
      <c r="CJ203" s="53">
        <v>750</v>
      </c>
      <c r="CK203" s="53">
        <v>750</v>
      </c>
      <c r="CL203" s="53">
        <v>400</v>
      </c>
      <c r="CM203" s="53">
        <v>400</v>
      </c>
      <c r="CN203" s="206"/>
      <c r="CO203" s="206"/>
      <c r="CP203" s="206"/>
      <c r="CQ203" s="8">
        <f t="shared" si="108"/>
        <v>25</v>
      </c>
      <c r="CR203" s="8">
        <f t="shared" si="109"/>
        <v>750</v>
      </c>
      <c r="CS203" s="8">
        <f t="shared" si="110"/>
        <v>310.02380952380952</v>
      </c>
      <c r="CT203">
        <f t="shared" si="111"/>
        <v>217.22668760722752</v>
      </c>
      <c r="CU203" s="143">
        <f t="shared" si="112"/>
        <v>161</v>
      </c>
      <c r="CV203" s="143">
        <f t="shared" si="113"/>
        <v>255.8</v>
      </c>
      <c r="CX203" s="7">
        <f t="shared" si="114"/>
        <v>25.850000000000005</v>
      </c>
      <c r="CY203" s="7">
        <f t="shared" si="115"/>
        <v>91.5</v>
      </c>
      <c r="CZ203" s="7">
        <f t="shared" si="116"/>
        <v>100</v>
      </c>
      <c r="DA203" s="7">
        <f t="shared" si="117"/>
        <v>127.5</v>
      </c>
      <c r="DB203" s="7">
        <f t="shared" si="118"/>
        <v>213</v>
      </c>
      <c r="DC203" s="7">
        <f t="shared" si="119"/>
        <v>335.99999999999989</v>
      </c>
      <c r="DD203" s="7">
        <f t="shared" si="120"/>
        <v>400</v>
      </c>
      <c r="DE203" s="7">
        <f t="shared" si="121"/>
        <v>400</v>
      </c>
      <c r="DF203" s="7">
        <f t="shared" si="122"/>
        <v>627.50000000000023</v>
      </c>
      <c r="DH203" s="7">
        <f t="shared" si="123"/>
        <v>59.400000000000006</v>
      </c>
      <c r="DI203" s="7">
        <f t="shared" si="124"/>
        <v>94.199999999999989</v>
      </c>
      <c r="DJ203" s="7">
        <f t="shared" si="125"/>
        <v>111.4</v>
      </c>
      <c r="DK203" s="7">
        <f t="shared" si="126"/>
        <v>128.5</v>
      </c>
      <c r="DL203" s="7">
        <f t="shared" si="127"/>
        <v>226</v>
      </c>
      <c r="DM203" s="7">
        <f t="shared" si="128"/>
        <v>306.39999999999998</v>
      </c>
      <c r="DN203" s="7">
        <f t="shared" si="129"/>
        <v>346.6</v>
      </c>
      <c r="DO203" s="7">
        <f t="shared" si="130"/>
        <v>398</v>
      </c>
      <c r="DP203" s="7">
        <f t="shared" si="131"/>
        <v>457.39999999999992</v>
      </c>
    </row>
    <row r="204" spans="1:130" ht="25.5" hidden="1" customHeight="1" x14ac:dyDescent="0.25">
      <c r="A204" s="92" t="str">
        <f t="shared" si="132"/>
        <v>CM-SWVI [10]</v>
      </c>
      <c r="B204" s="92" t="str">
        <f t="shared" si="133"/>
        <v>Southwest Vancouver Island</v>
      </c>
      <c r="C204" s="93" t="str">
        <f t="shared" si="102"/>
        <v>BAWDEN CREEK_Chum</v>
      </c>
      <c r="D204" s="128" t="s">
        <v>598</v>
      </c>
      <c r="E204" s="128" t="s">
        <v>598</v>
      </c>
      <c r="F204" s="64">
        <v>24</v>
      </c>
      <c r="G204" s="72" t="s">
        <v>191</v>
      </c>
      <c r="H204" s="65" t="s">
        <v>96</v>
      </c>
      <c r="I204" s="119"/>
      <c r="J204" s="119"/>
      <c r="K204" s="64">
        <v>4</v>
      </c>
      <c r="L204" s="52">
        <v>7</v>
      </c>
      <c r="M204" s="52">
        <v>6</v>
      </c>
      <c r="N204" s="52">
        <f t="shared" si="103"/>
        <v>330.50517107063638</v>
      </c>
      <c r="O204" s="52">
        <f t="shared" si="104"/>
        <v>15000</v>
      </c>
      <c r="P204" s="52">
        <f t="shared" si="105"/>
        <v>1696.6234336158516</v>
      </c>
      <c r="Q204" s="66"/>
      <c r="R204" s="39"/>
      <c r="S204" s="74" t="s">
        <v>350</v>
      </c>
      <c r="T204" s="81">
        <f t="shared" si="106"/>
        <v>2</v>
      </c>
      <c r="U204" s="81">
        <f t="shared" si="107"/>
        <v>2</v>
      </c>
      <c r="V204" s="52" t="s">
        <v>102</v>
      </c>
      <c r="W204" s="52">
        <v>2</v>
      </c>
      <c r="X204" s="52" t="s">
        <v>262</v>
      </c>
      <c r="Y204" s="52"/>
      <c r="Z204" s="52" t="s">
        <v>102</v>
      </c>
      <c r="AA204" s="52" t="s">
        <v>102</v>
      </c>
      <c r="AB204" s="52" t="s">
        <v>102</v>
      </c>
      <c r="AC204" s="52" t="s">
        <v>102</v>
      </c>
      <c r="AD204" s="52" t="s">
        <v>262</v>
      </c>
      <c r="AE204" s="52" t="s">
        <v>263</v>
      </c>
      <c r="AF204" s="52" t="s">
        <v>102</v>
      </c>
      <c r="AG204" s="52" t="s">
        <v>102</v>
      </c>
      <c r="AH204" s="52" t="s">
        <v>102</v>
      </c>
      <c r="AI204" s="52" t="s">
        <v>102</v>
      </c>
      <c r="AJ204" s="52" t="s">
        <v>102</v>
      </c>
      <c r="AK204" s="52" t="s">
        <v>102</v>
      </c>
      <c r="AL204" s="52" t="s">
        <v>102</v>
      </c>
      <c r="AM204" s="52" t="s">
        <v>102</v>
      </c>
      <c r="AN204" s="52" t="s">
        <v>102</v>
      </c>
      <c r="AO204" s="52" t="s">
        <v>102</v>
      </c>
      <c r="AP204" s="53">
        <v>769</v>
      </c>
      <c r="AQ204" s="53" t="s">
        <v>263</v>
      </c>
      <c r="AR204" s="53">
        <v>222</v>
      </c>
      <c r="AS204" s="54"/>
      <c r="AT204" s="52" t="s">
        <v>262</v>
      </c>
      <c r="AU204" s="52">
        <v>1100</v>
      </c>
      <c r="AV204" s="52">
        <v>700</v>
      </c>
      <c r="AW204" s="52">
        <v>30</v>
      </c>
      <c r="AX204" s="51">
        <v>10</v>
      </c>
      <c r="AY204" s="53">
        <v>2000</v>
      </c>
      <c r="AZ204" s="53" t="s">
        <v>264</v>
      </c>
      <c r="BA204" s="53" t="s">
        <v>102</v>
      </c>
      <c r="BB204" s="53">
        <v>1400</v>
      </c>
      <c r="BC204" s="53">
        <v>900</v>
      </c>
      <c r="BD204" s="53">
        <v>2800</v>
      </c>
      <c r="BE204" s="53">
        <v>1100</v>
      </c>
      <c r="BF204" s="53">
        <v>6000</v>
      </c>
      <c r="BG204" s="53">
        <v>1700</v>
      </c>
      <c r="BH204" s="53">
        <v>5600</v>
      </c>
      <c r="BI204" s="53">
        <v>2800</v>
      </c>
      <c r="BJ204" s="53">
        <v>8500</v>
      </c>
      <c r="BK204" s="53">
        <v>7000</v>
      </c>
      <c r="BL204" s="53">
        <v>6000</v>
      </c>
      <c r="BM204" s="53">
        <v>2400</v>
      </c>
      <c r="BN204" s="53">
        <v>3500</v>
      </c>
      <c r="BO204" s="53">
        <v>3000</v>
      </c>
      <c r="BP204" s="53">
        <v>3000</v>
      </c>
      <c r="BQ204" s="53">
        <v>500</v>
      </c>
      <c r="BR204" s="53">
        <v>3500</v>
      </c>
      <c r="BS204" s="53">
        <v>3500</v>
      </c>
      <c r="BT204" s="53">
        <v>1500</v>
      </c>
      <c r="BU204" s="53">
        <v>750</v>
      </c>
      <c r="BV204" s="53">
        <v>3500</v>
      </c>
      <c r="BW204" s="53">
        <v>1500</v>
      </c>
      <c r="BX204" s="53">
        <v>10000</v>
      </c>
      <c r="BY204" s="53">
        <v>1500</v>
      </c>
      <c r="BZ204" s="53">
        <v>200</v>
      </c>
      <c r="CA204" s="53">
        <v>250</v>
      </c>
      <c r="CB204" s="53">
        <v>2000</v>
      </c>
      <c r="CC204" s="53">
        <v>600</v>
      </c>
      <c r="CD204" s="53">
        <v>7500</v>
      </c>
      <c r="CE204" s="53">
        <v>750</v>
      </c>
      <c r="CF204" s="53">
        <v>15000</v>
      </c>
      <c r="CG204" s="53">
        <v>3500</v>
      </c>
      <c r="CH204" s="53">
        <v>3500</v>
      </c>
      <c r="CI204" s="53">
        <v>3500</v>
      </c>
      <c r="CJ204" s="53">
        <v>3500</v>
      </c>
      <c r="CK204" s="53">
        <v>1500</v>
      </c>
      <c r="CL204" s="53">
        <v>7500</v>
      </c>
      <c r="CM204" s="53">
        <v>3500</v>
      </c>
      <c r="CN204" s="206"/>
      <c r="CO204" s="206"/>
      <c r="CP204" s="206"/>
      <c r="CQ204" s="8">
        <f t="shared" si="108"/>
        <v>2</v>
      </c>
      <c r="CR204" s="8">
        <f t="shared" si="109"/>
        <v>15000</v>
      </c>
      <c r="CS204" s="8">
        <f t="shared" si="110"/>
        <v>3034.413043478261</v>
      </c>
      <c r="CT204">
        <f t="shared" si="111"/>
        <v>1465.2819907818841</v>
      </c>
      <c r="CU204" s="143">
        <f t="shared" si="112"/>
        <v>2</v>
      </c>
      <c r="CV204" s="143">
        <f t="shared" si="113"/>
        <v>2</v>
      </c>
      <c r="CX204" s="7">
        <f t="shared" si="114"/>
        <v>72.5</v>
      </c>
      <c r="CY204" s="7">
        <f t="shared" si="115"/>
        <v>575</v>
      </c>
      <c r="CZ204" s="7">
        <f t="shared" si="116"/>
        <v>750</v>
      </c>
      <c r="DA204" s="7">
        <f t="shared" si="117"/>
        <v>801.75</v>
      </c>
      <c r="DB204" s="7">
        <f t="shared" si="118"/>
        <v>2200</v>
      </c>
      <c r="DC204" s="7">
        <f t="shared" si="119"/>
        <v>3000</v>
      </c>
      <c r="DD204" s="7">
        <f t="shared" si="120"/>
        <v>3500</v>
      </c>
      <c r="DE204" s="7">
        <f t="shared" si="121"/>
        <v>3500</v>
      </c>
      <c r="DF204" s="7">
        <f t="shared" si="122"/>
        <v>6000</v>
      </c>
      <c r="DH204" s="7">
        <f t="shared" si="123"/>
        <v>9</v>
      </c>
      <c r="DI204" s="7">
        <f t="shared" si="124"/>
        <v>23</v>
      </c>
      <c r="DJ204" s="7">
        <f t="shared" si="125"/>
        <v>30</v>
      </c>
      <c r="DK204" s="7">
        <f t="shared" si="126"/>
        <v>78</v>
      </c>
      <c r="DL204" s="7">
        <f t="shared" si="127"/>
        <v>461</v>
      </c>
      <c r="DM204" s="7">
        <f t="shared" si="128"/>
        <v>700</v>
      </c>
      <c r="DN204" s="7">
        <f t="shared" si="129"/>
        <v>717.25</v>
      </c>
      <c r="DO204" s="7">
        <f t="shared" si="130"/>
        <v>751.75</v>
      </c>
      <c r="DP204" s="7">
        <f t="shared" si="131"/>
        <v>851.75</v>
      </c>
    </row>
    <row r="205" spans="1:130" ht="25.5" hidden="1" customHeight="1" x14ac:dyDescent="0.25">
      <c r="A205" s="92" t="str">
        <f t="shared" si="132"/>
        <v>CO-CLAY [18]</v>
      </c>
      <c r="B205" s="92" t="str">
        <f t="shared" si="133"/>
        <v>Clayoquot</v>
      </c>
      <c r="C205" s="93" t="str">
        <f t="shared" si="102"/>
        <v>BAWDEN CREEK_Coho</v>
      </c>
      <c r="D205" s="128" t="s">
        <v>598</v>
      </c>
      <c r="E205" s="128" t="s">
        <v>598</v>
      </c>
      <c r="F205" s="64">
        <v>24</v>
      </c>
      <c r="G205" s="72" t="s">
        <v>191</v>
      </c>
      <c r="H205" s="65" t="s">
        <v>93</v>
      </c>
      <c r="I205" s="119"/>
      <c r="J205" s="119"/>
      <c r="K205" s="64">
        <v>4</v>
      </c>
      <c r="L205" s="52">
        <v>7</v>
      </c>
      <c r="M205" s="52">
        <v>1</v>
      </c>
      <c r="N205" s="52">
        <f t="shared" si="103"/>
        <v>28</v>
      </c>
      <c r="O205" s="52">
        <f t="shared" si="104"/>
        <v>200</v>
      </c>
      <c r="P205" s="52">
        <f t="shared" si="105"/>
        <v>71.496451790023755</v>
      </c>
      <c r="Q205" s="66"/>
      <c r="R205" s="39"/>
      <c r="S205" s="74" t="s">
        <v>350</v>
      </c>
      <c r="T205" s="81" t="e">
        <f t="shared" si="106"/>
        <v>#DIV/0!</v>
      </c>
      <c r="U205" s="81" t="e">
        <f t="shared" si="107"/>
        <v>#DIV/0!</v>
      </c>
      <c r="V205" s="52" t="s">
        <v>102</v>
      </c>
      <c r="W205" s="52" t="s">
        <v>262</v>
      </c>
      <c r="X205" s="52" t="s">
        <v>262</v>
      </c>
      <c r="Y205" s="52"/>
      <c r="Z205" s="52" t="s">
        <v>102</v>
      </c>
      <c r="AA205" s="52" t="s">
        <v>102</v>
      </c>
      <c r="AB205" s="52" t="s">
        <v>102</v>
      </c>
      <c r="AC205" s="52" t="s">
        <v>102</v>
      </c>
      <c r="AD205" s="52" t="s">
        <v>262</v>
      </c>
      <c r="AE205" s="52" t="s">
        <v>263</v>
      </c>
      <c r="AF205" s="52" t="s">
        <v>102</v>
      </c>
      <c r="AG205" s="52" t="s">
        <v>102</v>
      </c>
      <c r="AH205" s="52" t="s">
        <v>102</v>
      </c>
      <c r="AI205" s="52" t="s">
        <v>102</v>
      </c>
      <c r="AJ205" s="52" t="s">
        <v>102</v>
      </c>
      <c r="AK205" s="52" t="s">
        <v>102</v>
      </c>
      <c r="AL205" s="52" t="s">
        <v>102</v>
      </c>
      <c r="AM205" s="52" t="s">
        <v>102</v>
      </c>
      <c r="AN205" s="52" t="s">
        <v>102</v>
      </c>
      <c r="AO205" s="52" t="s">
        <v>102</v>
      </c>
      <c r="AP205" s="53" t="s">
        <v>262</v>
      </c>
      <c r="AQ205" s="53" t="s">
        <v>262</v>
      </c>
      <c r="AR205" s="53" t="s">
        <v>262</v>
      </c>
      <c r="AS205" s="54"/>
      <c r="AT205" s="52" t="s">
        <v>262</v>
      </c>
      <c r="AU205" s="52" t="s">
        <v>262</v>
      </c>
      <c r="AV205" s="52">
        <v>28</v>
      </c>
      <c r="AW205" s="52" t="s">
        <v>262</v>
      </c>
      <c r="AX205" s="51" t="s">
        <v>264</v>
      </c>
      <c r="AY205" s="53" t="s">
        <v>264</v>
      </c>
      <c r="AZ205" s="53" t="s">
        <v>264</v>
      </c>
      <c r="BA205" s="53" t="s">
        <v>102</v>
      </c>
      <c r="BB205" s="53">
        <v>120</v>
      </c>
      <c r="BC205" s="53">
        <v>60</v>
      </c>
      <c r="BD205" s="53" t="s">
        <v>262</v>
      </c>
      <c r="BE205" s="53">
        <v>2</v>
      </c>
      <c r="BF205" s="53">
        <v>2</v>
      </c>
      <c r="BG205" s="53" t="s">
        <v>262</v>
      </c>
      <c r="BH205" s="53" t="s">
        <v>262</v>
      </c>
      <c r="BI205" s="53" t="s">
        <v>264</v>
      </c>
      <c r="BJ205" s="53" t="s">
        <v>264</v>
      </c>
      <c r="BK205" s="53" t="s">
        <v>264</v>
      </c>
      <c r="BL205" s="53" t="s">
        <v>264</v>
      </c>
      <c r="BM205" s="53" t="s">
        <v>264</v>
      </c>
      <c r="BN205" s="53" t="s">
        <v>264</v>
      </c>
      <c r="BO205" s="53" t="s">
        <v>262</v>
      </c>
      <c r="BP205" s="53" t="s">
        <v>262</v>
      </c>
      <c r="BQ205" s="53" t="s">
        <v>262</v>
      </c>
      <c r="BR205" s="53" t="s">
        <v>262</v>
      </c>
      <c r="BS205" s="53" t="s">
        <v>262</v>
      </c>
      <c r="BT205" s="53" t="s">
        <v>264</v>
      </c>
      <c r="BU205" s="53" t="s">
        <v>262</v>
      </c>
      <c r="BV205" s="53">
        <v>25</v>
      </c>
      <c r="BW205" s="53" t="s">
        <v>262</v>
      </c>
      <c r="BX205" s="53">
        <v>20</v>
      </c>
      <c r="BY205" s="53" t="s">
        <v>262</v>
      </c>
      <c r="BZ205" s="53">
        <v>200</v>
      </c>
      <c r="CA205" s="53">
        <v>75</v>
      </c>
      <c r="CB205" s="53">
        <v>100</v>
      </c>
      <c r="CC205" s="53">
        <v>100</v>
      </c>
      <c r="CD205" s="53">
        <v>200</v>
      </c>
      <c r="CE205" s="53">
        <v>75</v>
      </c>
      <c r="CF205" s="53">
        <v>75</v>
      </c>
      <c r="CG205" s="53">
        <v>200</v>
      </c>
      <c r="CH205" s="53">
        <v>200</v>
      </c>
      <c r="CI205" s="53">
        <v>200</v>
      </c>
      <c r="CJ205" s="53">
        <v>200</v>
      </c>
      <c r="CK205" s="53">
        <v>200</v>
      </c>
      <c r="CL205" s="53">
        <v>200</v>
      </c>
      <c r="CM205" s="53">
        <v>200</v>
      </c>
      <c r="CN205" s="206"/>
      <c r="CO205" s="206"/>
      <c r="CP205" s="206"/>
      <c r="CQ205" s="8">
        <f t="shared" si="108"/>
        <v>2</v>
      </c>
      <c r="CR205" s="8">
        <f t="shared" si="109"/>
        <v>200</v>
      </c>
      <c r="CS205" s="8">
        <f t="shared" si="110"/>
        <v>118.19047619047619</v>
      </c>
      <c r="CT205">
        <f t="shared" si="111"/>
        <v>71.496451790023755</v>
      </c>
      <c r="CU205" s="143" t="e">
        <f t="shared" si="112"/>
        <v>#DIV/0!</v>
      </c>
      <c r="CV205" s="143" t="e">
        <f t="shared" si="113"/>
        <v>#DIV/0!</v>
      </c>
      <c r="CX205" s="7">
        <f t="shared" si="114"/>
        <v>2</v>
      </c>
      <c r="CY205" s="7">
        <f t="shared" si="115"/>
        <v>25</v>
      </c>
      <c r="CZ205" s="7">
        <f t="shared" si="116"/>
        <v>28</v>
      </c>
      <c r="DA205" s="7">
        <f t="shared" si="117"/>
        <v>60</v>
      </c>
      <c r="DB205" s="7">
        <f t="shared" si="118"/>
        <v>100</v>
      </c>
      <c r="DC205" s="7">
        <f t="shared" si="119"/>
        <v>200</v>
      </c>
      <c r="DD205" s="7">
        <f t="shared" si="120"/>
        <v>200</v>
      </c>
      <c r="DE205" s="7">
        <f t="shared" si="121"/>
        <v>200</v>
      </c>
      <c r="DF205" s="7">
        <f t="shared" si="122"/>
        <v>200</v>
      </c>
      <c r="DH205" s="7">
        <f t="shared" si="123"/>
        <v>28</v>
      </c>
      <c r="DI205" s="7">
        <f t="shared" si="124"/>
        <v>28</v>
      </c>
      <c r="DJ205" s="7">
        <f t="shared" si="125"/>
        <v>28</v>
      </c>
      <c r="DK205" s="7">
        <f t="shared" si="126"/>
        <v>28</v>
      </c>
      <c r="DL205" s="7">
        <f t="shared" si="127"/>
        <v>28</v>
      </c>
      <c r="DM205" s="7">
        <f t="shared" si="128"/>
        <v>28</v>
      </c>
      <c r="DN205" s="7">
        <f t="shared" si="129"/>
        <v>28</v>
      </c>
      <c r="DO205" s="7">
        <f t="shared" si="130"/>
        <v>28</v>
      </c>
      <c r="DP205" s="7">
        <f t="shared" si="131"/>
        <v>28</v>
      </c>
    </row>
    <row r="206" spans="1:130" ht="25.5" hidden="1" customHeight="1" x14ac:dyDescent="0.25">
      <c r="A206" s="92" t="str">
        <f t="shared" si="132"/>
        <v>CM-SWVI [10]</v>
      </c>
      <c r="B206" s="92" t="str">
        <f t="shared" si="133"/>
        <v>Southwest Vancouver Island</v>
      </c>
      <c r="C206" s="93" t="str">
        <f t="shared" si="102"/>
        <v>BEDINGFIELD BAY CREEK_Chum</v>
      </c>
      <c r="D206" s="128" t="s">
        <v>598</v>
      </c>
      <c r="E206" s="128" t="s">
        <v>598</v>
      </c>
      <c r="F206" s="64">
        <v>24</v>
      </c>
      <c r="G206" s="72" t="s">
        <v>154</v>
      </c>
      <c r="H206" s="65" t="s">
        <v>96</v>
      </c>
      <c r="I206" s="119"/>
      <c r="J206" s="119"/>
      <c r="K206" s="64">
        <v>5</v>
      </c>
      <c r="L206" s="52">
        <v>1</v>
      </c>
      <c r="M206" s="52">
        <v>1</v>
      </c>
      <c r="N206" s="52" t="e">
        <f t="shared" si="103"/>
        <v>#NUM!</v>
      </c>
      <c r="O206" s="52">
        <f t="shared" si="104"/>
        <v>40</v>
      </c>
      <c r="P206" s="52">
        <f t="shared" si="105"/>
        <v>40</v>
      </c>
      <c r="Q206" s="66"/>
      <c r="R206" s="37"/>
      <c r="S206" s="76" t="s">
        <v>351</v>
      </c>
      <c r="T206" s="81" t="e">
        <f t="shared" si="106"/>
        <v>#DIV/0!</v>
      </c>
      <c r="U206" s="81" t="e">
        <f t="shared" si="107"/>
        <v>#DIV/0!</v>
      </c>
      <c r="V206" s="52" t="s">
        <v>102</v>
      </c>
      <c r="W206" s="52" t="s">
        <v>102</v>
      </c>
      <c r="X206" s="52" t="s">
        <v>102</v>
      </c>
      <c r="Y206" s="52" t="s">
        <v>102</v>
      </c>
      <c r="Z206" s="52" t="s">
        <v>102</v>
      </c>
      <c r="AA206" s="52" t="s">
        <v>102</v>
      </c>
      <c r="AB206" s="52" t="s">
        <v>102</v>
      </c>
      <c r="AC206" s="52" t="s">
        <v>102</v>
      </c>
      <c r="AD206" s="52" t="s">
        <v>102</v>
      </c>
      <c r="AE206" s="52" t="s">
        <v>102</v>
      </c>
      <c r="AF206" s="52" t="s">
        <v>102</v>
      </c>
      <c r="AG206" s="52" t="s">
        <v>102</v>
      </c>
      <c r="AH206" s="52" t="s">
        <v>102</v>
      </c>
      <c r="AI206" s="52" t="s">
        <v>102</v>
      </c>
      <c r="AJ206" s="52" t="s">
        <v>102</v>
      </c>
      <c r="AK206" s="52" t="s">
        <v>102</v>
      </c>
      <c r="AL206" s="52" t="s">
        <v>102</v>
      </c>
      <c r="AM206" s="52" t="s">
        <v>102</v>
      </c>
      <c r="AN206" s="52" t="s">
        <v>102</v>
      </c>
      <c r="AO206" s="52" t="s">
        <v>102</v>
      </c>
      <c r="AP206" s="53" t="s">
        <v>102</v>
      </c>
      <c r="AQ206" s="53" t="s">
        <v>102</v>
      </c>
      <c r="AR206" s="53" t="s">
        <v>102</v>
      </c>
      <c r="AS206" s="52" t="s">
        <v>102</v>
      </c>
      <c r="AT206" s="52" t="s">
        <v>263</v>
      </c>
      <c r="AU206" s="52" t="s">
        <v>102</v>
      </c>
      <c r="AV206" s="52" t="s">
        <v>102</v>
      </c>
      <c r="AW206" s="52" t="s">
        <v>102</v>
      </c>
      <c r="AX206" s="51" t="s">
        <v>102</v>
      </c>
      <c r="AY206" s="53" t="s">
        <v>102</v>
      </c>
      <c r="AZ206" s="53" t="s">
        <v>102</v>
      </c>
      <c r="BA206" s="53" t="s">
        <v>102</v>
      </c>
      <c r="BB206" s="53" t="s">
        <v>102</v>
      </c>
      <c r="BC206" s="53" t="s">
        <v>102</v>
      </c>
      <c r="BD206" s="53" t="s">
        <v>102</v>
      </c>
      <c r="BE206" s="53" t="s">
        <v>102</v>
      </c>
      <c r="BF206" s="53">
        <v>40</v>
      </c>
      <c r="BG206" s="53" t="s">
        <v>102</v>
      </c>
      <c r="BH206" s="53" t="s">
        <v>102</v>
      </c>
      <c r="BI206" s="53" t="s">
        <v>102</v>
      </c>
      <c r="BJ206" s="53" t="s">
        <v>102</v>
      </c>
      <c r="BK206" s="53" t="s">
        <v>102</v>
      </c>
      <c r="BL206" s="53" t="s">
        <v>102</v>
      </c>
      <c r="BM206" s="53" t="s">
        <v>102</v>
      </c>
      <c r="BN206" s="53" t="s">
        <v>102</v>
      </c>
      <c r="BO206" s="53" t="s">
        <v>102</v>
      </c>
      <c r="BP206" s="53" t="s">
        <v>102</v>
      </c>
      <c r="BQ206" s="53" t="s">
        <v>102</v>
      </c>
      <c r="BR206" s="53" t="s">
        <v>102</v>
      </c>
      <c r="BS206" s="53" t="s">
        <v>102</v>
      </c>
      <c r="BT206" s="53" t="s">
        <v>102</v>
      </c>
      <c r="BU206" s="53" t="s">
        <v>102</v>
      </c>
      <c r="BV206" s="53" t="s">
        <v>102</v>
      </c>
      <c r="BW206" s="53" t="s">
        <v>102</v>
      </c>
      <c r="BX206" s="53" t="s">
        <v>102</v>
      </c>
      <c r="BY206" s="53" t="s">
        <v>102</v>
      </c>
      <c r="BZ206" s="53" t="s">
        <v>102</v>
      </c>
      <c r="CA206" s="53" t="s">
        <v>102</v>
      </c>
      <c r="CB206" s="53" t="s">
        <v>102</v>
      </c>
      <c r="CC206" s="53" t="s">
        <v>102</v>
      </c>
      <c r="CD206" s="53" t="s">
        <v>102</v>
      </c>
      <c r="CE206" s="53" t="s">
        <v>102</v>
      </c>
      <c r="CF206" s="53" t="s">
        <v>102</v>
      </c>
      <c r="CG206" s="53" t="s">
        <v>102</v>
      </c>
      <c r="CH206" s="53" t="s">
        <v>102</v>
      </c>
      <c r="CI206" s="53" t="s">
        <v>102</v>
      </c>
      <c r="CJ206" s="53" t="s">
        <v>102</v>
      </c>
      <c r="CK206" s="53" t="s">
        <v>102</v>
      </c>
      <c r="CL206" s="53" t="s">
        <v>102</v>
      </c>
      <c r="CM206" s="53" t="s">
        <v>102</v>
      </c>
      <c r="CN206" s="206"/>
      <c r="CO206" s="206"/>
      <c r="CP206" s="206"/>
      <c r="CQ206" s="8">
        <f t="shared" si="108"/>
        <v>40</v>
      </c>
      <c r="CR206" s="8">
        <f t="shared" si="109"/>
        <v>40</v>
      </c>
      <c r="CS206" s="8">
        <f t="shared" si="110"/>
        <v>40</v>
      </c>
      <c r="CT206">
        <f t="shared" si="111"/>
        <v>40</v>
      </c>
      <c r="CU206" s="143" t="e">
        <f t="shared" si="112"/>
        <v>#DIV/0!</v>
      </c>
      <c r="CV206" s="143" t="e">
        <f t="shared" si="113"/>
        <v>#DIV/0!</v>
      </c>
      <c r="CW206" s="7"/>
      <c r="CX206" s="7">
        <f t="shared" si="114"/>
        <v>40</v>
      </c>
      <c r="CY206" s="7">
        <f t="shared" si="115"/>
        <v>40</v>
      </c>
      <c r="CZ206" s="7">
        <f t="shared" si="116"/>
        <v>40</v>
      </c>
      <c r="DA206" s="7">
        <f t="shared" si="117"/>
        <v>40</v>
      </c>
      <c r="DB206" s="7">
        <f t="shared" si="118"/>
        <v>40</v>
      </c>
      <c r="DC206" s="7">
        <f t="shared" si="119"/>
        <v>40</v>
      </c>
      <c r="DD206" s="7">
        <f t="shared" si="120"/>
        <v>40</v>
      </c>
      <c r="DE206" s="7">
        <f t="shared" si="121"/>
        <v>40</v>
      </c>
      <c r="DF206" s="7">
        <f t="shared" si="122"/>
        <v>40</v>
      </c>
      <c r="DG206" s="7"/>
      <c r="DH206" s="7" t="e">
        <f t="shared" si="123"/>
        <v>#NUM!</v>
      </c>
      <c r="DI206" s="7" t="e">
        <f t="shared" si="124"/>
        <v>#NUM!</v>
      </c>
      <c r="DJ206" s="7" t="e">
        <f t="shared" si="125"/>
        <v>#NUM!</v>
      </c>
      <c r="DK206" s="7" t="e">
        <f t="shared" si="126"/>
        <v>#NUM!</v>
      </c>
      <c r="DL206" s="7" t="e">
        <f t="shared" si="127"/>
        <v>#NUM!</v>
      </c>
      <c r="DM206" s="7" t="e">
        <f t="shared" si="128"/>
        <v>#NUM!</v>
      </c>
      <c r="DN206" s="7" t="e">
        <f t="shared" si="129"/>
        <v>#NUM!</v>
      </c>
      <c r="DO206" s="7" t="e">
        <f t="shared" si="130"/>
        <v>#NUM!</v>
      </c>
      <c r="DP206" s="7" t="e">
        <f t="shared" si="131"/>
        <v>#NUM!</v>
      </c>
      <c r="DQ206" s="7"/>
      <c r="DR206" s="7"/>
      <c r="DS206" s="7"/>
      <c r="DT206" s="7"/>
      <c r="DU206" s="7"/>
      <c r="DV206" s="7"/>
      <c r="DW206" s="7"/>
      <c r="DX206" s="7"/>
      <c r="DY206" s="7"/>
      <c r="DZ206" s="7"/>
    </row>
    <row r="207" spans="1:130" ht="25.5" hidden="1" customHeight="1" x14ac:dyDescent="0.25">
      <c r="A207" s="92" t="str">
        <f t="shared" si="132"/>
        <v>CO-CLAY [18]</v>
      </c>
      <c r="B207" s="92" t="str">
        <f t="shared" si="133"/>
        <v>Clayoquot</v>
      </c>
      <c r="C207" s="93" t="str">
        <f t="shared" si="102"/>
        <v>BEDINGFIELD BAY CREEK_Coho</v>
      </c>
      <c r="D207" s="128" t="s">
        <v>598</v>
      </c>
      <c r="E207" s="128" t="s">
        <v>598</v>
      </c>
      <c r="F207" s="64">
        <v>24</v>
      </c>
      <c r="G207" s="72" t="s">
        <v>154</v>
      </c>
      <c r="H207" s="65" t="s">
        <v>93</v>
      </c>
      <c r="I207" s="119"/>
      <c r="J207" s="119"/>
      <c r="K207" s="64">
        <v>5</v>
      </c>
      <c r="L207" s="52">
        <v>1</v>
      </c>
      <c r="M207" s="52"/>
      <c r="N207" s="52" t="e">
        <f t="shared" si="103"/>
        <v>#NUM!</v>
      </c>
      <c r="O207" s="52">
        <f t="shared" si="104"/>
        <v>0</v>
      </c>
      <c r="P207" s="52" t="e">
        <f t="shared" si="105"/>
        <v>#NUM!</v>
      </c>
      <c r="Q207" s="66"/>
      <c r="R207" s="37"/>
      <c r="S207" s="76" t="s">
        <v>352</v>
      </c>
      <c r="T207" s="81" t="e">
        <f t="shared" si="106"/>
        <v>#DIV/0!</v>
      </c>
      <c r="U207" s="81" t="e">
        <f t="shared" si="107"/>
        <v>#DIV/0!</v>
      </c>
      <c r="V207" s="52" t="s">
        <v>102</v>
      </c>
      <c r="W207" s="52" t="s">
        <v>102</v>
      </c>
      <c r="X207" s="52" t="s">
        <v>102</v>
      </c>
      <c r="Y207" s="52" t="s">
        <v>102</v>
      </c>
      <c r="Z207" s="52" t="s">
        <v>102</v>
      </c>
      <c r="AA207" s="52" t="s">
        <v>102</v>
      </c>
      <c r="AB207" s="52" t="s">
        <v>102</v>
      </c>
      <c r="AC207" s="52" t="s">
        <v>102</v>
      </c>
      <c r="AD207" s="52" t="s">
        <v>102</v>
      </c>
      <c r="AE207" s="52" t="s">
        <v>102</v>
      </c>
      <c r="AF207" s="52" t="s">
        <v>102</v>
      </c>
      <c r="AG207" s="52" t="s">
        <v>102</v>
      </c>
      <c r="AH207" s="52" t="s">
        <v>102</v>
      </c>
      <c r="AI207" s="52" t="s">
        <v>102</v>
      </c>
      <c r="AJ207" s="52" t="s">
        <v>102</v>
      </c>
      <c r="AK207" s="52" t="s">
        <v>102</v>
      </c>
      <c r="AL207" s="52" t="s">
        <v>102</v>
      </c>
      <c r="AM207" s="52" t="s">
        <v>102</v>
      </c>
      <c r="AN207" s="52" t="s">
        <v>102</v>
      </c>
      <c r="AO207" s="52" t="s">
        <v>102</v>
      </c>
      <c r="AP207" s="53" t="s">
        <v>102</v>
      </c>
      <c r="AQ207" s="53" t="s">
        <v>102</v>
      </c>
      <c r="AR207" s="53" t="s">
        <v>102</v>
      </c>
      <c r="AS207" s="52" t="s">
        <v>102</v>
      </c>
      <c r="AT207" s="52" t="s">
        <v>262</v>
      </c>
      <c r="AU207" s="52" t="s">
        <v>102</v>
      </c>
      <c r="AV207" s="52" t="s">
        <v>102</v>
      </c>
      <c r="AW207" s="52" t="s">
        <v>102</v>
      </c>
      <c r="AX207" s="51" t="s">
        <v>102</v>
      </c>
      <c r="AY207" s="53" t="s">
        <v>102</v>
      </c>
      <c r="AZ207" s="53" t="s">
        <v>102</v>
      </c>
      <c r="BA207" s="53" t="s">
        <v>102</v>
      </c>
      <c r="BB207" s="53" t="s">
        <v>102</v>
      </c>
      <c r="BC207" s="53" t="s">
        <v>102</v>
      </c>
      <c r="BD207" s="53" t="s">
        <v>102</v>
      </c>
      <c r="BE207" s="53" t="s">
        <v>102</v>
      </c>
      <c r="BF207" s="53" t="s">
        <v>264</v>
      </c>
      <c r="BG207" s="53" t="s">
        <v>102</v>
      </c>
      <c r="BH207" s="53" t="s">
        <v>102</v>
      </c>
      <c r="BI207" s="53" t="s">
        <v>102</v>
      </c>
      <c r="BJ207" s="53" t="s">
        <v>102</v>
      </c>
      <c r="BK207" s="53" t="s">
        <v>102</v>
      </c>
      <c r="BL207" s="53" t="s">
        <v>102</v>
      </c>
      <c r="BM207" s="53" t="s">
        <v>102</v>
      </c>
      <c r="BN207" s="53" t="s">
        <v>102</v>
      </c>
      <c r="BO207" s="53" t="s">
        <v>102</v>
      </c>
      <c r="BP207" s="53" t="s">
        <v>102</v>
      </c>
      <c r="BQ207" s="53" t="s">
        <v>102</v>
      </c>
      <c r="BR207" s="53" t="s">
        <v>102</v>
      </c>
      <c r="BS207" s="53" t="s">
        <v>102</v>
      </c>
      <c r="BT207" s="53" t="s">
        <v>102</v>
      </c>
      <c r="BU207" s="53" t="s">
        <v>102</v>
      </c>
      <c r="BV207" s="53" t="s">
        <v>102</v>
      </c>
      <c r="BW207" s="53" t="s">
        <v>102</v>
      </c>
      <c r="BX207" s="53" t="s">
        <v>102</v>
      </c>
      <c r="BY207" s="53" t="s">
        <v>102</v>
      </c>
      <c r="BZ207" s="53" t="s">
        <v>102</v>
      </c>
      <c r="CA207" s="53" t="s">
        <v>102</v>
      </c>
      <c r="CB207" s="53" t="s">
        <v>102</v>
      </c>
      <c r="CC207" s="53" t="s">
        <v>102</v>
      </c>
      <c r="CD207" s="53" t="s">
        <v>102</v>
      </c>
      <c r="CE207" s="53" t="s">
        <v>102</v>
      </c>
      <c r="CF207" s="53" t="s">
        <v>102</v>
      </c>
      <c r="CG207" s="53" t="s">
        <v>102</v>
      </c>
      <c r="CH207" s="53" t="s">
        <v>102</v>
      </c>
      <c r="CI207" s="53" t="s">
        <v>102</v>
      </c>
      <c r="CJ207" s="53" t="s">
        <v>102</v>
      </c>
      <c r="CK207" s="53" t="s">
        <v>102</v>
      </c>
      <c r="CL207" s="53" t="s">
        <v>102</v>
      </c>
      <c r="CM207" s="53" t="s">
        <v>102</v>
      </c>
      <c r="CN207" s="206"/>
      <c r="CO207" s="206"/>
      <c r="CP207" s="206"/>
      <c r="CQ207" s="8">
        <f t="shared" si="108"/>
        <v>0</v>
      </c>
      <c r="CR207" s="8">
        <f t="shared" si="109"/>
        <v>0</v>
      </c>
      <c r="CS207" s="8" t="e">
        <f t="shared" si="110"/>
        <v>#DIV/0!</v>
      </c>
      <c r="CT207" t="e">
        <f t="shared" si="111"/>
        <v>#NUM!</v>
      </c>
      <c r="CU207" s="143" t="e">
        <f t="shared" si="112"/>
        <v>#DIV/0!</v>
      </c>
      <c r="CV207" s="143" t="e">
        <f t="shared" si="113"/>
        <v>#DIV/0!</v>
      </c>
      <c r="CX207" s="7" t="e">
        <f t="shared" si="114"/>
        <v>#NUM!</v>
      </c>
      <c r="CY207" s="7" t="e">
        <f t="shared" si="115"/>
        <v>#NUM!</v>
      </c>
      <c r="CZ207" s="7" t="e">
        <f t="shared" si="116"/>
        <v>#NUM!</v>
      </c>
      <c r="DA207" s="7" t="e">
        <f t="shared" si="117"/>
        <v>#NUM!</v>
      </c>
      <c r="DB207" s="7" t="e">
        <f t="shared" si="118"/>
        <v>#NUM!</v>
      </c>
      <c r="DC207" s="7" t="e">
        <f t="shared" si="119"/>
        <v>#NUM!</v>
      </c>
      <c r="DD207" s="7" t="e">
        <f t="shared" si="120"/>
        <v>#NUM!</v>
      </c>
      <c r="DE207" s="7" t="e">
        <f t="shared" si="121"/>
        <v>#NUM!</v>
      </c>
      <c r="DF207" s="7" t="e">
        <f t="shared" si="122"/>
        <v>#NUM!</v>
      </c>
      <c r="DH207" s="7" t="e">
        <f t="shared" si="123"/>
        <v>#NUM!</v>
      </c>
      <c r="DI207" s="7" t="e">
        <f t="shared" si="124"/>
        <v>#NUM!</v>
      </c>
      <c r="DJ207" s="7" t="e">
        <f t="shared" si="125"/>
        <v>#NUM!</v>
      </c>
      <c r="DK207" s="7" t="e">
        <f t="shared" si="126"/>
        <v>#NUM!</v>
      </c>
      <c r="DL207" s="7" t="e">
        <f t="shared" si="127"/>
        <v>#NUM!</v>
      </c>
      <c r="DM207" s="7" t="e">
        <f t="shared" si="128"/>
        <v>#NUM!</v>
      </c>
      <c r="DN207" s="7" t="e">
        <f t="shared" si="129"/>
        <v>#NUM!</v>
      </c>
      <c r="DO207" s="7" t="e">
        <f t="shared" si="130"/>
        <v>#NUM!</v>
      </c>
      <c r="DP207" s="7" t="e">
        <f t="shared" si="131"/>
        <v>#NUM!</v>
      </c>
    </row>
    <row r="208" spans="1:130" ht="25.5" customHeight="1" x14ac:dyDescent="0.25">
      <c r="A208" s="92" t="str">
        <f t="shared" si="132"/>
        <v>CK-SWVI [31]</v>
      </c>
      <c r="B208" s="92" t="str">
        <f t="shared" si="133"/>
        <v>Southwest Vancouver Island</v>
      </c>
      <c r="C208" s="93" t="str">
        <f t="shared" si="102"/>
        <v>BEDWELL/URSUS_Chinook</v>
      </c>
      <c r="D208" s="128" t="s">
        <v>598</v>
      </c>
      <c r="E208" s="128" t="s">
        <v>599</v>
      </c>
      <c r="F208" s="64">
        <v>24</v>
      </c>
      <c r="G208" s="72" t="s">
        <v>274</v>
      </c>
      <c r="H208" s="65" t="s">
        <v>97</v>
      </c>
      <c r="I208" s="119"/>
      <c r="J208" s="119"/>
      <c r="K208" s="64">
        <v>3</v>
      </c>
      <c r="L208" s="52">
        <v>11</v>
      </c>
      <c r="M208" s="52">
        <v>11</v>
      </c>
      <c r="N208" s="52">
        <f t="shared" si="103"/>
        <v>152.49860249605658</v>
      </c>
      <c r="O208" s="52">
        <f t="shared" si="104"/>
        <v>750</v>
      </c>
      <c r="P208" s="52" t="e">
        <f t="shared" si="105"/>
        <v>#NUM!</v>
      </c>
      <c r="Q208" s="66" t="s">
        <v>270</v>
      </c>
      <c r="R208" s="37"/>
      <c r="S208" s="74" t="s">
        <v>5</v>
      </c>
      <c r="T208" s="81">
        <f t="shared" si="106"/>
        <v>319.25</v>
      </c>
      <c r="U208" s="81">
        <f t="shared" si="107"/>
        <v>441</v>
      </c>
      <c r="V208" s="228">
        <v>113</v>
      </c>
      <c r="W208" s="52">
        <v>414</v>
      </c>
      <c r="X208" s="52">
        <f>294+91</f>
        <v>385</v>
      </c>
      <c r="Y208" s="52">
        <f>278+87</f>
        <v>365</v>
      </c>
      <c r="Z208" s="52">
        <v>699</v>
      </c>
      <c r="AA208" s="52">
        <v>773</v>
      </c>
      <c r="AB208" s="52">
        <v>650</v>
      </c>
      <c r="AC208" s="52">
        <v>736</v>
      </c>
      <c r="AD208" s="52">
        <v>289</v>
      </c>
      <c r="AE208" s="53">
        <v>584</v>
      </c>
      <c r="AF208" s="52">
        <v>199</v>
      </c>
      <c r="AG208" s="144">
        <v>85</v>
      </c>
      <c r="AH208" s="52">
        <v>50</v>
      </c>
      <c r="AI208" s="52">
        <v>44</v>
      </c>
      <c r="AJ208" s="52">
        <v>69</v>
      </c>
      <c r="AK208" s="52">
        <v>41</v>
      </c>
      <c r="AL208" s="89">
        <v>104</v>
      </c>
      <c r="AM208" s="52">
        <v>65</v>
      </c>
      <c r="AN208" s="52">
        <v>141</v>
      </c>
      <c r="AO208" s="53">
        <v>137</v>
      </c>
      <c r="AP208" s="52">
        <v>128</v>
      </c>
      <c r="AQ208" s="52">
        <v>263</v>
      </c>
      <c r="AR208" s="52">
        <v>143</v>
      </c>
      <c r="AS208" s="52">
        <v>160</v>
      </c>
      <c r="AT208" s="52">
        <v>306</v>
      </c>
      <c r="AU208" s="52">
        <v>275</v>
      </c>
      <c r="AV208" s="52">
        <v>528</v>
      </c>
      <c r="AW208" s="177">
        <v>291</v>
      </c>
      <c r="AX208" s="240">
        <v>691</v>
      </c>
      <c r="AY208" s="240">
        <v>377</v>
      </c>
      <c r="AZ208" s="240" t="s">
        <v>262</v>
      </c>
      <c r="BA208" s="240" t="s">
        <v>262</v>
      </c>
      <c r="BB208" s="240" t="s">
        <v>262</v>
      </c>
      <c r="BC208" s="240">
        <v>70</v>
      </c>
      <c r="BD208" s="240">
        <v>10</v>
      </c>
      <c r="BE208" s="240">
        <v>8</v>
      </c>
      <c r="BF208" s="240">
        <v>10</v>
      </c>
      <c r="BG208" s="240" t="s">
        <v>262</v>
      </c>
      <c r="BH208" s="240" t="s">
        <v>262</v>
      </c>
      <c r="BI208" s="240" t="s">
        <v>262</v>
      </c>
      <c r="BJ208" s="240">
        <v>25</v>
      </c>
      <c r="BK208" s="240" t="s">
        <v>262</v>
      </c>
      <c r="BL208" s="240" t="s">
        <v>262</v>
      </c>
      <c r="BM208" s="240" t="s">
        <v>262</v>
      </c>
      <c r="BN208" s="240">
        <v>35</v>
      </c>
      <c r="BO208" s="240" t="s">
        <v>262</v>
      </c>
      <c r="BP208" s="240" t="s">
        <v>262</v>
      </c>
      <c r="BQ208" s="240" t="s">
        <v>262</v>
      </c>
      <c r="BR208" s="240">
        <v>25</v>
      </c>
      <c r="BS208" s="240">
        <v>25</v>
      </c>
      <c r="BT208" s="240">
        <v>25</v>
      </c>
      <c r="BU208" s="240">
        <v>75</v>
      </c>
      <c r="BV208" s="240">
        <v>25</v>
      </c>
      <c r="BW208" s="240">
        <v>0</v>
      </c>
      <c r="BX208" s="240">
        <v>30</v>
      </c>
      <c r="BY208" s="240">
        <v>25</v>
      </c>
      <c r="BZ208" s="240">
        <v>75</v>
      </c>
      <c r="CA208" s="240">
        <v>10</v>
      </c>
      <c r="CB208" s="240">
        <v>20</v>
      </c>
      <c r="CC208" s="240">
        <v>20</v>
      </c>
      <c r="CD208" s="240">
        <v>200</v>
      </c>
      <c r="CE208" s="240">
        <v>400</v>
      </c>
      <c r="CF208" s="240">
        <v>400</v>
      </c>
      <c r="CG208" s="240">
        <v>750</v>
      </c>
      <c r="CH208" s="240">
        <v>400</v>
      </c>
      <c r="CI208" s="240">
        <v>400</v>
      </c>
      <c r="CJ208" s="240">
        <v>750</v>
      </c>
      <c r="CK208" s="53"/>
      <c r="CL208" s="53"/>
      <c r="CM208" s="53"/>
      <c r="CN208" s="206"/>
      <c r="CO208" s="206"/>
      <c r="CP208" s="206"/>
      <c r="CQ208" s="8">
        <f t="shared" si="108"/>
        <v>0</v>
      </c>
      <c r="CR208" s="8">
        <f t="shared" si="109"/>
        <v>773</v>
      </c>
      <c r="CS208" s="8">
        <f t="shared" si="110"/>
        <v>234.87272727272727</v>
      </c>
      <c r="CT208" t="e">
        <f t="shared" si="111"/>
        <v>#NUM!</v>
      </c>
      <c r="CU208" s="143">
        <f t="shared" si="112"/>
        <v>395.2</v>
      </c>
      <c r="CV208" s="143">
        <f t="shared" si="113"/>
        <v>441</v>
      </c>
      <c r="CX208" s="7">
        <f t="shared" si="114"/>
        <v>10</v>
      </c>
      <c r="CY208" s="7">
        <f t="shared" si="115"/>
        <v>25</v>
      </c>
      <c r="CZ208" s="7">
        <f t="shared" si="116"/>
        <v>25</v>
      </c>
      <c r="DA208" s="7">
        <f t="shared" si="117"/>
        <v>32.5</v>
      </c>
      <c r="DB208" s="7">
        <f t="shared" si="118"/>
        <v>137</v>
      </c>
      <c r="DC208" s="7">
        <f t="shared" si="119"/>
        <v>225.1999999999999</v>
      </c>
      <c r="DD208" s="7">
        <f t="shared" si="120"/>
        <v>289.2</v>
      </c>
      <c r="DE208" s="7">
        <f t="shared" si="121"/>
        <v>392.5</v>
      </c>
      <c r="DF208" s="7">
        <f t="shared" si="122"/>
        <v>516.5999999999998</v>
      </c>
      <c r="DH208" s="7">
        <f t="shared" si="123"/>
        <v>46.1</v>
      </c>
      <c r="DI208" s="7">
        <f t="shared" si="124"/>
        <v>69.8</v>
      </c>
      <c r="DJ208" s="7">
        <f t="shared" si="125"/>
        <v>92.600000000000009</v>
      </c>
      <c r="DK208" s="7">
        <f t="shared" si="126"/>
        <v>110.75</v>
      </c>
      <c r="DL208" s="7">
        <f t="shared" si="127"/>
        <v>231</v>
      </c>
      <c r="DM208" s="7">
        <f t="shared" si="128"/>
        <v>289.39999999999998</v>
      </c>
      <c r="DN208" s="7">
        <f t="shared" si="129"/>
        <v>299.25</v>
      </c>
      <c r="DO208" s="7">
        <f t="shared" si="130"/>
        <v>392.25</v>
      </c>
      <c r="DP208" s="7">
        <f t="shared" si="131"/>
        <v>581.19999999999993</v>
      </c>
    </row>
    <row r="209" spans="1:130" ht="25.5" hidden="1" customHeight="1" x14ac:dyDescent="0.25">
      <c r="A209" s="92" t="str">
        <f t="shared" si="132"/>
        <v>CM-SWVI [10]</v>
      </c>
      <c r="B209" s="92" t="str">
        <f t="shared" si="133"/>
        <v>Southwest Vancouver Island</v>
      </c>
      <c r="C209" s="93" t="str">
        <f t="shared" si="102"/>
        <v>BEDWELL/URSUS_Chum</v>
      </c>
      <c r="D209" s="128" t="s">
        <v>598</v>
      </c>
      <c r="E209" s="128" t="s">
        <v>598</v>
      </c>
      <c r="F209" s="64">
        <v>24</v>
      </c>
      <c r="G209" s="72" t="s">
        <v>274</v>
      </c>
      <c r="H209" s="65" t="s">
        <v>96</v>
      </c>
      <c r="I209" s="119"/>
      <c r="J209" s="119"/>
      <c r="K209" s="64">
        <v>3</v>
      </c>
      <c r="L209" s="52">
        <v>11</v>
      </c>
      <c r="M209" s="52">
        <v>11</v>
      </c>
      <c r="N209" s="52">
        <f t="shared" si="103"/>
        <v>2599.3122342795432</v>
      </c>
      <c r="O209" s="52">
        <f t="shared" si="104"/>
        <v>8111</v>
      </c>
      <c r="P209" s="52">
        <f t="shared" si="105"/>
        <v>914.8729152444439</v>
      </c>
      <c r="Q209" s="66" t="s">
        <v>270</v>
      </c>
      <c r="R209" s="37"/>
      <c r="S209" s="74" t="s">
        <v>5</v>
      </c>
      <c r="T209" s="81">
        <f t="shared" si="106"/>
        <v>1962</v>
      </c>
      <c r="U209" s="81">
        <f t="shared" si="107"/>
        <v>2981.5833333333335</v>
      </c>
      <c r="V209" s="228">
        <v>2040</v>
      </c>
      <c r="W209" s="52">
        <v>2265</v>
      </c>
      <c r="X209" s="52">
        <f>2371+22</f>
        <v>2393</v>
      </c>
      <c r="Y209" s="52">
        <f>1129+21</f>
        <v>1150</v>
      </c>
      <c r="Z209" s="52">
        <v>1982</v>
      </c>
      <c r="AA209" s="52">
        <v>2955</v>
      </c>
      <c r="AB209" s="52">
        <v>6488</v>
      </c>
      <c r="AC209" s="52">
        <v>2495</v>
      </c>
      <c r="AD209" s="52">
        <v>1579</v>
      </c>
      <c r="AE209" s="53">
        <v>2677</v>
      </c>
      <c r="AF209" s="52">
        <v>3054</v>
      </c>
      <c r="AG209" s="144">
        <v>6701</v>
      </c>
      <c r="AH209" s="52">
        <v>3370</v>
      </c>
      <c r="AI209" s="52">
        <v>1480</v>
      </c>
      <c r="AJ209" s="52">
        <v>578</v>
      </c>
      <c r="AK209" s="52">
        <v>1535</v>
      </c>
      <c r="AL209" s="89">
        <v>5643</v>
      </c>
      <c r="AM209" s="52">
        <v>1913</v>
      </c>
      <c r="AN209" s="52">
        <v>8111</v>
      </c>
      <c r="AO209" s="53">
        <v>4839</v>
      </c>
      <c r="AP209" s="52">
        <v>4655</v>
      </c>
      <c r="AQ209" s="52">
        <v>3866</v>
      </c>
      <c r="AR209" s="52">
        <v>1989</v>
      </c>
      <c r="AS209" s="52">
        <v>2299</v>
      </c>
      <c r="AT209" s="52">
        <v>6513</v>
      </c>
      <c r="AU209" s="52">
        <v>1375</v>
      </c>
      <c r="AV209" s="52">
        <v>2900</v>
      </c>
      <c r="AW209" s="52">
        <v>800</v>
      </c>
      <c r="AX209" s="238">
        <v>754</v>
      </c>
      <c r="AY209" s="238">
        <v>1820</v>
      </c>
      <c r="AZ209" s="238">
        <v>1235</v>
      </c>
      <c r="BA209" s="238">
        <v>650</v>
      </c>
      <c r="BB209" s="238">
        <v>125</v>
      </c>
      <c r="BC209" s="238">
        <v>100</v>
      </c>
      <c r="BD209" s="238">
        <v>400</v>
      </c>
      <c r="BE209" s="238">
        <v>100</v>
      </c>
      <c r="BF209" s="238">
        <v>200</v>
      </c>
      <c r="BG209" s="238">
        <v>700</v>
      </c>
      <c r="BH209" s="238">
        <v>600</v>
      </c>
      <c r="BI209" s="238">
        <v>500</v>
      </c>
      <c r="BJ209" s="238">
        <v>900</v>
      </c>
      <c r="BK209" s="238">
        <v>300</v>
      </c>
      <c r="BL209" s="238">
        <v>100</v>
      </c>
      <c r="BM209" s="238">
        <v>240</v>
      </c>
      <c r="BN209" s="238">
        <v>400</v>
      </c>
      <c r="BO209" s="238">
        <v>500</v>
      </c>
      <c r="BP209" s="238">
        <v>900</v>
      </c>
      <c r="BQ209" s="238">
        <v>2800</v>
      </c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206"/>
      <c r="CO209" s="206"/>
      <c r="CP209" s="206"/>
      <c r="CQ209" s="8">
        <f t="shared" si="108"/>
        <v>100</v>
      </c>
      <c r="CR209" s="8">
        <f t="shared" si="109"/>
        <v>8111</v>
      </c>
      <c r="CS209" s="8">
        <f t="shared" si="110"/>
        <v>2103.5208333333335</v>
      </c>
      <c r="CT209">
        <f t="shared" si="111"/>
        <v>1235.1400859080138</v>
      </c>
      <c r="CU209" s="143">
        <f t="shared" si="112"/>
        <v>1966</v>
      </c>
      <c r="CV209" s="143">
        <f t="shared" si="113"/>
        <v>2981.5833333333335</v>
      </c>
      <c r="CX209" s="7">
        <f t="shared" si="114"/>
        <v>108.75</v>
      </c>
      <c r="CY209" s="7">
        <f t="shared" si="115"/>
        <v>400</v>
      </c>
      <c r="CZ209" s="7">
        <f t="shared" si="116"/>
        <v>500</v>
      </c>
      <c r="DA209" s="7">
        <f t="shared" si="117"/>
        <v>594.5</v>
      </c>
      <c r="DB209" s="7">
        <f t="shared" si="118"/>
        <v>1557</v>
      </c>
      <c r="DC209" s="7">
        <f t="shared" si="119"/>
        <v>1999.2</v>
      </c>
      <c r="DD209" s="7">
        <f t="shared" si="120"/>
        <v>2283.6999999999998</v>
      </c>
      <c r="DE209" s="7">
        <f t="shared" si="121"/>
        <v>2825</v>
      </c>
      <c r="DF209" s="7">
        <f t="shared" si="122"/>
        <v>3841.199999999998</v>
      </c>
      <c r="DH209" s="7">
        <f t="shared" si="123"/>
        <v>922.5</v>
      </c>
      <c r="DI209" s="7">
        <f t="shared" si="124"/>
        <v>1482.75</v>
      </c>
      <c r="DJ209" s="7">
        <f t="shared" si="125"/>
        <v>1552.6</v>
      </c>
      <c r="DK209" s="7">
        <f t="shared" si="126"/>
        <v>1829.5</v>
      </c>
      <c r="DL209" s="7">
        <f t="shared" si="127"/>
        <v>2444</v>
      </c>
      <c r="DM209" s="7">
        <f t="shared" si="128"/>
        <v>2911</v>
      </c>
      <c r="DN209" s="7">
        <f t="shared" si="129"/>
        <v>3009.4500000000003</v>
      </c>
      <c r="DO209" s="7">
        <f t="shared" si="130"/>
        <v>4063.25</v>
      </c>
      <c r="DP209" s="7">
        <f t="shared" si="131"/>
        <v>5602.7999999999993</v>
      </c>
    </row>
    <row r="210" spans="1:130" ht="25.5" hidden="1" customHeight="1" x14ac:dyDescent="0.25">
      <c r="A210" s="92" t="str">
        <f t="shared" si="132"/>
        <v>CO-CLAY [18]</v>
      </c>
      <c r="B210" s="92" t="str">
        <f t="shared" si="133"/>
        <v>Clayoquot</v>
      </c>
      <c r="C210" s="93" t="str">
        <f t="shared" si="102"/>
        <v>BEDWELL/URSUS_Coho</v>
      </c>
      <c r="D210" s="128" t="s">
        <v>598</v>
      </c>
      <c r="E210" s="128" t="s">
        <v>598</v>
      </c>
      <c r="F210" s="64">
        <v>24</v>
      </c>
      <c r="G210" s="72" t="s">
        <v>274</v>
      </c>
      <c r="H210" s="65" t="s">
        <v>93</v>
      </c>
      <c r="I210" s="119"/>
      <c r="J210" s="119"/>
      <c r="K210" s="64">
        <v>3</v>
      </c>
      <c r="L210" s="52">
        <v>11</v>
      </c>
      <c r="M210" s="52">
        <v>11</v>
      </c>
      <c r="N210" s="52">
        <f t="shared" si="103"/>
        <v>1224.0389479764367</v>
      </c>
      <c r="O210" s="52">
        <f t="shared" si="104"/>
        <v>3689</v>
      </c>
      <c r="P210" s="52">
        <f t="shared" si="105"/>
        <v>1224.0389479764367</v>
      </c>
      <c r="Q210" s="66" t="s">
        <v>270</v>
      </c>
      <c r="R210" s="37"/>
      <c r="S210" s="74" t="s">
        <v>5</v>
      </c>
      <c r="T210" s="81">
        <f t="shared" si="106"/>
        <v>1001.75</v>
      </c>
      <c r="U210" s="81">
        <f t="shared" si="107"/>
        <v>1351.8333333333333</v>
      </c>
      <c r="V210" s="228">
        <v>868</v>
      </c>
      <c r="W210" s="52">
        <v>1605</v>
      </c>
      <c r="X210" s="52">
        <f>535+92</f>
        <v>627</v>
      </c>
      <c r="Y210" s="52">
        <f>723+184</f>
        <v>907</v>
      </c>
      <c r="Z210" s="52">
        <v>1376</v>
      </c>
      <c r="AA210" s="52">
        <v>1581</v>
      </c>
      <c r="AB210" s="52">
        <v>2699</v>
      </c>
      <c r="AC210" s="52">
        <v>1061</v>
      </c>
      <c r="AD210" s="52">
        <v>1767</v>
      </c>
      <c r="AE210" s="53">
        <v>1040</v>
      </c>
      <c r="AF210" s="52">
        <v>1234</v>
      </c>
      <c r="AG210" s="144">
        <v>1457</v>
      </c>
      <c r="AH210" s="52">
        <v>1300</v>
      </c>
      <c r="AI210" s="52">
        <v>1925</v>
      </c>
      <c r="AJ210" s="52">
        <v>1553</v>
      </c>
      <c r="AK210" s="52">
        <v>605</v>
      </c>
      <c r="AL210" s="89">
        <v>426</v>
      </c>
      <c r="AM210" s="52">
        <v>830</v>
      </c>
      <c r="AN210" s="52">
        <v>1030</v>
      </c>
      <c r="AO210" s="53">
        <v>1286</v>
      </c>
      <c r="AP210" s="52">
        <v>1831</v>
      </c>
      <c r="AQ210" s="52">
        <v>1707</v>
      </c>
      <c r="AR210" s="52">
        <v>1429</v>
      </c>
      <c r="AS210" s="52">
        <v>2682</v>
      </c>
      <c r="AT210" s="52">
        <v>3689</v>
      </c>
      <c r="AU210" s="52">
        <v>908</v>
      </c>
      <c r="AV210" s="52">
        <v>479</v>
      </c>
      <c r="AW210" s="52">
        <v>2004</v>
      </c>
      <c r="AX210" s="51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206"/>
      <c r="CO210" s="206"/>
      <c r="CP210" s="206"/>
      <c r="CQ210" s="8">
        <f t="shared" si="108"/>
        <v>426</v>
      </c>
      <c r="CR210" s="8">
        <f t="shared" si="109"/>
        <v>3689</v>
      </c>
      <c r="CS210" s="8">
        <f t="shared" si="110"/>
        <v>1425.2142857142858</v>
      </c>
      <c r="CT210">
        <f t="shared" si="111"/>
        <v>1263.0619402609959</v>
      </c>
      <c r="CU210" s="143">
        <f t="shared" si="112"/>
        <v>1076.5999999999999</v>
      </c>
      <c r="CV210" s="143">
        <f t="shared" si="113"/>
        <v>1351.8333333333333</v>
      </c>
      <c r="CW210" s="7"/>
      <c r="CX210" s="7">
        <f t="shared" si="114"/>
        <v>523.1</v>
      </c>
      <c r="CY210" s="7">
        <f t="shared" si="115"/>
        <v>831.9</v>
      </c>
      <c r="CZ210" s="7">
        <f t="shared" si="116"/>
        <v>883.6</v>
      </c>
      <c r="DA210" s="7">
        <f t="shared" si="117"/>
        <v>907.75</v>
      </c>
      <c r="DB210" s="7">
        <f t="shared" si="118"/>
        <v>1338</v>
      </c>
      <c r="DC210" s="7">
        <f t="shared" si="119"/>
        <v>1476.1999999999998</v>
      </c>
      <c r="DD210" s="7">
        <f t="shared" si="120"/>
        <v>1568.4</v>
      </c>
      <c r="DE210" s="7">
        <f t="shared" si="121"/>
        <v>1722</v>
      </c>
      <c r="DF210" s="7">
        <f t="shared" si="122"/>
        <v>1920.3</v>
      </c>
      <c r="DG210" s="7"/>
      <c r="DH210" s="7">
        <f t="shared" si="123"/>
        <v>523.1</v>
      </c>
      <c r="DI210" s="7">
        <f t="shared" si="124"/>
        <v>831.9</v>
      </c>
      <c r="DJ210" s="7">
        <f t="shared" si="125"/>
        <v>883.6</v>
      </c>
      <c r="DK210" s="7">
        <f t="shared" si="126"/>
        <v>907.75</v>
      </c>
      <c r="DL210" s="7">
        <f t="shared" si="127"/>
        <v>1338</v>
      </c>
      <c r="DM210" s="7">
        <f t="shared" si="128"/>
        <v>1476.1999999999998</v>
      </c>
      <c r="DN210" s="7">
        <f t="shared" si="129"/>
        <v>1568.4</v>
      </c>
      <c r="DO210" s="7">
        <f t="shared" si="130"/>
        <v>1722</v>
      </c>
      <c r="DP210" s="7">
        <f t="shared" si="131"/>
        <v>1920.3</v>
      </c>
      <c r="DQ210" s="7"/>
      <c r="DR210" s="7"/>
      <c r="DS210" s="7"/>
      <c r="DT210" s="7"/>
      <c r="DU210" s="7"/>
      <c r="DV210" s="7"/>
      <c r="DW210" s="7"/>
      <c r="DX210" s="7"/>
      <c r="DY210" s="7"/>
      <c r="DZ210" s="7"/>
    </row>
    <row r="211" spans="1:130" ht="25.5" hidden="1" customHeight="1" x14ac:dyDescent="0.25">
      <c r="A211" s="92" t="str">
        <f t="shared" si="132"/>
        <v>Pkodd-WVI [6]</v>
      </c>
      <c r="B211" s="92" t="str">
        <f t="shared" si="133"/>
        <v>West Vancouver Island</v>
      </c>
      <c r="C211" s="93" t="str">
        <f t="shared" si="102"/>
        <v>BEDWELL/URSUS_Pink</v>
      </c>
      <c r="D211" s="128" t="s">
        <v>598</v>
      </c>
      <c r="E211" s="128" t="s">
        <v>598</v>
      </c>
      <c r="F211" s="64">
        <v>24</v>
      </c>
      <c r="G211" s="72" t="s">
        <v>274</v>
      </c>
      <c r="H211" s="65" t="s">
        <v>95</v>
      </c>
      <c r="I211" s="119"/>
      <c r="J211" s="119"/>
      <c r="K211" s="64">
        <v>3</v>
      </c>
      <c r="L211" s="52">
        <v>11</v>
      </c>
      <c r="M211" s="52">
        <v>10</v>
      </c>
      <c r="N211" s="52">
        <f t="shared" si="103"/>
        <v>10.273741542314243</v>
      </c>
      <c r="O211" s="52">
        <f t="shared" si="104"/>
        <v>8500</v>
      </c>
      <c r="P211" s="52">
        <f t="shared" si="105"/>
        <v>49.374779310924353</v>
      </c>
      <c r="Q211" s="66" t="s">
        <v>270</v>
      </c>
      <c r="R211" s="37"/>
      <c r="S211" s="74" t="s">
        <v>353</v>
      </c>
      <c r="T211" s="81">
        <f t="shared" si="106"/>
        <v>9</v>
      </c>
      <c r="U211" s="81">
        <f t="shared" si="107"/>
        <v>40.888888888888886</v>
      </c>
      <c r="V211" s="231">
        <v>13</v>
      </c>
      <c r="W211" s="52" t="s">
        <v>262</v>
      </c>
      <c r="X211" s="52">
        <f>1</f>
        <v>1</v>
      </c>
      <c r="Y211" s="52">
        <v>13</v>
      </c>
      <c r="Z211" s="52" t="s">
        <v>263</v>
      </c>
      <c r="AA211" s="52">
        <v>7</v>
      </c>
      <c r="AB211" s="52" t="s">
        <v>263</v>
      </c>
      <c r="AC211" s="52">
        <v>31</v>
      </c>
      <c r="AD211" s="52">
        <v>69</v>
      </c>
      <c r="AE211" s="53">
        <v>92</v>
      </c>
      <c r="AF211" s="52">
        <v>108</v>
      </c>
      <c r="AG211" s="144">
        <v>34</v>
      </c>
      <c r="AH211" s="52">
        <v>42</v>
      </c>
      <c r="AI211" s="52">
        <v>30</v>
      </c>
      <c r="AJ211" s="52">
        <v>3</v>
      </c>
      <c r="AK211" s="52">
        <v>3</v>
      </c>
      <c r="AL211" s="89" t="s">
        <v>262</v>
      </c>
      <c r="AM211" s="52">
        <v>8</v>
      </c>
      <c r="AN211" s="52">
        <v>2</v>
      </c>
      <c r="AO211" s="53">
        <v>9</v>
      </c>
      <c r="AP211" s="52">
        <v>43</v>
      </c>
      <c r="AQ211" s="52">
        <v>19</v>
      </c>
      <c r="AR211" s="52">
        <v>14</v>
      </c>
      <c r="AS211" s="52">
        <v>8</v>
      </c>
      <c r="AT211" s="52">
        <v>53</v>
      </c>
      <c r="AU211" s="52">
        <v>55</v>
      </c>
      <c r="AV211" s="52" t="s">
        <v>262</v>
      </c>
      <c r="AW211" s="52">
        <v>4</v>
      </c>
      <c r="AX211" s="51"/>
      <c r="AY211" s="53"/>
      <c r="AZ211" s="53"/>
      <c r="BA211" s="53"/>
      <c r="BB211" s="53"/>
      <c r="BC211" s="53"/>
      <c r="BD211" s="53"/>
      <c r="BE211" s="53"/>
      <c r="BF211" s="53"/>
      <c r="BG211" s="53"/>
      <c r="BH211" s="242" t="s">
        <v>262</v>
      </c>
      <c r="BI211" s="242" t="s">
        <v>262</v>
      </c>
      <c r="BJ211" s="242" t="s">
        <v>262</v>
      </c>
      <c r="BK211" s="242" t="s">
        <v>262</v>
      </c>
      <c r="BL211" s="242">
        <v>500</v>
      </c>
      <c r="BM211" s="242"/>
      <c r="BN211" s="242">
        <v>100</v>
      </c>
      <c r="BO211" s="242"/>
      <c r="BP211" s="242">
        <v>3000</v>
      </c>
      <c r="BQ211" s="242"/>
      <c r="BR211" s="242">
        <v>8500</v>
      </c>
      <c r="BS211" s="242" t="s">
        <v>262</v>
      </c>
      <c r="BT211" s="242">
        <v>750</v>
      </c>
      <c r="BU211" s="242"/>
      <c r="BV211" s="242">
        <v>400</v>
      </c>
      <c r="BW211" s="242"/>
      <c r="BX211" s="242">
        <v>3000</v>
      </c>
      <c r="BY211" s="242" t="s">
        <v>262</v>
      </c>
      <c r="BZ211" s="242">
        <v>750</v>
      </c>
      <c r="CA211" s="242">
        <v>5</v>
      </c>
      <c r="CB211" s="242">
        <v>25</v>
      </c>
      <c r="CC211" s="242">
        <v>6</v>
      </c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206">
        <f>IF(ISERROR(AVERAGE(BV211:CM211)),CS211,AVERAGE(BV211:CM211))</f>
        <v>697.66666666666663</v>
      </c>
      <c r="CO211" s="208"/>
      <c r="CP211" s="208"/>
      <c r="CQ211" s="8">
        <f t="shared" si="108"/>
        <v>1</v>
      </c>
      <c r="CR211" s="8">
        <f t="shared" si="109"/>
        <v>8500</v>
      </c>
      <c r="CS211" s="8">
        <f t="shared" si="110"/>
        <v>520.5</v>
      </c>
      <c r="CT211">
        <f t="shared" si="111"/>
        <v>38.701841517796431</v>
      </c>
      <c r="CU211" s="143">
        <f t="shared" si="112"/>
        <v>9</v>
      </c>
      <c r="CV211" s="143">
        <f t="shared" si="113"/>
        <v>40.888888888888886</v>
      </c>
      <c r="CX211" s="7">
        <f t="shared" si="114"/>
        <v>2.6500000000000004</v>
      </c>
      <c r="CY211" s="7">
        <f t="shared" si="115"/>
        <v>4.95</v>
      </c>
      <c r="CZ211" s="7">
        <f t="shared" si="116"/>
        <v>6.6000000000000005</v>
      </c>
      <c r="DA211" s="7">
        <f t="shared" si="117"/>
        <v>8</v>
      </c>
      <c r="DB211" s="7">
        <f t="shared" si="118"/>
        <v>30.5</v>
      </c>
      <c r="DC211" s="7">
        <f t="shared" si="119"/>
        <v>42.8</v>
      </c>
      <c r="DD211" s="7">
        <f t="shared" si="120"/>
        <v>53.9</v>
      </c>
      <c r="DE211" s="7">
        <f t="shared" si="121"/>
        <v>98</v>
      </c>
      <c r="DF211" s="7">
        <f t="shared" si="122"/>
        <v>512.50000000000023</v>
      </c>
      <c r="DH211" s="7">
        <f t="shared" si="123"/>
        <v>2.1</v>
      </c>
      <c r="DI211" s="7">
        <f t="shared" si="124"/>
        <v>3.3</v>
      </c>
      <c r="DJ211" s="7">
        <f t="shared" si="125"/>
        <v>5.2000000000000011</v>
      </c>
      <c r="DK211" s="7">
        <f t="shared" si="126"/>
        <v>7.5</v>
      </c>
      <c r="DL211" s="7">
        <f t="shared" si="127"/>
        <v>14</v>
      </c>
      <c r="DM211" s="7">
        <f t="shared" si="128"/>
        <v>30.2</v>
      </c>
      <c r="DN211" s="7">
        <f t="shared" si="129"/>
        <v>31.900000000000002</v>
      </c>
      <c r="DO211" s="7">
        <f t="shared" si="130"/>
        <v>42.5</v>
      </c>
      <c r="DP211" s="7">
        <f t="shared" si="131"/>
        <v>54.4</v>
      </c>
    </row>
    <row r="212" spans="1:130" ht="25.5" hidden="1" customHeight="1" x14ac:dyDescent="0.25">
      <c r="A212" s="92" t="str">
        <f t="shared" si="132"/>
        <v>SK-WVI [R10]</v>
      </c>
      <c r="B212" s="92" t="str">
        <f t="shared" si="133"/>
        <v>West Vancouver Island</v>
      </c>
      <c r="C212" s="93" t="str">
        <f t="shared" si="102"/>
        <v>BEDWELL/URSUS_Sockeye</v>
      </c>
      <c r="D212" s="128" t="s">
        <v>598</v>
      </c>
      <c r="E212" s="128" t="s">
        <v>598</v>
      </c>
      <c r="F212" s="64">
        <v>24</v>
      </c>
      <c r="G212" s="72" t="s">
        <v>274</v>
      </c>
      <c r="H212" s="65" t="s">
        <v>91</v>
      </c>
      <c r="I212" s="119"/>
      <c r="J212" s="119"/>
      <c r="K212" s="64">
        <v>3</v>
      </c>
      <c r="L212" s="52">
        <v>11</v>
      </c>
      <c r="M212" s="52">
        <v>11</v>
      </c>
      <c r="N212" s="52">
        <f t="shared" si="103"/>
        <v>259.73210754889919</v>
      </c>
      <c r="O212" s="52">
        <f t="shared" si="104"/>
        <v>1413</v>
      </c>
      <c r="P212" s="52">
        <f t="shared" si="105"/>
        <v>259.73210754889919</v>
      </c>
      <c r="Q212" s="66" t="s">
        <v>270</v>
      </c>
      <c r="R212" s="37"/>
      <c r="S212" s="74" t="s">
        <v>353</v>
      </c>
      <c r="T212" s="81">
        <f t="shared" si="106"/>
        <v>137</v>
      </c>
      <c r="U212" s="81">
        <f t="shared" si="107"/>
        <v>332.58333333333331</v>
      </c>
      <c r="V212" s="228">
        <v>153</v>
      </c>
      <c r="W212" s="52">
        <v>163</v>
      </c>
      <c r="X212" s="52">
        <f>63+57</f>
        <v>120</v>
      </c>
      <c r="Y212" s="52">
        <f>29+83</f>
        <v>112</v>
      </c>
      <c r="Z212" s="52">
        <v>97</v>
      </c>
      <c r="AA212" s="52">
        <v>270</v>
      </c>
      <c r="AB212" s="52">
        <v>445</v>
      </c>
      <c r="AC212" s="52">
        <v>1270</v>
      </c>
      <c r="AD212" s="52">
        <v>703</v>
      </c>
      <c r="AE212" s="53">
        <v>139</v>
      </c>
      <c r="AF212" s="52">
        <v>184</v>
      </c>
      <c r="AG212" s="144">
        <v>335</v>
      </c>
      <c r="AH212" s="52">
        <v>1012</v>
      </c>
      <c r="AI212" s="52">
        <v>300</v>
      </c>
      <c r="AJ212" s="52">
        <v>68</v>
      </c>
      <c r="AK212" s="52">
        <v>59</v>
      </c>
      <c r="AL212" s="89">
        <v>179</v>
      </c>
      <c r="AM212" s="52">
        <v>296</v>
      </c>
      <c r="AN212" s="52">
        <v>352</v>
      </c>
      <c r="AO212" s="53">
        <v>450</v>
      </c>
      <c r="AP212" s="52">
        <v>223</v>
      </c>
      <c r="AQ212" s="52">
        <v>129</v>
      </c>
      <c r="AR212" s="52">
        <v>104</v>
      </c>
      <c r="AS212" s="52">
        <v>363</v>
      </c>
      <c r="AT212" s="52">
        <v>1293</v>
      </c>
      <c r="AU212" s="52">
        <v>1413</v>
      </c>
      <c r="AV212" s="52">
        <v>423</v>
      </c>
      <c r="AW212" s="52">
        <v>225</v>
      </c>
      <c r="AX212" s="51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206"/>
      <c r="CO212" s="206"/>
      <c r="CP212" s="206"/>
      <c r="CQ212" s="8">
        <f t="shared" si="108"/>
        <v>59</v>
      </c>
      <c r="CR212" s="8">
        <f t="shared" si="109"/>
        <v>1413</v>
      </c>
      <c r="CS212" s="8">
        <f t="shared" si="110"/>
        <v>388.57142857142856</v>
      </c>
      <c r="CT212">
        <f t="shared" si="111"/>
        <v>263.04996622503359</v>
      </c>
      <c r="CU212" s="143">
        <f t="shared" si="112"/>
        <v>129</v>
      </c>
      <c r="CV212" s="143">
        <f t="shared" si="113"/>
        <v>332.58333333333331</v>
      </c>
      <c r="CW212" s="7"/>
      <c r="CX212" s="7">
        <f t="shared" si="114"/>
        <v>78.150000000000006</v>
      </c>
      <c r="CY212" s="7">
        <f t="shared" si="115"/>
        <v>112.4</v>
      </c>
      <c r="CZ212" s="7">
        <f t="shared" si="116"/>
        <v>123.60000000000001</v>
      </c>
      <c r="DA212" s="7">
        <f t="shared" si="117"/>
        <v>136.5</v>
      </c>
      <c r="DB212" s="7">
        <f t="shared" si="118"/>
        <v>247.5</v>
      </c>
      <c r="DC212" s="7">
        <f t="shared" si="119"/>
        <v>307</v>
      </c>
      <c r="DD212" s="7">
        <f t="shared" si="120"/>
        <v>344.35</v>
      </c>
      <c r="DE212" s="7">
        <f t="shared" si="121"/>
        <v>428.5</v>
      </c>
      <c r="DF212" s="7">
        <f t="shared" si="122"/>
        <v>690.3499999999998</v>
      </c>
      <c r="DG212" s="7"/>
      <c r="DH212" s="7">
        <f t="shared" si="123"/>
        <v>78.150000000000006</v>
      </c>
      <c r="DI212" s="7">
        <f t="shared" si="124"/>
        <v>112.4</v>
      </c>
      <c r="DJ212" s="7">
        <f t="shared" si="125"/>
        <v>123.60000000000001</v>
      </c>
      <c r="DK212" s="7">
        <f t="shared" si="126"/>
        <v>136.5</v>
      </c>
      <c r="DL212" s="7">
        <f t="shared" si="127"/>
        <v>247.5</v>
      </c>
      <c r="DM212" s="7">
        <f t="shared" si="128"/>
        <v>307</v>
      </c>
      <c r="DN212" s="7">
        <f t="shared" si="129"/>
        <v>344.35</v>
      </c>
      <c r="DO212" s="7">
        <f t="shared" si="130"/>
        <v>428.5</v>
      </c>
      <c r="DP212" s="7">
        <f t="shared" si="131"/>
        <v>690.3499999999998</v>
      </c>
      <c r="DQ212" s="7"/>
      <c r="DR212" s="7"/>
      <c r="DS212" s="7"/>
      <c r="DT212" s="7"/>
      <c r="DU212" s="7"/>
      <c r="DV212" s="7"/>
      <c r="DW212" s="7"/>
      <c r="DX212" s="7"/>
      <c r="DY212" s="7"/>
      <c r="DZ212" s="7"/>
    </row>
    <row r="213" spans="1:130" ht="25.5" hidden="1" customHeight="1" x14ac:dyDescent="0.25">
      <c r="A213" s="92" t="str">
        <f t="shared" si="132"/>
        <v>CM-SWVI [10]</v>
      </c>
      <c r="B213" s="92" t="str">
        <f t="shared" si="133"/>
        <v>Southwest Vancouver Island</v>
      </c>
      <c r="C213" s="93" t="str">
        <f t="shared" si="102"/>
        <v>BULSON CREEK_Chum</v>
      </c>
      <c r="D213" s="128" t="s">
        <v>598</v>
      </c>
      <c r="E213" s="128" t="s">
        <v>598</v>
      </c>
      <c r="F213" s="64">
        <v>24</v>
      </c>
      <c r="G213" s="72" t="s">
        <v>185</v>
      </c>
      <c r="H213" s="65" t="s">
        <v>96</v>
      </c>
      <c r="I213" s="119"/>
      <c r="J213" s="119"/>
      <c r="K213" s="64">
        <v>4</v>
      </c>
      <c r="L213" s="52">
        <v>5</v>
      </c>
      <c r="M213" s="52">
        <v>4</v>
      </c>
      <c r="N213" s="52">
        <f t="shared" si="103"/>
        <v>116.34833857252811</v>
      </c>
      <c r="O213" s="52">
        <f t="shared" si="104"/>
        <v>700</v>
      </c>
      <c r="P213" s="52">
        <f t="shared" si="105"/>
        <v>98.160652394051439</v>
      </c>
      <c r="Q213" s="66"/>
      <c r="R213" s="39"/>
      <c r="S213" s="74" t="s">
        <v>354</v>
      </c>
      <c r="T213" s="81" t="e">
        <f t="shared" si="106"/>
        <v>#DIV/0!</v>
      </c>
      <c r="U213" s="81" t="e">
        <f t="shared" si="107"/>
        <v>#DIV/0!</v>
      </c>
      <c r="V213" s="52" t="s">
        <v>102</v>
      </c>
      <c r="W213" s="52" t="s">
        <v>102</v>
      </c>
      <c r="X213" s="52" t="s">
        <v>102</v>
      </c>
      <c r="Y213" s="52" t="s">
        <v>102</v>
      </c>
      <c r="Z213" s="52" t="s">
        <v>102</v>
      </c>
      <c r="AA213" s="52" t="s">
        <v>102</v>
      </c>
      <c r="AB213" s="52" t="s">
        <v>102</v>
      </c>
      <c r="AC213" s="52" t="s">
        <v>102</v>
      </c>
      <c r="AD213" s="52" t="s">
        <v>102</v>
      </c>
      <c r="AE213" s="52" t="s">
        <v>102</v>
      </c>
      <c r="AF213" s="52" t="s">
        <v>102</v>
      </c>
      <c r="AG213" s="52" t="s">
        <v>102</v>
      </c>
      <c r="AH213" s="52" t="s">
        <v>102</v>
      </c>
      <c r="AI213" s="52" t="s">
        <v>102</v>
      </c>
      <c r="AJ213" s="52" t="s">
        <v>102</v>
      </c>
      <c r="AK213" s="52" t="s">
        <v>102</v>
      </c>
      <c r="AL213" s="52" t="s">
        <v>102</v>
      </c>
      <c r="AM213" s="52" t="s">
        <v>102</v>
      </c>
      <c r="AN213" s="52" t="s">
        <v>102</v>
      </c>
      <c r="AO213" s="52" t="s">
        <v>102</v>
      </c>
      <c r="AP213" s="53" t="s">
        <v>102</v>
      </c>
      <c r="AQ213" s="53" t="s">
        <v>262</v>
      </c>
      <c r="AR213" s="53">
        <v>15</v>
      </c>
      <c r="AS213" s="54"/>
      <c r="AT213" s="52" t="s">
        <v>263</v>
      </c>
      <c r="AU213" s="52">
        <v>150</v>
      </c>
      <c r="AV213" s="52" t="s">
        <v>102</v>
      </c>
      <c r="AW213" s="52">
        <v>700</v>
      </c>
      <c r="AX213" s="51">
        <v>450</v>
      </c>
      <c r="AY213" s="53" t="s">
        <v>102</v>
      </c>
      <c r="AZ213" s="53" t="s">
        <v>264</v>
      </c>
      <c r="BA213" s="53" t="s">
        <v>102</v>
      </c>
      <c r="BB213" s="53" t="s">
        <v>264</v>
      </c>
      <c r="BC213" s="53" t="s">
        <v>102</v>
      </c>
      <c r="BD213" s="53" t="s">
        <v>262</v>
      </c>
      <c r="BE213" s="53">
        <v>250</v>
      </c>
      <c r="BF213" s="53">
        <v>300</v>
      </c>
      <c r="BG213" s="53" t="s">
        <v>102</v>
      </c>
      <c r="BH213" s="53" t="s">
        <v>102</v>
      </c>
      <c r="BI213" s="53" t="s">
        <v>102</v>
      </c>
      <c r="BJ213" s="53" t="s">
        <v>102</v>
      </c>
      <c r="BK213" s="53" t="s">
        <v>262</v>
      </c>
      <c r="BL213" s="53" t="s">
        <v>264</v>
      </c>
      <c r="BM213" s="53" t="s">
        <v>264</v>
      </c>
      <c r="BN213" s="53" t="s">
        <v>264</v>
      </c>
      <c r="BO213" s="53" t="s">
        <v>264</v>
      </c>
      <c r="BP213" s="53" t="s">
        <v>102</v>
      </c>
      <c r="BQ213" s="53" t="s">
        <v>264</v>
      </c>
      <c r="BR213" s="53" t="s">
        <v>264</v>
      </c>
      <c r="BS213" s="53" t="s">
        <v>264</v>
      </c>
      <c r="BT213" s="53" t="s">
        <v>102</v>
      </c>
      <c r="BU213" s="53" t="s">
        <v>264</v>
      </c>
      <c r="BV213" s="53" t="s">
        <v>264</v>
      </c>
      <c r="BW213" s="53">
        <v>25</v>
      </c>
      <c r="BX213" s="53">
        <v>25</v>
      </c>
      <c r="BY213" s="53">
        <v>25</v>
      </c>
      <c r="BZ213" s="53" t="s">
        <v>102</v>
      </c>
      <c r="CA213" s="53">
        <v>100</v>
      </c>
      <c r="CB213" s="53" t="s">
        <v>102</v>
      </c>
      <c r="CC213" s="53" t="s">
        <v>102</v>
      </c>
      <c r="CD213" s="53" t="s">
        <v>102</v>
      </c>
      <c r="CE213" s="53" t="s">
        <v>102</v>
      </c>
      <c r="CF213" s="53" t="s">
        <v>102</v>
      </c>
      <c r="CG213" s="53" t="s">
        <v>102</v>
      </c>
      <c r="CH213" s="53" t="s">
        <v>102</v>
      </c>
      <c r="CI213" s="53" t="s">
        <v>102</v>
      </c>
      <c r="CJ213" s="53" t="s">
        <v>102</v>
      </c>
      <c r="CK213" s="53" t="s">
        <v>102</v>
      </c>
      <c r="CL213" s="53" t="s">
        <v>102</v>
      </c>
      <c r="CM213" s="53" t="s">
        <v>102</v>
      </c>
      <c r="CN213" s="206"/>
      <c r="CO213" s="206"/>
      <c r="CP213" s="206"/>
      <c r="CQ213" s="8">
        <f t="shared" si="108"/>
        <v>15</v>
      </c>
      <c r="CR213" s="8">
        <f t="shared" si="109"/>
        <v>700</v>
      </c>
      <c r="CS213" s="8">
        <f t="shared" si="110"/>
        <v>204</v>
      </c>
      <c r="CT213">
        <f t="shared" si="111"/>
        <v>98.160652394051439</v>
      </c>
      <c r="CU213" s="143" t="e">
        <f t="shared" si="112"/>
        <v>#DIV/0!</v>
      </c>
      <c r="CV213" s="143" t="e">
        <f t="shared" si="113"/>
        <v>#DIV/0!</v>
      </c>
      <c r="CW213" s="7"/>
      <c r="CX213" s="7">
        <f t="shared" si="114"/>
        <v>19.5</v>
      </c>
      <c r="CY213" s="7">
        <f t="shared" si="115"/>
        <v>25</v>
      </c>
      <c r="CZ213" s="7">
        <f t="shared" si="116"/>
        <v>25</v>
      </c>
      <c r="DA213" s="7">
        <f t="shared" si="117"/>
        <v>25</v>
      </c>
      <c r="DB213" s="7">
        <f t="shared" si="118"/>
        <v>125</v>
      </c>
      <c r="DC213" s="7">
        <f t="shared" si="119"/>
        <v>189.99999999999994</v>
      </c>
      <c r="DD213" s="7">
        <f t="shared" si="120"/>
        <v>235.00000000000006</v>
      </c>
      <c r="DE213" s="7">
        <f t="shared" si="121"/>
        <v>287.5</v>
      </c>
      <c r="DF213" s="7">
        <f t="shared" si="122"/>
        <v>397.49999999999977</v>
      </c>
      <c r="DG213" s="7"/>
      <c r="DH213" s="7">
        <f t="shared" si="123"/>
        <v>28.500000000000014</v>
      </c>
      <c r="DI213" s="7">
        <f t="shared" si="124"/>
        <v>55.500000000000007</v>
      </c>
      <c r="DJ213" s="7">
        <f t="shared" si="125"/>
        <v>68.999999999999986</v>
      </c>
      <c r="DK213" s="7">
        <f t="shared" si="126"/>
        <v>82.5</v>
      </c>
      <c r="DL213" s="7">
        <f t="shared" si="127"/>
        <v>150</v>
      </c>
      <c r="DM213" s="7">
        <f t="shared" si="128"/>
        <v>260.00000000000011</v>
      </c>
      <c r="DN213" s="7">
        <f t="shared" si="129"/>
        <v>314.99999999999989</v>
      </c>
      <c r="DO213" s="7">
        <f t="shared" si="130"/>
        <v>425</v>
      </c>
      <c r="DP213" s="7">
        <f t="shared" si="131"/>
        <v>535.00000000000011</v>
      </c>
      <c r="DQ213" s="7"/>
      <c r="DR213" s="7"/>
      <c r="DS213" s="7"/>
      <c r="DT213" s="7"/>
      <c r="DU213" s="7"/>
      <c r="DV213" s="7"/>
      <c r="DW213" s="7"/>
      <c r="DX213" s="7"/>
      <c r="DY213" s="7"/>
      <c r="DZ213" s="7"/>
    </row>
    <row r="214" spans="1:130" ht="25.5" hidden="1" customHeight="1" x14ac:dyDescent="0.25">
      <c r="A214" s="92" t="str">
        <f t="shared" si="132"/>
        <v>CO-CLAY [18]</v>
      </c>
      <c r="B214" s="92" t="str">
        <f t="shared" si="133"/>
        <v>Clayoquot</v>
      </c>
      <c r="C214" s="93" t="str">
        <f t="shared" si="102"/>
        <v>BULSON CREEK_Coho</v>
      </c>
      <c r="D214" s="128" t="s">
        <v>598</v>
      </c>
      <c r="E214" s="128" t="s">
        <v>598</v>
      </c>
      <c r="F214" s="64">
        <v>24</v>
      </c>
      <c r="G214" s="72" t="s">
        <v>185</v>
      </c>
      <c r="H214" s="65" t="s">
        <v>93</v>
      </c>
      <c r="I214" s="119"/>
      <c r="J214" s="119"/>
      <c r="K214" s="64">
        <v>4</v>
      </c>
      <c r="L214" s="52">
        <v>5</v>
      </c>
      <c r="M214" s="52">
        <v>1</v>
      </c>
      <c r="N214" s="52" t="e">
        <f t="shared" si="103"/>
        <v>#NUM!</v>
      </c>
      <c r="O214" s="52">
        <f t="shared" si="104"/>
        <v>50</v>
      </c>
      <c r="P214" s="52">
        <f t="shared" si="105"/>
        <v>50</v>
      </c>
      <c r="Q214" s="66"/>
      <c r="R214" s="39"/>
      <c r="S214" s="74" t="s">
        <v>354</v>
      </c>
      <c r="T214" s="81" t="e">
        <f t="shared" si="106"/>
        <v>#DIV/0!</v>
      </c>
      <c r="U214" s="81" t="e">
        <f t="shared" si="107"/>
        <v>#DIV/0!</v>
      </c>
      <c r="V214" s="52" t="s">
        <v>102</v>
      </c>
      <c r="W214" s="52" t="s">
        <v>102</v>
      </c>
      <c r="X214" s="52" t="s">
        <v>102</v>
      </c>
      <c r="Y214" s="52" t="s">
        <v>102</v>
      </c>
      <c r="Z214" s="52" t="s">
        <v>102</v>
      </c>
      <c r="AA214" s="52" t="s">
        <v>102</v>
      </c>
      <c r="AB214" s="52" t="s">
        <v>102</v>
      </c>
      <c r="AC214" s="52" t="s">
        <v>102</v>
      </c>
      <c r="AD214" s="52" t="s">
        <v>102</v>
      </c>
      <c r="AE214" s="52" t="s">
        <v>102</v>
      </c>
      <c r="AF214" s="52" t="s">
        <v>102</v>
      </c>
      <c r="AG214" s="52" t="s">
        <v>102</v>
      </c>
      <c r="AH214" s="52" t="s">
        <v>102</v>
      </c>
      <c r="AI214" s="52" t="s">
        <v>102</v>
      </c>
      <c r="AJ214" s="52" t="s">
        <v>102</v>
      </c>
      <c r="AK214" s="52" t="s">
        <v>102</v>
      </c>
      <c r="AL214" s="52" t="s">
        <v>102</v>
      </c>
      <c r="AM214" s="52" t="s">
        <v>102</v>
      </c>
      <c r="AN214" s="52" t="s">
        <v>102</v>
      </c>
      <c r="AO214" s="52" t="s">
        <v>102</v>
      </c>
      <c r="AP214" s="53" t="s">
        <v>102</v>
      </c>
      <c r="AQ214" s="53" t="s">
        <v>262</v>
      </c>
      <c r="AR214" s="53" t="s">
        <v>262</v>
      </c>
      <c r="AS214" s="54"/>
      <c r="AT214" s="52" t="s">
        <v>263</v>
      </c>
      <c r="AU214" s="53" t="s">
        <v>262</v>
      </c>
      <c r="AV214" s="52" t="s">
        <v>102</v>
      </c>
      <c r="AW214" s="52" t="s">
        <v>262</v>
      </c>
      <c r="AX214" s="51" t="s">
        <v>264</v>
      </c>
      <c r="AY214" s="53" t="s">
        <v>102</v>
      </c>
      <c r="AZ214" s="53" t="s">
        <v>264</v>
      </c>
      <c r="BA214" s="53" t="s">
        <v>102</v>
      </c>
      <c r="BB214" s="53" t="s">
        <v>264</v>
      </c>
      <c r="BC214" s="53" t="s">
        <v>102</v>
      </c>
      <c r="BD214" s="53" t="s">
        <v>264</v>
      </c>
      <c r="BE214" s="53" t="s">
        <v>264</v>
      </c>
      <c r="BF214" s="53" t="s">
        <v>264</v>
      </c>
      <c r="BG214" s="53" t="s">
        <v>102</v>
      </c>
      <c r="BH214" s="53" t="s">
        <v>102</v>
      </c>
      <c r="BI214" s="53" t="s">
        <v>102</v>
      </c>
      <c r="BJ214" s="53" t="s">
        <v>102</v>
      </c>
      <c r="BK214" s="53" t="s">
        <v>262</v>
      </c>
      <c r="BL214" s="53" t="s">
        <v>264</v>
      </c>
      <c r="BM214" s="53" t="s">
        <v>262</v>
      </c>
      <c r="BN214" s="53" t="s">
        <v>262</v>
      </c>
      <c r="BO214" s="53" t="s">
        <v>262</v>
      </c>
      <c r="BP214" s="53" t="s">
        <v>102</v>
      </c>
      <c r="BQ214" s="53" t="s">
        <v>262</v>
      </c>
      <c r="BR214" s="53" t="s">
        <v>262</v>
      </c>
      <c r="BS214" s="53" t="s">
        <v>262</v>
      </c>
      <c r="BT214" s="53" t="s">
        <v>102</v>
      </c>
      <c r="BU214" s="53" t="s">
        <v>262</v>
      </c>
      <c r="BV214" s="53" t="s">
        <v>262</v>
      </c>
      <c r="BW214" s="53" t="s">
        <v>264</v>
      </c>
      <c r="BX214" s="53" t="s">
        <v>264</v>
      </c>
      <c r="BY214" s="53" t="s">
        <v>264</v>
      </c>
      <c r="BZ214" s="53" t="s">
        <v>102</v>
      </c>
      <c r="CA214" s="53">
        <v>50</v>
      </c>
      <c r="CB214" s="53" t="s">
        <v>102</v>
      </c>
      <c r="CC214" s="53" t="s">
        <v>102</v>
      </c>
      <c r="CD214" s="53" t="s">
        <v>102</v>
      </c>
      <c r="CE214" s="53" t="s">
        <v>102</v>
      </c>
      <c r="CF214" s="53" t="s">
        <v>102</v>
      </c>
      <c r="CG214" s="53" t="s">
        <v>102</v>
      </c>
      <c r="CH214" s="53" t="s">
        <v>102</v>
      </c>
      <c r="CI214" s="53" t="s">
        <v>102</v>
      </c>
      <c r="CJ214" s="53" t="s">
        <v>102</v>
      </c>
      <c r="CK214" s="53" t="s">
        <v>102</v>
      </c>
      <c r="CL214" s="53" t="s">
        <v>102</v>
      </c>
      <c r="CM214" s="53" t="s">
        <v>102</v>
      </c>
      <c r="CN214" s="206"/>
      <c r="CO214" s="206"/>
      <c r="CP214" s="206"/>
      <c r="CQ214" s="8">
        <f t="shared" si="108"/>
        <v>50</v>
      </c>
      <c r="CR214" s="8">
        <f t="shared" si="109"/>
        <v>50</v>
      </c>
      <c r="CS214" s="8">
        <f t="shared" si="110"/>
        <v>50</v>
      </c>
      <c r="CT214">
        <f t="shared" si="111"/>
        <v>50</v>
      </c>
      <c r="CU214" s="143" t="e">
        <f t="shared" si="112"/>
        <v>#DIV/0!</v>
      </c>
      <c r="CV214" s="143" t="e">
        <f t="shared" si="113"/>
        <v>#DIV/0!</v>
      </c>
      <c r="CW214" s="7"/>
      <c r="CX214" s="7">
        <f t="shared" si="114"/>
        <v>50</v>
      </c>
      <c r="CY214" s="7">
        <f t="shared" si="115"/>
        <v>50</v>
      </c>
      <c r="CZ214" s="7">
        <f t="shared" si="116"/>
        <v>50</v>
      </c>
      <c r="DA214" s="7">
        <f t="shared" si="117"/>
        <v>50</v>
      </c>
      <c r="DB214" s="7">
        <f t="shared" si="118"/>
        <v>50</v>
      </c>
      <c r="DC214" s="7">
        <f t="shared" si="119"/>
        <v>50</v>
      </c>
      <c r="DD214" s="7">
        <f t="shared" si="120"/>
        <v>50</v>
      </c>
      <c r="DE214" s="7">
        <f t="shared" si="121"/>
        <v>50</v>
      </c>
      <c r="DF214" s="7">
        <f t="shared" si="122"/>
        <v>50</v>
      </c>
      <c r="DG214" s="7"/>
      <c r="DH214" s="7" t="e">
        <f t="shared" si="123"/>
        <v>#NUM!</v>
      </c>
      <c r="DI214" s="7" t="e">
        <f t="shared" si="124"/>
        <v>#NUM!</v>
      </c>
      <c r="DJ214" s="7" t="e">
        <f t="shared" si="125"/>
        <v>#NUM!</v>
      </c>
      <c r="DK214" s="7" t="e">
        <f t="shared" si="126"/>
        <v>#NUM!</v>
      </c>
      <c r="DL214" s="7" t="e">
        <f t="shared" si="127"/>
        <v>#NUM!</v>
      </c>
      <c r="DM214" s="7" t="e">
        <f t="shared" si="128"/>
        <v>#NUM!</v>
      </c>
      <c r="DN214" s="7" t="e">
        <f t="shared" si="129"/>
        <v>#NUM!</v>
      </c>
      <c r="DO214" s="7" t="e">
        <f t="shared" si="130"/>
        <v>#NUM!</v>
      </c>
      <c r="DP214" s="7" t="e">
        <f t="shared" si="131"/>
        <v>#NUM!</v>
      </c>
      <c r="DQ214" s="7"/>
      <c r="DR214" s="7"/>
      <c r="DS214" s="7"/>
      <c r="DT214" s="7"/>
      <c r="DU214" s="7"/>
      <c r="DV214" s="7"/>
      <c r="DW214" s="7"/>
      <c r="DX214" s="7"/>
      <c r="DY214" s="7"/>
      <c r="DZ214" s="7"/>
    </row>
    <row r="215" spans="1:130" ht="25.5" hidden="1" customHeight="1" x14ac:dyDescent="0.25">
      <c r="A215" s="92" t="str">
        <f t="shared" si="132"/>
        <v>CM-SWVI [10]</v>
      </c>
      <c r="B215" s="92" t="str">
        <f t="shared" si="133"/>
        <v>Southwest Vancouver Island</v>
      </c>
      <c r="C215" s="93" t="str">
        <f t="shared" si="102"/>
        <v>CECILIA CREEK_Chum</v>
      </c>
      <c r="D215" s="128" t="s">
        <v>598</v>
      </c>
      <c r="E215" s="128" t="s">
        <v>598</v>
      </c>
      <c r="F215" s="64">
        <v>24</v>
      </c>
      <c r="G215" s="72" t="s">
        <v>201</v>
      </c>
      <c r="H215" s="65" t="s">
        <v>96</v>
      </c>
      <c r="I215" s="119"/>
      <c r="J215" s="119"/>
      <c r="K215" s="64">
        <v>4</v>
      </c>
      <c r="L215" s="52">
        <v>6</v>
      </c>
      <c r="M215" s="52">
        <v>6</v>
      </c>
      <c r="N215" s="52">
        <f t="shared" si="103"/>
        <v>139.16165654610072</v>
      </c>
      <c r="O215" s="52">
        <f t="shared" si="104"/>
        <v>1400</v>
      </c>
      <c r="P215" s="52">
        <f t="shared" si="105"/>
        <v>181.82028038226611</v>
      </c>
      <c r="Q215" s="66"/>
      <c r="R215" s="39"/>
      <c r="S215" s="74" t="s">
        <v>355</v>
      </c>
      <c r="T215" s="81" t="e">
        <f t="shared" si="106"/>
        <v>#DIV/0!</v>
      </c>
      <c r="U215" s="81" t="e">
        <f t="shared" si="107"/>
        <v>#DIV/0!</v>
      </c>
      <c r="V215" s="52" t="s">
        <v>102</v>
      </c>
      <c r="W215" s="52" t="s">
        <v>102</v>
      </c>
      <c r="X215" s="52" t="s">
        <v>102</v>
      </c>
      <c r="Y215" s="52" t="s">
        <v>102</v>
      </c>
      <c r="Z215" s="52" t="s">
        <v>102</v>
      </c>
      <c r="AA215" s="52" t="s">
        <v>102</v>
      </c>
      <c r="AB215" s="52" t="s">
        <v>102</v>
      </c>
      <c r="AC215" s="52" t="s">
        <v>102</v>
      </c>
      <c r="AD215" s="52" t="s">
        <v>102</v>
      </c>
      <c r="AE215" s="52" t="s">
        <v>102</v>
      </c>
      <c r="AF215" s="52" t="s">
        <v>102</v>
      </c>
      <c r="AG215" s="52" t="s">
        <v>102</v>
      </c>
      <c r="AH215" s="52" t="s">
        <v>102</v>
      </c>
      <c r="AI215" s="52" t="s">
        <v>102</v>
      </c>
      <c r="AJ215" s="52" t="s">
        <v>102</v>
      </c>
      <c r="AK215" s="52" t="s">
        <v>102</v>
      </c>
      <c r="AL215" s="52" t="s">
        <v>102</v>
      </c>
      <c r="AM215" s="52" t="s">
        <v>102</v>
      </c>
      <c r="AN215" s="52" t="s">
        <v>102</v>
      </c>
      <c r="AO215" s="52" t="s">
        <v>102</v>
      </c>
      <c r="AP215" s="53" t="s">
        <v>102</v>
      </c>
      <c r="AQ215" s="53">
        <v>350</v>
      </c>
      <c r="AR215" s="53" t="s">
        <v>263</v>
      </c>
      <c r="AS215" s="52" t="s">
        <v>102</v>
      </c>
      <c r="AT215" s="52" t="s">
        <v>263</v>
      </c>
      <c r="AU215" s="53" t="s">
        <v>262</v>
      </c>
      <c r="AV215" s="52">
        <v>110</v>
      </c>
      <c r="AW215" s="52">
        <v>70</v>
      </c>
      <c r="AX215" s="51">
        <v>1400</v>
      </c>
      <c r="AY215" s="53" t="s">
        <v>102</v>
      </c>
      <c r="AZ215" s="53" t="s">
        <v>264</v>
      </c>
      <c r="BA215" s="53" t="s">
        <v>102</v>
      </c>
      <c r="BB215" s="53">
        <v>75</v>
      </c>
      <c r="BC215" s="53" t="s">
        <v>262</v>
      </c>
      <c r="BD215" s="53">
        <v>10</v>
      </c>
      <c r="BE215" s="53">
        <v>5</v>
      </c>
      <c r="BF215" s="53">
        <v>36</v>
      </c>
      <c r="BG215" s="53">
        <v>300</v>
      </c>
      <c r="BH215" s="53">
        <v>150</v>
      </c>
      <c r="BI215" s="53">
        <v>100</v>
      </c>
      <c r="BJ215" s="53">
        <v>100</v>
      </c>
      <c r="BK215" s="53">
        <v>500</v>
      </c>
      <c r="BL215" s="53">
        <v>400</v>
      </c>
      <c r="BM215" s="53">
        <v>250</v>
      </c>
      <c r="BN215" s="53">
        <v>400</v>
      </c>
      <c r="BO215" s="53">
        <v>200</v>
      </c>
      <c r="BP215" s="53">
        <v>75</v>
      </c>
      <c r="BQ215" s="53">
        <v>200</v>
      </c>
      <c r="BR215" s="53" t="s">
        <v>262</v>
      </c>
      <c r="BS215" s="53">
        <v>200</v>
      </c>
      <c r="BT215" s="53">
        <v>200</v>
      </c>
      <c r="BU215" s="53">
        <v>200</v>
      </c>
      <c r="BV215" s="53">
        <v>750</v>
      </c>
      <c r="BW215" s="53">
        <v>400</v>
      </c>
      <c r="BX215" s="53">
        <v>200</v>
      </c>
      <c r="BY215" s="53">
        <v>25</v>
      </c>
      <c r="BZ215" s="53" t="s">
        <v>262</v>
      </c>
      <c r="CA215" s="53">
        <v>50</v>
      </c>
      <c r="CB215" s="53">
        <v>200</v>
      </c>
      <c r="CC215" s="53">
        <v>200</v>
      </c>
      <c r="CD215" s="53">
        <v>400</v>
      </c>
      <c r="CE215" s="53">
        <v>200</v>
      </c>
      <c r="CF215" s="53">
        <v>750</v>
      </c>
      <c r="CG215" s="53">
        <v>750</v>
      </c>
      <c r="CH215" s="53">
        <v>750</v>
      </c>
      <c r="CI215" s="53">
        <v>200</v>
      </c>
      <c r="CJ215" s="53">
        <v>200</v>
      </c>
      <c r="CK215" s="53">
        <v>200</v>
      </c>
      <c r="CL215" s="53">
        <v>750</v>
      </c>
      <c r="CM215" s="53">
        <v>200</v>
      </c>
      <c r="CN215" s="206"/>
      <c r="CO215" s="206"/>
      <c r="CP215" s="206"/>
      <c r="CQ215" s="8">
        <f t="shared" si="108"/>
        <v>5</v>
      </c>
      <c r="CR215" s="8">
        <f t="shared" si="109"/>
        <v>1400</v>
      </c>
      <c r="CS215" s="8">
        <f t="shared" si="110"/>
        <v>296.30769230769232</v>
      </c>
      <c r="CT215">
        <f t="shared" si="111"/>
        <v>181.82028038226611</v>
      </c>
      <c r="CU215" s="143" t="e">
        <f t="shared" si="112"/>
        <v>#DIV/0!</v>
      </c>
      <c r="CV215" s="143" t="e">
        <f t="shared" si="113"/>
        <v>#DIV/0!</v>
      </c>
      <c r="CW215" s="7"/>
      <c r="CX215" s="7">
        <f t="shared" si="114"/>
        <v>23.500000000000007</v>
      </c>
      <c r="CY215" s="7">
        <f t="shared" si="115"/>
        <v>73.5</v>
      </c>
      <c r="CZ215" s="7">
        <f t="shared" si="116"/>
        <v>90.000000000000028</v>
      </c>
      <c r="DA215" s="7">
        <f t="shared" si="117"/>
        <v>105</v>
      </c>
      <c r="DB215" s="7">
        <f t="shared" si="118"/>
        <v>200</v>
      </c>
      <c r="DC215" s="7">
        <f t="shared" si="119"/>
        <v>200</v>
      </c>
      <c r="DD215" s="7">
        <f t="shared" si="120"/>
        <v>234.99999999999997</v>
      </c>
      <c r="DE215" s="7">
        <f t="shared" si="121"/>
        <v>400</v>
      </c>
      <c r="DF215" s="7">
        <f t="shared" si="122"/>
        <v>574.99999999999932</v>
      </c>
      <c r="DG215" s="7"/>
      <c r="DH215" s="7">
        <f t="shared" si="123"/>
        <v>74</v>
      </c>
      <c r="DI215" s="7">
        <f t="shared" si="124"/>
        <v>82</v>
      </c>
      <c r="DJ215" s="7">
        <f t="shared" si="125"/>
        <v>86</v>
      </c>
      <c r="DK215" s="7">
        <f t="shared" si="126"/>
        <v>90</v>
      </c>
      <c r="DL215" s="7">
        <f t="shared" si="127"/>
        <v>110</v>
      </c>
      <c r="DM215" s="7">
        <f t="shared" si="128"/>
        <v>158.00000000000006</v>
      </c>
      <c r="DN215" s="7">
        <f t="shared" si="129"/>
        <v>181.99999999999994</v>
      </c>
      <c r="DO215" s="7">
        <f t="shared" si="130"/>
        <v>230</v>
      </c>
      <c r="DP215" s="7">
        <f t="shared" si="131"/>
        <v>278.00000000000006</v>
      </c>
      <c r="DQ215" s="7"/>
      <c r="DR215" s="7"/>
      <c r="DS215" s="7"/>
      <c r="DT215" s="7"/>
      <c r="DU215" s="7"/>
      <c r="DV215" s="7"/>
      <c r="DW215" s="7"/>
      <c r="DX215" s="7"/>
      <c r="DY215" s="7"/>
      <c r="DZ215" s="7"/>
    </row>
    <row r="216" spans="1:130" ht="25.5" hidden="1" customHeight="1" x14ac:dyDescent="0.25">
      <c r="A216" s="92" t="str">
        <f t="shared" si="132"/>
        <v>CO-CLAY [18]</v>
      </c>
      <c r="B216" s="92" t="str">
        <f t="shared" si="133"/>
        <v>Clayoquot</v>
      </c>
      <c r="C216" s="93" t="str">
        <f t="shared" si="102"/>
        <v>CECILIA CREEK_Coho</v>
      </c>
      <c r="D216" s="128" t="s">
        <v>598</v>
      </c>
      <c r="E216" s="128" t="s">
        <v>598</v>
      </c>
      <c r="F216" s="64">
        <v>24</v>
      </c>
      <c r="G216" s="72" t="s">
        <v>201</v>
      </c>
      <c r="H216" s="65" t="s">
        <v>93</v>
      </c>
      <c r="I216" s="119"/>
      <c r="J216" s="119"/>
      <c r="K216" s="64">
        <v>4</v>
      </c>
      <c r="L216" s="52">
        <v>6</v>
      </c>
      <c r="M216" s="52"/>
      <c r="N216" s="52">
        <f t="shared" si="103"/>
        <v>20</v>
      </c>
      <c r="O216" s="52">
        <f t="shared" si="104"/>
        <v>750</v>
      </c>
      <c r="P216" s="52">
        <f t="shared" si="105"/>
        <v>124.57309396155173</v>
      </c>
      <c r="Q216" s="66"/>
      <c r="R216" s="39"/>
      <c r="S216" s="74" t="s">
        <v>355</v>
      </c>
      <c r="T216" s="81" t="e">
        <f t="shared" si="106"/>
        <v>#DIV/0!</v>
      </c>
      <c r="U216" s="81" t="e">
        <f t="shared" si="107"/>
        <v>#DIV/0!</v>
      </c>
      <c r="V216" s="52" t="s">
        <v>102</v>
      </c>
      <c r="W216" s="52" t="s">
        <v>102</v>
      </c>
      <c r="X216" s="52" t="s">
        <v>102</v>
      </c>
      <c r="Y216" s="52" t="s">
        <v>102</v>
      </c>
      <c r="Z216" s="52" t="s">
        <v>102</v>
      </c>
      <c r="AA216" s="52" t="s">
        <v>102</v>
      </c>
      <c r="AB216" s="52" t="s">
        <v>102</v>
      </c>
      <c r="AC216" s="52" t="s">
        <v>102</v>
      </c>
      <c r="AD216" s="52" t="s">
        <v>102</v>
      </c>
      <c r="AE216" s="52" t="s">
        <v>102</v>
      </c>
      <c r="AF216" s="52" t="s">
        <v>102</v>
      </c>
      <c r="AG216" s="52" t="s">
        <v>102</v>
      </c>
      <c r="AH216" s="52" t="s">
        <v>102</v>
      </c>
      <c r="AI216" s="52" t="s">
        <v>102</v>
      </c>
      <c r="AJ216" s="52" t="s">
        <v>102</v>
      </c>
      <c r="AK216" s="52" t="s">
        <v>102</v>
      </c>
      <c r="AL216" s="52" t="s">
        <v>102</v>
      </c>
      <c r="AM216" s="52" t="s">
        <v>102</v>
      </c>
      <c r="AN216" s="52" t="s">
        <v>102</v>
      </c>
      <c r="AO216" s="52" t="s">
        <v>102</v>
      </c>
      <c r="AP216" s="53" t="s">
        <v>102</v>
      </c>
      <c r="AQ216" s="53" t="s">
        <v>262</v>
      </c>
      <c r="AR216" s="53" t="s">
        <v>262</v>
      </c>
      <c r="AS216" s="52" t="s">
        <v>102</v>
      </c>
      <c r="AT216" s="52" t="s">
        <v>262</v>
      </c>
      <c r="AU216" s="53" t="s">
        <v>262</v>
      </c>
      <c r="AV216" s="52">
        <v>20</v>
      </c>
      <c r="AW216" s="52" t="s">
        <v>262</v>
      </c>
      <c r="AX216" s="51">
        <v>100</v>
      </c>
      <c r="AY216" s="53" t="s">
        <v>102</v>
      </c>
      <c r="AZ216" s="53" t="s">
        <v>264</v>
      </c>
      <c r="BA216" s="53" t="s">
        <v>102</v>
      </c>
      <c r="BB216" s="53" t="s">
        <v>262</v>
      </c>
      <c r="BC216" s="53" t="s">
        <v>262</v>
      </c>
      <c r="BD216" s="53" t="s">
        <v>262</v>
      </c>
      <c r="BE216" s="53" t="s">
        <v>262</v>
      </c>
      <c r="BF216" s="53">
        <v>2</v>
      </c>
      <c r="BG216" s="53" t="s">
        <v>262</v>
      </c>
      <c r="BH216" s="53" t="s">
        <v>262</v>
      </c>
      <c r="BI216" s="53" t="s">
        <v>264</v>
      </c>
      <c r="BJ216" s="53" t="s">
        <v>264</v>
      </c>
      <c r="BK216" s="53" t="s">
        <v>264</v>
      </c>
      <c r="BL216" s="53" t="s">
        <v>264</v>
      </c>
      <c r="BM216" s="53" t="s">
        <v>264</v>
      </c>
      <c r="BN216" s="53" t="s">
        <v>264</v>
      </c>
      <c r="BO216" s="53" t="s">
        <v>264</v>
      </c>
      <c r="BP216" s="53" t="s">
        <v>264</v>
      </c>
      <c r="BQ216" s="53" t="s">
        <v>264</v>
      </c>
      <c r="BR216" s="53" t="s">
        <v>262</v>
      </c>
      <c r="BS216" s="53" t="s">
        <v>262</v>
      </c>
      <c r="BT216" s="53" t="s">
        <v>264</v>
      </c>
      <c r="BU216" s="53" t="s">
        <v>262</v>
      </c>
      <c r="BV216" s="53">
        <v>25</v>
      </c>
      <c r="BW216" s="53" t="s">
        <v>264</v>
      </c>
      <c r="BX216" s="53">
        <v>200</v>
      </c>
      <c r="BY216" s="53">
        <v>25</v>
      </c>
      <c r="BZ216" s="53">
        <v>25</v>
      </c>
      <c r="CA216" s="53">
        <v>100</v>
      </c>
      <c r="CB216" s="53">
        <v>200</v>
      </c>
      <c r="CC216" s="53">
        <v>200</v>
      </c>
      <c r="CD216" s="53">
        <v>750</v>
      </c>
      <c r="CE216" s="53">
        <v>750</v>
      </c>
      <c r="CF216" s="53">
        <v>400</v>
      </c>
      <c r="CG216" s="53">
        <v>400</v>
      </c>
      <c r="CH216" s="53">
        <v>750</v>
      </c>
      <c r="CI216" s="53">
        <v>200</v>
      </c>
      <c r="CJ216" s="53">
        <v>400</v>
      </c>
      <c r="CK216" s="53">
        <v>200</v>
      </c>
      <c r="CL216" s="53">
        <v>75</v>
      </c>
      <c r="CM216" s="53">
        <v>200</v>
      </c>
      <c r="CN216" s="206"/>
      <c r="CO216" s="206"/>
      <c r="CP216" s="206"/>
      <c r="CQ216" s="8">
        <f t="shared" si="108"/>
        <v>2</v>
      </c>
      <c r="CR216" s="8">
        <f t="shared" si="109"/>
        <v>750</v>
      </c>
      <c r="CS216" s="8">
        <f t="shared" si="110"/>
        <v>251.1</v>
      </c>
      <c r="CT216">
        <f t="shared" si="111"/>
        <v>124.57309396155173</v>
      </c>
      <c r="CU216" s="143" t="e">
        <f t="shared" si="112"/>
        <v>#DIV/0!</v>
      </c>
      <c r="CV216" s="143" t="e">
        <f t="shared" si="113"/>
        <v>#DIV/0!</v>
      </c>
      <c r="CW216" s="7"/>
      <c r="CX216" s="7">
        <f t="shared" si="114"/>
        <v>19.100000000000001</v>
      </c>
      <c r="CY216" s="7">
        <f t="shared" si="115"/>
        <v>25</v>
      </c>
      <c r="CZ216" s="7">
        <f t="shared" si="116"/>
        <v>25</v>
      </c>
      <c r="DA216" s="7">
        <f t="shared" si="117"/>
        <v>62.5</v>
      </c>
      <c r="DB216" s="7">
        <f t="shared" si="118"/>
        <v>200</v>
      </c>
      <c r="DC216" s="7">
        <f t="shared" si="119"/>
        <v>200</v>
      </c>
      <c r="DD216" s="7">
        <f t="shared" si="120"/>
        <v>200</v>
      </c>
      <c r="DE216" s="7">
        <f t="shared" si="121"/>
        <v>400</v>
      </c>
      <c r="DF216" s="7">
        <f t="shared" si="122"/>
        <v>452.49999999999949</v>
      </c>
      <c r="DG216" s="7"/>
      <c r="DH216" s="7">
        <f t="shared" si="123"/>
        <v>20</v>
      </c>
      <c r="DI216" s="7">
        <f t="shared" si="124"/>
        <v>20</v>
      </c>
      <c r="DJ216" s="7">
        <f t="shared" si="125"/>
        <v>20</v>
      </c>
      <c r="DK216" s="7">
        <f t="shared" si="126"/>
        <v>20</v>
      </c>
      <c r="DL216" s="7">
        <f t="shared" si="127"/>
        <v>20</v>
      </c>
      <c r="DM216" s="7">
        <f t="shared" si="128"/>
        <v>20</v>
      </c>
      <c r="DN216" s="7">
        <f t="shared" si="129"/>
        <v>20</v>
      </c>
      <c r="DO216" s="7">
        <f t="shared" si="130"/>
        <v>20</v>
      </c>
      <c r="DP216" s="7">
        <f t="shared" si="131"/>
        <v>20</v>
      </c>
      <c r="DQ216" s="7"/>
      <c r="DR216" s="7"/>
      <c r="DS216" s="7"/>
      <c r="DT216" s="7"/>
      <c r="DU216" s="7"/>
      <c r="DV216" s="7"/>
      <c r="DW216" s="7"/>
      <c r="DX216" s="7"/>
      <c r="DY216" s="7"/>
      <c r="DZ216" s="7"/>
    </row>
    <row r="217" spans="1:130" ht="25.5" customHeight="1" x14ac:dyDescent="0.25">
      <c r="A217" s="92" t="str">
        <f t="shared" si="132"/>
        <v>CK-SWVI [31]</v>
      </c>
      <c r="B217" s="92" t="str">
        <f t="shared" si="133"/>
        <v>Southwest Vancouver Island</v>
      </c>
      <c r="C217" s="93" t="str">
        <f t="shared" si="102"/>
        <v>CLAYOQUOT RIVER_Chinook</v>
      </c>
      <c r="D217" s="128" t="s">
        <v>598</v>
      </c>
      <c r="E217" s="128" t="s">
        <v>598</v>
      </c>
      <c r="F217" s="64">
        <v>24</v>
      </c>
      <c r="G217" s="72" t="s">
        <v>176</v>
      </c>
      <c r="H217" s="65" t="s">
        <v>97</v>
      </c>
      <c r="I217" s="119"/>
      <c r="J217" s="119"/>
      <c r="K217" s="64">
        <v>3</v>
      </c>
      <c r="L217" s="52">
        <v>7</v>
      </c>
      <c r="M217" s="52">
        <v>6</v>
      </c>
      <c r="N217" s="52">
        <f t="shared" si="103"/>
        <v>8.0990778145913822</v>
      </c>
      <c r="O217" s="52">
        <f t="shared" si="104"/>
        <v>22</v>
      </c>
      <c r="P217" s="52">
        <f t="shared" si="105"/>
        <v>8.0990778145913822</v>
      </c>
      <c r="Q217" s="66"/>
      <c r="R217" s="37"/>
      <c r="S217" s="74" t="s">
        <v>377</v>
      </c>
      <c r="T217" s="81">
        <f t="shared" si="106"/>
        <v>2</v>
      </c>
      <c r="U217" s="81">
        <f t="shared" si="107"/>
        <v>4</v>
      </c>
      <c r="V217" s="232" t="s">
        <v>262</v>
      </c>
      <c r="W217" s="52">
        <v>2</v>
      </c>
      <c r="X217" s="52" t="s">
        <v>102</v>
      </c>
      <c r="Y217" s="52" t="s">
        <v>102</v>
      </c>
      <c r="Z217" s="52">
        <v>6</v>
      </c>
      <c r="AA217" s="52" t="s">
        <v>102</v>
      </c>
      <c r="AB217" s="52" t="s">
        <v>102</v>
      </c>
      <c r="AC217" s="52" t="s">
        <v>102</v>
      </c>
      <c r="AD217" s="52" t="s">
        <v>102</v>
      </c>
      <c r="AE217" s="52" t="s">
        <v>102</v>
      </c>
      <c r="AF217" s="52" t="s">
        <v>102</v>
      </c>
      <c r="AG217" s="52" t="s">
        <v>102</v>
      </c>
      <c r="AH217" s="52" t="s">
        <v>262</v>
      </c>
      <c r="AI217" s="52" t="s">
        <v>102</v>
      </c>
      <c r="AJ217" s="52" t="s">
        <v>102</v>
      </c>
      <c r="AK217" s="52" t="s">
        <v>102</v>
      </c>
      <c r="AL217" s="52" t="s">
        <v>102</v>
      </c>
      <c r="AM217" s="52" t="s">
        <v>102</v>
      </c>
      <c r="AN217" s="54"/>
      <c r="AO217" s="52" t="s">
        <v>262</v>
      </c>
      <c r="AP217" s="53">
        <v>1</v>
      </c>
      <c r="AQ217" s="52">
        <v>6</v>
      </c>
      <c r="AR217" s="53" t="s">
        <v>263</v>
      </c>
      <c r="AS217" s="52">
        <v>22</v>
      </c>
      <c r="AT217" s="54"/>
      <c r="AU217" s="54"/>
      <c r="AV217" s="52">
        <v>12</v>
      </c>
      <c r="AW217" s="52">
        <v>22</v>
      </c>
      <c r="AX217" s="51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206"/>
      <c r="CO217" s="206"/>
      <c r="CP217" s="206"/>
      <c r="CQ217" s="8">
        <f t="shared" si="108"/>
        <v>1</v>
      </c>
      <c r="CR217" s="8">
        <f t="shared" si="109"/>
        <v>22</v>
      </c>
      <c r="CS217" s="8">
        <f t="shared" si="110"/>
        <v>10.142857142857142</v>
      </c>
      <c r="CT217">
        <f t="shared" si="111"/>
        <v>6.3540598409733775</v>
      </c>
      <c r="CU217" s="143">
        <f t="shared" si="112"/>
        <v>4</v>
      </c>
      <c r="CV217" s="143">
        <f t="shared" si="113"/>
        <v>4</v>
      </c>
      <c r="CW217" s="7"/>
      <c r="CX217" s="7">
        <f t="shared" si="114"/>
        <v>1.3</v>
      </c>
      <c r="CY217" s="7">
        <f t="shared" si="115"/>
        <v>1.9</v>
      </c>
      <c r="CZ217" s="7">
        <f t="shared" si="116"/>
        <v>2.8000000000000007</v>
      </c>
      <c r="DA217" s="7">
        <f t="shared" si="117"/>
        <v>4</v>
      </c>
      <c r="DB217" s="7">
        <f t="shared" si="118"/>
        <v>6</v>
      </c>
      <c r="DC217" s="7">
        <f t="shared" si="119"/>
        <v>9.5999999999999979</v>
      </c>
      <c r="DD217" s="7">
        <f t="shared" si="120"/>
        <v>11.400000000000002</v>
      </c>
      <c r="DE217" s="7">
        <f t="shared" si="121"/>
        <v>17</v>
      </c>
      <c r="DF217" s="7">
        <f t="shared" si="122"/>
        <v>22</v>
      </c>
      <c r="DG217" s="7"/>
      <c r="DH217" s="7">
        <f t="shared" si="123"/>
        <v>1.3</v>
      </c>
      <c r="DI217" s="7">
        <f t="shared" si="124"/>
        <v>1.9</v>
      </c>
      <c r="DJ217" s="7">
        <f t="shared" si="125"/>
        <v>2.8000000000000007</v>
      </c>
      <c r="DK217" s="7">
        <f t="shared" si="126"/>
        <v>4</v>
      </c>
      <c r="DL217" s="7">
        <f t="shared" si="127"/>
        <v>6</v>
      </c>
      <c r="DM217" s="7">
        <f t="shared" si="128"/>
        <v>9.5999999999999979</v>
      </c>
      <c r="DN217" s="7">
        <f t="shared" si="129"/>
        <v>11.400000000000002</v>
      </c>
      <c r="DO217" s="7">
        <f t="shared" si="130"/>
        <v>17</v>
      </c>
      <c r="DP217" s="7">
        <f t="shared" si="131"/>
        <v>22</v>
      </c>
      <c r="DQ217" s="7"/>
      <c r="DR217" s="7"/>
      <c r="DS217" s="7"/>
      <c r="DT217" s="7"/>
      <c r="DU217" s="7"/>
      <c r="DV217" s="7"/>
      <c r="DW217" s="7"/>
      <c r="DX217" s="7"/>
      <c r="DY217" s="7"/>
      <c r="DZ217" s="7"/>
    </row>
    <row r="218" spans="1:130" ht="25.5" hidden="1" customHeight="1" x14ac:dyDescent="0.25">
      <c r="A218" s="92" t="str">
        <f t="shared" si="132"/>
        <v>CM-SWVI [10]</v>
      </c>
      <c r="B218" s="92" t="str">
        <f t="shared" si="133"/>
        <v>Southwest Vancouver Island</v>
      </c>
      <c r="C218" s="93" t="str">
        <f t="shared" si="102"/>
        <v>CLAYOQUOT RIVER_Chum</v>
      </c>
      <c r="D218" s="128" t="s">
        <v>598</v>
      </c>
      <c r="E218" s="128" t="s">
        <v>598</v>
      </c>
      <c r="F218" s="64">
        <v>24</v>
      </c>
      <c r="G218" s="72" t="s">
        <v>176</v>
      </c>
      <c r="H218" s="65" t="s">
        <v>96</v>
      </c>
      <c r="I218" s="119"/>
      <c r="J218" s="119"/>
      <c r="K218" s="64">
        <v>3</v>
      </c>
      <c r="L218" s="52">
        <v>7</v>
      </c>
      <c r="M218" s="52">
        <v>5</v>
      </c>
      <c r="N218" s="52">
        <f t="shared" si="103"/>
        <v>5.0914597900436611</v>
      </c>
      <c r="O218" s="52">
        <f t="shared" si="104"/>
        <v>16</v>
      </c>
      <c r="P218" s="52">
        <f t="shared" si="105"/>
        <v>5.0914597900436611</v>
      </c>
      <c r="Q218" s="66"/>
      <c r="R218" s="37"/>
      <c r="S218" s="74" t="s">
        <v>377</v>
      </c>
      <c r="T218" s="81" t="e">
        <f t="shared" si="106"/>
        <v>#DIV/0!</v>
      </c>
      <c r="U218" s="81" t="e">
        <f t="shared" si="107"/>
        <v>#DIV/0!</v>
      </c>
      <c r="V218" s="232" t="s">
        <v>262</v>
      </c>
      <c r="W218" s="52" t="s">
        <v>262</v>
      </c>
      <c r="X218" s="52" t="s">
        <v>102</v>
      </c>
      <c r="Y218" s="52" t="s">
        <v>102</v>
      </c>
      <c r="Z218" s="52" t="s">
        <v>262</v>
      </c>
      <c r="AA218" s="52" t="s">
        <v>102</v>
      </c>
      <c r="AB218" s="52" t="s">
        <v>102</v>
      </c>
      <c r="AC218" s="52" t="s">
        <v>102</v>
      </c>
      <c r="AD218" s="52" t="s">
        <v>102</v>
      </c>
      <c r="AE218" s="52" t="s">
        <v>102</v>
      </c>
      <c r="AF218" s="52" t="s">
        <v>102</v>
      </c>
      <c r="AG218" s="52" t="s">
        <v>102</v>
      </c>
      <c r="AH218" s="52" t="s">
        <v>262</v>
      </c>
      <c r="AI218" s="52" t="s">
        <v>102</v>
      </c>
      <c r="AJ218" s="52" t="s">
        <v>102</v>
      </c>
      <c r="AK218" s="52" t="s">
        <v>102</v>
      </c>
      <c r="AL218" s="52" t="s">
        <v>102</v>
      </c>
      <c r="AM218" s="52" t="s">
        <v>102</v>
      </c>
      <c r="AN218" s="54"/>
      <c r="AO218" s="52" t="s">
        <v>262</v>
      </c>
      <c r="AP218" s="53">
        <v>16</v>
      </c>
      <c r="AQ218" s="52">
        <v>7</v>
      </c>
      <c r="AR218" s="53" t="s">
        <v>263</v>
      </c>
      <c r="AS218" s="52">
        <v>2</v>
      </c>
      <c r="AT218" s="54"/>
      <c r="AU218" s="54"/>
      <c r="AV218" s="52" t="s">
        <v>262</v>
      </c>
      <c r="AW218" s="52">
        <v>3</v>
      </c>
      <c r="AX218" s="51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208"/>
      <c r="CO218" s="208"/>
      <c r="CP218" s="208"/>
      <c r="CQ218" s="8">
        <f t="shared" si="108"/>
        <v>2</v>
      </c>
      <c r="CR218" s="8">
        <f t="shared" si="109"/>
        <v>16</v>
      </c>
      <c r="CS218" s="8">
        <f t="shared" si="110"/>
        <v>7</v>
      </c>
      <c r="CT218">
        <f t="shared" si="111"/>
        <v>5.0914597900436611</v>
      </c>
      <c r="CU218" s="143" t="e">
        <f t="shared" si="112"/>
        <v>#DIV/0!</v>
      </c>
      <c r="CV218" s="143" t="e">
        <f t="shared" si="113"/>
        <v>#DIV/0!</v>
      </c>
      <c r="CX218" s="7">
        <f t="shared" si="114"/>
        <v>2.15</v>
      </c>
      <c r="CY218" s="7">
        <f t="shared" si="115"/>
        <v>2.4500000000000002</v>
      </c>
      <c r="CZ218" s="7">
        <f t="shared" si="116"/>
        <v>2.6</v>
      </c>
      <c r="DA218" s="7">
        <f t="shared" si="117"/>
        <v>2.75</v>
      </c>
      <c r="DB218" s="7">
        <f t="shared" si="118"/>
        <v>5</v>
      </c>
      <c r="DC218" s="7">
        <f t="shared" si="119"/>
        <v>6.1999999999999993</v>
      </c>
      <c r="DD218" s="7">
        <f t="shared" si="120"/>
        <v>6.8000000000000007</v>
      </c>
      <c r="DE218" s="7">
        <f t="shared" si="121"/>
        <v>9.25</v>
      </c>
      <c r="DF218" s="7">
        <f t="shared" si="122"/>
        <v>11.95</v>
      </c>
      <c r="DH218" s="7">
        <f t="shared" si="123"/>
        <v>2.15</v>
      </c>
      <c r="DI218" s="7">
        <f t="shared" si="124"/>
        <v>2.4500000000000002</v>
      </c>
      <c r="DJ218" s="7">
        <f t="shared" si="125"/>
        <v>2.6</v>
      </c>
      <c r="DK218" s="7">
        <f t="shared" si="126"/>
        <v>2.75</v>
      </c>
      <c r="DL218" s="7">
        <f t="shared" si="127"/>
        <v>5</v>
      </c>
      <c r="DM218" s="7">
        <f t="shared" si="128"/>
        <v>6.1999999999999993</v>
      </c>
      <c r="DN218" s="7">
        <f t="shared" si="129"/>
        <v>6.8000000000000007</v>
      </c>
      <c r="DO218" s="7">
        <f t="shared" si="130"/>
        <v>9.25</v>
      </c>
      <c r="DP218" s="7">
        <f t="shared" si="131"/>
        <v>11.95</v>
      </c>
    </row>
    <row r="219" spans="1:130" ht="25.5" hidden="1" customHeight="1" x14ac:dyDescent="0.25">
      <c r="A219" s="92" t="str">
        <f t="shared" si="132"/>
        <v>CO-CLAY [18]</v>
      </c>
      <c r="B219" s="92" t="str">
        <f t="shared" si="133"/>
        <v>Clayoquot</v>
      </c>
      <c r="C219" s="93" t="str">
        <f t="shared" si="102"/>
        <v>CLAYOQUOT RIVER_Coho</v>
      </c>
      <c r="D219" s="128" t="s">
        <v>598</v>
      </c>
      <c r="E219" s="128" t="s">
        <v>598</v>
      </c>
      <c r="F219" s="64">
        <v>24</v>
      </c>
      <c r="G219" s="72" t="s">
        <v>176</v>
      </c>
      <c r="H219" s="65" t="s">
        <v>93</v>
      </c>
      <c r="I219" s="119"/>
      <c r="J219" s="119"/>
      <c r="K219" s="64">
        <v>3</v>
      </c>
      <c r="L219" s="52">
        <v>7</v>
      </c>
      <c r="M219" s="52">
        <v>6</v>
      </c>
      <c r="N219" s="52">
        <f t="shared" si="103"/>
        <v>1204.2771027570654</v>
      </c>
      <c r="O219" s="52">
        <f t="shared" si="104"/>
        <v>2299</v>
      </c>
      <c r="P219" s="52">
        <f t="shared" si="105"/>
        <v>1204.2771027570654</v>
      </c>
      <c r="Q219" s="66"/>
      <c r="R219" s="37"/>
      <c r="S219" s="74" t="s">
        <v>377</v>
      </c>
      <c r="T219" s="81">
        <f t="shared" si="106"/>
        <v>924</v>
      </c>
      <c r="U219" s="81">
        <f t="shared" si="107"/>
        <v>758.66666666666663</v>
      </c>
      <c r="V219" s="233">
        <v>657</v>
      </c>
      <c r="W219" s="52">
        <v>1191</v>
      </c>
      <c r="X219" s="52" t="s">
        <v>102</v>
      </c>
      <c r="Y219" s="52" t="s">
        <v>102</v>
      </c>
      <c r="Z219" s="52">
        <v>428</v>
      </c>
      <c r="AA219" s="52" t="s">
        <v>102</v>
      </c>
      <c r="AB219" s="52" t="s">
        <v>102</v>
      </c>
      <c r="AC219" s="52" t="s">
        <v>102</v>
      </c>
      <c r="AD219" s="52" t="s">
        <v>102</v>
      </c>
      <c r="AE219" s="52" t="s">
        <v>102</v>
      </c>
      <c r="AF219" s="52" t="s">
        <v>102</v>
      </c>
      <c r="AG219" s="52" t="s">
        <v>102</v>
      </c>
      <c r="AH219" s="52" t="s">
        <v>262</v>
      </c>
      <c r="AI219" s="52" t="s">
        <v>102</v>
      </c>
      <c r="AJ219" s="52" t="s">
        <v>102</v>
      </c>
      <c r="AK219" s="52" t="s">
        <v>102</v>
      </c>
      <c r="AL219" s="52" t="s">
        <v>102</v>
      </c>
      <c r="AM219" s="52" t="s">
        <v>102</v>
      </c>
      <c r="AN219" s="54"/>
      <c r="AO219" s="52" t="s">
        <v>262</v>
      </c>
      <c r="AP219" s="53">
        <v>968</v>
      </c>
      <c r="AQ219" s="52">
        <v>916</v>
      </c>
      <c r="AR219" s="53">
        <v>2258</v>
      </c>
      <c r="AS219" s="52">
        <v>2299</v>
      </c>
      <c r="AT219" s="54"/>
      <c r="AU219" s="54"/>
      <c r="AV219" s="52">
        <v>636</v>
      </c>
      <c r="AW219" s="52">
        <v>1042</v>
      </c>
      <c r="AX219" s="51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208"/>
      <c r="CO219" s="208"/>
      <c r="CP219" s="208"/>
      <c r="CQ219" s="8">
        <f t="shared" si="108"/>
        <v>428</v>
      </c>
      <c r="CR219" s="8">
        <f t="shared" si="109"/>
        <v>2299</v>
      </c>
      <c r="CS219" s="8">
        <f t="shared" si="110"/>
        <v>1155</v>
      </c>
      <c r="CT219">
        <f t="shared" si="111"/>
        <v>1002.37690700398</v>
      </c>
      <c r="CU219" s="143">
        <f t="shared" si="112"/>
        <v>758.66666666666663</v>
      </c>
      <c r="CV219" s="143">
        <f t="shared" si="113"/>
        <v>758.66666666666663</v>
      </c>
      <c r="CX219" s="7">
        <f t="shared" si="114"/>
        <v>511.2</v>
      </c>
      <c r="CY219" s="7">
        <f t="shared" si="115"/>
        <v>640.20000000000005</v>
      </c>
      <c r="CZ219" s="7">
        <f t="shared" si="116"/>
        <v>648.6</v>
      </c>
      <c r="DA219" s="7">
        <f t="shared" si="117"/>
        <v>657</v>
      </c>
      <c r="DB219" s="7">
        <f t="shared" si="118"/>
        <v>968</v>
      </c>
      <c r="DC219" s="7">
        <f t="shared" si="119"/>
        <v>1027.2</v>
      </c>
      <c r="DD219" s="7">
        <f t="shared" si="120"/>
        <v>1071.8</v>
      </c>
      <c r="DE219" s="7">
        <f t="shared" si="121"/>
        <v>1191</v>
      </c>
      <c r="DF219" s="7">
        <f t="shared" si="122"/>
        <v>2044.6</v>
      </c>
      <c r="DH219" s="7">
        <f t="shared" si="123"/>
        <v>511.2</v>
      </c>
      <c r="DI219" s="7">
        <f t="shared" si="124"/>
        <v>640.20000000000005</v>
      </c>
      <c r="DJ219" s="7">
        <f t="shared" si="125"/>
        <v>648.6</v>
      </c>
      <c r="DK219" s="7">
        <f t="shared" si="126"/>
        <v>657</v>
      </c>
      <c r="DL219" s="7">
        <f t="shared" si="127"/>
        <v>968</v>
      </c>
      <c r="DM219" s="7">
        <f t="shared" si="128"/>
        <v>1027.2</v>
      </c>
      <c r="DN219" s="7">
        <f t="shared" si="129"/>
        <v>1071.8</v>
      </c>
      <c r="DO219" s="7">
        <f t="shared" si="130"/>
        <v>1191</v>
      </c>
      <c r="DP219" s="7">
        <f t="shared" si="131"/>
        <v>2044.6</v>
      </c>
    </row>
    <row r="220" spans="1:130" ht="25.5" hidden="1" customHeight="1" x14ac:dyDescent="0.25">
      <c r="A220" s="92" t="str">
        <f t="shared" si="132"/>
        <v>SK-L-13-7</v>
      </c>
      <c r="B220" s="92" t="str">
        <f t="shared" si="133"/>
        <v>Clayoquot</v>
      </c>
      <c r="C220" s="93" t="str">
        <f t="shared" si="102"/>
        <v>CLAYOQUOT RIVER_Sockeye</v>
      </c>
      <c r="D220" s="128" t="s">
        <v>598</v>
      </c>
      <c r="E220" s="128" t="s">
        <v>598</v>
      </c>
      <c r="F220" s="64">
        <v>24</v>
      </c>
      <c r="G220" s="72" t="s">
        <v>176</v>
      </c>
      <c r="H220" s="65" t="s">
        <v>91</v>
      </c>
      <c r="I220" s="119"/>
      <c r="J220" s="119"/>
      <c r="K220" s="64">
        <v>3</v>
      </c>
      <c r="L220" s="52">
        <v>7</v>
      </c>
      <c r="M220" s="52">
        <v>7</v>
      </c>
      <c r="N220" s="52">
        <f t="shared" si="103"/>
        <v>1568.3102149660178</v>
      </c>
      <c r="O220" s="52">
        <f t="shared" si="104"/>
        <v>5594</v>
      </c>
      <c r="P220" s="52">
        <f t="shared" si="105"/>
        <v>1568.3102149660178</v>
      </c>
      <c r="Q220" s="66"/>
      <c r="R220" s="37"/>
      <c r="S220" s="74" t="s">
        <v>377</v>
      </c>
      <c r="T220" s="81">
        <f t="shared" si="106"/>
        <v>1970</v>
      </c>
      <c r="U220" s="81">
        <f t="shared" si="107"/>
        <v>1567.3333333333333</v>
      </c>
      <c r="V220" s="233">
        <v>1799</v>
      </c>
      <c r="W220" s="52">
        <v>2141</v>
      </c>
      <c r="X220" s="52" t="s">
        <v>102</v>
      </c>
      <c r="Y220" s="52" t="s">
        <v>102</v>
      </c>
      <c r="Z220" s="52">
        <v>762</v>
      </c>
      <c r="AA220" s="52" t="s">
        <v>102</v>
      </c>
      <c r="AB220" s="52" t="s">
        <v>102</v>
      </c>
      <c r="AC220" s="52" t="s">
        <v>102</v>
      </c>
      <c r="AD220" s="52" t="s">
        <v>102</v>
      </c>
      <c r="AE220" s="52" t="s">
        <v>102</v>
      </c>
      <c r="AF220" s="52" t="s">
        <v>102</v>
      </c>
      <c r="AG220" s="52" t="s">
        <v>102</v>
      </c>
      <c r="AH220" s="52">
        <f>1078+5587</f>
        <v>6665</v>
      </c>
      <c r="AI220" s="52" t="s">
        <v>102</v>
      </c>
      <c r="AJ220" s="52" t="s">
        <v>102</v>
      </c>
      <c r="AK220" s="52" t="s">
        <v>102</v>
      </c>
      <c r="AL220" s="52" t="s">
        <v>102</v>
      </c>
      <c r="AM220" s="52" t="s">
        <v>102</v>
      </c>
      <c r="AN220" s="54"/>
      <c r="AO220" s="53">
        <v>1614</v>
      </c>
      <c r="AP220" s="53">
        <v>1416</v>
      </c>
      <c r="AQ220" s="52">
        <v>2022</v>
      </c>
      <c r="AR220" s="53">
        <v>4270</v>
      </c>
      <c r="AS220" s="52">
        <v>5594</v>
      </c>
      <c r="AT220" s="54"/>
      <c r="AU220" s="54"/>
      <c r="AV220" s="52">
        <v>810</v>
      </c>
      <c r="AW220" s="52">
        <v>261</v>
      </c>
      <c r="AX220" s="51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208"/>
      <c r="CO220" s="208"/>
      <c r="CP220" s="208"/>
      <c r="CQ220" s="8">
        <f t="shared" si="108"/>
        <v>261</v>
      </c>
      <c r="CR220" s="8">
        <f t="shared" si="109"/>
        <v>6665</v>
      </c>
      <c r="CS220" s="8">
        <f t="shared" si="110"/>
        <v>2486.7272727272725</v>
      </c>
      <c r="CT220">
        <f t="shared" si="111"/>
        <v>1744.8820241377703</v>
      </c>
      <c r="CU220" s="143">
        <f t="shared" si="112"/>
        <v>1567.3333333333333</v>
      </c>
      <c r="CV220" s="143">
        <f t="shared" si="113"/>
        <v>1567.3333333333333</v>
      </c>
      <c r="CX220" s="7">
        <f t="shared" si="114"/>
        <v>511.5</v>
      </c>
      <c r="CY220" s="7">
        <f t="shared" si="115"/>
        <v>786</v>
      </c>
      <c r="CZ220" s="7">
        <f t="shared" si="116"/>
        <v>810</v>
      </c>
      <c r="DA220" s="7">
        <f t="shared" si="117"/>
        <v>1113</v>
      </c>
      <c r="DB220" s="7">
        <f t="shared" si="118"/>
        <v>1799</v>
      </c>
      <c r="DC220" s="7">
        <f t="shared" si="119"/>
        <v>2022</v>
      </c>
      <c r="DD220" s="7">
        <f t="shared" si="120"/>
        <v>2081.5</v>
      </c>
      <c r="DE220" s="7">
        <f t="shared" si="121"/>
        <v>3205.5</v>
      </c>
      <c r="DF220" s="7">
        <f t="shared" si="122"/>
        <v>4932</v>
      </c>
      <c r="DH220" s="7">
        <f t="shared" si="123"/>
        <v>511.5</v>
      </c>
      <c r="DI220" s="7">
        <f t="shared" si="124"/>
        <v>786</v>
      </c>
      <c r="DJ220" s="7">
        <f t="shared" si="125"/>
        <v>810</v>
      </c>
      <c r="DK220" s="7">
        <f t="shared" si="126"/>
        <v>1113</v>
      </c>
      <c r="DL220" s="7">
        <f t="shared" si="127"/>
        <v>1799</v>
      </c>
      <c r="DM220" s="7">
        <f t="shared" si="128"/>
        <v>2022</v>
      </c>
      <c r="DN220" s="7">
        <f t="shared" si="129"/>
        <v>2081.5</v>
      </c>
      <c r="DO220" s="7">
        <f t="shared" si="130"/>
        <v>3205.5</v>
      </c>
      <c r="DP220" s="7">
        <f t="shared" si="131"/>
        <v>4932</v>
      </c>
    </row>
    <row r="221" spans="1:130" ht="25.5" hidden="1" customHeight="1" x14ac:dyDescent="0.25">
      <c r="A221" s="92" t="str">
        <f t="shared" si="132"/>
        <v>CM-SWVI [10]</v>
      </c>
      <c r="B221" s="92" t="str">
        <f t="shared" si="133"/>
        <v>Southwest Vancouver Island</v>
      </c>
      <c r="C221" s="93" t="str">
        <f t="shared" si="102"/>
        <v>CLOSE CREEKS (2)_Chum</v>
      </c>
      <c r="D221" s="128" t="s">
        <v>598</v>
      </c>
      <c r="E221" s="128" t="s">
        <v>598</v>
      </c>
      <c r="F221" s="64">
        <v>24</v>
      </c>
      <c r="G221" s="72" t="s">
        <v>186</v>
      </c>
      <c r="H221" s="65" t="s">
        <v>96</v>
      </c>
      <c r="I221" s="119"/>
      <c r="J221" s="119"/>
      <c r="K221" s="64">
        <v>5</v>
      </c>
      <c r="L221" s="52">
        <v>2</v>
      </c>
      <c r="M221" s="52">
        <v>2</v>
      </c>
      <c r="N221" s="52">
        <f t="shared" si="103"/>
        <v>139.64240043768942</v>
      </c>
      <c r="O221" s="52">
        <f t="shared" si="104"/>
        <v>310</v>
      </c>
      <c r="P221" s="52">
        <f t="shared" si="105"/>
        <v>134.54045463832571</v>
      </c>
      <c r="Q221" s="66"/>
      <c r="R221" s="37"/>
      <c r="S221" s="74" t="s">
        <v>378</v>
      </c>
      <c r="T221" s="81" t="e">
        <f t="shared" si="106"/>
        <v>#DIV/0!</v>
      </c>
      <c r="U221" s="81" t="e">
        <f t="shared" si="107"/>
        <v>#DIV/0!</v>
      </c>
      <c r="V221" s="52" t="s">
        <v>102</v>
      </c>
      <c r="W221" s="52" t="s">
        <v>102</v>
      </c>
      <c r="X221" s="52" t="s">
        <v>102</v>
      </c>
      <c r="Y221" s="52" t="s">
        <v>102</v>
      </c>
      <c r="Z221" s="52" t="s">
        <v>102</v>
      </c>
      <c r="AA221" s="52" t="s">
        <v>102</v>
      </c>
      <c r="AB221" s="52" t="s">
        <v>102</v>
      </c>
      <c r="AC221" s="52" t="s">
        <v>102</v>
      </c>
      <c r="AD221" s="52" t="s">
        <v>102</v>
      </c>
      <c r="AE221" s="52" t="s">
        <v>102</v>
      </c>
      <c r="AF221" s="52" t="s">
        <v>102</v>
      </c>
      <c r="AG221" s="52" t="s">
        <v>102</v>
      </c>
      <c r="AH221" s="52" t="s">
        <v>102</v>
      </c>
      <c r="AI221" s="52" t="s">
        <v>102</v>
      </c>
      <c r="AJ221" s="52" t="s">
        <v>102</v>
      </c>
      <c r="AK221" s="52" t="s">
        <v>102</v>
      </c>
      <c r="AL221" s="52" t="s">
        <v>102</v>
      </c>
      <c r="AM221" s="52" t="s">
        <v>102</v>
      </c>
      <c r="AN221" s="52" t="s">
        <v>102</v>
      </c>
      <c r="AO221" s="52" t="s">
        <v>102</v>
      </c>
      <c r="AP221" s="53" t="s">
        <v>102</v>
      </c>
      <c r="AQ221" s="53" t="s">
        <v>102</v>
      </c>
      <c r="AR221" s="53" t="s">
        <v>102</v>
      </c>
      <c r="AS221" s="54"/>
      <c r="AT221" s="54"/>
      <c r="AU221" s="54"/>
      <c r="AV221" s="52">
        <v>150</v>
      </c>
      <c r="AW221" s="52">
        <v>130</v>
      </c>
      <c r="AX221" s="51">
        <v>310</v>
      </c>
      <c r="AY221" s="53" t="s">
        <v>262</v>
      </c>
      <c r="AZ221" s="53" t="s">
        <v>102</v>
      </c>
      <c r="BA221" s="53" t="s">
        <v>102</v>
      </c>
      <c r="BB221" s="53" t="s">
        <v>102</v>
      </c>
      <c r="BC221" s="53" t="s">
        <v>102</v>
      </c>
      <c r="BD221" s="53" t="s">
        <v>102</v>
      </c>
      <c r="BE221" s="53" t="s">
        <v>102</v>
      </c>
      <c r="BF221" s="53" t="s">
        <v>102</v>
      </c>
      <c r="BG221" s="53">
        <v>75</v>
      </c>
      <c r="BH221" s="53">
        <v>220</v>
      </c>
      <c r="BI221" s="53">
        <v>80</v>
      </c>
      <c r="BJ221" s="53" t="s">
        <v>102</v>
      </c>
      <c r="BK221" s="53" t="s">
        <v>102</v>
      </c>
      <c r="BL221" s="53">
        <v>100</v>
      </c>
      <c r="BM221" s="53" t="s">
        <v>102</v>
      </c>
      <c r="BN221" s="53" t="s">
        <v>102</v>
      </c>
      <c r="BO221" s="53" t="s">
        <v>102</v>
      </c>
      <c r="BP221" s="53" t="s">
        <v>102</v>
      </c>
      <c r="BQ221" s="53" t="s">
        <v>102</v>
      </c>
      <c r="BR221" s="53" t="s">
        <v>102</v>
      </c>
      <c r="BS221" s="53" t="s">
        <v>102</v>
      </c>
      <c r="BT221" s="53" t="s">
        <v>102</v>
      </c>
      <c r="BU221" s="53" t="s">
        <v>102</v>
      </c>
      <c r="BV221" s="53" t="s">
        <v>102</v>
      </c>
      <c r="BW221" s="53" t="s">
        <v>102</v>
      </c>
      <c r="BX221" s="53" t="s">
        <v>102</v>
      </c>
      <c r="BY221" s="53" t="s">
        <v>102</v>
      </c>
      <c r="BZ221" s="53" t="s">
        <v>102</v>
      </c>
      <c r="CA221" s="53" t="s">
        <v>102</v>
      </c>
      <c r="CB221" s="53" t="s">
        <v>102</v>
      </c>
      <c r="CC221" s="53" t="s">
        <v>102</v>
      </c>
      <c r="CD221" s="53" t="s">
        <v>102</v>
      </c>
      <c r="CE221" s="53" t="s">
        <v>102</v>
      </c>
      <c r="CF221" s="53" t="s">
        <v>102</v>
      </c>
      <c r="CG221" s="53" t="s">
        <v>102</v>
      </c>
      <c r="CH221" s="53" t="s">
        <v>102</v>
      </c>
      <c r="CI221" s="53" t="s">
        <v>102</v>
      </c>
      <c r="CJ221" s="53" t="s">
        <v>102</v>
      </c>
      <c r="CK221" s="53" t="s">
        <v>102</v>
      </c>
      <c r="CL221" s="53" t="s">
        <v>102</v>
      </c>
      <c r="CM221" s="53" t="s">
        <v>102</v>
      </c>
      <c r="CN221" s="206"/>
      <c r="CO221" s="206"/>
      <c r="CP221" s="206"/>
      <c r="CQ221" s="8">
        <f t="shared" si="108"/>
        <v>75</v>
      </c>
      <c r="CR221" s="8">
        <f t="shared" si="109"/>
        <v>310</v>
      </c>
      <c r="CS221" s="8">
        <f t="shared" si="110"/>
        <v>152.14285714285714</v>
      </c>
      <c r="CT221">
        <f t="shared" si="111"/>
        <v>134.54045463832571</v>
      </c>
      <c r="CU221" s="143" t="e">
        <f t="shared" si="112"/>
        <v>#DIV/0!</v>
      </c>
      <c r="CV221" s="143" t="e">
        <f t="shared" si="113"/>
        <v>#DIV/0!</v>
      </c>
      <c r="CX221" s="7">
        <f t="shared" si="114"/>
        <v>76.5</v>
      </c>
      <c r="CY221" s="7">
        <f t="shared" si="115"/>
        <v>79.5</v>
      </c>
      <c r="CZ221" s="7">
        <f t="shared" si="116"/>
        <v>84</v>
      </c>
      <c r="DA221" s="7">
        <f t="shared" si="117"/>
        <v>90</v>
      </c>
      <c r="DB221" s="7">
        <f t="shared" si="118"/>
        <v>130</v>
      </c>
      <c r="DC221" s="7">
        <f t="shared" si="119"/>
        <v>142</v>
      </c>
      <c r="DD221" s="7">
        <f t="shared" si="120"/>
        <v>148</v>
      </c>
      <c r="DE221" s="7">
        <f t="shared" si="121"/>
        <v>185</v>
      </c>
      <c r="DF221" s="7">
        <f t="shared" si="122"/>
        <v>228.99999999999997</v>
      </c>
      <c r="DH221" s="7">
        <f t="shared" si="123"/>
        <v>131</v>
      </c>
      <c r="DI221" s="7">
        <f t="shared" si="124"/>
        <v>133</v>
      </c>
      <c r="DJ221" s="7">
        <f t="shared" si="125"/>
        <v>134</v>
      </c>
      <c r="DK221" s="7">
        <f t="shared" si="126"/>
        <v>135</v>
      </c>
      <c r="DL221" s="7">
        <f t="shared" si="127"/>
        <v>140</v>
      </c>
      <c r="DM221" s="7">
        <f t="shared" si="128"/>
        <v>142</v>
      </c>
      <c r="DN221" s="7">
        <f t="shared" si="129"/>
        <v>143</v>
      </c>
      <c r="DO221" s="7">
        <f t="shared" si="130"/>
        <v>145</v>
      </c>
      <c r="DP221" s="7">
        <f t="shared" si="131"/>
        <v>147</v>
      </c>
    </row>
    <row r="222" spans="1:130" ht="25.5" hidden="1" customHeight="1" x14ac:dyDescent="0.25">
      <c r="A222" s="92" t="str">
        <f t="shared" si="132"/>
        <v>CO-CLAY [18]</v>
      </c>
      <c r="B222" s="92" t="str">
        <f t="shared" si="133"/>
        <v>Clayoquot</v>
      </c>
      <c r="C222" s="93" t="str">
        <f t="shared" si="102"/>
        <v>CLOSE CREEKS (2)_Coho</v>
      </c>
      <c r="D222" s="128" t="s">
        <v>598</v>
      </c>
      <c r="E222" s="128" t="s">
        <v>598</v>
      </c>
      <c r="F222" s="64">
        <v>24</v>
      </c>
      <c r="G222" s="72" t="s">
        <v>186</v>
      </c>
      <c r="H222" s="65" t="s">
        <v>93</v>
      </c>
      <c r="I222" s="119"/>
      <c r="J222" s="119"/>
      <c r="K222" s="64">
        <v>5</v>
      </c>
      <c r="L222" s="52">
        <v>2</v>
      </c>
      <c r="M222" s="52">
        <v>1</v>
      </c>
      <c r="N222" s="52">
        <f t="shared" si="103"/>
        <v>1</v>
      </c>
      <c r="O222" s="52">
        <f t="shared" si="104"/>
        <v>1</v>
      </c>
      <c r="P222" s="52">
        <f t="shared" si="105"/>
        <v>1</v>
      </c>
      <c r="Q222" s="66"/>
      <c r="R222" s="37"/>
      <c r="S222" s="74" t="s">
        <v>378</v>
      </c>
      <c r="T222" s="81" t="e">
        <f t="shared" si="106"/>
        <v>#DIV/0!</v>
      </c>
      <c r="U222" s="81" t="e">
        <f t="shared" si="107"/>
        <v>#DIV/0!</v>
      </c>
      <c r="V222" s="52" t="s">
        <v>102</v>
      </c>
      <c r="W222" s="52" t="s">
        <v>102</v>
      </c>
      <c r="X222" s="52" t="s">
        <v>102</v>
      </c>
      <c r="Y222" s="52" t="s">
        <v>102</v>
      </c>
      <c r="Z222" s="52" t="s">
        <v>102</v>
      </c>
      <c r="AA222" s="52" t="s">
        <v>102</v>
      </c>
      <c r="AB222" s="52" t="s">
        <v>102</v>
      </c>
      <c r="AC222" s="52" t="s">
        <v>102</v>
      </c>
      <c r="AD222" s="52" t="s">
        <v>102</v>
      </c>
      <c r="AE222" s="52" t="s">
        <v>102</v>
      </c>
      <c r="AF222" s="52" t="s">
        <v>102</v>
      </c>
      <c r="AG222" s="52" t="s">
        <v>102</v>
      </c>
      <c r="AH222" s="52" t="s">
        <v>102</v>
      </c>
      <c r="AI222" s="52" t="s">
        <v>102</v>
      </c>
      <c r="AJ222" s="52" t="s">
        <v>102</v>
      </c>
      <c r="AK222" s="52" t="s">
        <v>102</v>
      </c>
      <c r="AL222" s="52" t="s">
        <v>102</v>
      </c>
      <c r="AM222" s="52" t="s">
        <v>102</v>
      </c>
      <c r="AN222" s="52" t="s">
        <v>102</v>
      </c>
      <c r="AO222" s="52" t="s">
        <v>102</v>
      </c>
      <c r="AP222" s="53" t="s">
        <v>102</v>
      </c>
      <c r="AQ222" s="53" t="s">
        <v>102</v>
      </c>
      <c r="AR222" s="53" t="s">
        <v>102</v>
      </c>
      <c r="AS222" s="54"/>
      <c r="AT222" s="54"/>
      <c r="AU222" s="54"/>
      <c r="AV222" s="52" t="s">
        <v>262</v>
      </c>
      <c r="AW222" s="52">
        <v>1</v>
      </c>
      <c r="AX222" s="51" t="s">
        <v>264</v>
      </c>
      <c r="AY222" s="53" t="s">
        <v>264</v>
      </c>
      <c r="AZ222" s="53" t="s">
        <v>102</v>
      </c>
      <c r="BA222" s="53" t="s">
        <v>102</v>
      </c>
      <c r="BB222" s="53" t="s">
        <v>102</v>
      </c>
      <c r="BC222" s="53" t="s">
        <v>102</v>
      </c>
      <c r="BD222" s="53" t="s">
        <v>102</v>
      </c>
      <c r="BE222" s="53" t="s">
        <v>102</v>
      </c>
      <c r="BF222" s="53" t="s">
        <v>102</v>
      </c>
      <c r="BG222" s="53" t="s">
        <v>262</v>
      </c>
      <c r="BH222" s="53" t="s">
        <v>262</v>
      </c>
      <c r="BI222" s="53" t="s">
        <v>264</v>
      </c>
      <c r="BJ222" s="53" t="s">
        <v>102</v>
      </c>
      <c r="BK222" s="53" t="s">
        <v>102</v>
      </c>
      <c r="BL222" s="53" t="s">
        <v>264</v>
      </c>
      <c r="BM222" s="53" t="s">
        <v>102</v>
      </c>
      <c r="BN222" s="53" t="s">
        <v>102</v>
      </c>
      <c r="BO222" s="53" t="s">
        <v>102</v>
      </c>
      <c r="BP222" s="53" t="s">
        <v>102</v>
      </c>
      <c r="BQ222" s="53" t="s">
        <v>102</v>
      </c>
      <c r="BR222" s="53" t="s">
        <v>102</v>
      </c>
      <c r="BS222" s="53" t="s">
        <v>102</v>
      </c>
      <c r="BT222" s="53" t="s">
        <v>102</v>
      </c>
      <c r="BU222" s="53" t="s">
        <v>102</v>
      </c>
      <c r="BV222" s="53" t="s">
        <v>102</v>
      </c>
      <c r="BW222" s="53" t="s">
        <v>102</v>
      </c>
      <c r="BX222" s="53" t="s">
        <v>102</v>
      </c>
      <c r="BY222" s="53" t="s">
        <v>102</v>
      </c>
      <c r="BZ222" s="53" t="s">
        <v>102</v>
      </c>
      <c r="CA222" s="53" t="s">
        <v>102</v>
      </c>
      <c r="CB222" s="53" t="s">
        <v>102</v>
      </c>
      <c r="CC222" s="53" t="s">
        <v>102</v>
      </c>
      <c r="CD222" s="53" t="s">
        <v>102</v>
      </c>
      <c r="CE222" s="53" t="s">
        <v>102</v>
      </c>
      <c r="CF222" s="53" t="s">
        <v>102</v>
      </c>
      <c r="CG222" s="53" t="s">
        <v>102</v>
      </c>
      <c r="CH222" s="53" t="s">
        <v>102</v>
      </c>
      <c r="CI222" s="53" t="s">
        <v>102</v>
      </c>
      <c r="CJ222" s="53" t="s">
        <v>102</v>
      </c>
      <c r="CK222" s="53" t="s">
        <v>102</v>
      </c>
      <c r="CL222" s="53" t="s">
        <v>102</v>
      </c>
      <c r="CM222" s="53" t="s">
        <v>102</v>
      </c>
      <c r="CN222" s="206"/>
      <c r="CO222" s="206"/>
      <c r="CP222" s="206"/>
      <c r="CQ222" s="8">
        <f t="shared" si="108"/>
        <v>1</v>
      </c>
      <c r="CR222" s="8">
        <f t="shared" si="109"/>
        <v>1</v>
      </c>
      <c r="CS222" s="8">
        <f t="shared" si="110"/>
        <v>1</v>
      </c>
      <c r="CT222">
        <f t="shared" si="111"/>
        <v>1</v>
      </c>
      <c r="CU222" s="143" t="e">
        <f t="shared" si="112"/>
        <v>#DIV/0!</v>
      </c>
      <c r="CV222" s="143" t="e">
        <f t="shared" si="113"/>
        <v>#DIV/0!</v>
      </c>
      <c r="CX222" s="7">
        <f t="shared" si="114"/>
        <v>1</v>
      </c>
      <c r="CY222" s="7">
        <f t="shared" si="115"/>
        <v>1</v>
      </c>
      <c r="CZ222" s="7">
        <f t="shared" si="116"/>
        <v>1</v>
      </c>
      <c r="DA222" s="7">
        <f t="shared" si="117"/>
        <v>1</v>
      </c>
      <c r="DB222" s="7">
        <f t="shared" si="118"/>
        <v>1</v>
      </c>
      <c r="DC222" s="7">
        <f t="shared" si="119"/>
        <v>1</v>
      </c>
      <c r="DD222" s="7">
        <f t="shared" si="120"/>
        <v>1</v>
      </c>
      <c r="DE222" s="7">
        <f t="shared" si="121"/>
        <v>1</v>
      </c>
      <c r="DF222" s="7">
        <f t="shared" si="122"/>
        <v>1</v>
      </c>
      <c r="DH222" s="7">
        <f t="shared" si="123"/>
        <v>1</v>
      </c>
      <c r="DI222" s="7">
        <f t="shared" si="124"/>
        <v>1</v>
      </c>
      <c r="DJ222" s="7">
        <f t="shared" si="125"/>
        <v>1</v>
      </c>
      <c r="DK222" s="7">
        <f t="shared" si="126"/>
        <v>1</v>
      </c>
      <c r="DL222" s="7">
        <f t="shared" si="127"/>
        <v>1</v>
      </c>
      <c r="DM222" s="7">
        <f t="shared" si="128"/>
        <v>1</v>
      </c>
      <c r="DN222" s="7">
        <f t="shared" si="129"/>
        <v>1</v>
      </c>
      <c r="DO222" s="7">
        <f t="shared" si="130"/>
        <v>1</v>
      </c>
      <c r="DP222" s="7">
        <f t="shared" si="131"/>
        <v>1</v>
      </c>
    </row>
    <row r="223" spans="1:130" ht="25.5" hidden="1" customHeight="1" x14ac:dyDescent="0.25">
      <c r="A223" s="92"/>
      <c r="B223" s="92"/>
      <c r="C223" s="93" t="str">
        <f t="shared" si="102"/>
        <v>COHO CREEK_Chum</v>
      </c>
      <c r="D223" s="128" t="s">
        <v>598</v>
      </c>
      <c r="E223" s="128" t="s">
        <v>598</v>
      </c>
      <c r="F223" s="64">
        <v>24</v>
      </c>
      <c r="G223" s="72" t="s">
        <v>633</v>
      </c>
      <c r="H223" s="65" t="s">
        <v>96</v>
      </c>
      <c r="I223" s="119"/>
      <c r="J223" s="119"/>
      <c r="K223" s="64"/>
      <c r="L223" s="52"/>
      <c r="M223" s="52"/>
      <c r="N223" s="52"/>
      <c r="O223" s="52"/>
      <c r="P223" s="52"/>
      <c r="Q223" s="66"/>
      <c r="R223" s="37"/>
      <c r="S223" s="74"/>
      <c r="T223" s="81" t="e">
        <f t="shared" si="106"/>
        <v>#DIV/0!</v>
      </c>
      <c r="U223" s="81" t="e">
        <f t="shared" si="107"/>
        <v>#DIV/0!</v>
      </c>
      <c r="V223" s="52" t="s">
        <v>102</v>
      </c>
      <c r="W223" s="52"/>
      <c r="X223" s="52" t="s">
        <v>102</v>
      </c>
      <c r="Y223" s="52"/>
      <c r="Z223" s="52" t="s">
        <v>102</v>
      </c>
      <c r="AA223" s="52" t="s">
        <v>102</v>
      </c>
      <c r="AB223" s="52" t="s">
        <v>262</v>
      </c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1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206"/>
      <c r="CO223" s="206"/>
      <c r="CP223" s="206"/>
      <c r="CQ223" s="8">
        <f t="shared" si="108"/>
        <v>0</v>
      </c>
      <c r="CR223" s="8">
        <f t="shared" si="109"/>
        <v>0</v>
      </c>
      <c r="CS223" s="8" t="e">
        <f t="shared" si="110"/>
        <v>#DIV/0!</v>
      </c>
      <c r="CT223" t="e">
        <f t="shared" si="111"/>
        <v>#NUM!</v>
      </c>
      <c r="CU223" s="143" t="e">
        <f t="shared" si="112"/>
        <v>#DIV/0!</v>
      </c>
      <c r="CV223" s="143" t="e">
        <f t="shared" si="113"/>
        <v>#DIV/0!</v>
      </c>
      <c r="CX223" s="7" t="e">
        <f t="shared" si="114"/>
        <v>#NUM!</v>
      </c>
      <c r="CY223" s="7" t="e">
        <f t="shared" si="115"/>
        <v>#NUM!</v>
      </c>
      <c r="CZ223" s="7" t="e">
        <f t="shared" si="116"/>
        <v>#NUM!</v>
      </c>
      <c r="DA223" s="7" t="e">
        <f t="shared" si="117"/>
        <v>#NUM!</v>
      </c>
      <c r="DB223" s="7" t="e">
        <f t="shared" si="118"/>
        <v>#NUM!</v>
      </c>
      <c r="DC223" s="7" t="e">
        <f t="shared" si="119"/>
        <v>#NUM!</v>
      </c>
      <c r="DD223" s="7" t="e">
        <f t="shared" si="120"/>
        <v>#NUM!</v>
      </c>
      <c r="DE223" s="7" t="e">
        <f t="shared" si="121"/>
        <v>#NUM!</v>
      </c>
      <c r="DF223" s="7" t="e">
        <f t="shared" si="122"/>
        <v>#NUM!</v>
      </c>
      <c r="DH223" s="7" t="e">
        <f t="shared" si="123"/>
        <v>#NUM!</v>
      </c>
      <c r="DI223" s="7" t="e">
        <f t="shared" si="124"/>
        <v>#NUM!</v>
      </c>
      <c r="DJ223" s="7" t="e">
        <f t="shared" si="125"/>
        <v>#NUM!</v>
      </c>
      <c r="DK223" s="7" t="e">
        <f t="shared" si="126"/>
        <v>#NUM!</v>
      </c>
      <c r="DL223" s="7" t="e">
        <f t="shared" si="127"/>
        <v>#NUM!</v>
      </c>
      <c r="DM223" s="7" t="e">
        <f t="shared" si="128"/>
        <v>#NUM!</v>
      </c>
      <c r="DN223" s="7" t="e">
        <f t="shared" si="129"/>
        <v>#NUM!</v>
      </c>
      <c r="DO223" s="7" t="e">
        <f t="shared" si="130"/>
        <v>#NUM!</v>
      </c>
      <c r="DP223" s="7" t="e">
        <f t="shared" si="131"/>
        <v>#NUM!</v>
      </c>
    </row>
    <row r="224" spans="1:130" ht="25.5" hidden="1" customHeight="1" x14ac:dyDescent="0.25">
      <c r="A224" s="92"/>
      <c r="B224" s="92"/>
      <c r="C224" s="93" t="str">
        <f t="shared" si="102"/>
        <v>COHO CREEK_Coho</v>
      </c>
      <c r="D224" s="128" t="s">
        <v>598</v>
      </c>
      <c r="E224" s="128" t="s">
        <v>598</v>
      </c>
      <c r="F224" s="64">
        <v>24</v>
      </c>
      <c r="G224" s="72" t="s">
        <v>633</v>
      </c>
      <c r="H224" s="65" t="s">
        <v>93</v>
      </c>
      <c r="I224" s="119"/>
      <c r="J224" s="119"/>
      <c r="K224" s="64"/>
      <c r="L224" s="52"/>
      <c r="M224" s="52"/>
      <c r="N224" s="52"/>
      <c r="O224" s="52"/>
      <c r="P224" s="52"/>
      <c r="Q224" s="66"/>
      <c r="R224" s="37"/>
      <c r="S224" s="74"/>
      <c r="T224" s="81" t="e">
        <f t="shared" si="106"/>
        <v>#DIV/0!</v>
      </c>
      <c r="U224" s="81">
        <f t="shared" si="107"/>
        <v>17</v>
      </c>
      <c r="V224" s="52" t="s">
        <v>102</v>
      </c>
      <c r="W224" s="52"/>
      <c r="X224" s="52" t="s">
        <v>102</v>
      </c>
      <c r="Y224" s="52"/>
      <c r="Z224" s="52" t="s">
        <v>102</v>
      </c>
      <c r="AA224" s="52" t="s">
        <v>102</v>
      </c>
      <c r="AB224" s="52">
        <v>17</v>
      </c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1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206"/>
      <c r="CO224" s="206"/>
      <c r="CP224" s="206"/>
      <c r="CQ224" s="8">
        <f t="shared" si="108"/>
        <v>17</v>
      </c>
      <c r="CR224" s="8">
        <f t="shared" si="109"/>
        <v>17</v>
      </c>
      <c r="CS224" s="8">
        <f t="shared" si="110"/>
        <v>17</v>
      </c>
      <c r="CT224">
        <f t="shared" si="111"/>
        <v>17</v>
      </c>
      <c r="CU224" s="143" t="e">
        <f t="shared" si="112"/>
        <v>#DIV/0!</v>
      </c>
      <c r="CV224" s="143">
        <f t="shared" si="113"/>
        <v>17</v>
      </c>
      <c r="CX224" s="7">
        <f t="shared" si="114"/>
        <v>17</v>
      </c>
      <c r="CY224" s="7">
        <f t="shared" si="115"/>
        <v>17</v>
      </c>
      <c r="CZ224" s="7">
        <f t="shared" si="116"/>
        <v>17</v>
      </c>
      <c r="DA224" s="7">
        <f t="shared" si="117"/>
        <v>17</v>
      </c>
      <c r="DB224" s="7">
        <f t="shared" si="118"/>
        <v>17</v>
      </c>
      <c r="DC224" s="7">
        <f t="shared" si="119"/>
        <v>17</v>
      </c>
      <c r="DD224" s="7">
        <f t="shared" si="120"/>
        <v>17</v>
      </c>
      <c r="DE224" s="7">
        <f t="shared" si="121"/>
        <v>17</v>
      </c>
      <c r="DF224" s="7">
        <f t="shared" si="122"/>
        <v>17</v>
      </c>
      <c r="DH224" s="7">
        <f t="shared" si="123"/>
        <v>17</v>
      </c>
      <c r="DI224" s="7">
        <f t="shared" si="124"/>
        <v>17</v>
      </c>
      <c r="DJ224" s="7">
        <f t="shared" si="125"/>
        <v>17</v>
      </c>
      <c r="DK224" s="7">
        <f t="shared" si="126"/>
        <v>17</v>
      </c>
      <c r="DL224" s="7">
        <f t="shared" si="127"/>
        <v>17</v>
      </c>
      <c r="DM224" s="7">
        <f t="shared" si="128"/>
        <v>17</v>
      </c>
      <c r="DN224" s="7">
        <f t="shared" si="129"/>
        <v>17</v>
      </c>
      <c r="DO224" s="7">
        <f t="shared" si="130"/>
        <v>17</v>
      </c>
      <c r="DP224" s="7">
        <f t="shared" si="131"/>
        <v>17</v>
      </c>
    </row>
    <row r="225" spans="1:130" ht="25.5" hidden="1" customHeight="1" x14ac:dyDescent="0.25">
      <c r="A225" s="92" t="str">
        <f t="shared" ref="A225:A236" si="134">VLOOKUP(C225,CU,6,FALSE)</f>
        <v>CM-SWVI [10]</v>
      </c>
      <c r="B225" s="92" t="str">
        <f t="shared" ref="B225:B236" si="135">VLOOKUP(C225,CU,7,FALSE)</f>
        <v>Southwest Vancouver Island</v>
      </c>
      <c r="C225" s="93" t="str">
        <f t="shared" si="102"/>
        <v>COLD CREEK_Chum</v>
      </c>
      <c r="D225" s="128" t="s">
        <v>598</v>
      </c>
      <c r="E225" s="128" t="s">
        <v>598</v>
      </c>
      <c r="F225" s="64">
        <v>24</v>
      </c>
      <c r="G225" s="72" t="s">
        <v>177</v>
      </c>
      <c r="H225" s="65" t="s">
        <v>96</v>
      </c>
      <c r="I225" s="119"/>
      <c r="J225" s="119"/>
      <c r="K225" s="64">
        <v>5</v>
      </c>
      <c r="L225" s="52">
        <v>4</v>
      </c>
      <c r="M225" s="52">
        <v>0</v>
      </c>
      <c r="N225" s="52" t="e">
        <f t="shared" ref="N225:N236" si="136">GEOMEAN(AJ225:AW225)</f>
        <v>#NUM!</v>
      </c>
      <c r="O225" s="52">
        <f t="shared" ref="O225:O236" si="137">MAX(AJ225:CM225)</f>
        <v>0</v>
      </c>
      <c r="P225" s="52" t="e">
        <f t="shared" ref="P225:P236" si="138">GEOMEAN(AJ225:CM225)</f>
        <v>#NUM!</v>
      </c>
      <c r="Q225" s="66"/>
      <c r="R225" s="37"/>
      <c r="S225" s="74" t="s">
        <v>379</v>
      </c>
      <c r="T225" s="81" t="e">
        <f t="shared" si="106"/>
        <v>#DIV/0!</v>
      </c>
      <c r="U225" s="81" t="e">
        <f t="shared" si="107"/>
        <v>#DIV/0!</v>
      </c>
      <c r="V225" s="52" t="s">
        <v>102</v>
      </c>
      <c r="W225" s="52" t="s">
        <v>102</v>
      </c>
      <c r="X225" s="52" t="s">
        <v>262</v>
      </c>
      <c r="Y225" s="52"/>
      <c r="Z225" s="52" t="s">
        <v>102</v>
      </c>
      <c r="AA225" s="52" t="s">
        <v>102</v>
      </c>
      <c r="AB225" s="52" t="s">
        <v>102</v>
      </c>
      <c r="AC225" s="52" t="s">
        <v>262</v>
      </c>
      <c r="AD225" s="52" t="s">
        <v>262</v>
      </c>
      <c r="AE225" s="144" t="s">
        <v>262</v>
      </c>
      <c r="AF225" s="52" t="s">
        <v>102</v>
      </c>
      <c r="AG225" s="144" t="s">
        <v>262</v>
      </c>
      <c r="AH225" s="52" t="s">
        <v>262</v>
      </c>
      <c r="AI225" s="52" t="s">
        <v>262</v>
      </c>
      <c r="AJ225" s="53" t="s">
        <v>262</v>
      </c>
      <c r="AK225" s="52" t="s">
        <v>102</v>
      </c>
      <c r="AL225" s="52" t="s">
        <v>102</v>
      </c>
      <c r="AM225" s="52" t="s">
        <v>102</v>
      </c>
      <c r="AN225" s="52" t="s">
        <v>262</v>
      </c>
      <c r="AO225" s="52" t="s">
        <v>102</v>
      </c>
      <c r="AP225" s="53" t="s">
        <v>102</v>
      </c>
      <c r="AQ225" s="52" t="s">
        <v>262</v>
      </c>
      <c r="AR225" s="54"/>
      <c r="AS225" s="52" t="s">
        <v>262</v>
      </c>
      <c r="AT225" s="54"/>
      <c r="AU225" s="54"/>
      <c r="AV225" s="53" t="s">
        <v>262</v>
      </c>
      <c r="AW225" s="54"/>
      <c r="AX225" s="51" t="s">
        <v>264</v>
      </c>
      <c r="AY225" s="53" t="s">
        <v>102</v>
      </c>
      <c r="AZ225" s="53" t="s">
        <v>102</v>
      </c>
      <c r="BA225" s="53" t="s">
        <v>264</v>
      </c>
      <c r="BB225" s="53" t="s">
        <v>264</v>
      </c>
      <c r="BC225" s="53" t="s">
        <v>264</v>
      </c>
      <c r="BD225" s="53" t="s">
        <v>264</v>
      </c>
      <c r="BE225" s="53" t="s">
        <v>264</v>
      </c>
      <c r="BF225" s="53" t="s">
        <v>264</v>
      </c>
      <c r="BG225" s="53" t="s">
        <v>264</v>
      </c>
      <c r="BH225" s="53" t="s">
        <v>262</v>
      </c>
      <c r="BI225" s="53" t="s">
        <v>264</v>
      </c>
      <c r="BJ225" s="53" t="s">
        <v>264</v>
      </c>
      <c r="BK225" s="53" t="s">
        <v>264</v>
      </c>
      <c r="BL225" s="53" t="s">
        <v>264</v>
      </c>
      <c r="BM225" s="53" t="s">
        <v>264</v>
      </c>
      <c r="BN225" s="53" t="s">
        <v>264</v>
      </c>
      <c r="BO225" s="53" t="s">
        <v>264</v>
      </c>
      <c r="BP225" s="53" t="s">
        <v>264</v>
      </c>
      <c r="BQ225" s="53" t="s">
        <v>264</v>
      </c>
      <c r="BR225" s="53" t="s">
        <v>264</v>
      </c>
      <c r="BS225" s="53" t="s">
        <v>264</v>
      </c>
      <c r="BT225" s="53" t="s">
        <v>264</v>
      </c>
      <c r="BU225" s="53" t="s">
        <v>264</v>
      </c>
      <c r="BV225" s="53" t="s">
        <v>264</v>
      </c>
      <c r="BW225" s="53" t="s">
        <v>264</v>
      </c>
      <c r="BX225" s="53" t="s">
        <v>264</v>
      </c>
      <c r="BY225" s="53" t="s">
        <v>264</v>
      </c>
      <c r="BZ225" s="53" t="s">
        <v>264</v>
      </c>
      <c r="CA225" s="53" t="s">
        <v>264</v>
      </c>
      <c r="CB225" s="53" t="s">
        <v>264</v>
      </c>
      <c r="CC225" s="53" t="s">
        <v>264</v>
      </c>
      <c r="CD225" s="53" t="s">
        <v>264</v>
      </c>
      <c r="CE225" s="53" t="s">
        <v>264</v>
      </c>
      <c r="CF225" s="53" t="s">
        <v>264</v>
      </c>
      <c r="CG225" s="53" t="s">
        <v>264</v>
      </c>
      <c r="CH225" s="53" t="s">
        <v>264</v>
      </c>
      <c r="CI225" s="53" t="s">
        <v>264</v>
      </c>
      <c r="CJ225" s="53" t="s">
        <v>264</v>
      </c>
      <c r="CK225" s="53" t="s">
        <v>264</v>
      </c>
      <c r="CL225" s="53" t="s">
        <v>264</v>
      </c>
      <c r="CM225" s="53" t="s">
        <v>264</v>
      </c>
      <c r="CN225" s="206"/>
      <c r="CO225" s="206"/>
      <c r="CP225" s="206"/>
      <c r="CQ225" s="8">
        <f t="shared" si="108"/>
        <v>0</v>
      </c>
      <c r="CR225" s="8">
        <f t="shared" si="109"/>
        <v>0</v>
      </c>
      <c r="CS225" s="8" t="e">
        <f t="shared" si="110"/>
        <v>#DIV/0!</v>
      </c>
      <c r="CT225" t="e">
        <f t="shared" si="111"/>
        <v>#NUM!</v>
      </c>
      <c r="CU225" s="143" t="e">
        <f t="shared" si="112"/>
        <v>#DIV/0!</v>
      </c>
      <c r="CV225" s="143" t="e">
        <f t="shared" si="113"/>
        <v>#DIV/0!</v>
      </c>
      <c r="CX225" s="7" t="e">
        <f t="shared" si="114"/>
        <v>#NUM!</v>
      </c>
      <c r="CY225" s="7" t="e">
        <f t="shared" si="115"/>
        <v>#NUM!</v>
      </c>
      <c r="CZ225" s="7" t="e">
        <f t="shared" si="116"/>
        <v>#NUM!</v>
      </c>
      <c r="DA225" s="7" t="e">
        <f t="shared" si="117"/>
        <v>#NUM!</v>
      </c>
      <c r="DB225" s="7" t="e">
        <f t="shared" si="118"/>
        <v>#NUM!</v>
      </c>
      <c r="DC225" s="7" t="e">
        <f t="shared" si="119"/>
        <v>#NUM!</v>
      </c>
      <c r="DD225" s="7" t="e">
        <f t="shared" si="120"/>
        <v>#NUM!</v>
      </c>
      <c r="DE225" s="7" t="e">
        <f t="shared" si="121"/>
        <v>#NUM!</v>
      </c>
      <c r="DF225" s="7" t="e">
        <f t="shared" si="122"/>
        <v>#NUM!</v>
      </c>
      <c r="DH225" s="7" t="e">
        <f t="shared" si="123"/>
        <v>#NUM!</v>
      </c>
      <c r="DI225" s="7" t="e">
        <f t="shared" si="124"/>
        <v>#NUM!</v>
      </c>
      <c r="DJ225" s="7" t="e">
        <f t="shared" si="125"/>
        <v>#NUM!</v>
      </c>
      <c r="DK225" s="7" t="e">
        <f t="shared" si="126"/>
        <v>#NUM!</v>
      </c>
      <c r="DL225" s="7" t="e">
        <f t="shared" si="127"/>
        <v>#NUM!</v>
      </c>
      <c r="DM225" s="7" t="e">
        <f t="shared" si="128"/>
        <v>#NUM!</v>
      </c>
      <c r="DN225" s="7" t="e">
        <f t="shared" si="129"/>
        <v>#NUM!</v>
      </c>
      <c r="DO225" s="7" t="e">
        <f t="shared" si="130"/>
        <v>#NUM!</v>
      </c>
      <c r="DP225" s="7" t="e">
        <f t="shared" si="131"/>
        <v>#NUM!</v>
      </c>
    </row>
    <row r="226" spans="1:130" ht="25.5" hidden="1" customHeight="1" x14ac:dyDescent="0.25">
      <c r="A226" s="92" t="str">
        <f t="shared" si="134"/>
        <v>CO-CLAY [18]</v>
      </c>
      <c r="B226" s="92" t="str">
        <f t="shared" si="135"/>
        <v>Clayoquot</v>
      </c>
      <c r="C226" s="93" t="str">
        <f t="shared" si="102"/>
        <v>COLD CREEK_Coho</v>
      </c>
      <c r="D226" s="128" t="s">
        <v>598</v>
      </c>
      <c r="E226" s="128" t="s">
        <v>598</v>
      </c>
      <c r="F226" s="64">
        <v>24</v>
      </c>
      <c r="G226" s="72" t="s">
        <v>177</v>
      </c>
      <c r="H226" s="65" t="s">
        <v>93</v>
      </c>
      <c r="I226" s="119"/>
      <c r="J226" s="119"/>
      <c r="K226" s="64">
        <v>5</v>
      </c>
      <c r="L226" s="52">
        <v>4</v>
      </c>
      <c r="M226" s="52">
        <v>3</v>
      </c>
      <c r="N226" s="52">
        <f t="shared" si="136"/>
        <v>8.0617806492788979</v>
      </c>
      <c r="O226" s="52">
        <f t="shared" si="137"/>
        <v>50</v>
      </c>
      <c r="P226" s="52">
        <f t="shared" si="138"/>
        <v>15.481542968736774</v>
      </c>
      <c r="Q226" s="66"/>
      <c r="R226" s="37"/>
      <c r="S226" s="74" t="s">
        <v>379</v>
      </c>
      <c r="T226" s="81">
        <f t="shared" si="106"/>
        <v>2</v>
      </c>
      <c r="U226" s="81">
        <f t="shared" si="107"/>
        <v>12</v>
      </c>
      <c r="V226" s="52" t="s">
        <v>102</v>
      </c>
      <c r="W226" s="52" t="s">
        <v>102</v>
      </c>
      <c r="X226" s="52">
        <v>2</v>
      </c>
      <c r="Y226" s="52"/>
      <c r="Z226" s="52" t="s">
        <v>102</v>
      </c>
      <c r="AA226" s="52" t="s">
        <v>102</v>
      </c>
      <c r="AB226" s="52" t="s">
        <v>102</v>
      </c>
      <c r="AC226" s="52">
        <v>7</v>
      </c>
      <c r="AD226" s="52">
        <v>12</v>
      </c>
      <c r="AE226" s="144">
        <v>23</v>
      </c>
      <c r="AF226" s="52" t="s">
        <v>102</v>
      </c>
      <c r="AG226" s="144">
        <v>16</v>
      </c>
      <c r="AH226" s="53">
        <v>19</v>
      </c>
      <c r="AI226" s="53">
        <v>15</v>
      </c>
      <c r="AJ226" s="53">
        <v>16</v>
      </c>
      <c r="AK226" s="52" t="s">
        <v>102</v>
      </c>
      <c r="AL226" s="52" t="s">
        <v>102</v>
      </c>
      <c r="AM226" s="52" t="s">
        <v>102</v>
      </c>
      <c r="AN226" s="52">
        <v>2</v>
      </c>
      <c r="AO226" s="52" t="s">
        <v>102</v>
      </c>
      <c r="AP226" s="53" t="s">
        <v>102</v>
      </c>
      <c r="AQ226" s="52">
        <v>4</v>
      </c>
      <c r="AR226" s="54"/>
      <c r="AS226" s="52">
        <v>33</v>
      </c>
      <c r="AT226" s="54"/>
      <c r="AU226" s="54"/>
      <c r="AV226" s="53" t="s">
        <v>262</v>
      </c>
      <c r="AW226" s="54"/>
      <c r="AX226" s="51" t="s">
        <v>264</v>
      </c>
      <c r="AY226" s="53" t="s">
        <v>102</v>
      </c>
      <c r="AZ226" s="53" t="s">
        <v>102</v>
      </c>
      <c r="BA226" s="53" t="s">
        <v>264</v>
      </c>
      <c r="BB226" s="53" t="s">
        <v>264</v>
      </c>
      <c r="BC226" s="53" t="s">
        <v>264</v>
      </c>
      <c r="BD226" s="53" t="s">
        <v>264</v>
      </c>
      <c r="BE226" s="53" t="s">
        <v>262</v>
      </c>
      <c r="BF226" s="53" t="s">
        <v>262</v>
      </c>
      <c r="BG226" s="53" t="s">
        <v>262</v>
      </c>
      <c r="BH226" s="53" t="s">
        <v>264</v>
      </c>
      <c r="BI226" s="53" t="s">
        <v>264</v>
      </c>
      <c r="BJ226" s="53" t="s">
        <v>264</v>
      </c>
      <c r="BK226" s="53" t="s">
        <v>264</v>
      </c>
      <c r="BL226" s="53" t="s">
        <v>264</v>
      </c>
      <c r="BM226" s="53" t="s">
        <v>264</v>
      </c>
      <c r="BN226" s="53" t="s">
        <v>264</v>
      </c>
      <c r="BO226" s="53" t="s">
        <v>264</v>
      </c>
      <c r="BP226" s="53" t="s">
        <v>264</v>
      </c>
      <c r="BQ226" s="53" t="s">
        <v>264</v>
      </c>
      <c r="BR226" s="53" t="s">
        <v>262</v>
      </c>
      <c r="BS226" s="53" t="s">
        <v>264</v>
      </c>
      <c r="BT226" s="53" t="s">
        <v>264</v>
      </c>
      <c r="BU226" s="53" t="s">
        <v>262</v>
      </c>
      <c r="BV226" s="53" t="s">
        <v>262</v>
      </c>
      <c r="BW226" s="53" t="s">
        <v>262</v>
      </c>
      <c r="BX226" s="53">
        <v>25</v>
      </c>
      <c r="BY226" s="53">
        <v>25</v>
      </c>
      <c r="BZ226" s="53">
        <v>25</v>
      </c>
      <c r="CA226" s="53" t="s">
        <v>264</v>
      </c>
      <c r="CB226" s="53">
        <v>50</v>
      </c>
      <c r="CC226" s="53" t="s">
        <v>264</v>
      </c>
      <c r="CD226" s="53" t="s">
        <v>264</v>
      </c>
      <c r="CE226" s="53" t="s">
        <v>264</v>
      </c>
      <c r="CF226" s="53" t="s">
        <v>264</v>
      </c>
      <c r="CG226" s="53" t="s">
        <v>264</v>
      </c>
      <c r="CH226" s="53" t="s">
        <v>264</v>
      </c>
      <c r="CI226" s="53" t="s">
        <v>264</v>
      </c>
      <c r="CJ226" s="53" t="s">
        <v>264</v>
      </c>
      <c r="CK226" s="53" t="s">
        <v>264</v>
      </c>
      <c r="CL226" s="53" t="s">
        <v>264</v>
      </c>
      <c r="CM226" s="53" t="s">
        <v>264</v>
      </c>
      <c r="CN226" s="206"/>
      <c r="CO226" s="206"/>
      <c r="CP226" s="206"/>
      <c r="CQ226" s="8">
        <f t="shared" si="108"/>
        <v>2</v>
      </c>
      <c r="CR226" s="8">
        <f t="shared" si="109"/>
        <v>50</v>
      </c>
      <c r="CS226" s="8">
        <f t="shared" si="110"/>
        <v>18.266666666666666</v>
      </c>
      <c r="CT226">
        <f t="shared" si="111"/>
        <v>13.11095700953914</v>
      </c>
      <c r="CU226" s="143">
        <f t="shared" si="112"/>
        <v>2</v>
      </c>
      <c r="CV226" s="143">
        <f t="shared" si="113"/>
        <v>12</v>
      </c>
      <c r="CX226" s="7">
        <f t="shared" si="114"/>
        <v>2</v>
      </c>
      <c r="CY226" s="7">
        <f t="shared" si="115"/>
        <v>4.3000000000000007</v>
      </c>
      <c r="CZ226" s="7">
        <f t="shared" si="116"/>
        <v>6.4</v>
      </c>
      <c r="DA226" s="7">
        <f t="shared" si="117"/>
        <v>9.5</v>
      </c>
      <c r="DB226" s="7">
        <f t="shared" si="118"/>
        <v>16</v>
      </c>
      <c r="DC226" s="7">
        <f t="shared" si="119"/>
        <v>20.6</v>
      </c>
      <c r="DD226" s="7">
        <f t="shared" si="120"/>
        <v>23.2</v>
      </c>
      <c r="DE226" s="7">
        <f t="shared" si="121"/>
        <v>25</v>
      </c>
      <c r="DF226" s="7">
        <f t="shared" si="122"/>
        <v>25</v>
      </c>
      <c r="DH226" s="7">
        <f t="shared" si="123"/>
        <v>2</v>
      </c>
      <c r="DI226" s="7">
        <f t="shared" si="124"/>
        <v>3</v>
      </c>
      <c r="DJ226" s="7">
        <f t="shared" si="125"/>
        <v>4</v>
      </c>
      <c r="DK226" s="7">
        <f t="shared" si="126"/>
        <v>5.5</v>
      </c>
      <c r="DL226" s="7">
        <f t="shared" si="127"/>
        <v>15</v>
      </c>
      <c r="DM226" s="7">
        <f t="shared" si="128"/>
        <v>16</v>
      </c>
      <c r="DN226" s="7">
        <f t="shared" si="129"/>
        <v>16</v>
      </c>
      <c r="DO226" s="7">
        <f t="shared" si="130"/>
        <v>17.5</v>
      </c>
      <c r="DP226" s="7">
        <f t="shared" si="131"/>
        <v>21</v>
      </c>
    </row>
    <row r="227" spans="1:130" ht="25.5" hidden="1" customHeight="1" x14ac:dyDescent="0.25">
      <c r="A227" s="92" t="str">
        <f t="shared" si="134"/>
        <v>SK-WVI [R10]</v>
      </c>
      <c r="B227" s="92" t="str">
        <f t="shared" si="135"/>
        <v>West Vancouver Island</v>
      </c>
      <c r="C227" s="93" t="str">
        <f t="shared" si="102"/>
        <v>COLD CREEK_Sockeye</v>
      </c>
      <c r="D227" s="128" t="s">
        <v>598</v>
      </c>
      <c r="E227" s="128" t="s">
        <v>598</v>
      </c>
      <c r="F227" s="64">
        <v>24</v>
      </c>
      <c r="G227" s="72" t="s">
        <v>177</v>
      </c>
      <c r="H227" s="65" t="s">
        <v>91</v>
      </c>
      <c r="I227" s="119"/>
      <c r="J227" s="119"/>
      <c r="K227" s="64">
        <v>5</v>
      </c>
      <c r="L227" s="52">
        <v>4</v>
      </c>
      <c r="M227" s="52">
        <v>2</v>
      </c>
      <c r="N227" s="52">
        <f t="shared" si="136"/>
        <v>18.734993995195193</v>
      </c>
      <c r="O227" s="52">
        <f t="shared" si="137"/>
        <v>7500</v>
      </c>
      <c r="P227" s="52">
        <f t="shared" si="138"/>
        <v>648.51676273974135</v>
      </c>
      <c r="Q227" s="66"/>
      <c r="R227" s="37"/>
      <c r="S227" s="74" t="s">
        <v>379</v>
      </c>
      <c r="T227" s="81" t="e">
        <f t="shared" si="106"/>
        <v>#DIV/0!</v>
      </c>
      <c r="U227" s="81" t="e">
        <f t="shared" si="107"/>
        <v>#DIV/0!</v>
      </c>
      <c r="V227" s="52" t="s">
        <v>102</v>
      </c>
      <c r="W227" s="52" t="s">
        <v>102</v>
      </c>
      <c r="X227" s="52" t="s">
        <v>262</v>
      </c>
      <c r="Y227" s="52"/>
      <c r="Z227" s="52" t="s">
        <v>102</v>
      </c>
      <c r="AA227" s="52" t="s">
        <v>102</v>
      </c>
      <c r="AB227" s="52" t="s">
        <v>102</v>
      </c>
      <c r="AC227" s="52" t="s">
        <v>262</v>
      </c>
      <c r="AD227" s="52" t="s">
        <v>262</v>
      </c>
      <c r="AE227" s="144" t="s">
        <v>262</v>
      </c>
      <c r="AF227" s="52" t="s">
        <v>102</v>
      </c>
      <c r="AG227" s="144" t="s">
        <v>262</v>
      </c>
      <c r="AH227" s="53">
        <v>87</v>
      </c>
      <c r="AI227" s="53">
        <v>8</v>
      </c>
      <c r="AJ227" s="53" t="s">
        <v>262</v>
      </c>
      <c r="AK227" s="52" t="s">
        <v>102</v>
      </c>
      <c r="AL227" s="52" t="s">
        <v>102</v>
      </c>
      <c r="AM227" s="52" t="s">
        <v>102</v>
      </c>
      <c r="AN227" s="52" t="s">
        <v>262</v>
      </c>
      <c r="AO227" s="52" t="s">
        <v>102</v>
      </c>
      <c r="AP227" s="53" t="s">
        <v>102</v>
      </c>
      <c r="AQ227" s="52">
        <v>3</v>
      </c>
      <c r="AR227" s="54"/>
      <c r="AS227" s="52" t="s">
        <v>262</v>
      </c>
      <c r="AT227" s="54"/>
      <c r="AU227" s="54"/>
      <c r="AV227" s="52">
        <v>117</v>
      </c>
      <c r="AW227" s="54"/>
      <c r="AX227" s="51" t="s">
        <v>264</v>
      </c>
      <c r="AY227" s="53" t="s">
        <v>102</v>
      </c>
      <c r="AZ227" s="53" t="s">
        <v>102</v>
      </c>
      <c r="BA227" s="53">
        <v>3500</v>
      </c>
      <c r="BB227" s="53">
        <v>250</v>
      </c>
      <c r="BC227" s="53">
        <v>200</v>
      </c>
      <c r="BD227" s="53">
        <v>1200</v>
      </c>
      <c r="BE227" s="53">
        <v>3000</v>
      </c>
      <c r="BF227" s="53">
        <v>600</v>
      </c>
      <c r="BG227" s="53">
        <v>150</v>
      </c>
      <c r="BH227" s="53">
        <v>25</v>
      </c>
      <c r="BI227" s="53">
        <v>350</v>
      </c>
      <c r="BJ227" s="53">
        <v>350</v>
      </c>
      <c r="BK227" s="53">
        <v>250</v>
      </c>
      <c r="BL227" s="53">
        <v>600</v>
      </c>
      <c r="BM227" s="53">
        <v>200</v>
      </c>
      <c r="BN227" s="53">
        <v>500</v>
      </c>
      <c r="BO227" s="53">
        <v>400</v>
      </c>
      <c r="BP227" s="53">
        <v>335</v>
      </c>
      <c r="BQ227" s="53">
        <v>700</v>
      </c>
      <c r="BR227" s="53">
        <v>4400</v>
      </c>
      <c r="BS227" s="53">
        <v>300</v>
      </c>
      <c r="BT227" s="53">
        <v>400</v>
      </c>
      <c r="BU227" s="53">
        <v>750</v>
      </c>
      <c r="BV227" s="53">
        <v>25</v>
      </c>
      <c r="BW227" s="53">
        <v>400</v>
      </c>
      <c r="BX227" s="53">
        <v>70</v>
      </c>
      <c r="BY227" s="53">
        <v>1500</v>
      </c>
      <c r="BZ227" s="53">
        <v>75</v>
      </c>
      <c r="CA227" s="53">
        <v>250</v>
      </c>
      <c r="CB227" s="53">
        <v>2500</v>
      </c>
      <c r="CC227" s="53">
        <v>2000</v>
      </c>
      <c r="CD227" s="53">
        <v>3500</v>
      </c>
      <c r="CE227" s="53">
        <v>3500</v>
      </c>
      <c r="CF227" s="53">
        <v>3500</v>
      </c>
      <c r="CG227" s="53">
        <v>7500</v>
      </c>
      <c r="CH227" s="53">
        <v>7500</v>
      </c>
      <c r="CI227" s="53">
        <v>7500</v>
      </c>
      <c r="CJ227" s="53">
        <v>7500</v>
      </c>
      <c r="CK227" s="53">
        <v>3500</v>
      </c>
      <c r="CL227" s="53">
        <v>3500</v>
      </c>
      <c r="CM227" s="53">
        <v>3500</v>
      </c>
      <c r="CN227" s="206"/>
      <c r="CO227" s="206"/>
      <c r="CP227" s="206"/>
      <c r="CQ227" s="8">
        <f t="shared" si="108"/>
        <v>3</v>
      </c>
      <c r="CR227" s="8">
        <f t="shared" si="109"/>
        <v>7500</v>
      </c>
      <c r="CS227" s="8">
        <f t="shared" si="110"/>
        <v>1778.953488372093</v>
      </c>
      <c r="CT227">
        <f t="shared" si="111"/>
        <v>558.78065819922165</v>
      </c>
      <c r="CU227" s="143" t="e">
        <f t="shared" si="112"/>
        <v>#DIV/0!</v>
      </c>
      <c r="CV227" s="143" t="e">
        <f t="shared" si="113"/>
        <v>#DIV/0!</v>
      </c>
      <c r="CX227" s="7">
        <f t="shared" si="114"/>
        <v>25</v>
      </c>
      <c r="CY227" s="7">
        <f t="shared" si="115"/>
        <v>96</v>
      </c>
      <c r="CZ227" s="7">
        <f t="shared" si="116"/>
        <v>170.00000000000003</v>
      </c>
      <c r="DA227" s="7">
        <f t="shared" si="117"/>
        <v>225</v>
      </c>
      <c r="DB227" s="7">
        <f t="shared" si="118"/>
        <v>500</v>
      </c>
      <c r="DC227" s="7">
        <f t="shared" si="119"/>
        <v>839.99999999999966</v>
      </c>
      <c r="DD227" s="7">
        <f t="shared" si="120"/>
        <v>1650.0000000000005</v>
      </c>
      <c r="DE227" s="7">
        <f t="shared" si="121"/>
        <v>3500</v>
      </c>
      <c r="DF227" s="7">
        <f t="shared" si="122"/>
        <v>3500</v>
      </c>
      <c r="DH227" s="7">
        <f t="shared" si="123"/>
        <v>3.7499999999999996</v>
      </c>
      <c r="DI227" s="7">
        <f t="shared" si="124"/>
        <v>5.25</v>
      </c>
      <c r="DJ227" s="7">
        <f t="shared" si="125"/>
        <v>6</v>
      </c>
      <c r="DK227" s="7">
        <f t="shared" si="126"/>
        <v>6.75</v>
      </c>
      <c r="DL227" s="7">
        <f t="shared" si="127"/>
        <v>47.5</v>
      </c>
      <c r="DM227" s="7">
        <f t="shared" si="128"/>
        <v>71.199999999999989</v>
      </c>
      <c r="DN227" s="7">
        <f t="shared" si="129"/>
        <v>83.050000000000011</v>
      </c>
      <c r="DO227" s="7">
        <f t="shared" si="130"/>
        <v>94.5</v>
      </c>
      <c r="DP227" s="7">
        <f t="shared" si="131"/>
        <v>103.5</v>
      </c>
    </row>
    <row r="228" spans="1:130" ht="25.5" hidden="1" customHeight="1" x14ac:dyDescent="0.25">
      <c r="A228" s="92" t="str">
        <f t="shared" si="134"/>
        <v>CM-SWVI [10]</v>
      </c>
      <c r="B228" s="92" t="str">
        <f t="shared" si="135"/>
        <v>Southwest Vancouver Island</v>
      </c>
      <c r="C228" s="93" t="str">
        <f t="shared" si="102"/>
        <v>CONE CREEKS (2)_Chum</v>
      </c>
      <c r="D228" s="128" t="s">
        <v>598</v>
      </c>
      <c r="E228" s="128" t="s">
        <v>598</v>
      </c>
      <c r="F228" s="64">
        <v>24</v>
      </c>
      <c r="G228" s="72" t="s">
        <v>187</v>
      </c>
      <c r="H228" s="65" t="s">
        <v>96</v>
      </c>
      <c r="I228" s="119"/>
      <c r="J228" s="119"/>
      <c r="K228" s="64">
        <v>5</v>
      </c>
      <c r="L228" s="52">
        <v>4</v>
      </c>
      <c r="M228" s="52">
        <v>4</v>
      </c>
      <c r="N228" s="52">
        <f t="shared" si="136"/>
        <v>1066.4755002205065</v>
      </c>
      <c r="O228" s="52">
        <f t="shared" si="137"/>
        <v>3500</v>
      </c>
      <c r="P228" s="52">
        <f t="shared" si="138"/>
        <v>847.32251786773986</v>
      </c>
      <c r="Q228" s="66"/>
      <c r="R228" s="37"/>
      <c r="S228" s="76" t="s">
        <v>361</v>
      </c>
      <c r="T228" s="81">
        <f t="shared" si="106"/>
        <v>122</v>
      </c>
      <c r="U228" s="81">
        <f t="shared" si="107"/>
        <v>84.166666666666671</v>
      </c>
      <c r="V228" s="233">
        <v>356</v>
      </c>
      <c r="W228" s="52">
        <v>4</v>
      </c>
      <c r="X228" s="52">
        <v>6</v>
      </c>
      <c r="Y228" s="52"/>
      <c r="Z228" s="52" t="s">
        <v>102</v>
      </c>
      <c r="AA228" s="52">
        <v>21</v>
      </c>
      <c r="AB228" s="52">
        <v>69</v>
      </c>
      <c r="AC228" s="52" t="s">
        <v>102</v>
      </c>
      <c r="AD228" s="52">
        <v>49</v>
      </c>
      <c r="AE228" s="52" t="s">
        <v>102</v>
      </c>
      <c r="AF228" s="52" t="s">
        <v>102</v>
      </c>
      <c r="AG228" s="52" t="s">
        <v>102</v>
      </c>
      <c r="AH228" s="52" t="s">
        <v>102</v>
      </c>
      <c r="AI228" s="53">
        <v>90</v>
      </c>
      <c r="AJ228" s="52" t="s">
        <v>102</v>
      </c>
      <c r="AK228" s="52" t="s">
        <v>102</v>
      </c>
      <c r="AL228" s="52" t="s">
        <v>102</v>
      </c>
      <c r="AM228" s="52" t="s">
        <v>102</v>
      </c>
      <c r="AN228" s="52" t="s">
        <v>102</v>
      </c>
      <c r="AO228" s="52" t="s">
        <v>102</v>
      </c>
      <c r="AP228" s="53">
        <v>2187</v>
      </c>
      <c r="AQ228" s="52">
        <v>1400</v>
      </c>
      <c r="AR228" s="53" t="s">
        <v>102</v>
      </c>
      <c r="AS228" s="54"/>
      <c r="AT228" s="54"/>
      <c r="AU228" s="54"/>
      <c r="AV228" s="52">
        <v>650</v>
      </c>
      <c r="AW228" s="52">
        <v>650</v>
      </c>
      <c r="AX228" s="51">
        <v>850</v>
      </c>
      <c r="AY228" s="53">
        <v>800</v>
      </c>
      <c r="AZ228" s="53">
        <v>600</v>
      </c>
      <c r="BA228" s="53">
        <v>650</v>
      </c>
      <c r="BB228" s="53">
        <v>50</v>
      </c>
      <c r="BC228" s="53" t="s">
        <v>262</v>
      </c>
      <c r="BD228" s="53">
        <v>250</v>
      </c>
      <c r="BE228" s="53">
        <v>320</v>
      </c>
      <c r="BF228" s="53">
        <v>175</v>
      </c>
      <c r="BG228" s="53">
        <v>1000</v>
      </c>
      <c r="BH228" s="53">
        <v>900</v>
      </c>
      <c r="BI228" s="53">
        <v>500</v>
      </c>
      <c r="BJ228" s="53">
        <v>900</v>
      </c>
      <c r="BK228" s="53">
        <v>1300</v>
      </c>
      <c r="BL228" s="53">
        <v>1700</v>
      </c>
      <c r="BM228" s="53">
        <v>1750</v>
      </c>
      <c r="BN228" s="53">
        <v>2500</v>
      </c>
      <c r="BO228" s="53">
        <v>600</v>
      </c>
      <c r="BP228" s="53">
        <v>1000</v>
      </c>
      <c r="BQ228" s="53">
        <v>1100</v>
      </c>
      <c r="BR228" s="53">
        <v>2000</v>
      </c>
      <c r="BS228" s="53">
        <v>1500</v>
      </c>
      <c r="BT228" s="53">
        <v>1500</v>
      </c>
      <c r="BU228" s="53">
        <v>400</v>
      </c>
      <c r="BV228" s="53">
        <v>3500</v>
      </c>
      <c r="BW228" s="53">
        <v>1500</v>
      </c>
      <c r="BX228" s="53">
        <v>3000</v>
      </c>
      <c r="BY228" s="53">
        <v>750</v>
      </c>
      <c r="BZ228" s="53">
        <v>400</v>
      </c>
      <c r="CA228" s="53">
        <v>800</v>
      </c>
      <c r="CB228" s="53" t="s">
        <v>102</v>
      </c>
      <c r="CC228" s="53" t="s">
        <v>102</v>
      </c>
      <c r="CD228" s="53" t="s">
        <v>102</v>
      </c>
      <c r="CE228" s="53" t="s">
        <v>102</v>
      </c>
      <c r="CF228" s="53" t="s">
        <v>102</v>
      </c>
      <c r="CG228" s="53" t="s">
        <v>102</v>
      </c>
      <c r="CH228" s="53" t="s">
        <v>102</v>
      </c>
      <c r="CI228" s="53" t="s">
        <v>102</v>
      </c>
      <c r="CJ228" s="53" t="s">
        <v>102</v>
      </c>
      <c r="CK228" s="53" t="s">
        <v>102</v>
      </c>
      <c r="CL228" s="53" t="s">
        <v>102</v>
      </c>
      <c r="CM228" s="53" t="s">
        <v>102</v>
      </c>
      <c r="CN228" s="206"/>
      <c r="CO228" s="206"/>
      <c r="CP228" s="206"/>
      <c r="CQ228" s="8">
        <f t="shared" si="108"/>
        <v>4</v>
      </c>
      <c r="CR228" s="8">
        <f t="shared" si="109"/>
        <v>3500</v>
      </c>
      <c r="CS228" s="8">
        <f t="shared" si="110"/>
        <v>944.42499999999995</v>
      </c>
      <c r="CT228">
        <f t="shared" si="111"/>
        <v>483.13602577845774</v>
      </c>
      <c r="CU228" s="143">
        <f t="shared" si="112"/>
        <v>122</v>
      </c>
      <c r="CV228" s="143">
        <f t="shared" si="113"/>
        <v>84.166666666666671</v>
      </c>
      <c r="CX228" s="7">
        <f t="shared" si="114"/>
        <v>20.250000000000004</v>
      </c>
      <c r="CY228" s="7">
        <f t="shared" si="115"/>
        <v>86.85</v>
      </c>
      <c r="CZ228" s="7">
        <f t="shared" si="116"/>
        <v>235.00000000000006</v>
      </c>
      <c r="DA228" s="7">
        <f t="shared" si="117"/>
        <v>347</v>
      </c>
      <c r="DB228" s="7">
        <f t="shared" si="118"/>
        <v>775</v>
      </c>
      <c r="DC228" s="7">
        <f t="shared" si="119"/>
        <v>900</v>
      </c>
      <c r="DD228" s="7">
        <f t="shared" si="120"/>
        <v>1000</v>
      </c>
      <c r="DE228" s="7">
        <f t="shared" si="121"/>
        <v>1425</v>
      </c>
      <c r="DF228" s="7">
        <f t="shared" si="122"/>
        <v>1707.5</v>
      </c>
      <c r="DH228" s="7">
        <f t="shared" si="123"/>
        <v>5</v>
      </c>
      <c r="DI228" s="7">
        <f t="shared" si="124"/>
        <v>13.5</v>
      </c>
      <c r="DJ228" s="7">
        <f t="shared" si="125"/>
        <v>21</v>
      </c>
      <c r="DK228" s="7">
        <f t="shared" si="126"/>
        <v>35</v>
      </c>
      <c r="DL228" s="7">
        <f t="shared" si="127"/>
        <v>90</v>
      </c>
      <c r="DM228" s="7">
        <f t="shared" si="128"/>
        <v>356</v>
      </c>
      <c r="DN228" s="7">
        <f t="shared" si="129"/>
        <v>503</v>
      </c>
      <c r="DO228" s="7">
        <f t="shared" si="130"/>
        <v>650</v>
      </c>
      <c r="DP228" s="7">
        <f t="shared" si="131"/>
        <v>1025</v>
      </c>
    </row>
    <row r="229" spans="1:130" ht="25.5" hidden="1" customHeight="1" x14ac:dyDescent="0.25">
      <c r="A229" s="92" t="str">
        <f t="shared" si="134"/>
        <v>CO-CLAY [18]</v>
      </c>
      <c r="B229" s="92" t="str">
        <f t="shared" si="135"/>
        <v>Clayoquot</v>
      </c>
      <c r="C229" s="93" t="str">
        <f t="shared" si="102"/>
        <v>CONE CREEKS (2)_Coho</v>
      </c>
      <c r="D229" s="128" t="s">
        <v>598</v>
      </c>
      <c r="E229" s="128" t="s">
        <v>598</v>
      </c>
      <c r="F229" s="64">
        <v>24</v>
      </c>
      <c r="G229" s="72" t="s">
        <v>187</v>
      </c>
      <c r="H229" s="65" t="s">
        <v>93</v>
      </c>
      <c r="I229" s="119"/>
      <c r="J229" s="119"/>
      <c r="K229" s="64">
        <v>5</v>
      </c>
      <c r="L229" s="52">
        <v>4</v>
      </c>
      <c r="M229" s="52">
        <v>0</v>
      </c>
      <c r="N229" s="52" t="e">
        <f t="shared" si="136"/>
        <v>#NUM!</v>
      </c>
      <c r="O229" s="52">
        <f t="shared" si="137"/>
        <v>0</v>
      </c>
      <c r="P229" s="52" t="e">
        <f t="shared" si="138"/>
        <v>#NUM!</v>
      </c>
      <c r="Q229" s="66"/>
      <c r="R229" s="37"/>
      <c r="S229" s="76" t="s">
        <v>361</v>
      </c>
      <c r="T229" s="81" t="e">
        <f t="shared" si="106"/>
        <v>#DIV/0!</v>
      </c>
      <c r="U229" s="81" t="e">
        <f t="shared" si="107"/>
        <v>#DIV/0!</v>
      </c>
      <c r="V229" s="232" t="s">
        <v>262</v>
      </c>
      <c r="W229" s="52" t="s">
        <v>262</v>
      </c>
      <c r="X229" s="52" t="s">
        <v>262</v>
      </c>
      <c r="Y229" s="52"/>
      <c r="Z229" s="52" t="s">
        <v>102</v>
      </c>
      <c r="AA229" s="52" t="s">
        <v>262</v>
      </c>
      <c r="AB229" s="52" t="s">
        <v>262</v>
      </c>
      <c r="AC229" s="52" t="s">
        <v>102</v>
      </c>
      <c r="AD229" s="52" t="s">
        <v>262</v>
      </c>
      <c r="AE229" s="52" t="s">
        <v>102</v>
      </c>
      <c r="AF229" s="52" t="s">
        <v>102</v>
      </c>
      <c r="AG229" s="52" t="s">
        <v>102</v>
      </c>
      <c r="AH229" s="52" t="s">
        <v>102</v>
      </c>
      <c r="AI229" s="52" t="s">
        <v>262</v>
      </c>
      <c r="AJ229" s="52" t="s">
        <v>102</v>
      </c>
      <c r="AK229" s="52" t="s">
        <v>102</v>
      </c>
      <c r="AL229" s="52" t="s">
        <v>102</v>
      </c>
      <c r="AM229" s="52" t="s">
        <v>102</v>
      </c>
      <c r="AN229" s="52" t="s">
        <v>102</v>
      </c>
      <c r="AO229" s="52" t="s">
        <v>102</v>
      </c>
      <c r="AP229" s="53" t="s">
        <v>262</v>
      </c>
      <c r="AQ229" s="52" t="s">
        <v>262</v>
      </c>
      <c r="AR229" s="53" t="s">
        <v>102</v>
      </c>
      <c r="AS229" s="54"/>
      <c r="AT229" s="54"/>
      <c r="AU229" s="54"/>
      <c r="AV229" s="52" t="s">
        <v>262</v>
      </c>
      <c r="AW229" s="52" t="s">
        <v>262</v>
      </c>
      <c r="AX229" s="51" t="s">
        <v>264</v>
      </c>
      <c r="AY229" s="53" t="s">
        <v>264</v>
      </c>
      <c r="AZ229" s="53" t="s">
        <v>264</v>
      </c>
      <c r="BA229" s="53" t="s">
        <v>264</v>
      </c>
      <c r="BB229" s="53" t="s">
        <v>264</v>
      </c>
      <c r="BC229" s="53" t="s">
        <v>264</v>
      </c>
      <c r="BD229" s="53" t="s">
        <v>264</v>
      </c>
      <c r="BE229" s="53" t="s">
        <v>264</v>
      </c>
      <c r="BF229" s="53" t="s">
        <v>264</v>
      </c>
      <c r="BG229" s="53" t="s">
        <v>264</v>
      </c>
      <c r="BH229" s="53" t="s">
        <v>262</v>
      </c>
      <c r="BI229" s="53" t="s">
        <v>264</v>
      </c>
      <c r="BJ229" s="53" t="s">
        <v>264</v>
      </c>
      <c r="BK229" s="53" t="s">
        <v>264</v>
      </c>
      <c r="BL229" s="53" t="s">
        <v>264</v>
      </c>
      <c r="BM229" s="53" t="s">
        <v>264</v>
      </c>
      <c r="BN229" s="53" t="s">
        <v>264</v>
      </c>
      <c r="BO229" s="53" t="s">
        <v>264</v>
      </c>
      <c r="BP229" s="53" t="s">
        <v>264</v>
      </c>
      <c r="BQ229" s="53" t="s">
        <v>264</v>
      </c>
      <c r="BR229" s="53" t="s">
        <v>264</v>
      </c>
      <c r="BS229" s="53" t="s">
        <v>264</v>
      </c>
      <c r="BT229" s="53" t="s">
        <v>264</v>
      </c>
      <c r="BU229" s="53" t="s">
        <v>264</v>
      </c>
      <c r="BV229" s="53" t="s">
        <v>264</v>
      </c>
      <c r="BW229" s="53" t="s">
        <v>264</v>
      </c>
      <c r="BX229" s="53" t="s">
        <v>264</v>
      </c>
      <c r="BY229" s="53" t="s">
        <v>264</v>
      </c>
      <c r="BZ229" s="53" t="s">
        <v>264</v>
      </c>
      <c r="CA229" s="53" t="s">
        <v>264</v>
      </c>
      <c r="CB229" s="53" t="s">
        <v>102</v>
      </c>
      <c r="CC229" s="53" t="s">
        <v>102</v>
      </c>
      <c r="CD229" s="53" t="s">
        <v>102</v>
      </c>
      <c r="CE229" s="53" t="s">
        <v>102</v>
      </c>
      <c r="CF229" s="53" t="s">
        <v>102</v>
      </c>
      <c r="CG229" s="53" t="s">
        <v>102</v>
      </c>
      <c r="CH229" s="53" t="s">
        <v>102</v>
      </c>
      <c r="CI229" s="53" t="s">
        <v>102</v>
      </c>
      <c r="CJ229" s="53" t="s">
        <v>102</v>
      </c>
      <c r="CK229" s="53" t="s">
        <v>102</v>
      </c>
      <c r="CL229" s="53" t="s">
        <v>102</v>
      </c>
      <c r="CM229" s="53" t="s">
        <v>102</v>
      </c>
      <c r="CN229" s="206"/>
      <c r="CO229" s="206"/>
      <c r="CP229" s="206"/>
      <c r="CQ229" s="8">
        <f t="shared" si="108"/>
        <v>0</v>
      </c>
      <c r="CR229" s="8">
        <f t="shared" si="109"/>
        <v>0</v>
      </c>
      <c r="CS229" s="8" t="e">
        <f t="shared" si="110"/>
        <v>#DIV/0!</v>
      </c>
      <c r="CT229" t="e">
        <f t="shared" si="111"/>
        <v>#NUM!</v>
      </c>
      <c r="CU229" s="143" t="e">
        <f t="shared" si="112"/>
        <v>#DIV/0!</v>
      </c>
      <c r="CV229" s="143" t="e">
        <f t="shared" si="113"/>
        <v>#DIV/0!</v>
      </c>
      <c r="CX229" s="7" t="e">
        <f t="shared" si="114"/>
        <v>#NUM!</v>
      </c>
      <c r="CY229" s="7" t="e">
        <f t="shared" si="115"/>
        <v>#NUM!</v>
      </c>
      <c r="CZ229" s="7" t="e">
        <f t="shared" si="116"/>
        <v>#NUM!</v>
      </c>
      <c r="DA229" s="7" t="e">
        <f t="shared" si="117"/>
        <v>#NUM!</v>
      </c>
      <c r="DB229" s="7" t="e">
        <f t="shared" si="118"/>
        <v>#NUM!</v>
      </c>
      <c r="DC229" s="7" t="e">
        <f t="shared" si="119"/>
        <v>#NUM!</v>
      </c>
      <c r="DD229" s="7" t="e">
        <f t="shared" si="120"/>
        <v>#NUM!</v>
      </c>
      <c r="DE229" s="7" t="e">
        <f t="shared" si="121"/>
        <v>#NUM!</v>
      </c>
      <c r="DF229" s="7" t="e">
        <f t="shared" si="122"/>
        <v>#NUM!</v>
      </c>
      <c r="DH229" s="7" t="e">
        <f t="shared" si="123"/>
        <v>#NUM!</v>
      </c>
      <c r="DI229" s="7" t="e">
        <f t="shared" si="124"/>
        <v>#NUM!</v>
      </c>
      <c r="DJ229" s="7" t="e">
        <f t="shared" si="125"/>
        <v>#NUM!</v>
      </c>
      <c r="DK229" s="7" t="e">
        <f t="shared" si="126"/>
        <v>#NUM!</v>
      </c>
      <c r="DL229" s="7" t="e">
        <f t="shared" si="127"/>
        <v>#NUM!</v>
      </c>
      <c r="DM229" s="7" t="e">
        <f t="shared" si="128"/>
        <v>#NUM!</v>
      </c>
      <c r="DN229" s="7" t="e">
        <f t="shared" si="129"/>
        <v>#NUM!</v>
      </c>
      <c r="DO229" s="7" t="e">
        <f t="shared" si="130"/>
        <v>#NUM!</v>
      </c>
      <c r="DP229" s="7" t="e">
        <f t="shared" si="131"/>
        <v>#NUM!</v>
      </c>
    </row>
    <row r="230" spans="1:130" ht="25.5" hidden="1" customHeight="1" x14ac:dyDescent="0.25">
      <c r="A230" s="92" t="str">
        <f t="shared" si="134"/>
        <v>CM-SWVI [10]</v>
      </c>
      <c r="B230" s="92" t="str">
        <f t="shared" si="135"/>
        <v>Southwest Vancouver Island</v>
      </c>
      <c r="C230" s="93" t="str">
        <f t="shared" si="102"/>
        <v>COW CREEK_Chum</v>
      </c>
      <c r="D230" s="128" t="s">
        <v>598</v>
      </c>
      <c r="E230" s="128" t="s">
        <v>598</v>
      </c>
      <c r="F230" s="64">
        <v>24</v>
      </c>
      <c r="G230" s="72" t="s">
        <v>196</v>
      </c>
      <c r="H230" s="65" t="s">
        <v>96</v>
      </c>
      <c r="I230" s="119"/>
      <c r="J230" s="119"/>
      <c r="K230" s="64">
        <v>5</v>
      </c>
      <c r="L230" s="52">
        <v>5</v>
      </c>
      <c r="M230" s="52">
        <v>5</v>
      </c>
      <c r="N230" s="52">
        <f t="shared" si="136"/>
        <v>32.008686688809426</v>
      </c>
      <c r="O230" s="52">
        <f t="shared" si="137"/>
        <v>70</v>
      </c>
      <c r="P230" s="52">
        <f t="shared" si="138"/>
        <v>32.008686688809426</v>
      </c>
      <c r="Q230" s="66"/>
      <c r="R230" s="37"/>
      <c r="S230" s="76" t="s">
        <v>362</v>
      </c>
      <c r="T230" s="81">
        <f t="shared" si="106"/>
        <v>9</v>
      </c>
      <c r="U230" s="81">
        <f t="shared" si="107"/>
        <v>35.4</v>
      </c>
      <c r="V230" s="233">
        <v>9</v>
      </c>
      <c r="W230" s="52" t="s">
        <v>262</v>
      </c>
      <c r="X230" s="52" t="s">
        <v>102</v>
      </c>
      <c r="Y230" s="52" t="s">
        <v>102</v>
      </c>
      <c r="Z230" s="52" t="s">
        <v>102</v>
      </c>
      <c r="AA230" s="52">
        <v>23</v>
      </c>
      <c r="AB230" s="52" t="s">
        <v>102</v>
      </c>
      <c r="AC230" s="52" t="s">
        <v>102</v>
      </c>
      <c r="AD230" s="52" t="s">
        <v>102</v>
      </c>
      <c r="AE230" s="144">
        <v>39</v>
      </c>
      <c r="AF230" s="144">
        <v>33</v>
      </c>
      <c r="AG230" s="144">
        <v>73</v>
      </c>
      <c r="AH230" s="52" t="s">
        <v>102</v>
      </c>
      <c r="AI230" s="52" t="s">
        <v>102</v>
      </c>
      <c r="AJ230" s="52" t="s">
        <v>102</v>
      </c>
      <c r="AK230" s="52" t="s">
        <v>102</v>
      </c>
      <c r="AL230" s="52" t="s">
        <v>102</v>
      </c>
      <c r="AM230" s="52" t="s">
        <v>102</v>
      </c>
      <c r="AN230" s="52" t="s">
        <v>102</v>
      </c>
      <c r="AO230" s="52" t="s">
        <v>102</v>
      </c>
      <c r="AP230" s="53" t="s">
        <v>102</v>
      </c>
      <c r="AQ230" s="53" t="s">
        <v>102</v>
      </c>
      <c r="AR230" s="53">
        <v>40</v>
      </c>
      <c r="AS230" s="52">
        <v>20</v>
      </c>
      <c r="AT230" s="52">
        <v>30</v>
      </c>
      <c r="AU230" s="52">
        <v>70</v>
      </c>
      <c r="AV230" s="52">
        <v>20</v>
      </c>
      <c r="AW230" s="54"/>
      <c r="AX230" s="51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206"/>
      <c r="CO230" s="206"/>
      <c r="CP230" s="206"/>
      <c r="CQ230" s="8">
        <f t="shared" si="108"/>
        <v>9</v>
      </c>
      <c r="CR230" s="8">
        <f t="shared" si="109"/>
        <v>73</v>
      </c>
      <c r="CS230" s="8">
        <f t="shared" si="110"/>
        <v>35.700000000000003</v>
      </c>
      <c r="CT230">
        <f t="shared" si="111"/>
        <v>30.305475528307106</v>
      </c>
      <c r="CU230" s="143">
        <f t="shared" si="112"/>
        <v>9</v>
      </c>
      <c r="CV230" s="143">
        <f t="shared" si="113"/>
        <v>35.4</v>
      </c>
      <c r="CX230" s="7">
        <f t="shared" si="114"/>
        <v>13.95</v>
      </c>
      <c r="CY230" s="7">
        <f t="shared" si="115"/>
        <v>20</v>
      </c>
      <c r="CZ230" s="7">
        <f t="shared" si="116"/>
        <v>20</v>
      </c>
      <c r="DA230" s="7">
        <f t="shared" si="117"/>
        <v>20.75</v>
      </c>
      <c r="DB230" s="7">
        <f t="shared" si="118"/>
        <v>31.5</v>
      </c>
      <c r="DC230" s="7">
        <f t="shared" si="119"/>
        <v>35.4</v>
      </c>
      <c r="DD230" s="7">
        <f t="shared" si="120"/>
        <v>38.1</v>
      </c>
      <c r="DE230" s="7">
        <f t="shared" si="121"/>
        <v>39.75</v>
      </c>
      <c r="DF230" s="7">
        <f t="shared" si="122"/>
        <v>59.499999999999957</v>
      </c>
      <c r="DH230" s="7">
        <f t="shared" si="123"/>
        <v>13.95</v>
      </c>
      <c r="DI230" s="7">
        <f t="shared" si="124"/>
        <v>20</v>
      </c>
      <c r="DJ230" s="7">
        <f t="shared" si="125"/>
        <v>20</v>
      </c>
      <c r="DK230" s="7">
        <f t="shared" si="126"/>
        <v>20.75</v>
      </c>
      <c r="DL230" s="7">
        <f t="shared" si="127"/>
        <v>31.5</v>
      </c>
      <c r="DM230" s="7">
        <f t="shared" si="128"/>
        <v>35.4</v>
      </c>
      <c r="DN230" s="7">
        <f t="shared" si="129"/>
        <v>38.1</v>
      </c>
      <c r="DO230" s="7">
        <f t="shared" si="130"/>
        <v>39.75</v>
      </c>
      <c r="DP230" s="7">
        <f t="shared" si="131"/>
        <v>59.499999999999957</v>
      </c>
    </row>
    <row r="231" spans="1:130" ht="25.5" hidden="1" customHeight="1" x14ac:dyDescent="0.25">
      <c r="A231" s="92" t="str">
        <f t="shared" si="134"/>
        <v>CO-CLAY [18]</v>
      </c>
      <c r="B231" s="92" t="str">
        <f t="shared" si="135"/>
        <v>Clayoquot</v>
      </c>
      <c r="C231" s="93" t="str">
        <f t="shared" si="102"/>
        <v>COW CREEK_Coho</v>
      </c>
      <c r="D231" s="128" t="s">
        <v>598</v>
      </c>
      <c r="E231" s="128" t="s">
        <v>598</v>
      </c>
      <c r="F231" s="64">
        <v>24</v>
      </c>
      <c r="G231" s="72" t="s">
        <v>196</v>
      </c>
      <c r="H231" s="65" t="s">
        <v>93</v>
      </c>
      <c r="I231" s="119"/>
      <c r="J231" s="119"/>
      <c r="K231" s="64">
        <v>5</v>
      </c>
      <c r="L231" s="52">
        <v>5</v>
      </c>
      <c r="M231" s="52">
        <v>5</v>
      </c>
      <c r="N231" s="52">
        <f t="shared" si="136"/>
        <v>86.615361839105276</v>
      </c>
      <c r="O231" s="52">
        <f t="shared" si="137"/>
        <v>130</v>
      </c>
      <c r="P231" s="52">
        <f t="shared" si="138"/>
        <v>86.615361839105276</v>
      </c>
      <c r="Q231" s="66"/>
      <c r="R231" s="37"/>
      <c r="S231" s="76" t="s">
        <v>362</v>
      </c>
      <c r="T231" s="81">
        <f t="shared" si="106"/>
        <v>28</v>
      </c>
      <c r="U231" s="81">
        <f t="shared" si="107"/>
        <v>70.8</v>
      </c>
      <c r="V231" s="233">
        <v>28</v>
      </c>
      <c r="W231" s="52" t="s">
        <v>262</v>
      </c>
      <c r="X231" s="52" t="s">
        <v>102</v>
      </c>
      <c r="Y231" s="52" t="s">
        <v>102</v>
      </c>
      <c r="Z231" s="52" t="s">
        <v>102</v>
      </c>
      <c r="AA231" s="52">
        <v>96</v>
      </c>
      <c r="AB231" s="52" t="s">
        <v>102</v>
      </c>
      <c r="AC231" s="52" t="s">
        <v>102</v>
      </c>
      <c r="AD231" s="52" t="s">
        <v>102</v>
      </c>
      <c r="AE231" s="144">
        <v>59</v>
      </c>
      <c r="AF231" s="144">
        <v>98</v>
      </c>
      <c r="AG231" s="144">
        <v>73</v>
      </c>
      <c r="AH231" s="52" t="s">
        <v>102</v>
      </c>
      <c r="AI231" s="52" t="s">
        <v>102</v>
      </c>
      <c r="AJ231" s="52" t="s">
        <v>102</v>
      </c>
      <c r="AK231" s="52" t="s">
        <v>102</v>
      </c>
      <c r="AL231" s="52" t="s">
        <v>102</v>
      </c>
      <c r="AM231" s="52" t="s">
        <v>102</v>
      </c>
      <c r="AN231" s="52" t="s">
        <v>102</v>
      </c>
      <c r="AO231" s="52" t="s">
        <v>102</v>
      </c>
      <c r="AP231" s="53" t="s">
        <v>102</v>
      </c>
      <c r="AQ231" s="53" t="s">
        <v>102</v>
      </c>
      <c r="AR231" s="53">
        <v>130</v>
      </c>
      <c r="AS231" s="52">
        <v>75</v>
      </c>
      <c r="AT231" s="52">
        <v>125</v>
      </c>
      <c r="AU231" s="52">
        <v>80</v>
      </c>
      <c r="AV231" s="52">
        <v>50</v>
      </c>
      <c r="AW231" s="54"/>
      <c r="AX231" s="51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206"/>
      <c r="CO231" s="206"/>
      <c r="CP231" s="206"/>
      <c r="CQ231" s="8">
        <f t="shared" si="108"/>
        <v>28</v>
      </c>
      <c r="CR231" s="8">
        <f t="shared" si="109"/>
        <v>130</v>
      </c>
      <c r="CS231" s="8">
        <f t="shared" si="110"/>
        <v>81.400000000000006</v>
      </c>
      <c r="CT231">
        <f t="shared" si="111"/>
        <v>74.86528516781982</v>
      </c>
      <c r="CU231" s="143">
        <f t="shared" si="112"/>
        <v>28</v>
      </c>
      <c r="CV231" s="143">
        <f t="shared" si="113"/>
        <v>70.8</v>
      </c>
      <c r="CX231" s="7">
        <f t="shared" si="114"/>
        <v>37.9</v>
      </c>
      <c r="CY231" s="7">
        <f t="shared" si="115"/>
        <v>53.15</v>
      </c>
      <c r="CZ231" s="7">
        <f t="shared" si="116"/>
        <v>57.199999999999996</v>
      </c>
      <c r="DA231" s="7">
        <f t="shared" si="117"/>
        <v>62.5</v>
      </c>
      <c r="DB231" s="7">
        <f t="shared" si="118"/>
        <v>77.5</v>
      </c>
      <c r="DC231" s="7">
        <f t="shared" si="119"/>
        <v>86.399999999999991</v>
      </c>
      <c r="DD231" s="7">
        <f t="shared" si="120"/>
        <v>93.600000000000009</v>
      </c>
      <c r="DE231" s="7">
        <f t="shared" si="121"/>
        <v>97.5</v>
      </c>
      <c r="DF231" s="7">
        <f t="shared" si="122"/>
        <v>115.54999999999995</v>
      </c>
      <c r="DH231" s="7">
        <f t="shared" si="123"/>
        <v>37.9</v>
      </c>
      <c r="DI231" s="7">
        <f t="shared" si="124"/>
        <v>53.15</v>
      </c>
      <c r="DJ231" s="7">
        <f t="shared" si="125"/>
        <v>57.199999999999996</v>
      </c>
      <c r="DK231" s="7">
        <f t="shared" si="126"/>
        <v>62.5</v>
      </c>
      <c r="DL231" s="7">
        <f t="shared" si="127"/>
        <v>77.5</v>
      </c>
      <c r="DM231" s="7">
        <f t="shared" si="128"/>
        <v>86.399999999999991</v>
      </c>
      <c r="DN231" s="7">
        <f t="shared" si="129"/>
        <v>93.600000000000009</v>
      </c>
      <c r="DO231" s="7">
        <f t="shared" si="130"/>
        <v>97.5</v>
      </c>
      <c r="DP231" s="7">
        <f t="shared" si="131"/>
        <v>115.54999999999995</v>
      </c>
    </row>
    <row r="232" spans="1:130" ht="25.5" customHeight="1" x14ac:dyDescent="0.25">
      <c r="A232" s="92" t="str">
        <f t="shared" si="134"/>
        <v>CK-SWVI [31]</v>
      </c>
      <c r="B232" s="92" t="str">
        <f t="shared" si="135"/>
        <v>Southwest Vancouver Island</v>
      </c>
      <c r="C232" s="93" t="str">
        <f t="shared" si="102"/>
        <v>CYPRE RIVER_Chinook</v>
      </c>
      <c r="D232" s="128" t="s">
        <v>598</v>
      </c>
      <c r="E232" s="128" t="s">
        <v>598</v>
      </c>
      <c r="F232" s="64">
        <v>24</v>
      </c>
      <c r="G232" s="72" t="s">
        <v>190</v>
      </c>
      <c r="H232" s="65" t="s">
        <v>97</v>
      </c>
      <c r="I232" s="119"/>
      <c r="J232" s="119"/>
      <c r="K232" s="64">
        <v>4</v>
      </c>
      <c r="L232" s="52">
        <v>10</v>
      </c>
      <c r="M232" s="52">
        <v>10</v>
      </c>
      <c r="N232" s="52">
        <f t="shared" si="136"/>
        <v>108.2618342479072</v>
      </c>
      <c r="O232" s="52">
        <f t="shared" si="137"/>
        <v>869</v>
      </c>
      <c r="P232" s="52">
        <f t="shared" si="138"/>
        <v>59.480169770134275</v>
      </c>
      <c r="Q232" s="66"/>
      <c r="R232" s="39"/>
      <c r="S232" s="74" t="s">
        <v>388</v>
      </c>
      <c r="T232" s="81">
        <f t="shared" si="106"/>
        <v>103.25</v>
      </c>
      <c r="U232" s="81">
        <f t="shared" si="107"/>
        <v>972</v>
      </c>
      <c r="V232" s="233">
        <v>4</v>
      </c>
      <c r="W232" s="52">
        <v>16</v>
      </c>
      <c r="X232" s="52">
        <v>60</v>
      </c>
      <c r="Y232" s="52">
        <v>333</v>
      </c>
      <c r="Z232" s="52">
        <v>353</v>
      </c>
      <c r="AA232" s="52">
        <v>219</v>
      </c>
      <c r="AB232" s="52">
        <v>1253</v>
      </c>
      <c r="AC232" s="52">
        <v>2584</v>
      </c>
      <c r="AD232" s="53">
        <v>1223</v>
      </c>
      <c r="AE232" s="144">
        <v>3630</v>
      </c>
      <c r="AF232" s="180">
        <v>663</v>
      </c>
      <c r="AG232" s="144">
        <v>1326</v>
      </c>
      <c r="AH232" s="53">
        <v>440</v>
      </c>
      <c r="AI232" s="179">
        <v>245</v>
      </c>
      <c r="AJ232" s="53">
        <v>449</v>
      </c>
      <c r="AK232" s="52">
        <v>869</v>
      </c>
      <c r="AL232" s="89">
        <v>422</v>
      </c>
      <c r="AM232" s="177">
        <v>500</v>
      </c>
      <c r="AN232" s="52">
        <v>490</v>
      </c>
      <c r="AO232" s="179">
        <v>500</v>
      </c>
      <c r="AP232" s="53">
        <v>32</v>
      </c>
      <c r="AQ232" s="179">
        <v>641</v>
      </c>
      <c r="AR232" s="181">
        <v>408</v>
      </c>
      <c r="AS232" s="177">
        <v>10</v>
      </c>
      <c r="AT232" s="177">
        <v>20</v>
      </c>
      <c r="AU232" s="177">
        <v>15</v>
      </c>
      <c r="AV232" s="177">
        <v>10</v>
      </c>
      <c r="AW232" s="177">
        <v>6</v>
      </c>
      <c r="AX232" s="178">
        <v>1</v>
      </c>
      <c r="AY232" s="179">
        <v>16</v>
      </c>
      <c r="AZ232" s="179">
        <v>20</v>
      </c>
      <c r="BA232" s="179">
        <v>25</v>
      </c>
      <c r="BB232" s="179" t="s">
        <v>264</v>
      </c>
      <c r="BC232" s="179">
        <v>12</v>
      </c>
      <c r="BD232" s="179">
        <v>25</v>
      </c>
      <c r="BE232" s="179">
        <v>26</v>
      </c>
      <c r="BF232" s="179">
        <v>28</v>
      </c>
      <c r="BG232" s="179">
        <v>11</v>
      </c>
      <c r="BH232" s="179">
        <v>30</v>
      </c>
      <c r="BI232" s="179">
        <v>25</v>
      </c>
      <c r="BJ232" s="179">
        <v>15</v>
      </c>
      <c r="BK232" s="179">
        <v>10</v>
      </c>
      <c r="BL232" s="179" t="s">
        <v>262</v>
      </c>
      <c r="BM232" s="179">
        <v>15</v>
      </c>
      <c r="BN232" s="179">
        <v>10</v>
      </c>
      <c r="BO232" s="179">
        <v>25</v>
      </c>
      <c r="BP232" s="179">
        <v>25</v>
      </c>
      <c r="BQ232" s="179">
        <v>15</v>
      </c>
      <c r="BR232" s="179">
        <v>25</v>
      </c>
      <c r="BS232" s="179">
        <v>200</v>
      </c>
      <c r="BT232" s="179">
        <v>75</v>
      </c>
      <c r="BU232" s="179">
        <v>75</v>
      </c>
      <c r="BV232" s="179">
        <v>25</v>
      </c>
      <c r="BW232" s="179">
        <v>25</v>
      </c>
      <c r="BX232" s="179">
        <v>80</v>
      </c>
      <c r="BY232" s="179">
        <v>25</v>
      </c>
      <c r="BZ232" s="179">
        <v>25</v>
      </c>
      <c r="CA232" s="179">
        <v>50</v>
      </c>
      <c r="CB232" s="179">
        <v>50</v>
      </c>
      <c r="CC232" s="179">
        <v>70</v>
      </c>
      <c r="CD232" s="179">
        <v>400</v>
      </c>
      <c r="CE232" s="179">
        <v>400</v>
      </c>
      <c r="CF232" s="179">
        <v>400</v>
      </c>
      <c r="CG232" s="179">
        <v>750</v>
      </c>
      <c r="CH232" s="179">
        <v>750</v>
      </c>
      <c r="CI232" s="179">
        <v>400</v>
      </c>
      <c r="CJ232" s="179">
        <v>200</v>
      </c>
      <c r="CK232" s="179">
        <v>400</v>
      </c>
      <c r="CL232" s="179">
        <v>200</v>
      </c>
      <c r="CM232" s="179">
        <v>200</v>
      </c>
      <c r="CN232" s="206"/>
      <c r="CO232" s="206"/>
      <c r="CP232" s="206"/>
      <c r="CQ232" s="8">
        <f t="shared" si="108"/>
        <v>1</v>
      </c>
      <c r="CR232" s="8">
        <f t="shared" si="109"/>
        <v>3630</v>
      </c>
      <c r="CS232" s="8">
        <f t="shared" si="110"/>
        <v>321.76470588235293</v>
      </c>
      <c r="CT232">
        <f t="shared" si="111"/>
        <v>84.268807058487539</v>
      </c>
      <c r="CU232" s="143">
        <f t="shared" si="112"/>
        <v>153.19999999999999</v>
      </c>
      <c r="CV232" s="143">
        <f t="shared" si="113"/>
        <v>972</v>
      </c>
      <c r="CX232" s="7">
        <f t="shared" si="114"/>
        <v>10</v>
      </c>
      <c r="CY232" s="7">
        <f t="shared" si="115"/>
        <v>15</v>
      </c>
      <c r="CZ232" s="7">
        <f t="shared" si="116"/>
        <v>16</v>
      </c>
      <c r="DA232" s="7">
        <f t="shared" si="117"/>
        <v>23.75</v>
      </c>
      <c r="DB232" s="7">
        <f t="shared" si="118"/>
        <v>65</v>
      </c>
      <c r="DC232" s="7">
        <f t="shared" si="119"/>
        <v>200</v>
      </c>
      <c r="DD232" s="7">
        <f t="shared" si="120"/>
        <v>293.40000000000038</v>
      </c>
      <c r="DE232" s="7">
        <f t="shared" si="121"/>
        <v>402</v>
      </c>
      <c r="DF232" s="7">
        <f t="shared" si="122"/>
        <v>500</v>
      </c>
      <c r="DH232" s="7">
        <f t="shared" si="123"/>
        <v>7.4</v>
      </c>
      <c r="DI232" s="7">
        <f t="shared" si="124"/>
        <v>15.05</v>
      </c>
      <c r="DJ232" s="7">
        <f t="shared" si="125"/>
        <v>17.600000000000001</v>
      </c>
      <c r="DK232" s="7">
        <f t="shared" si="126"/>
        <v>29</v>
      </c>
      <c r="DL232" s="7">
        <f t="shared" si="127"/>
        <v>415</v>
      </c>
      <c r="DM232" s="7">
        <f t="shared" si="128"/>
        <v>457.2</v>
      </c>
      <c r="DN232" s="7">
        <f t="shared" si="129"/>
        <v>495.5</v>
      </c>
      <c r="DO232" s="7">
        <f t="shared" si="130"/>
        <v>646.5</v>
      </c>
      <c r="DP232" s="7">
        <f t="shared" si="131"/>
        <v>1205.2999999999997</v>
      </c>
    </row>
    <row r="233" spans="1:130" ht="25.5" hidden="1" customHeight="1" x14ac:dyDescent="0.25">
      <c r="A233" s="92" t="str">
        <f t="shared" si="134"/>
        <v>CM-SWVI [10]</v>
      </c>
      <c r="B233" s="92" t="str">
        <f t="shared" si="135"/>
        <v>Southwest Vancouver Island</v>
      </c>
      <c r="C233" s="93" t="str">
        <f t="shared" si="102"/>
        <v>CYPRE RIVER_Chum</v>
      </c>
      <c r="D233" s="128" t="s">
        <v>598</v>
      </c>
      <c r="E233" s="128" t="s">
        <v>598</v>
      </c>
      <c r="F233" s="64">
        <v>24</v>
      </c>
      <c r="G233" s="72" t="s">
        <v>190</v>
      </c>
      <c r="H233" s="65" t="s">
        <v>96</v>
      </c>
      <c r="I233" s="119"/>
      <c r="J233" s="119"/>
      <c r="K233" s="64">
        <v>4</v>
      </c>
      <c r="L233" s="52">
        <v>10</v>
      </c>
      <c r="M233" s="52">
        <v>10</v>
      </c>
      <c r="N233" s="52">
        <f t="shared" si="136"/>
        <v>2353.0724555797319</v>
      </c>
      <c r="O233" s="52">
        <f t="shared" si="137"/>
        <v>7500</v>
      </c>
      <c r="P233" s="52">
        <f t="shared" si="138"/>
        <v>2419.7006195311246</v>
      </c>
      <c r="Q233" s="66"/>
      <c r="R233" s="39"/>
      <c r="S233" s="74" t="s">
        <v>388</v>
      </c>
      <c r="T233" s="81">
        <f t="shared" si="106"/>
        <v>552</v>
      </c>
      <c r="U233" s="81">
        <f t="shared" si="107"/>
        <v>1576.1666666666667</v>
      </c>
      <c r="V233" s="233">
        <v>383</v>
      </c>
      <c r="W233" s="52">
        <v>284</v>
      </c>
      <c r="X233" s="52">
        <v>904</v>
      </c>
      <c r="Y233" s="52">
        <v>637</v>
      </c>
      <c r="Z233" s="52">
        <v>385</v>
      </c>
      <c r="AA233" s="52">
        <v>1050</v>
      </c>
      <c r="AB233" s="52">
        <v>4757</v>
      </c>
      <c r="AC233" s="52">
        <v>1749</v>
      </c>
      <c r="AD233" s="53">
        <v>41</v>
      </c>
      <c r="AE233" s="144">
        <v>454</v>
      </c>
      <c r="AF233" s="144">
        <v>3111</v>
      </c>
      <c r="AG233" s="144">
        <v>5159</v>
      </c>
      <c r="AH233" s="53">
        <v>1580</v>
      </c>
      <c r="AI233" s="53">
        <v>1930</v>
      </c>
      <c r="AJ233" s="53">
        <v>500</v>
      </c>
      <c r="AK233" s="52">
        <v>3268</v>
      </c>
      <c r="AL233" s="89">
        <v>4295</v>
      </c>
      <c r="AM233" s="52">
        <v>567</v>
      </c>
      <c r="AN233" s="52">
        <v>4614</v>
      </c>
      <c r="AO233" s="53">
        <v>6009</v>
      </c>
      <c r="AP233" s="53">
        <v>6315</v>
      </c>
      <c r="AQ233" s="53">
        <v>5751</v>
      </c>
      <c r="AR233" s="123">
        <v>973</v>
      </c>
      <c r="AS233" s="52">
        <v>700</v>
      </c>
      <c r="AT233" s="52">
        <v>2800</v>
      </c>
      <c r="AU233" s="52">
        <v>2000</v>
      </c>
      <c r="AV233" s="52">
        <v>5800</v>
      </c>
      <c r="AW233" s="52">
        <v>1800</v>
      </c>
      <c r="AX233" s="51">
        <v>1200</v>
      </c>
      <c r="AY233" s="53">
        <v>1200</v>
      </c>
      <c r="AZ233" s="53">
        <v>4000</v>
      </c>
      <c r="BA233" s="53">
        <v>2000</v>
      </c>
      <c r="BB233" s="53">
        <v>1500</v>
      </c>
      <c r="BC233" s="53">
        <v>400</v>
      </c>
      <c r="BD233" s="53">
        <v>3200</v>
      </c>
      <c r="BE233" s="53">
        <v>2000</v>
      </c>
      <c r="BF233" s="53">
        <v>2000</v>
      </c>
      <c r="BG233" s="53">
        <v>3000</v>
      </c>
      <c r="BH233" s="53">
        <v>2400</v>
      </c>
      <c r="BI233" s="53">
        <v>3500</v>
      </c>
      <c r="BJ233" s="53">
        <v>4000</v>
      </c>
      <c r="BK233" s="53">
        <v>2300</v>
      </c>
      <c r="BL233" s="53">
        <v>5000</v>
      </c>
      <c r="BM233" s="53">
        <v>850</v>
      </c>
      <c r="BN233" s="53">
        <v>5000</v>
      </c>
      <c r="BO233" s="53">
        <v>4000</v>
      </c>
      <c r="BP233" s="53">
        <v>1200</v>
      </c>
      <c r="BQ233" s="53">
        <v>1200</v>
      </c>
      <c r="BR233" s="53">
        <v>1500</v>
      </c>
      <c r="BS233" s="53">
        <v>3500</v>
      </c>
      <c r="BT233" s="53">
        <v>3500</v>
      </c>
      <c r="BU233" s="53">
        <v>400</v>
      </c>
      <c r="BV233" s="53">
        <v>750</v>
      </c>
      <c r="BW233" s="53">
        <v>3500</v>
      </c>
      <c r="BX233" s="53">
        <v>5100</v>
      </c>
      <c r="BY233" s="53">
        <v>3500</v>
      </c>
      <c r="BZ233" s="53">
        <v>750</v>
      </c>
      <c r="CA233" s="53">
        <v>1200</v>
      </c>
      <c r="CB233" s="53">
        <v>5000</v>
      </c>
      <c r="CC233" s="53">
        <v>2000</v>
      </c>
      <c r="CD233" s="53">
        <v>7500</v>
      </c>
      <c r="CE233" s="53">
        <v>1500</v>
      </c>
      <c r="CF233" s="53">
        <v>7500</v>
      </c>
      <c r="CG233" s="53">
        <v>7500</v>
      </c>
      <c r="CH233" s="53">
        <v>3500</v>
      </c>
      <c r="CI233" s="53">
        <v>3500</v>
      </c>
      <c r="CJ233" s="53">
        <v>3500</v>
      </c>
      <c r="CK233" s="53">
        <v>3500</v>
      </c>
      <c r="CL233" s="53">
        <v>7500</v>
      </c>
      <c r="CM233" s="53">
        <v>3500</v>
      </c>
      <c r="CN233" s="206"/>
      <c r="CO233" s="206"/>
      <c r="CP233" s="206"/>
      <c r="CQ233" s="8">
        <f t="shared" si="108"/>
        <v>41</v>
      </c>
      <c r="CR233" s="8">
        <f t="shared" si="109"/>
        <v>7500</v>
      </c>
      <c r="CS233" s="8">
        <f t="shared" si="110"/>
        <v>2820.9428571428571</v>
      </c>
      <c r="CT233">
        <f t="shared" si="111"/>
        <v>1980.4693771811937</v>
      </c>
      <c r="CU233" s="143">
        <f t="shared" si="112"/>
        <v>518.6</v>
      </c>
      <c r="CV233" s="143">
        <f t="shared" si="113"/>
        <v>1576.1666666666667</v>
      </c>
      <c r="CX233" s="7">
        <f t="shared" si="114"/>
        <v>391.75</v>
      </c>
      <c r="CY233" s="7">
        <f t="shared" si="115"/>
        <v>717.5</v>
      </c>
      <c r="CZ233" s="7">
        <f t="shared" si="116"/>
        <v>893.2</v>
      </c>
      <c r="DA233" s="7">
        <f t="shared" si="117"/>
        <v>1200</v>
      </c>
      <c r="DB233" s="7">
        <f t="shared" si="118"/>
        <v>2350</v>
      </c>
      <c r="DC233" s="7">
        <f t="shared" si="119"/>
        <v>3500</v>
      </c>
      <c r="DD233" s="7">
        <f t="shared" si="120"/>
        <v>3500</v>
      </c>
      <c r="DE233" s="7">
        <f t="shared" si="121"/>
        <v>4000</v>
      </c>
      <c r="DF233" s="7">
        <f t="shared" si="122"/>
        <v>5000</v>
      </c>
      <c r="DH233" s="7">
        <f t="shared" si="123"/>
        <v>318.64999999999998</v>
      </c>
      <c r="DI233" s="7">
        <f t="shared" si="124"/>
        <v>456.3</v>
      </c>
      <c r="DJ233" s="7">
        <f t="shared" si="125"/>
        <v>526.80000000000007</v>
      </c>
      <c r="DK233" s="7">
        <f t="shared" si="126"/>
        <v>619.5</v>
      </c>
      <c r="DL233" s="7">
        <f t="shared" si="127"/>
        <v>1774.5</v>
      </c>
      <c r="DM233" s="7">
        <f t="shared" si="128"/>
        <v>2159.9999999999995</v>
      </c>
      <c r="DN233" s="7">
        <f t="shared" si="129"/>
        <v>2971.05</v>
      </c>
      <c r="DO233" s="7">
        <f t="shared" si="130"/>
        <v>4374.75</v>
      </c>
      <c r="DP233" s="7">
        <f t="shared" si="131"/>
        <v>5138.8999999999996</v>
      </c>
    </row>
    <row r="234" spans="1:130" ht="25.5" hidden="1" customHeight="1" x14ac:dyDescent="0.25">
      <c r="A234" s="92" t="str">
        <f t="shared" si="134"/>
        <v>CO-CLAY [18]</v>
      </c>
      <c r="B234" s="92" t="str">
        <f t="shared" si="135"/>
        <v>Clayoquot</v>
      </c>
      <c r="C234" s="93" t="str">
        <f t="shared" si="102"/>
        <v>CYPRE RIVER_Coho</v>
      </c>
      <c r="D234" s="128" t="s">
        <v>598</v>
      </c>
      <c r="E234" s="128" t="s">
        <v>598</v>
      </c>
      <c r="F234" s="64">
        <v>24</v>
      </c>
      <c r="G234" s="72" t="s">
        <v>190</v>
      </c>
      <c r="H234" s="65" t="s">
        <v>93</v>
      </c>
      <c r="I234" s="119"/>
      <c r="J234" s="119"/>
      <c r="K234" s="64">
        <v>4</v>
      </c>
      <c r="L234" s="52">
        <v>10</v>
      </c>
      <c r="M234" s="52">
        <v>10</v>
      </c>
      <c r="N234" s="52">
        <f t="shared" si="136"/>
        <v>1007.1889666500655</v>
      </c>
      <c r="O234" s="52">
        <f t="shared" si="137"/>
        <v>3500</v>
      </c>
      <c r="P234" s="52">
        <f t="shared" si="138"/>
        <v>510.5410414752825</v>
      </c>
      <c r="Q234" s="66"/>
      <c r="R234" s="39"/>
      <c r="S234" s="74" t="s">
        <v>388</v>
      </c>
      <c r="T234" s="81">
        <f t="shared" si="106"/>
        <v>551.75</v>
      </c>
      <c r="U234" s="81">
        <f t="shared" si="107"/>
        <v>1036</v>
      </c>
      <c r="V234" s="233">
        <v>604</v>
      </c>
      <c r="W234" s="52">
        <v>618</v>
      </c>
      <c r="X234" s="52">
        <v>590</v>
      </c>
      <c r="Y234" s="52">
        <v>395</v>
      </c>
      <c r="Z234" s="52">
        <v>1849</v>
      </c>
      <c r="AA234" s="52">
        <v>941</v>
      </c>
      <c r="AB234" s="52">
        <v>2100</v>
      </c>
      <c r="AC234" s="52">
        <v>445</v>
      </c>
      <c r="AD234" s="53">
        <v>1178</v>
      </c>
      <c r="AE234" s="144">
        <v>1100</v>
      </c>
      <c r="AF234" s="144">
        <v>981</v>
      </c>
      <c r="AG234" s="144">
        <v>1631</v>
      </c>
      <c r="AH234" s="53">
        <v>1660</v>
      </c>
      <c r="AI234" s="52">
        <v>1725</v>
      </c>
      <c r="AJ234" s="53">
        <v>939</v>
      </c>
      <c r="AK234" s="52">
        <v>1570</v>
      </c>
      <c r="AL234" s="89">
        <v>501</v>
      </c>
      <c r="AM234" s="52">
        <v>2003</v>
      </c>
      <c r="AN234" s="52">
        <v>607</v>
      </c>
      <c r="AO234" s="53">
        <v>1479</v>
      </c>
      <c r="AP234" s="53">
        <v>1765</v>
      </c>
      <c r="AQ234" s="53">
        <v>2761</v>
      </c>
      <c r="AR234" s="123">
        <v>2061</v>
      </c>
      <c r="AS234" s="52">
        <v>650</v>
      </c>
      <c r="AT234" s="52">
        <v>1000</v>
      </c>
      <c r="AU234" s="52">
        <v>425</v>
      </c>
      <c r="AV234" s="52">
        <v>300</v>
      </c>
      <c r="AW234" s="52">
        <v>1000</v>
      </c>
      <c r="AX234" s="51">
        <v>400</v>
      </c>
      <c r="AY234" s="53">
        <v>150</v>
      </c>
      <c r="AZ234" s="53">
        <v>150</v>
      </c>
      <c r="BA234" s="53">
        <v>200</v>
      </c>
      <c r="BB234" s="53">
        <v>800</v>
      </c>
      <c r="BC234" s="53">
        <v>650</v>
      </c>
      <c r="BD234" s="53">
        <v>400</v>
      </c>
      <c r="BE234" s="53">
        <v>350</v>
      </c>
      <c r="BF234" s="53">
        <v>620</v>
      </c>
      <c r="BG234" s="53">
        <v>500</v>
      </c>
      <c r="BH234" s="53">
        <v>250</v>
      </c>
      <c r="BI234" s="53" t="s">
        <v>264</v>
      </c>
      <c r="BJ234" s="53">
        <v>400</v>
      </c>
      <c r="BK234" s="53">
        <v>30</v>
      </c>
      <c r="BL234" s="53">
        <v>100</v>
      </c>
      <c r="BM234" s="53">
        <v>100</v>
      </c>
      <c r="BN234" s="53">
        <v>100</v>
      </c>
      <c r="BO234" s="53">
        <v>500</v>
      </c>
      <c r="BP234" s="53">
        <v>200</v>
      </c>
      <c r="BQ234" s="53">
        <v>500</v>
      </c>
      <c r="BR234" s="53">
        <v>1000</v>
      </c>
      <c r="BS234" s="53">
        <v>3500</v>
      </c>
      <c r="BT234" s="53">
        <v>750</v>
      </c>
      <c r="BU234" s="53">
        <v>400</v>
      </c>
      <c r="BV234" s="53">
        <v>75</v>
      </c>
      <c r="BW234" s="53">
        <v>75</v>
      </c>
      <c r="BX234" s="53">
        <v>60</v>
      </c>
      <c r="BY234" s="53">
        <v>25</v>
      </c>
      <c r="BZ234" s="53">
        <v>400</v>
      </c>
      <c r="CA234" s="53">
        <v>500</v>
      </c>
      <c r="CB234" s="53">
        <v>1000</v>
      </c>
      <c r="CC234" s="53">
        <v>150</v>
      </c>
      <c r="CD234" s="53">
        <v>1500</v>
      </c>
      <c r="CE234" s="53">
        <v>1500</v>
      </c>
      <c r="CF234" s="53">
        <v>750</v>
      </c>
      <c r="CG234" s="53">
        <v>3500</v>
      </c>
      <c r="CH234" s="53">
        <v>1500</v>
      </c>
      <c r="CI234" s="53">
        <v>3500</v>
      </c>
      <c r="CJ234" s="53">
        <v>3500</v>
      </c>
      <c r="CK234" s="53">
        <v>1500</v>
      </c>
      <c r="CL234" s="53">
        <v>750</v>
      </c>
      <c r="CM234" s="53">
        <v>400</v>
      </c>
      <c r="CN234" s="206"/>
      <c r="CO234" s="206"/>
      <c r="CP234" s="206"/>
      <c r="CQ234" s="8">
        <f t="shared" si="108"/>
        <v>25</v>
      </c>
      <c r="CR234" s="8">
        <f t="shared" si="109"/>
        <v>3500</v>
      </c>
      <c r="CS234" s="8">
        <f t="shared" si="110"/>
        <v>950.91304347826087</v>
      </c>
      <c r="CT234">
        <f t="shared" si="111"/>
        <v>583.67537873824051</v>
      </c>
      <c r="CU234" s="143">
        <f t="shared" si="112"/>
        <v>811.2</v>
      </c>
      <c r="CV234" s="143">
        <f t="shared" si="113"/>
        <v>1036</v>
      </c>
      <c r="CX234" s="7">
        <f t="shared" si="114"/>
        <v>75</v>
      </c>
      <c r="CY234" s="7">
        <f t="shared" si="115"/>
        <v>159.99999999999997</v>
      </c>
      <c r="CZ234" s="7">
        <f t="shared" si="116"/>
        <v>280.00000000000006</v>
      </c>
      <c r="DA234" s="7">
        <f t="shared" si="117"/>
        <v>400</v>
      </c>
      <c r="DB234" s="7">
        <f t="shared" si="118"/>
        <v>620</v>
      </c>
      <c r="DC234" s="7">
        <f t="shared" si="119"/>
        <v>911.19999999999959</v>
      </c>
      <c r="DD234" s="7">
        <f t="shared" si="120"/>
        <v>1000</v>
      </c>
      <c r="DE234" s="7">
        <f t="shared" si="121"/>
        <v>1500</v>
      </c>
      <c r="DF234" s="7">
        <f t="shared" si="122"/>
        <v>1711.9999999999998</v>
      </c>
      <c r="DH234" s="7">
        <f t="shared" si="123"/>
        <v>405.5</v>
      </c>
      <c r="DI234" s="7">
        <f t="shared" si="124"/>
        <v>505.45</v>
      </c>
      <c r="DJ234" s="7">
        <f t="shared" si="125"/>
        <v>595.6</v>
      </c>
      <c r="DK234" s="7">
        <f t="shared" si="126"/>
        <v>606.25</v>
      </c>
      <c r="DL234" s="7">
        <f t="shared" si="127"/>
        <v>1000</v>
      </c>
      <c r="DM234" s="7">
        <f t="shared" si="128"/>
        <v>1238.1999999999998</v>
      </c>
      <c r="DN234" s="7">
        <f t="shared" si="129"/>
        <v>1529.0500000000002</v>
      </c>
      <c r="DO234" s="7">
        <f t="shared" si="130"/>
        <v>1676.25</v>
      </c>
      <c r="DP234" s="7">
        <f t="shared" si="131"/>
        <v>1844.8</v>
      </c>
    </row>
    <row r="235" spans="1:130" ht="25.5" hidden="1" customHeight="1" x14ac:dyDescent="0.25">
      <c r="A235" s="92" t="str">
        <f t="shared" si="134"/>
        <v>Pkodd-WVI [6]</v>
      </c>
      <c r="B235" s="92" t="str">
        <f t="shared" si="135"/>
        <v>West Vancouver Island</v>
      </c>
      <c r="C235" s="93" t="str">
        <f t="shared" si="102"/>
        <v>CYPRE RIVER_Pink</v>
      </c>
      <c r="D235" s="128" t="s">
        <v>598</v>
      </c>
      <c r="E235" s="128" t="s">
        <v>598</v>
      </c>
      <c r="F235" s="64">
        <v>24</v>
      </c>
      <c r="G235" s="72" t="s">
        <v>190</v>
      </c>
      <c r="H235" s="65" t="s">
        <v>95</v>
      </c>
      <c r="I235" s="119"/>
      <c r="J235" s="119"/>
      <c r="K235" s="64">
        <v>4</v>
      </c>
      <c r="L235" s="52">
        <v>10</v>
      </c>
      <c r="M235" s="52">
        <v>2</v>
      </c>
      <c r="N235" s="52">
        <f t="shared" si="136"/>
        <v>1.4422495703074083</v>
      </c>
      <c r="O235" s="52">
        <f t="shared" si="137"/>
        <v>3500</v>
      </c>
      <c r="P235" s="52">
        <f t="shared" si="138"/>
        <v>65.45583181004254</v>
      </c>
      <c r="Q235" s="66"/>
      <c r="R235" s="39"/>
      <c r="S235" s="74" t="s">
        <v>388</v>
      </c>
      <c r="T235" s="81">
        <f t="shared" si="106"/>
        <v>1</v>
      </c>
      <c r="U235" s="81">
        <f t="shared" si="107"/>
        <v>9.5</v>
      </c>
      <c r="V235" s="232" t="s">
        <v>263</v>
      </c>
      <c r="W235" s="52" t="s">
        <v>262</v>
      </c>
      <c r="X235" s="52" t="s">
        <v>262</v>
      </c>
      <c r="Y235" s="52">
        <v>1</v>
      </c>
      <c r="Z235" s="52" t="s">
        <v>262</v>
      </c>
      <c r="AA235" s="52" t="s">
        <v>262</v>
      </c>
      <c r="AB235" s="52" t="s">
        <v>263</v>
      </c>
      <c r="AC235" s="52">
        <v>6</v>
      </c>
      <c r="AD235" s="52" t="s">
        <v>262</v>
      </c>
      <c r="AE235" s="144">
        <v>29</v>
      </c>
      <c r="AF235" s="52" t="s">
        <v>262</v>
      </c>
      <c r="AG235" s="144">
        <v>2</v>
      </c>
      <c r="AH235" s="52" t="s">
        <v>262</v>
      </c>
      <c r="AI235" s="52" t="s">
        <v>263</v>
      </c>
      <c r="AJ235" s="53" t="s">
        <v>262</v>
      </c>
      <c r="AK235" s="52">
        <v>3</v>
      </c>
      <c r="AL235" s="89" t="s">
        <v>262</v>
      </c>
      <c r="AM235" s="52" t="s">
        <v>262</v>
      </c>
      <c r="AN235" s="52" t="s">
        <v>262</v>
      </c>
      <c r="AO235" s="53">
        <v>1</v>
      </c>
      <c r="AP235" s="53" t="s">
        <v>262</v>
      </c>
      <c r="AQ235" s="53">
        <v>1</v>
      </c>
      <c r="AR235" s="123" t="s">
        <v>262</v>
      </c>
      <c r="AS235" s="52" t="s">
        <v>262</v>
      </c>
      <c r="AT235" s="52" t="s">
        <v>262</v>
      </c>
      <c r="AU235" s="52" t="s">
        <v>262</v>
      </c>
      <c r="AV235" s="52" t="s">
        <v>262</v>
      </c>
      <c r="AW235" s="52" t="s">
        <v>262</v>
      </c>
      <c r="AX235" s="51" t="s">
        <v>264</v>
      </c>
      <c r="AY235" s="53" t="s">
        <v>264</v>
      </c>
      <c r="AZ235" s="53" t="s">
        <v>264</v>
      </c>
      <c r="BA235" s="53" t="s">
        <v>264</v>
      </c>
      <c r="BB235" s="53" t="s">
        <v>264</v>
      </c>
      <c r="BC235" s="53" t="s">
        <v>264</v>
      </c>
      <c r="BD235" s="53" t="s">
        <v>264</v>
      </c>
      <c r="BE235" s="53" t="s">
        <v>264</v>
      </c>
      <c r="BF235" s="53" t="s">
        <v>264</v>
      </c>
      <c r="BG235" s="53" t="s">
        <v>264</v>
      </c>
      <c r="BH235" s="53" t="s">
        <v>262</v>
      </c>
      <c r="BI235" s="53" t="s">
        <v>264</v>
      </c>
      <c r="BJ235" s="53" t="s">
        <v>264</v>
      </c>
      <c r="BK235" s="53" t="s">
        <v>264</v>
      </c>
      <c r="BL235" s="53">
        <v>400</v>
      </c>
      <c r="BM235" s="53" t="s">
        <v>264</v>
      </c>
      <c r="BN235" s="53">
        <v>900</v>
      </c>
      <c r="BO235" s="53" t="s">
        <v>264</v>
      </c>
      <c r="BP235" s="53">
        <v>500</v>
      </c>
      <c r="BQ235" s="53" t="s">
        <v>264</v>
      </c>
      <c r="BR235" s="53">
        <v>3500</v>
      </c>
      <c r="BS235" s="53" t="s">
        <v>262</v>
      </c>
      <c r="BT235" s="53">
        <v>400</v>
      </c>
      <c r="BU235" s="53" t="s">
        <v>262</v>
      </c>
      <c r="BV235" s="53">
        <v>25</v>
      </c>
      <c r="BW235" s="53" t="s">
        <v>262</v>
      </c>
      <c r="BX235" s="53">
        <v>200</v>
      </c>
      <c r="BY235" s="53" t="s">
        <v>264</v>
      </c>
      <c r="BZ235" s="53">
        <v>25</v>
      </c>
      <c r="CA235" s="53" t="s">
        <v>264</v>
      </c>
      <c r="CB235" s="53" t="s">
        <v>264</v>
      </c>
      <c r="CC235" s="53" t="s">
        <v>264</v>
      </c>
      <c r="CD235" s="53" t="s">
        <v>264</v>
      </c>
      <c r="CE235" s="53" t="s">
        <v>264</v>
      </c>
      <c r="CF235" s="53" t="s">
        <v>264</v>
      </c>
      <c r="CG235" s="53" t="s">
        <v>264</v>
      </c>
      <c r="CH235" s="53" t="s">
        <v>264</v>
      </c>
      <c r="CI235" s="53" t="s">
        <v>264</v>
      </c>
      <c r="CJ235" s="53" t="s">
        <v>264</v>
      </c>
      <c r="CK235" s="53" t="s">
        <v>264</v>
      </c>
      <c r="CL235" s="53" t="s">
        <v>264</v>
      </c>
      <c r="CM235" s="53" t="s">
        <v>264</v>
      </c>
      <c r="CN235" s="206"/>
      <c r="CO235" s="206"/>
      <c r="CP235" s="206"/>
      <c r="CQ235" s="8">
        <f t="shared" si="108"/>
        <v>1</v>
      </c>
      <c r="CR235" s="8">
        <f t="shared" si="109"/>
        <v>3500</v>
      </c>
      <c r="CS235" s="8">
        <f t="shared" si="110"/>
        <v>399.53333333333336</v>
      </c>
      <c r="CT235">
        <f t="shared" si="111"/>
        <v>31.705460847967601</v>
      </c>
      <c r="CU235" s="143">
        <f t="shared" si="112"/>
        <v>1</v>
      </c>
      <c r="CV235" s="143">
        <f t="shared" si="113"/>
        <v>9.5</v>
      </c>
      <c r="CX235" s="7">
        <f t="shared" si="114"/>
        <v>1</v>
      </c>
      <c r="CY235" s="7">
        <f t="shared" si="115"/>
        <v>1.1000000000000001</v>
      </c>
      <c r="CZ235" s="7">
        <f t="shared" si="116"/>
        <v>1.8000000000000003</v>
      </c>
      <c r="DA235" s="7">
        <f t="shared" si="117"/>
        <v>2.5</v>
      </c>
      <c r="DB235" s="7">
        <f t="shared" si="118"/>
        <v>25</v>
      </c>
      <c r="DC235" s="7">
        <f t="shared" si="119"/>
        <v>97.400000000000063</v>
      </c>
      <c r="DD235" s="7">
        <f t="shared" si="120"/>
        <v>219.99999999999994</v>
      </c>
      <c r="DE235" s="7">
        <f t="shared" si="121"/>
        <v>400</v>
      </c>
      <c r="DF235" s="7">
        <f t="shared" si="122"/>
        <v>490</v>
      </c>
      <c r="DH235" s="7">
        <f t="shared" si="123"/>
        <v>1</v>
      </c>
      <c r="DI235" s="7">
        <f t="shared" si="124"/>
        <v>1</v>
      </c>
      <c r="DJ235" s="7">
        <f t="shared" si="125"/>
        <v>1</v>
      </c>
      <c r="DK235" s="7">
        <f t="shared" si="126"/>
        <v>1</v>
      </c>
      <c r="DL235" s="7">
        <f t="shared" si="127"/>
        <v>2</v>
      </c>
      <c r="DM235" s="7">
        <f t="shared" si="128"/>
        <v>2.5999999999999996</v>
      </c>
      <c r="DN235" s="7">
        <f t="shared" si="129"/>
        <v>2.9000000000000004</v>
      </c>
      <c r="DO235" s="7">
        <f t="shared" si="130"/>
        <v>4.5</v>
      </c>
      <c r="DP235" s="7">
        <f t="shared" si="131"/>
        <v>8.2999999999999918</v>
      </c>
    </row>
    <row r="236" spans="1:130" ht="25.5" hidden="1" customHeight="1" x14ac:dyDescent="0.25">
      <c r="A236" s="92" t="str">
        <f t="shared" si="134"/>
        <v>SK-WVI [R10]</v>
      </c>
      <c r="B236" s="92" t="str">
        <f t="shared" si="135"/>
        <v>West Vancouver Island</v>
      </c>
      <c r="C236" s="93" t="str">
        <f t="shared" si="102"/>
        <v>CYPRE RIVER_Sockeye</v>
      </c>
      <c r="D236" s="128" t="s">
        <v>598</v>
      </c>
      <c r="E236" s="128" t="s">
        <v>598</v>
      </c>
      <c r="F236" s="64">
        <v>24</v>
      </c>
      <c r="G236" s="72" t="s">
        <v>190</v>
      </c>
      <c r="H236" s="65" t="s">
        <v>91</v>
      </c>
      <c r="I236" s="119"/>
      <c r="J236" s="119"/>
      <c r="K236" s="64">
        <v>4</v>
      </c>
      <c r="L236" s="52">
        <v>10</v>
      </c>
      <c r="M236" s="52">
        <v>5</v>
      </c>
      <c r="N236" s="52">
        <f t="shared" si="136"/>
        <v>7.0436381117200551</v>
      </c>
      <c r="O236" s="52">
        <f t="shared" si="137"/>
        <v>40</v>
      </c>
      <c r="P236" s="52">
        <f t="shared" si="138"/>
        <v>4.82587343561626</v>
      </c>
      <c r="Q236" s="66"/>
      <c r="R236" s="39"/>
      <c r="S236" s="74" t="s">
        <v>388</v>
      </c>
      <c r="T236" s="81">
        <f t="shared" si="106"/>
        <v>13.333333333333334</v>
      </c>
      <c r="U236" s="81">
        <f t="shared" si="107"/>
        <v>36</v>
      </c>
      <c r="V236" s="232" t="s">
        <v>262</v>
      </c>
      <c r="W236" s="52">
        <v>11</v>
      </c>
      <c r="X236" s="52">
        <v>8</v>
      </c>
      <c r="Y236" s="52">
        <v>21</v>
      </c>
      <c r="Z236" s="52">
        <v>35</v>
      </c>
      <c r="AA236" s="52">
        <v>32</v>
      </c>
      <c r="AB236" s="52">
        <v>26</v>
      </c>
      <c r="AC236" s="52">
        <v>159</v>
      </c>
      <c r="AD236" s="52">
        <v>29</v>
      </c>
      <c r="AE236" s="144" t="s">
        <v>263</v>
      </c>
      <c r="AF236" s="52" t="s">
        <v>263</v>
      </c>
      <c r="AG236" s="144">
        <v>3</v>
      </c>
      <c r="AH236" s="53">
        <v>37</v>
      </c>
      <c r="AI236" s="52" t="s">
        <v>263</v>
      </c>
      <c r="AJ236" s="53">
        <v>2</v>
      </c>
      <c r="AK236" s="52" t="s">
        <v>262</v>
      </c>
      <c r="AL236" s="89">
        <v>8</v>
      </c>
      <c r="AM236" s="52">
        <v>7</v>
      </c>
      <c r="AN236" s="52">
        <v>40</v>
      </c>
      <c r="AO236" s="53">
        <v>12</v>
      </c>
      <c r="AP236" s="53" t="s">
        <v>262</v>
      </c>
      <c r="AQ236" s="53">
        <v>4</v>
      </c>
      <c r="AR236" s="123" t="s">
        <v>262</v>
      </c>
      <c r="AS236" s="52" t="s">
        <v>262</v>
      </c>
      <c r="AT236" s="52" t="s">
        <v>262</v>
      </c>
      <c r="AU236" s="52" t="s">
        <v>262</v>
      </c>
      <c r="AV236" s="52">
        <v>4</v>
      </c>
      <c r="AW236" s="52" t="s">
        <v>262</v>
      </c>
      <c r="AX236" s="51">
        <v>4</v>
      </c>
      <c r="AY236" s="53">
        <v>6</v>
      </c>
      <c r="AZ236" s="53">
        <v>10</v>
      </c>
      <c r="BA236" s="53">
        <v>3</v>
      </c>
      <c r="BB236" s="53" t="s">
        <v>264</v>
      </c>
      <c r="BC236" s="53" t="s">
        <v>264</v>
      </c>
      <c r="BD236" s="53" t="s">
        <v>264</v>
      </c>
      <c r="BE236" s="53" t="s">
        <v>264</v>
      </c>
      <c r="BF236" s="53" t="s">
        <v>264</v>
      </c>
      <c r="BG236" s="53">
        <v>3</v>
      </c>
      <c r="BH236" s="53" t="s">
        <v>262</v>
      </c>
      <c r="BI236" s="53">
        <v>1</v>
      </c>
      <c r="BJ236" s="53" t="s">
        <v>264</v>
      </c>
      <c r="BK236" s="53" t="s">
        <v>264</v>
      </c>
      <c r="BL236" s="53">
        <v>2</v>
      </c>
      <c r="BM236" s="53" t="s">
        <v>264</v>
      </c>
      <c r="BN236" s="53" t="s">
        <v>264</v>
      </c>
      <c r="BO236" s="53" t="s">
        <v>264</v>
      </c>
      <c r="BP236" s="53" t="s">
        <v>264</v>
      </c>
      <c r="BQ236" s="53" t="s">
        <v>264</v>
      </c>
      <c r="BR236" s="53" t="s">
        <v>264</v>
      </c>
      <c r="BS236" s="53" t="s">
        <v>264</v>
      </c>
      <c r="BT236" s="53" t="s">
        <v>264</v>
      </c>
      <c r="BU236" s="53" t="s">
        <v>264</v>
      </c>
      <c r="BV236" s="53" t="s">
        <v>264</v>
      </c>
      <c r="BW236" s="53" t="s">
        <v>264</v>
      </c>
      <c r="BX236" s="53" t="s">
        <v>264</v>
      </c>
      <c r="BY236" s="53" t="s">
        <v>264</v>
      </c>
      <c r="BZ236" s="53" t="s">
        <v>264</v>
      </c>
      <c r="CA236" s="53" t="s">
        <v>264</v>
      </c>
      <c r="CB236" s="53" t="s">
        <v>264</v>
      </c>
      <c r="CC236" s="53" t="s">
        <v>264</v>
      </c>
      <c r="CD236" s="53" t="s">
        <v>264</v>
      </c>
      <c r="CE236" s="53" t="s">
        <v>264</v>
      </c>
      <c r="CF236" s="53" t="s">
        <v>264</v>
      </c>
      <c r="CG236" s="53" t="s">
        <v>264</v>
      </c>
      <c r="CH236" s="53" t="s">
        <v>264</v>
      </c>
      <c r="CI236" s="53" t="s">
        <v>264</v>
      </c>
      <c r="CJ236" s="53" t="s">
        <v>264</v>
      </c>
      <c r="CK236" s="53" t="s">
        <v>264</v>
      </c>
      <c r="CL236" s="53" t="s">
        <v>264</v>
      </c>
      <c r="CM236" s="53" t="s">
        <v>264</v>
      </c>
      <c r="CN236" s="209"/>
      <c r="CO236" s="209"/>
      <c r="CP236" s="209"/>
      <c r="CQ236" s="8">
        <f t="shared" si="108"/>
        <v>1</v>
      </c>
      <c r="CR236" s="8">
        <f t="shared" si="109"/>
        <v>159</v>
      </c>
      <c r="CS236" s="8">
        <f t="shared" si="110"/>
        <v>19.458333333333332</v>
      </c>
      <c r="CT236">
        <f t="shared" si="111"/>
        <v>9.0939612888336043</v>
      </c>
      <c r="CU236" s="143">
        <f t="shared" si="112"/>
        <v>18.75</v>
      </c>
      <c r="CV236" s="143">
        <f t="shared" si="113"/>
        <v>36</v>
      </c>
      <c r="CX236" s="7">
        <f t="shared" si="114"/>
        <v>2</v>
      </c>
      <c r="CY236" s="7">
        <f t="shared" si="115"/>
        <v>3</v>
      </c>
      <c r="CZ236" s="7">
        <f t="shared" si="116"/>
        <v>3</v>
      </c>
      <c r="DA236" s="7">
        <f t="shared" si="117"/>
        <v>3.75</v>
      </c>
      <c r="DB236" s="7">
        <f t="shared" si="118"/>
        <v>8</v>
      </c>
      <c r="DC236" s="7">
        <f t="shared" si="119"/>
        <v>10.799999999999999</v>
      </c>
      <c r="DD236" s="7">
        <f t="shared" si="120"/>
        <v>11.950000000000001</v>
      </c>
      <c r="DE236" s="7">
        <f t="shared" si="121"/>
        <v>26.75</v>
      </c>
      <c r="DF236" s="7">
        <f t="shared" si="122"/>
        <v>33.650000000000006</v>
      </c>
      <c r="DH236" s="7">
        <f t="shared" si="123"/>
        <v>2.8</v>
      </c>
      <c r="DI236" s="7">
        <f t="shared" si="124"/>
        <v>4</v>
      </c>
      <c r="DJ236" s="7">
        <f t="shared" si="125"/>
        <v>4.6000000000000005</v>
      </c>
      <c r="DK236" s="7">
        <f t="shared" si="126"/>
        <v>7</v>
      </c>
      <c r="DL236" s="7">
        <f t="shared" si="127"/>
        <v>12</v>
      </c>
      <c r="DM236" s="7">
        <f t="shared" si="128"/>
        <v>24</v>
      </c>
      <c r="DN236" s="7">
        <f t="shared" si="129"/>
        <v>27.200000000000003</v>
      </c>
      <c r="DO236" s="7">
        <f t="shared" si="130"/>
        <v>32</v>
      </c>
      <c r="DP236" s="7">
        <f t="shared" si="131"/>
        <v>36.200000000000003</v>
      </c>
      <c r="DR236" s="7">
        <f>_xlfn.PERCENTILE.INC((Y236:AE236,AG236:AH236,AJ236:AL236,AN236,AP236),0.05)</f>
        <v>2.5</v>
      </c>
      <c r="DS236" s="7">
        <f>_xlfn.PERCENTILE.INC((Y236:AE236,AG236:AH236,AJ236:AL236,AN236,AP236),0.15)</f>
        <v>5.5</v>
      </c>
      <c r="DT236" s="7">
        <f>_xlfn.PERCENTILE.INC((Y236:AE236,AG236:AH236,AJ236:AL236,AN236,AP236),0.2)</f>
        <v>8</v>
      </c>
      <c r="DU236" s="7">
        <f>_xlfn.PERCENTILE.INC((Y236:AE236,AG236:AH236,AJ236:AL236,AN236,AP236),0.25)</f>
        <v>14.5</v>
      </c>
      <c r="DV236" s="7">
        <f>_xlfn.PERCENTILE.INC((Y236:AE236,AG236:AH236,AJ236:AL236,AN236,AP236),0.5)</f>
        <v>29</v>
      </c>
      <c r="DW236" s="7">
        <f>_xlfn.PERCENTILE.INC((Y236:AE236,AG236:AH236,AJ236:AL236,AN236,AP236),0.6)</f>
        <v>32</v>
      </c>
      <c r="DX236" s="7">
        <f>_xlfn.PERCENTILE.INC((Y236:AE236,AG236:AH236,AJ236:AL236,AN236,AP236),0.65)</f>
        <v>33.5</v>
      </c>
      <c r="DY236" s="7">
        <f>_xlfn.PERCENTILE.INC((Y236:AE236,AG236:AH236,AJ236:AL236,AN236,AP236),0.75)</f>
        <v>36</v>
      </c>
      <c r="DZ236" s="7">
        <f>_xlfn.PERCENTILE.INC((Y236:AE236,AG236:AH236,AJ236:AL236,AN236,AP236),0.85)</f>
        <v>38.5</v>
      </c>
    </row>
    <row r="237" spans="1:130" ht="25.5" hidden="1" customHeight="1" x14ac:dyDescent="0.25">
      <c r="A237" s="92"/>
      <c r="B237" s="92"/>
      <c r="C237" s="93" t="str">
        <f t="shared" si="102"/>
        <v>ENGLISH COVE CREEK_Chum</v>
      </c>
      <c r="D237" s="128" t="s">
        <v>598</v>
      </c>
      <c r="E237" s="128" t="s">
        <v>598</v>
      </c>
      <c r="F237" s="64">
        <v>24</v>
      </c>
      <c r="G237" s="72" t="s">
        <v>634</v>
      </c>
      <c r="H237" s="65" t="s">
        <v>96</v>
      </c>
      <c r="I237" s="119"/>
      <c r="J237" s="119"/>
      <c r="K237" s="64"/>
      <c r="L237" s="52"/>
      <c r="M237" s="52"/>
      <c r="N237" s="52"/>
      <c r="O237" s="52"/>
      <c r="P237" s="52"/>
      <c r="Q237" s="66"/>
      <c r="R237" s="37"/>
      <c r="S237" s="74"/>
      <c r="T237" s="81" t="e">
        <f t="shared" si="106"/>
        <v>#DIV/0!</v>
      </c>
      <c r="U237" s="81" t="e">
        <f t="shared" si="107"/>
        <v>#DIV/0!</v>
      </c>
      <c r="V237" s="52" t="s">
        <v>102</v>
      </c>
      <c r="W237" s="52"/>
      <c r="X237" s="52" t="s">
        <v>102</v>
      </c>
      <c r="Y237" s="52"/>
      <c r="Z237" s="52"/>
      <c r="AA237" s="52" t="s">
        <v>262</v>
      </c>
      <c r="AB237" s="52" t="s">
        <v>262</v>
      </c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1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206"/>
      <c r="CO237" s="206"/>
      <c r="CP237" s="206"/>
      <c r="CQ237" s="8">
        <f t="shared" si="108"/>
        <v>0</v>
      </c>
      <c r="CR237" s="8">
        <f t="shared" si="109"/>
        <v>0</v>
      </c>
      <c r="CS237" s="8" t="e">
        <f t="shared" si="110"/>
        <v>#DIV/0!</v>
      </c>
      <c r="CT237" t="e">
        <f t="shared" si="111"/>
        <v>#NUM!</v>
      </c>
      <c r="CU237" s="143" t="e">
        <f t="shared" si="112"/>
        <v>#DIV/0!</v>
      </c>
      <c r="CV237" s="143" t="e">
        <f t="shared" si="113"/>
        <v>#DIV/0!</v>
      </c>
      <c r="CX237" s="7" t="e">
        <f t="shared" si="114"/>
        <v>#NUM!</v>
      </c>
      <c r="CY237" s="7" t="e">
        <f t="shared" si="115"/>
        <v>#NUM!</v>
      </c>
      <c r="CZ237" s="7" t="e">
        <f t="shared" si="116"/>
        <v>#NUM!</v>
      </c>
      <c r="DA237" s="7" t="e">
        <f t="shared" si="117"/>
        <v>#NUM!</v>
      </c>
      <c r="DB237" s="7" t="e">
        <f t="shared" si="118"/>
        <v>#NUM!</v>
      </c>
      <c r="DC237" s="7" t="e">
        <f t="shared" si="119"/>
        <v>#NUM!</v>
      </c>
      <c r="DD237" s="7" t="e">
        <f t="shared" si="120"/>
        <v>#NUM!</v>
      </c>
      <c r="DE237" s="7" t="e">
        <f t="shared" si="121"/>
        <v>#NUM!</v>
      </c>
      <c r="DF237" s="7" t="e">
        <f t="shared" si="122"/>
        <v>#NUM!</v>
      </c>
      <c r="DH237" s="7" t="e">
        <f t="shared" si="123"/>
        <v>#NUM!</v>
      </c>
      <c r="DI237" s="7" t="e">
        <f t="shared" si="124"/>
        <v>#NUM!</v>
      </c>
      <c r="DJ237" s="7" t="e">
        <f t="shared" si="125"/>
        <v>#NUM!</v>
      </c>
      <c r="DK237" s="7" t="e">
        <f t="shared" si="126"/>
        <v>#NUM!</v>
      </c>
      <c r="DL237" s="7" t="e">
        <f t="shared" si="127"/>
        <v>#NUM!</v>
      </c>
      <c r="DM237" s="7" t="e">
        <f t="shared" si="128"/>
        <v>#NUM!</v>
      </c>
      <c r="DN237" s="7" t="e">
        <f t="shared" si="129"/>
        <v>#NUM!</v>
      </c>
      <c r="DO237" s="7" t="e">
        <f t="shared" si="130"/>
        <v>#NUM!</v>
      </c>
      <c r="DP237" s="7" t="e">
        <f t="shared" si="131"/>
        <v>#NUM!</v>
      </c>
    </row>
    <row r="238" spans="1:130" ht="25.5" hidden="1" customHeight="1" x14ac:dyDescent="0.25">
      <c r="A238" s="92"/>
      <c r="B238" s="92"/>
      <c r="C238" s="93" t="str">
        <f t="shared" si="102"/>
        <v>ENGLISH COVE CREEK_Coho</v>
      </c>
      <c r="D238" s="128" t="s">
        <v>598</v>
      </c>
      <c r="E238" s="128" t="s">
        <v>598</v>
      </c>
      <c r="F238" s="64">
        <v>24</v>
      </c>
      <c r="G238" s="72" t="s">
        <v>634</v>
      </c>
      <c r="H238" s="65" t="s">
        <v>93</v>
      </c>
      <c r="I238" s="119"/>
      <c r="J238" s="119"/>
      <c r="K238" s="64"/>
      <c r="L238" s="52"/>
      <c r="M238" s="52"/>
      <c r="N238" s="52"/>
      <c r="O238" s="52"/>
      <c r="P238" s="52"/>
      <c r="Q238" s="66"/>
      <c r="R238" s="37"/>
      <c r="S238" s="74"/>
      <c r="T238" s="81" t="e">
        <f t="shared" si="106"/>
        <v>#DIV/0!</v>
      </c>
      <c r="U238" s="81">
        <f t="shared" si="107"/>
        <v>8</v>
      </c>
      <c r="V238" s="52" t="s">
        <v>102</v>
      </c>
      <c r="W238" s="52"/>
      <c r="X238" s="52" t="s">
        <v>102</v>
      </c>
      <c r="Y238" s="52"/>
      <c r="Z238" s="52"/>
      <c r="AA238" s="52" t="s">
        <v>263</v>
      </c>
      <c r="AB238" s="52">
        <v>8</v>
      </c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1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206"/>
      <c r="CO238" s="206"/>
      <c r="CP238" s="206"/>
      <c r="CQ238" s="8">
        <f t="shared" si="108"/>
        <v>8</v>
      </c>
      <c r="CR238" s="8">
        <f t="shared" si="109"/>
        <v>8</v>
      </c>
      <c r="CS238" s="8">
        <f t="shared" si="110"/>
        <v>8</v>
      </c>
      <c r="CT238">
        <f t="shared" si="111"/>
        <v>8</v>
      </c>
      <c r="CU238" s="143" t="e">
        <f t="shared" si="112"/>
        <v>#DIV/0!</v>
      </c>
      <c r="CV238" s="143">
        <f t="shared" si="113"/>
        <v>8</v>
      </c>
      <c r="CX238" s="7">
        <f t="shared" si="114"/>
        <v>8</v>
      </c>
      <c r="CY238" s="7">
        <f t="shared" si="115"/>
        <v>8</v>
      </c>
      <c r="CZ238" s="7">
        <f t="shared" si="116"/>
        <v>8</v>
      </c>
      <c r="DA238" s="7">
        <f t="shared" si="117"/>
        <v>8</v>
      </c>
      <c r="DB238" s="7">
        <f t="shared" si="118"/>
        <v>8</v>
      </c>
      <c r="DC238" s="7">
        <f t="shared" si="119"/>
        <v>8</v>
      </c>
      <c r="DD238" s="7">
        <f t="shared" si="120"/>
        <v>8</v>
      </c>
      <c r="DE238" s="7">
        <f t="shared" si="121"/>
        <v>8</v>
      </c>
      <c r="DF238" s="7">
        <f t="shared" si="122"/>
        <v>8</v>
      </c>
      <c r="DH238" s="7">
        <f t="shared" si="123"/>
        <v>8</v>
      </c>
      <c r="DI238" s="7">
        <f t="shared" si="124"/>
        <v>8</v>
      </c>
      <c r="DJ238" s="7">
        <f t="shared" si="125"/>
        <v>8</v>
      </c>
      <c r="DK238" s="7">
        <f t="shared" si="126"/>
        <v>8</v>
      </c>
      <c r="DL238" s="7">
        <f t="shared" si="127"/>
        <v>8</v>
      </c>
      <c r="DM238" s="7">
        <f t="shared" si="128"/>
        <v>8</v>
      </c>
      <c r="DN238" s="7">
        <f t="shared" si="129"/>
        <v>8</v>
      </c>
      <c r="DO238" s="7">
        <f t="shared" si="130"/>
        <v>8</v>
      </c>
      <c r="DP238" s="7">
        <f t="shared" si="131"/>
        <v>8</v>
      </c>
    </row>
    <row r="239" spans="1:130" ht="25.5" hidden="1" customHeight="1" x14ac:dyDescent="0.25">
      <c r="A239" s="92" t="str">
        <f t="shared" ref="A239:A280" si="139">VLOOKUP(C239,CU,6,FALSE)</f>
        <v>CM-SWVI [10]</v>
      </c>
      <c r="B239" s="92" t="str">
        <f t="shared" ref="B239:B280" si="140">VLOOKUP(C239,CU,7,FALSE)</f>
        <v>Southwest Vancouver Island</v>
      </c>
      <c r="C239" s="93" t="str">
        <f t="shared" si="102"/>
        <v>FUNDY CREEK_Chum</v>
      </c>
      <c r="D239" s="128" t="s">
        <v>598</v>
      </c>
      <c r="E239" s="128" t="s">
        <v>598</v>
      </c>
      <c r="F239" s="64">
        <v>24</v>
      </c>
      <c r="G239" s="72" t="s">
        <v>189</v>
      </c>
      <c r="H239" s="65" t="s">
        <v>96</v>
      </c>
      <c r="I239" s="119"/>
      <c r="J239" s="119"/>
      <c r="K239" s="64">
        <v>4</v>
      </c>
      <c r="L239" s="52">
        <v>8</v>
      </c>
      <c r="M239" s="52">
        <v>8</v>
      </c>
      <c r="N239" s="52">
        <f t="shared" ref="N239:N280" si="141">GEOMEAN(AJ239:AW239)</f>
        <v>99.2264917211522</v>
      </c>
      <c r="O239" s="52">
        <f t="shared" ref="O239:O280" si="142">MAX(AJ239:CM239)</f>
        <v>520</v>
      </c>
      <c r="P239" s="52">
        <f t="shared" ref="P239:P280" si="143">GEOMEAN(AJ239:CM239)</f>
        <v>148.7747681385172</v>
      </c>
      <c r="Q239" s="66"/>
      <c r="R239" s="39"/>
      <c r="S239" s="74" t="s">
        <v>370</v>
      </c>
      <c r="T239" s="81">
        <f t="shared" si="106"/>
        <v>2.6666666666666665</v>
      </c>
      <c r="U239" s="81">
        <f t="shared" si="107"/>
        <v>10.75</v>
      </c>
      <c r="V239" s="233">
        <v>4</v>
      </c>
      <c r="W239" s="52">
        <v>3</v>
      </c>
      <c r="X239" s="52">
        <v>1</v>
      </c>
      <c r="Y239" s="52" t="s">
        <v>262</v>
      </c>
      <c r="Z239" s="52" t="s">
        <v>102</v>
      </c>
      <c r="AA239" s="52" t="s">
        <v>263</v>
      </c>
      <c r="AB239" s="52" t="s">
        <v>263</v>
      </c>
      <c r="AC239" s="52" t="s">
        <v>263</v>
      </c>
      <c r="AD239" s="52" t="s">
        <v>102</v>
      </c>
      <c r="AE239" s="52" t="s">
        <v>263</v>
      </c>
      <c r="AF239" s="52" t="s">
        <v>102</v>
      </c>
      <c r="AG239" s="144">
        <v>35</v>
      </c>
      <c r="AH239" s="53">
        <v>9</v>
      </c>
      <c r="AI239" s="52" t="s">
        <v>102</v>
      </c>
      <c r="AJ239" s="52" t="s">
        <v>102</v>
      </c>
      <c r="AK239" s="123">
        <v>5</v>
      </c>
      <c r="AL239" s="123">
        <v>141</v>
      </c>
      <c r="AM239" s="57">
        <v>192</v>
      </c>
      <c r="AN239" s="57">
        <v>337</v>
      </c>
      <c r="AO239" s="57">
        <v>63</v>
      </c>
      <c r="AP239" s="53">
        <v>169</v>
      </c>
      <c r="AQ239" s="52">
        <v>240</v>
      </c>
      <c r="AR239" s="53" t="s">
        <v>102</v>
      </c>
      <c r="AS239" s="52" t="s">
        <v>102</v>
      </c>
      <c r="AT239" s="52" t="s">
        <v>263</v>
      </c>
      <c r="AU239" s="54"/>
      <c r="AV239" s="52">
        <v>400</v>
      </c>
      <c r="AW239" s="52">
        <v>20</v>
      </c>
      <c r="AX239" s="51">
        <v>520</v>
      </c>
      <c r="AY239" s="53">
        <v>200</v>
      </c>
      <c r="AZ239" s="53" t="s">
        <v>102</v>
      </c>
      <c r="BA239" s="53" t="s">
        <v>102</v>
      </c>
      <c r="BB239" s="53" t="s">
        <v>102</v>
      </c>
      <c r="BC239" s="53" t="s">
        <v>102</v>
      </c>
      <c r="BD239" s="53" t="s">
        <v>102</v>
      </c>
      <c r="BE239" s="53" t="s">
        <v>102</v>
      </c>
      <c r="BF239" s="53" t="s">
        <v>102</v>
      </c>
      <c r="BG239" s="53" t="s">
        <v>102</v>
      </c>
      <c r="BH239" s="53">
        <v>240</v>
      </c>
      <c r="BI239" s="53">
        <v>150</v>
      </c>
      <c r="BJ239" s="53">
        <v>300</v>
      </c>
      <c r="BK239" s="53">
        <v>250</v>
      </c>
      <c r="BL239" s="53">
        <v>220</v>
      </c>
      <c r="BM239" s="53" t="s">
        <v>102</v>
      </c>
      <c r="BN239" s="53" t="s">
        <v>102</v>
      </c>
      <c r="BO239" s="53" t="s">
        <v>102</v>
      </c>
      <c r="BP239" s="53" t="s">
        <v>102</v>
      </c>
      <c r="BQ239" s="53" t="s">
        <v>102</v>
      </c>
      <c r="BR239" s="53" t="s">
        <v>102</v>
      </c>
      <c r="BS239" s="53" t="s">
        <v>102</v>
      </c>
      <c r="BT239" s="53" t="s">
        <v>102</v>
      </c>
      <c r="BU239" s="53" t="s">
        <v>102</v>
      </c>
      <c r="BV239" s="53" t="s">
        <v>102</v>
      </c>
      <c r="BW239" s="53" t="s">
        <v>102</v>
      </c>
      <c r="BX239" s="53" t="s">
        <v>102</v>
      </c>
      <c r="BY239" s="53" t="s">
        <v>102</v>
      </c>
      <c r="BZ239" s="53" t="s">
        <v>102</v>
      </c>
      <c r="CA239" s="53" t="s">
        <v>102</v>
      </c>
      <c r="CB239" s="53" t="s">
        <v>102</v>
      </c>
      <c r="CC239" s="53" t="s">
        <v>102</v>
      </c>
      <c r="CD239" s="53" t="s">
        <v>102</v>
      </c>
      <c r="CE239" s="53" t="s">
        <v>102</v>
      </c>
      <c r="CF239" s="53" t="s">
        <v>102</v>
      </c>
      <c r="CG239" s="53" t="s">
        <v>102</v>
      </c>
      <c r="CH239" s="53" t="s">
        <v>102</v>
      </c>
      <c r="CI239" s="53" t="s">
        <v>102</v>
      </c>
      <c r="CJ239" s="53" t="s">
        <v>102</v>
      </c>
      <c r="CK239" s="53" t="s">
        <v>102</v>
      </c>
      <c r="CL239" s="53" t="s">
        <v>102</v>
      </c>
      <c r="CM239" s="53" t="s">
        <v>102</v>
      </c>
      <c r="CN239" s="206"/>
      <c r="CO239" s="206"/>
      <c r="CP239" s="206"/>
      <c r="CQ239" s="8">
        <f t="shared" si="108"/>
        <v>1</v>
      </c>
      <c r="CR239" s="8">
        <f t="shared" si="109"/>
        <v>520</v>
      </c>
      <c r="CS239" s="8">
        <f t="shared" si="110"/>
        <v>166.61904761904762</v>
      </c>
      <c r="CT239">
        <f t="shared" si="111"/>
        <v>66.929434839708918</v>
      </c>
      <c r="CU239" s="143">
        <f t="shared" si="112"/>
        <v>2.6666666666666665</v>
      </c>
      <c r="CV239" s="143">
        <f t="shared" si="113"/>
        <v>10.75</v>
      </c>
      <c r="CX239" s="7">
        <f t="shared" si="114"/>
        <v>3</v>
      </c>
      <c r="CY239" s="7">
        <f t="shared" si="115"/>
        <v>5</v>
      </c>
      <c r="CZ239" s="7">
        <f t="shared" si="116"/>
        <v>9</v>
      </c>
      <c r="DA239" s="7">
        <f t="shared" si="117"/>
        <v>20</v>
      </c>
      <c r="DB239" s="7">
        <f t="shared" si="118"/>
        <v>169</v>
      </c>
      <c r="DC239" s="7">
        <f t="shared" si="119"/>
        <v>200</v>
      </c>
      <c r="DD239" s="7">
        <f t="shared" si="120"/>
        <v>220</v>
      </c>
      <c r="DE239" s="7">
        <f t="shared" si="121"/>
        <v>240</v>
      </c>
      <c r="DF239" s="7">
        <f t="shared" si="122"/>
        <v>300</v>
      </c>
      <c r="DH239" s="7">
        <f t="shared" si="123"/>
        <v>2.2999999999999998</v>
      </c>
      <c r="DI239" s="7">
        <f t="shared" si="124"/>
        <v>3.95</v>
      </c>
      <c r="DJ239" s="7">
        <f t="shared" si="125"/>
        <v>4.5999999999999996</v>
      </c>
      <c r="DK239" s="7">
        <f t="shared" si="126"/>
        <v>6</v>
      </c>
      <c r="DL239" s="7">
        <f t="shared" si="127"/>
        <v>49</v>
      </c>
      <c r="DM239" s="7">
        <f t="shared" si="128"/>
        <v>125.40000000000006</v>
      </c>
      <c r="DN239" s="7">
        <f t="shared" si="129"/>
        <v>153.60000000000002</v>
      </c>
      <c r="DO239" s="7">
        <f t="shared" si="130"/>
        <v>186.25</v>
      </c>
      <c r="DP239" s="7">
        <f t="shared" si="131"/>
        <v>244.84999999999991</v>
      </c>
    </row>
    <row r="240" spans="1:130" ht="25.5" hidden="1" customHeight="1" x14ac:dyDescent="0.25">
      <c r="A240" s="92" t="str">
        <f t="shared" si="139"/>
        <v>CO-CLAY [18]</v>
      </c>
      <c r="B240" s="92" t="str">
        <f t="shared" si="140"/>
        <v>Clayoquot</v>
      </c>
      <c r="C240" s="93" t="str">
        <f t="shared" si="102"/>
        <v>FUNDY CREEK_Coho</v>
      </c>
      <c r="D240" s="128" t="s">
        <v>598</v>
      </c>
      <c r="E240" s="128" t="s">
        <v>598</v>
      </c>
      <c r="F240" s="64">
        <v>24</v>
      </c>
      <c r="G240" s="72" t="s">
        <v>189</v>
      </c>
      <c r="H240" s="65" t="s">
        <v>93</v>
      </c>
      <c r="I240" s="119"/>
      <c r="J240" s="119"/>
      <c r="K240" s="64">
        <v>4</v>
      </c>
      <c r="L240" s="52">
        <v>8</v>
      </c>
      <c r="M240" s="52">
        <v>1</v>
      </c>
      <c r="N240" s="52" t="e">
        <f t="shared" si="141"/>
        <v>#NUM!</v>
      </c>
      <c r="O240" s="52">
        <f t="shared" si="142"/>
        <v>0</v>
      </c>
      <c r="P240" s="52" t="e">
        <f t="shared" si="143"/>
        <v>#NUM!</v>
      </c>
      <c r="Q240" s="66"/>
      <c r="R240" s="39"/>
      <c r="S240" s="74" t="s">
        <v>370</v>
      </c>
      <c r="T240" s="81">
        <f t="shared" si="106"/>
        <v>1</v>
      </c>
      <c r="U240" s="81">
        <f t="shared" si="107"/>
        <v>1</v>
      </c>
      <c r="V240" s="232" t="s">
        <v>262</v>
      </c>
      <c r="W240" s="52">
        <v>1</v>
      </c>
      <c r="X240" s="52" t="s">
        <v>262</v>
      </c>
      <c r="Y240" s="52" t="s">
        <v>262</v>
      </c>
      <c r="Z240" s="52" t="s">
        <v>102</v>
      </c>
      <c r="AA240" s="52" t="s">
        <v>262</v>
      </c>
      <c r="AB240" s="52" t="s">
        <v>262</v>
      </c>
      <c r="AC240" s="52" t="s">
        <v>262</v>
      </c>
      <c r="AD240" s="52" t="s">
        <v>102</v>
      </c>
      <c r="AE240" s="144" t="s">
        <v>262</v>
      </c>
      <c r="AF240" s="52" t="s">
        <v>102</v>
      </c>
      <c r="AG240" s="144" t="s">
        <v>262</v>
      </c>
      <c r="AH240" s="52" t="s">
        <v>262</v>
      </c>
      <c r="AI240" s="52" t="s">
        <v>102</v>
      </c>
      <c r="AJ240" s="52" t="s">
        <v>102</v>
      </c>
      <c r="AK240" s="123" t="s">
        <v>262</v>
      </c>
      <c r="AL240" s="123" t="s">
        <v>262</v>
      </c>
      <c r="AM240" s="53" t="s">
        <v>262</v>
      </c>
      <c r="AN240" s="53" t="s">
        <v>262</v>
      </c>
      <c r="AO240" s="53" t="s">
        <v>262</v>
      </c>
      <c r="AP240" s="53" t="s">
        <v>262</v>
      </c>
      <c r="AQ240" s="52" t="s">
        <v>263</v>
      </c>
      <c r="AR240" s="53" t="s">
        <v>102</v>
      </c>
      <c r="AS240" s="52" t="s">
        <v>102</v>
      </c>
      <c r="AT240" s="52" t="s">
        <v>262</v>
      </c>
      <c r="AU240" s="54"/>
      <c r="AV240" s="52" t="s">
        <v>262</v>
      </c>
      <c r="AW240" s="52" t="s">
        <v>262</v>
      </c>
      <c r="AX240" s="51" t="s">
        <v>264</v>
      </c>
      <c r="AY240" s="53" t="s">
        <v>264</v>
      </c>
      <c r="AZ240" s="53" t="s">
        <v>102</v>
      </c>
      <c r="BA240" s="53" t="s">
        <v>102</v>
      </c>
      <c r="BB240" s="53" t="s">
        <v>102</v>
      </c>
      <c r="BC240" s="53" t="s">
        <v>102</v>
      </c>
      <c r="BD240" s="53" t="s">
        <v>102</v>
      </c>
      <c r="BE240" s="53" t="s">
        <v>102</v>
      </c>
      <c r="BF240" s="53" t="s">
        <v>102</v>
      </c>
      <c r="BG240" s="53" t="s">
        <v>102</v>
      </c>
      <c r="BH240" s="53" t="s">
        <v>262</v>
      </c>
      <c r="BI240" s="53" t="s">
        <v>264</v>
      </c>
      <c r="BJ240" s="53" t="s">
        <v>264</v>
      </c>
      <c r="BK240" s="53" t="s">
        <v>264</v>
      </c>
      <c r="BL240" s="53" t="s">
        <v>264</v>
      </c>
      <c r="BM240" s="53" t="s">
        <v>102</v>
      </c>
      <c r="BN240" s="53" t="s">
        <v>102</v>
      </c>
      <c r="BO240" s="53" t="s">
        <v>102</v>
      </c>
      <c r="BP240" s="53" t="s">
        <v>102</v>
      </c>
      <c r="BQ240" s="53" t="s">
        <v>102</v>
      </c>
      <c r="BR240" s="53" t="s">
        <v>102</v>
      </c>
      <c r="BS240" s="53" t="s">
        <v>102</v>
      </c>
      <c r="BT240" s="53" t="s">
        <v>102</v>
      </c>
      <c r="BU240" s="53" t="s">
        <v>102</v>
      </c>
      <c r="BV240" s="53" t="s">
        <v>102</v>
      </c>
      <c r="BW240" s="53" t="s">
        <v>102</v>
      </c>
      <c r="BX240" s="53" t="s">
        <v>102</v>
      </c>
      <c r="BY240" s="53" t="s">
        <v>102</v>
      </c>
      <c r="BZ240" s="53" t="s">
        <v>102</v>
      </c>
      <c r="CA240" s="53" t="s">
        <v>102</v>
      </c>
      <c r="CB240" s="53" t="s">
        <v>102</v>
      </c>
      <c r="CC240" s="53" t="s">
        <v>102</v>
      </c>
      <c r="CD240" s="53" t="s">
        <v>102</v>
      </c>
      <c r="CE240" s="53" t="s">
        <v>102</v>
      </c>
      <c r="CF240" s="53" t="s">
        <v>102</v>
      </c>
      <c r="CG240" s="53" t="s">
        <v>102</v>
      </c>
      <c r="CH240" s="53" t="s">
        <v>102</v>
      </c>
      <c r="CI240" s="53" t="s">
        <v>102</v>
      </c>
      <c r="CJ240" s="53" t="s">
        <v>102</v>
      </c>
      <c r="CK240" s="53" t="s">
        <v>102</v>
      </c>
      <c r="CL240" s="53" t="s">
        <v>102</v>
      </c>
      <c r="CM240" s="53" t="s">
        <v>102</v>
      </c>
      <c r="CN240" s="206"/>
      <c r="CO240" s="206"/>
      <c r="CP240" s="206"/>
      <c r="CQ240" s="8">
        <f t="shared" si="108"/>
        <v>1</v>
      </c>
      <c r="CR240" s="8">
        <f t="shared" si="109"/>
        <v>1</v>
      </c>
      <c r="CS240" s="8">
        <f t="shared" si="110"/>
        <v>1</v>
      </c>
      <c r="CT240">
        <f t="shared" si="111"/>
        <v>1</v>
      </c>
      <c r="CU240" s="143">
        <f t="shared" si="112"/>
        <v>1</v>
      </c>
      <c r="CV240" s="143">
        <f t="shared" si="113"/>
        <v>1</v>
      </c>
      <c r="CX240" s="7">
        <f t="shared" si="114"/>
        <v>1</v>
      </c>
      <c r="CY240" s="7">
        <f t="shared" si="115"/>
        <v>1</v>
      </c>
      <c r="CZ240" s="7">
        <f t="shared" si="116"/>
        <v>1</v>
      </c>
      <c r="DA240" s="7">
        <f t="shared" si="117"/>
        <v>1</v>
      </c>
      <c r="DB240" s="7">
        <f t="shared" si="118"/>
        <v>1</v>
      </c>
      <c r="DC240" s="7">
        <f t="shared" si="119"/>
        <v>1</v>
      </c>
      <c r="DD240" s="7">
        <f t="shared" si="120"/>
        <v>1</v>
      </c>
      <c r="DE240" s="7">
        <f t="shared" si="121"/>
        <v>1</v>
      </c>
      <c r="DF240" s="7">
        <f t="shared" si="122"/>
        <v>1</v>
      </c>
      <c r="DH240" s="7">
        <f t="shared" si="123"/>
        <v>1</v>
      </c>
      <c r="DI240" s="7">
        <f t="shared" si="124"/>
        <v>1</v>
      </c>
      <c r="DJ240" s="7">
        <f t="shared" si="125"/>
        <v>1</v>
      </c>
      <c r="DK240" s="7">
        <f t="shared" si="126"/>
        <v>1</v>
      </c>
      <c r="DL240" s="7">
        <f t="shared" si="127"/>
        <v>1</v>
      </c>
      <c r="DM240" s="7">
        <f t="shared" si="128"/>
        <v>1</v>
      </c>
      <c r="DN240" s="7">
        <f t="shared" si="129"/>
        <v>1</v>
      </c>
      <c r="DO240" s="7">
        <f t="shared" si="130"/>
        <v>1</v>
      </c>
      <c r="DP240" s="7">
        <f t="shared" si="131"/>
        <v>1</v>
      </c>
    </row>
    <row r="241" spans="1:120" ht="25.5" hidden="1" customHeight="1" x14ac:dyDescent="0.25">
      <c r="A241" s="92" t="str">
        <f t="shared" si="139"/>
        <v>CM-SWVI [10]</v>
      </c>
      <c r="B241" s="92" t="str">
        <f t="shared" si="140"/>
        <v>Southwest Vancouver Island</v>
      </c>
      <c r="C241" s="93" t="str">
        <f t="shared" si="102"/>
        <v>HESQUIAT HARBOUR #1 CREEKS_Chum</v>
      </c>
      <c r="D241" s="128" t="s">
        <v>598</v>
      </c>
      <c r="E241" s="128" t="s">
        <v>598</v>
      </c>
      <c r="F241" s="64">
        <v>24</v>
      </c>
      <c r="G241" s="72" t="s">
        <v>208</v>
      </c>
      <c r="H241" s="65" t="s">
        <v>96</v>
      </c>
      <c r="I241" s="119"/>
      <c r="J241" s="119"/>
      <c r="K241" s="64">
        <v>4</v>
      </c>
      <c r="L241" s="52">
        <v>1</v>
      </c>
      <c r="M241" s="52">
        <v>0</v>
      </c>
      <c r="N241" s="52" t="e">
        <f t="shared" si="141"/>
        <v>#NUM!</v>
      </c>
      <c r="O241" s="52">
        <f t="shared" si="142"/>
        <v>0</v>
      </c>
      <c r="P241" s="52" t="e">
        <f t="shared" si="143"/>
        <v>#NUM!</v>
      </c>
      <c r="Q241" s="66"/>
      <c r="R241" s="39"/>
      <c r="S241" s="74" t="s">
        <v>380</v>
      </c>
      <c r="T241" s="81" t="e">
        <f t="shared" si="106"/>
        <v>#DIV/0!</v>
      </c>
      <c r="U241" s="81" t="e">
        <f t="shared" si="107"/>
        <v>#DIV/0!</v>
      </c>
      <c r="V241" s="52" t="s">
        <v>102</v>
      </c>
      <c r="W241" s="52" t="s">
        <v>102</v>
      </c>
      <c r="X241" s="52" t="s">
        <v>102</v>
      </c>
      <c r="Y241" s="52" t="s">
        <v>263</v>
      </c>
      <c r="Z241" s="52" t="s">
        <v>102</v>
      </c>
      <c r="AA241" s="52" t="s">
        <v>102</v>
      </c>
      <c r="AB241" s="52" t="s">
        <v>102</v>
      </c>
      <c r="AC241" s="52" t="s">
        <v>102</v>
      </c>
      <c r="AD241" s="52" t="s">
        <v>102</v>
      </c>
      <c r="AE241" s="52" t="s">
        <v>102</v>
      </c>
      <c r="AF241" s="52" t="s">
        <v>102</v>
      </c>
      <c r="AG241" s="52" t="s">
        <v>102</v>
      </c>
      <c r="AH241" s="52" t="s">
        <v>102</v>
      </c>
      <c r="AI241" s="52" t="s">
        <v>102</v>
      </c>
      <c r="AJ241" s="223"/>
      <c r="AK241" s="52" t="s">
        <v>102</v>
      </c>
      <c r="AL241" s="52" t="s">
        <v>102</v>
      </c>
      <c r="AM241" s="52" t="s">
        <v>102</v>
      </c>
      <c r="AN241" s="52" t="s">
        <v>102</v>
      </c>
      <c r="AO241" s="52" t="s">
        <v>102</v>
      </c>
      <c r="AP241" s="53" t="s">
        <v>102</v>
      </c>
      <c r="AQ241" s="54"/>
      <c r="AR241" s="53" t="s">
        <v>102</v>
      </c>
      <c r="AS241" s="54"/>
      <c r="AT241" s="54"/>
      <c r="AU241" s="52" t="s">
        <v>262</v>
      </c>
      <c r="AV241" s="54"/>
      <c r="AW241" s="54"/>
      <c r="AX241" s="51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206"/>
      <c r="CO241" s="206"/>
      <c r="CP241" s="206"/>
      <c r="CQ241" s="8">
        <f t="shared" si="108"/>
        <v>0</v>
      </c>
      <c r="CR241" s="8">
        <f t="shared" si="109"/>
        <v>0</v>
      </c>
      <c r="CS241" s="8" t="e">
        <f t="shared" si="110"/>
        <v>#DIV/0!</v>
      </c>
      <c r="CT241" t="e">
        <f t="shared" si="111"/>
        <v>#NUM!</v>
      </c>
      <c r="CU241" s="143" t="e">
        <f t="shared" si="112"/>
        <v>#DIV/0!</v>
      </c>
      <c r="CV241" s="143" t="e">
        <f t="shared" si="113"/>
        <v>#DIV/0!</v>
      </c>
      <c r="CX241" s="7" t="e">
        <f t="shared" si="114"/>
        <v>#NUM!</v>
      </c>
      <c r="CY241" s="7" t="e">
        <f t="shared" si="115"/>
        <v>#NUM!</v>
      </c>
      <c r="CZ241" s="7" t="e">
        <f t="shared" si="116"/>
        <v>#NUM!</v>
      </c>
      <c r="DA241" s="7" t="e">
        <f t="shared" si="117"/>
        <v>#NUM!</v>
      </c>
      <c r="DB241" s="7" t="e">
        <f t="shared" si="118"/>
        <v>#NUM!</v>
      </c>
      <c r="DC241" s="7" t="e">
        <f t="shared" si="119"/>
        <v>#NUM!</v>
      </c>
      <c r="DD241" s="7" t="e">
        <f t="shared" si="120"/>
        <v>#NUM!</v>
      </c>
      <c r="DE241" s="7" t="e">
        <f t="shared" si="121"/>
        <v>#NUM!</v>
      </c>
      <c r="DF241" s="7" t="e">
        <f t="shared" si="122"/>
        <v>#NUM!</v>
      </c>
      <c r="DH241" s="7" t="e">
        <f t="shared" si="123"/>
        <v>#NUM!</v>
      </c>
      <c r="DI241" s="7" t="e">
        <f t="shared" si="124"/>
        <v>#NUM!</v>
      </c>
      <c r="DJ241" s="7" t="e">
        <f t="shared" si="125"/>
        <v>#NUM!</v>
      </c>
      <c r="DK241" s="7" t="e">
        <f t="shared" si="126"/>
        <v>#NUM!</v>
      </c>
      <c r="DL241" s="7" t="e">
        <f t="shared" si="127"/>
        <v>#NUM!</v>
      </c>
      <c r="DM241" s="7" t="e">
        <f t="shared" si="128"/>
        <v>#NUM!</v>
      </c>
      <c r="DN241" s="7" t="e">
        <f t="shared" si="129"/>
        <v>#NUM!</v>
      </c>
      <c r="DO241" s="7" t="e">
        <f t="shared" si="130"/>
        <v>#NUM!</v>
      </c>
      <c r="DP241" s="7" t="e">
        <f t="shared" si="131"/>
        <v>#NUM!</v>
      </c>
    </row>
    <row r="242" spans="1:120" ht="25.5" hidden="1" customHeight="1" x14ac:dyDescent="0.25">
      <c r="A242" s="92" t="str">
        <f t="shared" si="139"/>
        <v>CO-CLAY [18]</v>
      </c>
      <c r="B242" s="92" t="str">
        <f t="shared" si="140"/>
        <v>Clayoquot</v>
      </c>
      <c r="C242" s="93" t="str">
        <f t="shared" si="102"/>
        <v>HESQUIAT HARBOUR #1 CREEKS_Coho</v>
      </c>
      <c r="D242" s="128" t="s">
        <v>598</v>
      </c>
      <c r="E242" s="128" t="s">
        <v>598</v>
      </c>
      <c r="F242" s="64">
        <v>24</v>
      </c>
      <c r="G242" s="72" t="s">
        <v>208</v>
      </c>
      <c r="H242" s="65" t="s">
        <v>93</v>
      </c>
      <c r="I242" s="119"/>
      <c r="J242" s="119"/>
      <c r="K242" s="64">
        <v>4</v>
      </c>
      <c r="L242" s="52">
        <v>1</v>
      </c>
      <c r="M242" s="52">
        <v>0</v>
      </c>
      <c r="N242" s="52" t="e">
        <f t="shared" si="141"/>
        <v>#NUM!</v>
      </c>
      <c r="O242" s="52">
        <f t="shared" si="142"/>
        <v>0</v>
      </c>
      <c r="P242" s="52" t="e">
        <f t="shared" si="143"/>
        <v>#NUM!</v>
      </c>
      <c r="Q242" s="66"/>
      <c r="R242" s="39"/>
      <c r="S242" s="74" t="s">
        <v>371</v>
      </c>
      <c r="T242" s="81" t="e">
        <f t="shared" si="106"/>
        <v>#DIV/0!</v>
      </c>
      <c r="U242" s="81" t="e">
        <f t="shared" si="107"/>
        <v>#DIV/0!</v>
      </c>
      <c r="V242" s="52" t="s">
        <v>102</v>
      </c>
      <c r="W242" s="52" t="s">
        <v>102</v>
      </c>
      <c r="X242" s="52" t="s">
        <v>102</v>
      </c>
      <c r="Y242" s="52" t="s">
        <v>262</v>
      </c>
      <c r="Z242" s="52" t="s">
        <v>102</v>
      </c>
      <c r="AA242" s="52" t="s">
        <v>102</v>
      </c>
      <c r="AB242" s="52" t="s">
        <v>102</v>
      </c>
      <c r="AC242" s="52" t="s">
        <v>102</v>
      </c>
      <c r="AD242" s="52" t="s">
        <v>102</v>
      </c>
      <c r="AE242" s="52" t="s">
        <v>102</v>
      </c>
      <c r="AF242" s="52" t="s">
        <v>102</v>
      </c>
      <c r="AG242" s="52" t="s">
        <v>102</v>
      </c>
      <c r="AH242" s="52" t="s">
        <v>102</v>
      </c>
      <c r="AI242" s="52" t="s">
        <v>102</v>
      </c>
      <c r="AJ242" s="224"/>
      <c r="AK242" s="52" t="s">
        <v>102</v>
      </c>
      <c r="AL242" s="52" t="s">
        <v>102</v>
      </c>
      <c r="AM242" s="52" t="s">
        <v>102</v>
      </c>
      <c r="AN242" s="52" t="s">
        <v>102</v>
      </c>
      <c r="AO242" s="52" t="s">
        <v>102</v>
      </c>
      <c r="AP242" s="53" t="s">
        <v>102</v>
      </c>
      <c r="AQ242" s="54"/>
      <c r="AR242" s="53" t="s">
        <v>102</v>
      </c>
      <c r="AS242" s="54"/>
      <c r="AT242" s="54"/>
      <c r="AU242" s="52" t="s">
        <v>262</v>
      </c>
      <c r="AV242" s="54"/>
      <c r="AW242" s="54"/>
      <c r="AX242" s="51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206"/>
      <c r="CO242" s="206"/>
      <c r="CP242" s="206"/>
      <c r="CQ242" s="8">
        <f t="shared" si="108"/>
        <v>0</v>
      </c>
      <c r="CR242" s="8">
        <f t="shared" si="109"/>
        <v>0</v>
      </c>
      <c r="CS242" s="8" t="e">
        <f t="shared" si="110"/>
        <v>#DIV/0!</v>
      </c>
      <c r="CT242" t="e">
        <f t="shared" si="111"/>
        <v>#NUM!</v>
      </c>
      <c r="CU242" s="143" t="e">
        <f t="shared" si="112"/>
        <v>#DIV/0!</v>
      </c>
      <c r="CV242" s="143" t="e">
        <f t="shared" si="113"/>
        <v>#DIV/0!</v>
      </c>
      <c r="CX242" s="7" t="e">
        <f t="shared" si="114"/>
        <v>#NUM!</v>
      </c>
      <c r="CY242" s="7" t="e">
        <f t="shared" si="115"/>
        <v>#NUM!</v>
      </c>
      <c r="CZ242" s="7" t="e">
        <f t="shared" si="116"/>
        <v>#NUM!</v>
      </c>
      <c r="DA242" s="7" t="e">
        <f t="shared" si="117"/>
        <v>#NUM!</v>
      </c>
      <c r="DB242" s="7" t="e">
        <f t="shared" si="118"/>
        <v>#NUM!</v>
      </c>
      <c r="DC242" s="7" t="e">
        <f t="shared" si="119"/>
        <v>#NUM!</v>
      </c>
      <c r="DD242" s="7" t="e">
        <f t="shared" si="120"/>
        <v>#NUM!</v>
      </c>
      <c r="DE242" s="7" t="e">
        <f t="shared" si="121"/>
        <v>#NUM!</v>
      </c>
      <c r="DF242" s="7" t="e">
        <f t="shared" si="122"/>
        <v>#NUM!</v>
      </c>
      <c r="DH242" s="7" t="e">
        <f t="shared" si="123"/>
        <v>#NUM!</v>
      </c>
      <c r="DI242" s="7" t="e">
        <f t="shared" si="124"/>
        <v>#NUM!</v>
      </c>
      <c r="DJ242" s="7" t="e">
        <f t="shared" si="125"/>
        <v>#NUM!</v>
      </c>
      <c r="DK242" s="7" t="e">
        <f t="shared" si="126"/>
        <v>#NUM!</v>
      </c>
      <c r="DL242" s="7" t="e">
        <f t="shared" si="127"/>
        <v>#NUM!</v>
      </c>
      <c r="DM242" s="7" t="e">
        <f t="shared" si="128"/>
        <v>#NUM!</v>
      </c>
      <c r="DN242" s="7" t="e">
        <f t="shared" si="129"/>
        <v>#NUM!</v>
      </c>
      <c r="DO242" s="7" t="e">
        <f t="shared" si="130"/>
        <v>#NUM!</v>
      </c>
      <c r="DP242" s="7" t="e">
        <f t="shared" si="131"/>
        <v>#NUM!</v>
      </c>
    </row>
    <row r="243" spans="1:120" ht="25.5" hidden="1" customHeight="1" x14ac:dyDescent="0.25">
      <c r="A243" s="92" t="str">
        <f t="shared" si="139"/>
        <v>CM-SWVI [10]</v>
      </c>
      <c r="B243" s="92" t="str">
        <f t="shared" si="140"/>
        <v>Southwest Vancouver Island</v>
      </c>
      <c r="C243" s="93" t="str">
        <f t="shared" si="102"/>
        <v>HESQUIAT HARBOUR #2 CREEKS_Chum</v>
      </c>
      <c r="D243" s="128" t="s">
        <v>598</v>
      </c>
      <c r="E243" s="128" t="s">
        <v>598</v>
      </c>
      <c r="F243" s="64">
        <v>24</v>
      </c>
      <c r="G243" s="72" t="s">
        <v>209</v>
      </c>
      <c r="H243" s="65" t="s">
        <v>96</v>
      </c>
      <c r="I243" s="119"/>
      <c r="J243" s="119"/>
      <c r="K243" s="64">
        <v>4</v>
      </c>
      <c r="L243" s="52">
        <v>5</v>
      </c>
      <c r="M243" s="52">
        <v>5</v>
      </c>
      <c r="N243" s="52">
        <f t="shared" si="141"/>
        <v>101.10408014734367</v>
      </c>
      <c r="O243" s="52">
        <f t="shared" si="142"/>
        <v>750</v>
      </c>
      <c r="P243" s="52">
        <f t="shared" si="143"/>
        <v>144.20314998715338</v>
      </c>
      <c r="Q243" s="66"/>
      <c r="R243" s="39"/>
      <c r="S243" s="76" t="s">
        <v>382</v>
      </c>
      <c r="T243" s="81">
        <f t="shared" si="106"/>
        <v>58</v>
      </c>
      <c r="U243" s="81">
        <f t="shared" si="107"/>
        <v>186.2</v>
      </c>
      <c r="V243" s="233">
        <v>58</v>
      </c>
      <c r="W243" s="52" t="s">
        <v>102</v>
      </c>
      <c r="X243" s="52" t="s">
        <v>102</v>
      </c>
      <c r="Y243" s="52"/>
      <c r="Z243" s="52">
        <v>40</v>
      </c>
      <c r="AA243" s="52" t="s">
        <v>102</v>
      </c>
      <c r="AB243" s="123"/>
      <c r="AC243" s="52" t="s">
        <v>263</v>
      </c>
      <c r="AD243" s="53" t="s">
        <v>263</v>
      </c>
      <c r="AE243" s="144">
        <v>130</v>
      </c>
      <c r="AF243" s="144">
        <v>67</v>
      </c>
      <c r="AG243" s="144">
        <v>636</v>
      </c>
      <c r="AH243" s="52" t="s">
        <v>102</v>
      </c>
      <c r="AI243" s="52" t="s">
        <v>102</v>
      </c>
      <c r="AJ243" s="142"/>
      <c r="AK243" s="52" t="s">
        <v>102</v>
      </c>
      <c r="AL243" s="52" t="s">
        <v>102</v>
      </c>
      <c r="AM243" s="52" t="s">
        <v>102</v>
      </c>
      <c r="AN243" s="52" t="s">
        <v>102</v>
      </c>
      <c r="AO243" s="52" t="s">
        <v>102</v>
      </c>
      <c r="AP243" s="53">
        <v>43</v>
      </c>
      <c r="AQ243" s="54"/>
      <c r="AR243" s="53">
        <v>30</v>
      </c>
      <c r="AS243" s="54"/>
      <c r="AT243" s="54"/>
      <c r="AU243" s="52">
        <v>300</v>
      </c>
      <c r="AV243" s="52">
        <v>270</v>
      </c>
      <c r="AW243" s="52" t="s">
        <v>263</v>
      </c>
      <c r="AX243" s="51" t="s">
        <v>102</v>
      </c>
      <c r="AY243" s="53" t="s">
        <v>102</v>
      </c>
      <c r="AZ243" s="53" t="s">
        <v>102</v>
      </c>
      <c r="BA243" s="53" t="s">
        <v>102</v>
      </c>
      <c r="BB243" s="53" t="s">
        <v>102</v>
      </c>
      <c r="BC243" s="53" t="s">
        <v>102</v>
      </c>
      <c r="BD243" s="53" t="s">
        <v>102</v>
      </c>
      <c r="BE243" s="53">
        <v>100</v>
      </c>
      <c r="BF243" s="53">
        <v>100</v>
      </c>
      <c r="BG243" s="53" t="s">
        <v>264</v>
      </c>
      <c r="BH243" s="53" t="s">
        <v>102</v>
      </c>
      <c r="BI243" s="53" t="s">
        <v>262</v>
      </c>
      <c r="BJ243" s="53">
        <v>100</v>
      </c>
      <c r="BK243" s="53" t="s">
        <v>264</v>
      </c>
      <c r="BL243" s="53" t="s">
        <v>102</v>
      </c>
      <c r="BM243" s="53">
        <v>100</v>
      </c>
      <c r="BN243" s="53">
        <v>100</v>
      </c>
      <c r="BO243" s="53">
        <v>50</v>
      </c>
      <c r="BP243" s="53">
        <v>250</v>
      </c>
      <c r="BQ243" s="53">
        <v>550</v>
      </c>
      <c r="BR243" s="53">
        <v>450</v>
      </c>
      <c r="BS243" s="53">
        <v>750</v>
      </c>
      <c r="BT243" s="53" t="s">
        <v>102</v>
      </c>
      <c r="BU243" s="53" t="s">
        <v>102</v>
      </c>
      <c r="BV243" s="53" t="s">
        <v>102</v>
      </c>
      <c r="BW243" s="53" t="s">
        <v>102</v>
      </c>
      <c r="BX243" s="53" t="s">
        <v>102</v>
      </c>
      <c r="BY243" s="53" t="s">
        <v>102</v>
      </c>
      <c r="BZ243" s="53" t="s">
        <v>102</v>
      </c>
      <c r="CA243" s="53">
        <v>100</v>
      </c>
      <c r="CB243" s="53" t="s">
        <v>102</v>
      </c>
      <c r="CC243" s="53" t="s">
        <v>102</v>
      </c>
      <c r="CD243" s="53" t="s">
        <v>102</v>
      </c>
      <c r="CE243" s="53" t="s">
        <v>102</v>
      </c>
      <c r="CF243" s="53" t="s">
        <v>102</v>
      </c>
      <c r="CG243" s="53" t="s">
        <v>102</v>
      </c>
      <c r="CH243" s="53" t="s">
        <v>102</v>
      </c>
      <c r="CI243" s="53" t="s">
        <v>102</v>
      </c>
      <c r="CJ243" s="53" t="s">
        <v>102</v>
      </c>
      <c r="CK243" s="53" t="s">
        <v>102</v>
      </c>
      <c r="CL243" s="53" t="s">
        <v>102</v>
      </c>
      <c r="CM243" s="53" t="s">
        <v>102</v>
      </c>
      <c r="CN243" s="206"/>
      <c r="CO243" s="206"/>
      <c r="CP243" s="206"/>
      <c r="CQ243" s="8">
        <f t="shared" si="108"/>
        <v>30</v>
      </c>
      <c r="CR243" s="8">
        <f t="shared" si="109"/>
        <v>750</v>
      </c>
      <c r="CS243" s="8">
        <f t="shared" si="110"/>
        <v>211.2</v>
      </c>
      <c r="CT243">
        <f t="shared" si="111"/>
        <v>133.25368357845866</v>
      </c>
      <c r="CU243" s="143">
        <f t="shared" si="112"/>
        <v>49</v>
      </c>
      <c r="CV243" s="143">
        <f t="shared" si="113"/>
        <v>186.2</v>
      </c>
      <c r="CX243" s="7">
        <f t="shared" si="114"/>
        <v>39.5</v>
      </c>
      <c r="CY243" s="7">
        <f t="shared" si="115"/>
        <v>48.95</v>
      </c>
      <c r="CZ243" s="7">
        <f t="shared" si="116"/>
        <v>56.400000000000006</v>
      </c>
      <c r="DA243" s="7">
        <f t="shared" si="117"/>
        <v>64.75</v>
      </c>
      <c r="DB243" s="7">
        <f t="shared" si="118"/>
        <v>100</v>
      </c>
      <c r="DC243" s="7">
        <f t="shared" si="119"/>
        <v>112.00000000000001</v>
      </c>
      <c r="DD243" s="7">
        <f t="shared" si="120"/>
        <v>171.99999999999994</v>
      </c>
      <c r="DE243" s="7">
        <f t="shared" si="121"/>
        <v>277.5</v>
      </c>
      <c r="DF243" s="7">
        <f t="shared" si="122"/>
        <v>464.99999999999989</v>
      </c>
      <c r="DH243" s="7">
        <f t="shared" si="123"/>
        <v>34</v>
      </c>
      <c r="DI243" s="7">
        <f t="shared" si="124"/>
        <v>40.6</v>
      </c>
      <c r="DJ243" s="7">
        <f t="shared" si="125"/>
        <v>41.8</v>
      </c>
      <c r="DK243" s="7">
        <f t="shared" si="126"/>
        <v>43</v>
      </c>
      <c r="DL243" s="7">
        <f t="shared" si="127"/>
        <v>67</v>
      </c>
      <c r="DM243" s="7">
        <f t="shared" si="128"/>
        <v>117.39999999999999</v>
      </c>
      <c r="DN243" s="7">
        <f t="shared" si="129"/>
        <v>158.00000000000003</v>
      </c>
      <c r="DO243" s="7">
        <f t="shared" si="130"/>
        <v>270</v>
      </c>
      <c r="DP243" s="7">
        <f t="shared" si="131"/>
        <v>294</v>
      </c>
    </row>
    <row r="244" spans="1:120" ht="25.5" hidden="1" customHeight="1" x14ac:dyDescent="0.25">
      <c r="A244" s="92" t="str">
        <f t="shared" si="139"/>
        <v>CO-CLAY [18]</v>
      </c>
      <c r="B244" s="92" t="str">
        <f t="shared" si="140"/>
        <v>Clayoquot</v>
      </c>
      <c r="C244" s="93" t="str">
        <f t="shared" si="102"/>
        <v>HESQUIAT HARBOUR #2 CREEKS_Coho</v>
      </c>
      <c r="D244" s="128" t="s">
        <v>598</v>
      </c>
      <c r="E244" s="128" t="s">
        <v>598</v>
      </c>
      <c r="F244" s="64">
        <v>24</v>
      </c>
      <c r="G244" s="72" t="s">
        <v>209</v>
      </c>
      <c r="H244" s="65" t="s">
        <v>93</v>
      </c>
      <c r="I244" s="119"/>
      <c r="J244" s="119"/>
      <c r="K244" s="64">
        <v>4</v>
      </c>
      <c r="L244" s="52">
        <v>5</v>
      </c>
      <c r="M244" s="52">
        <v>3</v>
      </c>
      <c r="N244" s="52">
        <f t="shared" si="141"/>
        <v>10</v>
      </c>
      <c r="O244" s="52">
        <f t="shared" si="142"/>
        <v>300</v>
      </c>
      <c r="P244" s="52">
        <f t="shared" si="143"/>
        <v>51.362087353024826</v>
      </c>
      <c r="Q244" s="66"/>
      <c r="R244" s="39"/>
      <c r="S244" s="76" t="s">
        <v>381</v>
      </c>
      <c r="T244" s="81">
        <f t="shared" si="106"/>
        <v>14</v>
      </c>
      <c r="U244" s="81">
        <f t="shared" si="107"/>
        <v>52</v>
      </c>
      <c r="V244" s="233">
        <v>14</v>
      </c>
      <c r="W244" s="52" t="s">
        <v>102</v>
      </c>
      <c r="X244" s="52" t="s">
        <v>102</v>
      </c>
      <c r="Y244" s="52"/>
      <c r="Z244" s="52" t="s">
        <v>262</v>
      </c>
      <c r="AA244" s="52" t="s">
        <v>102</v>
      </c>
      <c r="AB244" s="123"/>
      <c r="AC244" s="52" t="s">
        <v>262</v>
      </c>
      <c r="AD244" s="53" t="s">
        <v>263</v>
      </c>
      <c r="AE244" s="144">
        <v>130</v>
      </c>
      <c r="AF244" s="144">
        <v>17</v>
      </c>
      <c r="AG244" s="144">
        <v>47</v>
      </c>
      <c r="AH244" s="52" t="s">
        <v>102</v>
      </c>
      <c r="AI244" s="52" t="s">
        <v>102</v>
      </c>
      <c r="AJ244" s="142"/>
      <c r="AK244" s="52" t="s">
        <v>102</v>
      </c>
      <c r="AL244" s="52" t="s">
        <v>102</v>
      </c>
      <c r="AM244" s="52" t="s">
        <v>102</v>
      </c>
      <c r="AN244" s="52" t="s">
        <v>102</v>
      </c>
      <c r="AO244" s="52" t="s">
        <v>102</v>
      </c>
      <c r="AP244" s="53" t="s">
        <v>262</v>
      </c>
      <c r="AQ244" s="54"/>
      <c r="AR244" s="53" t="s">
        <v>263</v>
      </c>
      <c r="AS244" s="54"/>
      <c r="AT244" s="54"/>
      <c r="AU244" s="52">
        <v>10</v>
      </c>
      <c r="AV244" s="52">
        <v>10</v>
      </c>
      <c r="AW244" s="52" t="s">
        <v>262</v>
      </c>
      <c r="AX244" s="51" t="s">
        <v>102</v>
      </c>
      <c r="AY244" s="53" t="s">
        <v>102</v>
      </c>
      <c r="AZ244" s="53" t="s">
        <v>102</v>
      </c>
      <c r="BA244" s="53" t="s">
        <v>102</v>
      </c>
      <c r="BB244" s="53" t="s">
        <v>102</v>
      </c>
      <c r="BC244" s="53" t="s">
        <v>102</v>
      </c>
      <c r="BD244" s="53" t="s">
        <v>102</v>
      </c>
      <c r="BE244" s="53">
        <v>25</v>
      </c>
      <c r="BF244" s="53">
        <v>35</v>
      </c>
      <c r="BG244" s="53" t="s">
        <v>264</v>
      </c>
      <c r="BH244" s="53" t="s">
        <v>102</v>
      </c>
      <c r="BI244" s="53" t="s">
        <v>264</v>
      </c>
      <c r="BJ244" s="53" t="s">
        <v>264</v>
      </c>
      <c r="BK244" s="53" t="s">
        <v>264</v>
      </c>
      <c r="BL244" s="53" t="s">
        <v>102</v>
      </c>
      <c r="BM244" s="53">
        <v>50</v>
      </c>
      <c r="BN244" s="53">
        <v>50</v>
      </c>
      <c r="BO244" s="53" t="s">
        <v>264</v>
      </c>
      <c r="BP244" s="53">
        <v>50</v>
      </c>
      <c r="BQ244" s="53">
        <v>50</v>
      </c>
      <c r="BR244" s="53">
        <v>200</v>
      </c>
      <c r="BS244" s="53">
        <v>200</v>
      </c>
      <c r="BT244" s="53" t="s">
        <v>102</v>
      </c>
      <c r="BU244" s="53" t="s">
        <v>102</v>
      </c>
      <c r="BV244" s="53" t="s">
        <v>102</v>
      </c>
      <c r="BW244" s="53" t="s">
        <v>102</v>
      </c>
      <c r="BX244" s="53" t="s">
        <v>102</v>
      </c>
      <c r="BY244" s="53" t="s">
        <v>102</v>
      </c>
      <c r="BZ244" s="53" t="s">
        <v>102</v>
      </c>
      <c r="CA244" s="53">
        <v>300</v>
      </c>
      <c r="CB244" s="53" t="s">
        <v>102</v>
      </c>
      <c r="CC244" s="53" t="s">
        <v>102</v>
      </c>
      <c r="CD244" s="53" t="s">
        <v>102</v>
      </c>
      <c r="CE244" s="53" t="s">
        <v>102</v>
      </c>
      <c r="CF244" s="53" t="s">
        <v>102</v>
      </c>
      <c r="CG244" s="53" t="s">
        <v>102</v>
      </c>
      <c r="CH244" s="53" t="s">
        <v>102</v>
      </c>
      <c r="CI244" s="53" t="s">
        <v>102</v>
      </c>
      <c r="CJ244" s="53" t="s">
        <v>102</v>
      </c>
      <c r="CK244" s="53" t="s">
        <v>102</v>
      </c>
      <c r="CL244" s="53" t="s">
        <v>102</v>
      </c>
      <c r="CM244" s="53" t="s">
        <v>102</v>
      </c>
      <c r="CN244" s="206"/>
      <c r="CO244" s="206"/>
      <c r="CP244" s="206"/>
      <c r="CQ244" s="8">
        <f t="shared" si="108"/>
        <v>10</v>
      </c>
      <c r="CR244" s="8">
        <f t="shared" si="109"/>
        <v>300</v>
      </c>
      <c r="CS244" s="8">
        <f t="shared" si="110"/>
        <v>79.2</v>
      </c>
      <c r="CT244">
        <f t="shared" si="111"/>
        <v>46.27138498628711</v>
      </c>
      <c r="CU244" s="143">
        <f t="shared" si="112"/>
        <v>14</v>
      </c>
      <c r="CV244" s="143">
        <f t="shared" si="113"/>
        <v>52</v>
      </c>
      <c r="CX244" s="7">
        <f t="shared" si="114"/>
        <v>10</v>
      </c>
      <c r="CY244" s="7">
        <f t="shared" si="115"/>
        <v>14.3</v>
      </c>
      <c r="CZ244" s="7">
        <f t="shared" si="116"/>
        <v>16.400000000000002</v>
      </c>
      <c r="DA244" s="7">
        <f t="shared" si="117"/>
        <v>21</v>
      </c>
      <c r="DB244" s="7">
        <f t="shared" si="118"/>
        <v>50</v>
      </c>
      <c r="DC244" s="7">
        <f t="shared" si="119"/>
        <v>50</v>
      </c>
      <c r="DD244" s="7">
        <f t="shared" si="120"/>
        <v>50</v>
      </c>
      <c r="DE244" s="7">
        <f t="shared" si="121"/>
        <v>90</v>
      </c>
      <c r="DF244" s="7">
        <f t="shared" si="122"/>
        <v>193.00000000000003</v>
      </c>
      <c r="DH244" s="7">
        <f t="shared" si="123"/>
        <v>10</v>
      </c>
      <c r="DI244" s="7">
        <f t="shared" si="124"/>
        <v>10</v>
      </c>
      <c r="DJ244" s="7">
        <f t="shared" si="125"/>
        <v>10</v>
      </c>
      <c r="DK244" s="7">
        <f t="shared" si="126"/>
        <v>11</v>
      </c>
      <c r="DL244" s="7">
        <f t="shared" si="127"/>
        <v>15.5</v>
      </c>
      <c r="DM244" s="7">
        <f t="shared" si="128"/>
        <v>17</v>
      </c>
      <c r="DN244" s="7">
        <f t="shared" si="129"/>
        <v>24.5</v>
      </c>
      <c r="DO244" s="7">
        <f t="shared" si="130"/>
        <v>39.5</v>
      </c>
      <c r="DP244" s="7">
        <f t="shared" si="131"/>
        <v>67.75</v>
      </c>
    </row>
    <row r="245" spans="1:120" ht="25.5" hidden="1" customHeight="1" x14ac:dyDescent="0.25">
      <c r="A245" s="92" t="str">
        <f t="shared" si="139"/>
        <v>CM-SWVI [10]</v>
      </c>
      <c r="B245" s="92" t="str">
        <f t="shared" si="140"/>
        <v>Southwest Vancouver Island</v>
      </c>
      <c r="C245" s="93" t="str">
        <f t="shared" si="102"/>
        <v>HESQUIAT HARBOUR #3 CREEKS_Chum</v>
      </c>
      <c r="D245" s="128" t="s">
        <v>598</v>
      </c>
      <c r="E245" s="128" t="s">
        <v>598</v>
      </c>
      <c r="F245" s="64">
        <v>24</v>
      </c>
      <c r="G245" s="72" t="s">
        <v>211</v>
      </c>
      <c r="H245" s="65" t="s">
        <v>96</v>
      </c>
      <c r="I245" s="119"/>
      <c r="J245" s="119"/>
      <c r="K245" s="64">
        <v>4</v>
      </c>
      <c r="L245" s="52">
        <v>5</v>
      </c>
      <c r="M245" s="52">
        <v>1</v>
      </c>
      <c r="N245" s="52" t="e">
        <f t="shared" si="141"/>
        <v>#NUM!</v>
      </c>
      <c r="O245" s="52">
        <f t="shared" si="142"/>
        <v>0</v>
      </c>
      <c r="P245" s="52" t="e">
        <f t="shared" si="143"/>
        <v>#NUM!</v>
      </c>
      <c r="Q245" s="66"/>
      <c r="R245" s="39"/>
      <c r="S245" s="76" t="s">
        <v>384</v>
      </c>
      <c r="T245" s="81" t="e">
        <f t="shared" si="106"/>
        <v>#DIV/0!</v>
      </c>
      <c r="U245" s="81">
        <f t="shared" si="107"/>
        <v>30</v>
      </c>
      <c r="V245" s="52" t="s">
        <v>102</v>
      </c>
      <c r="W245" s="52" t="s">
        <v>102</v>
      </c>
      <c r="X245" s="52" t="s">
        <v>102</v>
      </c>
      <c r="Y245" s="52"/>
      <c r="Z245" s="52" t="s">
        <v>102</v>
      </c>
      <c r="AA245" s="52" t="s">
        <v>102</v>
      </c>
      <c r="AB245" s="52" t="s">
        <v>102</v>
      </c>
      <c r="AC245" s="52" t="s">
        <v>262</v>
      </c>
      <c r="AD245" s="53" t="s">
        <v>262</v>
      </c>
      <c r="AE245" s="144" t="s">
        <v>262</v>
      </c>
      <c r="AF245" s="144" t="s">
        <v>262</v>
      </c>
      <c r="AG245" s="144">
        <v>30</v>
      </c>
      <c r="AH245" s="52" t="s">
        <v>102</v>
      </c>
      <c r="AI245" s="52" t="s">
        <v>102</v>
      </c>
      <c r="AJ245" s="142"/>
      <c r="AK245" s="52" t="s">
        <v>102</v>
      </c>
      <c r="AL245" s="52" t="s">
        <v>102</v>
      </c>
      <c r="AM245" s="52" t="s">
        <v>102</v>
      </c>
      <c r="AN245" s="52" t="s">
        <v>102</v>
      </c>
      <c r="AO245" s="52" t="s">
        <v>102</v>
      </c>
      <c r="AP245" s="53" t="s">
        <v>262</v>
      </c>
      <c r="AQ245" s="54"/>
      <c r="AR245" s="52" t="s">
        <v>263</v>
      </c>
      <c r="AS245" s="54"/>
      <c r="AT245" s="54"/>
      <c r="AU245" s="52" t="s">
        <v>262</v>
      </c>
      <c r="AV245" s="52" t="s">
        <v>262</v>
      </c>
      <c r="AW245" s="52" t="s">
        <v>262</v>
      </c>
      <c r="AX245" s="51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206"/>
      <c r="CO245" s="206"/>
      <c r="CP245" s="206"/>
      <c r="CQ245" s="8">
        <f t="shared" si="108"/>
        <v>30</v>
      </c>
      <c r="CR245" s="8">
        <f t="shared" si="109"/>
        <v>30</v>
      </c>
      <c r="CS245" s="8">
        <f t="shared" si="110"/>
        <v>30</v>
      </c>
      <c r="CT245">
        <f t="shared" si="111"/>
        <v>30</v>
      </c>
      <c r="CU245" s="143" t="e">
        <f t="shared" si="112"/>
        <v>#DIV/0!</v>
      </c>
      <c r="CV245" s="143">
        <f t="shared" si="113"/>
        <v>30</v>
      </c>
      <c r="CX245" s="7">
        <f t="shared" si="114"/>
        <v>30</v>
      </c>
      <c r="CY245" s="7">
        <f t="shared" si="115"/>
        <v>30</v>
      </c>
      <c r="CZ245" s="7">
        <f t="shared" si="116"/>
        <v>30</v>
      </c>
      <c r="DA245" s="7">
        <f t="shared" si="117"/>
        <v>30</v>
      </c>
      <c r="DB245" s="7">
        <f t="shared" si="118"/>
        <v>30</v>
      </c>
      <c r="DC245" s="7">
        <f t="shared" si="119"/>
        <v>30</v>
      </c>
      <c r="DD245" s="7">
        <f t="shared" si="120"/>
        <v>30</v>
      </c>
      <c r="DE245" s="7">
        <f t="shared" si="121"/>
        <v>30</v>
      </c>
      <c r="DF245" s="7">
        <f t="shared" si="122"/>
        <v>30</v>
      </c>
      <c r="DH245" s="7">
        <f t="shared" si="123"/>
        <v>30</v>
      </c>
      <c r="DI245" s="7">
        <f t="shared" si="124"/>
        <v>30</v>
      </c>
      <c r="DJ245" s="7">
        <f t="shared" si="125"/>
        <v>30</v>
      </c>
      <c r="DK245" s="7">
        <f t="shared" si="126"/>
        <v>30</v>
      </c>
      <c r="DL245" s="7">
        <f t="shared" si="127"/>
        <v>30</v>
      </c>
      <c r="DM245" s="7">
        <f t="shared" si="128"/>
        <v>30</v>
      </c>
      <c r="DN245" s="7">
        <f t="shared" si="129"/>
        <v>30</v>
      </c>
      <c r="DO245" s="7">
        <f t="shared" si="130"/>
        <v>30</v>
      </c>
      <c r="DP245" s="7">
        <f t="shared" si="131"/>
        <v>30</v>
      </c>
    </row>
    <row r="246" spans="1:120" ht="25.5" hidden="1" customHeight="1" x14ac:dyDescent="0.25">
      <c r="A246" s="92" t="str">
        <f t="shared" si="139"/>
        <v>CO-CLAY [18]</v>
      </c>
      <c r="B246" s="92" t="str">
        <f t="shared" si="140"/>
        <v>Clayoquot</v>
      </c>
      <c r="C246" s="93" t="str">
        <f t="shared" si="102"/>
        <v>HESQUIAT HARBOUR #3 CREEKS_Coho</v>
      </c>
      <c r="D246" s="128" t="s">
        <v>598</v>
      </c>
      <c r="E246" s="128" t="s">
        <v>598</v>
      </c>
      <c r="F246" s="64">
        <v>24</v>
      </c>
      <c r="G246" s="72" t="s">
        <v>211</v>
      </c>
      <c r="H246" s="65" t="s">
        <v>93</v>
      </c>
      <c r="I246" s="119"/>
      <c r="J246" s="119"/>
      <c r="K246" s="64">
        <v>4</v>
      </c>
      <c r="L246" s="52">
        <v>5</v>
      </c>
      <c r="M246" s="52">
        <v>0</v>
      </c>
      <c r="N246" s="52" t="e">
        <f t="shared" si="141"/>
        <v>#NUM!</v>
      </c>
      <c r="O246" s="52">
        <f t="shared" si="142"/>
        <v>0</v>
      </c>
      <c r="P246" s="52" t="e">
        <f t="shared" si="143"/>
        <v>#NUM!</v>
      </c>
      <c r="Q246" s="66"/>
      <c r="R246" s="39"/>
      <c r="S246" s="76" t="s">
        <v>383</v>
      </c>
      <c r="T246" s="81" t="e">
        <f t="shared" si="106"/>
        <v>#DIV/0!</v>
      </c>
      <c r="U246" s="81">
        <f t="shared" si="107"/>
        <v>3</v>
      </c>
      <c r="V246" s="52" t="s">
        <v>102</v>
      </c>
      <c r="W246" s="52" t="s">
        <v>102</v>
      </c>
      <c r="X246" s="52" t="s">
        <v>102</v>
      </c>
      <c r="Y246" s="52"/>
      <c r="Z246" s="52" t="s">
        <v>102</v>
      </c>
      <c r="AA246" s="52" t="s">
        <v>102</v>
      </c>
      <c r="AB246" s="52" t="s">
        <v>102</v>
      </c>
      <c r="AC246" s="52" t="s">
        <v>262</v>
      </c>
      <c r="AD246" s="53" t="s">
        <v>263</v>
      </c>
      <c r="AE246" s="144" t="s">
        <v>262</v>
      </c>
      <c r="AF246" s="53" t="s">
        <v>263</v>
      </c>
      <c r="AG246" s="144">
        <v>3</v>
      </c>
      <c r="AH246" s="52" t="s">
        <v>617</v>
      </c>
      <c r="AI246" s="52" t="s">
        <v>102</v>
      </c>
      <c r="AJ246" s="142"/>
      <c r="AK246" s="52" t="s">
        <v>102</v>
      </c>
      <c r="AL246" s="52" t="s">
        <v>102</v>
      </c>
      <c r="AM246" s="52" t="s">
        <v>102</v>
      </c>
      <c r="AN246" s="52" t="s">
        <v>102</v>
      </c>
      <c r="AO246" s="52" t="s">
        <v>102</v>
      </c>
      <c r="AP246" s="53" t="s">
        <v>262</v>
      </c>
      <c r="AQ246" s="54"/>
      <c r="AR246" s="52" t="s">
        <v>262</v>
      </c>
      <c r="AS246" s="54"/>
      <c r="AT246" s="54"/>
      <c r="AU246" s="52" t="s">
        <v>262</v>
      </c>
      <c r="AV246" s="52" t="s">
        <v>262</v>
      </c>
      <c r="AW246" s="52" t="s">
        <v>262</v>
      </c>
      <c r="AX246" s="51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206"/>
      <c r="CO246" s="206"/>
      <c r="CP246" s="206"/>
      <c r="CQ246" s="8">
        <f t="shared" si="108"/>
        <v>3</v>
      </c>
      <c r="CR246" s="8">
        <f t="shared" si="109"/>
        <v>3</v>
      </c>
      <c r="CS246" s="8">
        <f t="shared" si="110"/>
        <v>3</v>
      </c>
      <c r="CT246">
        <f t="shared" si="111"/>
        <v>3</v>
      </c>
      <c r="CU246" s="143" t="e">
        <f t="shared" si="112"/>
        <v>#DIV/0!</v>
      </c>
      <c r="CV246" s="143">
        <f t="shared" si="113"/>
        <v>3</v>
      </c>
      <c r="CX246" s="7">
        <f t="shared" si="114"/>
        <v>3</v>
      </c>
      <c r="CY246" s="7">
        <f t="shared" si="115"/>
        <v>3</v>
      </c>
      <c r="CZ246" s="7">
        <f t="shared" si="116"/>
        <v>3</v>
      </c>
      <c r="DA246" s="7">
        <f t="shared" si="117"/>
        <v>3</v>
      </c>
      <c r="DB246" s="7">
        <f t="shared" si="118"/>
        <v>3</v>
      </c>
      <c r="DC246" s="7">
        <f t="shared" si="119"/>
        <v>3</v>
      </c>
      <c r="DD246" s="7">
        <f t="shared" si="120"/>
        <v>3</v>
      </c>
      <c r="DE246" s="7">
        <f t="shared" si="121"/>
        <v>3</v>
      </c>
      <c r="DF246" s="7">
        <f t="shared" si="122"/>
        <v>3</v>
      </c>
      <c r="DH246" s="7">
        <f t="shared" si="123"/>
        <v>3</v>
      </c>
      <c r="DI246" s="7">
        <f t="shared" si="124"/>
        <v>3</v>
      </c>
      <c r="DJ246" s="7">
        <f t="shared" si="125"/>
        <v>3</v>
      </c>
      <c r="DK246" s="7">
        <f t="shared" si="126"/>
        <v>3</v>
      </c>
      <c r="DL246" s="7">
        <f t="shared" si="127"/>
        <v>3</v>
      </c>
      <c r="DM246" s="7">
        <f t="shared" si="128"/>
        <v>3</v>
      </c>
      <c r="DN246" s="7">
        <f t="shared" si="129"/>
        <v>3</v>
      </c>
      <c r="DO246" s="7">
        <f t="shared" si="130"/>
        <v>3</v>
      </c>
      <c r="DP246" s="7">
        <f t="shared" si="131"/>
        <v>3</v>
      </c>
    </row>
    <row r="247" spans="1:120" ht="25.5" hidden="1" customHeight="1" x14ac:dyDescent="0.25">
      <c r="A247" s="92" t="str">
        <f t="shared" si="139"/>
        <v>CM-SWVI [10]</v>
      </c>
      <c r="B247" s="92" t="str">
        <f t="shared" si="140"/>
        <v>Southwest Vancouver Island</v>
      </c>
      <c r="C247" s="93" t="str">
        <f t="shared" si="102"/>
        <v>HESQUIAT HARBOUR #4 CREEKS_Chum</v>
      </c>
      <c r="D247" s="128" t="s">
        <v>598</v>
      </c>
      <c r="E247" s="128" t="s">
        <v>598</v>
      </c>
      <c r="F247" s="64">
        <v>24</v>
      </c>
      <c r="G247" s="72" t="s">
        <v>212</v>
      </c>
      <c r="H247" s="65" t="s">
        <v>96</v>
      </c>
      <c r="I247" s="119"/>
      <c r="J247" s="119"/>
      <c r="K247" s="64">
        <v>4</v>
      </c>
      <c r="L247" s="52">
        <v>5</v>
      </c>
      <c r="M247" s="52">
        <v>4</v>
      </c>
      <c r="N247" s="52">
        <f t="shared" si="141"/>
        <v>32.020000771987867</v>
      </c>
      <c r="O247" s="52">
        <f t="shared" si="142"/>
        <v>219</v>
      </c>
      <c r="P247" s="52">
        <f t="shared" si="143"/>
        <v>32.020000771987867</v>
      </c>
      <c r="Q247" s="66"/>
      <c r="R247" s="39"/>
      <c r="S247" s="76" t="s">
        <v>386</v>
      </c>
      <c r="T247" s="81" t="e">
        <f t="shared" si="106"/>
        <v>#DIV/0!</v>
      </c>
      <c r="U247" s="81">
        <f t="shared" si="107"/>
        <v>64</v>
      </c>
      <c r="V247" s="52" t="s">
        <v>102</v>
      </c>
      <c r="W247" s="52" t="s">
        <v>102</v>
      </c>
      <c r="X247" s="52" t="s">
        <v>102</v>
      </c>
      <c r="Y247" s="52"/>
      <c r="Z247" s="52" t="s">
        <v>102</v>
      </c>
      <c r="AA247" s="52" t="s">
        <v>102</v>
      </c>
      <c r="AB247" s="52" t="s">
        <v>102</v>
      </c>
      <c r="AC247" s="52">
        <v>19</v>
      </c>
      <c r="AD247" s="53">
        <v>29</v>
      </c>
      <c r="AE247" s="144" t="s">
        <v>262</v>
      </c>
      <c r="AF247" s="144" t="s">
        <v>263</v>
      </c>
      <c r="AG247" s="144">
        <v>144</v>
      </c>
      <c r="AH247" s="52" t="s">
        <v>102</v>
      </c>
      <c r="AI247" s="52" t="s">
        <v>102</v>
      </c>
      <c r="AJ247" s="142"/>
      <c r="AK247" s="52" t="s">
        <v>102</v>
      </c>
      <c r="AL247" s="52" t="s">
        <v>102</v>
      </c>
      <c r="AM247" s="52" t="s">
        <v>102</v>
      </c>
      <c r="AN247" s="52" t="s">
        <v>102</v>
      </c>
      <c r="AO247" s="52" t="s">
        <v>102</v>
      </c>
      <c r="AP247" s="53">
        <v>2</v>
      </c>
      <c r="AQ247" s="54"/>
      <c r="AR247" s="52">
        <v>120</v>
      </c>
      <c r="AS247" s="54"/>
      <c r="AT247" s="54"/>
      <c r="AU247" s="52" t="s">
        <v>262</v>
      </c>
      <c r="AV247" s="52">
        <v>20</v>
      </c>
      <c r="AW247" s="52">
        <v>219</v>
      </c>
      <c r="AX247" s="51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206"/>
      <c r="CO247" s="206"/>
      <c r="CP247" s="206"/>
      <c r="CQ247" s="8">
        <f t="shared" si="108"/>
        <v>2</v>
      </c>
      <c r="CR247" s="8">
        <f t="shared" si="109"/>
        <v>219</v>
      </c>
      <c r="CS247" s="8">
        <f t="shared" si="110"/>
        <v>79</v>
      </c>
      <c r="CT247">
        <f t="shared" si="111"/>
        <v>36.322133392101122</v>
      </c>
      <c r="CU247" s="143" t="e">
        <f t="shared" si="112"/>
        <v>#DIV/0!</v>
      </c>
      <c r="CV247" s="143">
        <f t="shared" si="113"/>
        <v>64</v>
      </c>
      <c r="CX247" s="7">
        <f t="shared" si="114"/>
        <v>7.1000000000000005</v>
      </c>
      <c r="CY247" s="7">
        <f t="shared" si="115"/>
        <v>17.299999999999997</v>
      </c>
      <c r="CZ247" s="7">
        <f t="shared" si="116"/>
        <v>19.2</v>
      </c>
      <c r="DA247" s="7">
        <f t="shared" si="117"/>
        <v>19.5</v>
      </c>
      <c r="DB247" s="7">
        <f t="shared" si="118"/>
        <v>29</v>
      </c>
      <c r="DC247" s="7">
        <f t="shared" si="119"/>
        <v>83.599999999999966</v>
      </c>
      <c r="DD247" s="7">
        <f t="shared" si="120"/>
        <v>110.90000000000003</v>
      </c>
      <c r="DE247" s="7">
        <f t="shared" si="121"/>
        <v>132</v>
      </c>
      <c r="DF247" s="7">
        <f t="shared" si="122"/>
        <v>151.49999999999997</v>
      </c>
      <c r="DH247" s="7">
        <f t="shared" si="123"/>
        <v>7.1000000000000005</v>
      </c>
      <c r="DI247" s="7">
        <f t="shared" si="124"/>
        <v>17.299999999999997</v>
      </c>
      <c r="DJ247" s="7">
        <f t="shared" si="125"/>
        <v>19.2</v>
      </c>
      <c r="DK247" s="7">
        <f t="shared" si="126"/>
        <v>19.5</v>
      </c>
      <c r="DL247" s="7">
        <f t="shared" si="127"/>
        <v>29</v>
      </c>
      <c r="DM247" s="7">
        <f t="shared" si="128"/>
        <v>83.599999999999966</v>
      </c>
      <c r="DN247" s="7">
        <f t="shared" si="129"/>
        <v>110.90000000000003</v>
      </c>
      <c r="DO247" s="7">
        <f t="shared" si="130"/>
        <v>132</v>
      </c>
      <c r="DP247" s="7">
        <f t="shared" si="131"/>
        <v>151.49999999999997</v>
      </c>
    </row>
    <row r="248" spans="1:120" ht="25.5" hidden="1" customHeight="1" x14ac:dyDescent="0.25">
      <c r="A248" s="92" t="str">
        <f t="shared" si="139"/>
        <v>CO-CLAY [18]</v>
      </c>
      <c r="B248" s="92" t="str">
        <f t="shared" si="140"/>
        <v>Clayoquot</v>
      </c>
      <c r="C248" s="93" t="str">
        <f t="shared" si="102"/>
        <v>HESQUIAT HARBOUR #4 CREEKS_Coho</v>
      </c>
      <c r="D248" s="128" t="s">
        <v>598</v>
      </c>
      <c r="E248" s="128" t="s">
        <v>598</v>
      </c>
      <c r="F248" s="64">
        <v>24</v>
      </c>
      <c r="G248" s="72" t="s">
        <v>212</v>
      </c>
      <c r="H248" s="65" t="s">
        <v>93</v>
      </c>
      <c r="I248" s="119"/>
      <c r="J248" s="119"/>
      <c r="K248" s="64">
        <v>4</v>
      </c>
      <c r="L248" s="52">
        <v>5</v>
      </c>
      <c r="M248" s="52">
        <v>1</v>
      </c>
      <c r="N248" s="52">
        <f t="shared" si="141"/>
        <v>79</v>
      </c>
      <c r="O248" s="52">
        <f t="shared" si="142"/>
        <v>79</v>
      </c>
      <c r="P248" s="52">
        <f t="shared" si="143"/>
        <v>79</v>
      </c>
      <c r="Q248" s="66"/>
      <c r="R248" s="39"/>
      <c r="S248" s="76" t="s">
        <v>385</v>
      </c>
      <c r="T248" s="81" t="e">
        <f t="shared" si="106"/>
        <v>#DIV/0!</v>
      </c>
      <c r="U248" s="81">
        <f t="shared" si="107"/>
        <v>2</v>
      </c>
      <c r="V248" s="52" t="s">
        <v>102</v>
      </c>
      <c r="W248" s="52" t="s">
        <v>102</v>
      </c>
      <c r="X248" s="52" t="s">
        <v>102</v>
      </c>
      <c r="Y248" s="52"/>
      <c r="Z248" s="52" t="s">
        <v>102</v>
      </c>
      <c r="AA248" s="52" t="s">
        <v>102</v>
      </c>
      <c r="AB248" s="52" t="s">
        <v>102</v>
      </c>
      <c r="AC248" s="52" t="s">
        <v>262</v>
      </c>
      <c r="AD248" s="53" t="s">
        <v>263</v>
      </c>
      <c r="AE248" s="144" t="s">
        <v>262</v>
      </c>
      <c r="AF248" s="144" t="s">
        <v>263</v>
      </c>
      <c r="AG248" s="144">
        <v>2</v>
      </c>
      <c r="AH248" s="52" t="s">
        <v>102</v>
      </c>
      <c r="AI248" s="52" t="s">
        <v>102</v>
      </c>
      <c r="AJ248" s="142"/>
      <c r="AK248" s="52" t="s">
        <v>102</v>
      </c>
      <c r="AL248" s="52" t="s">
        <v>102</v>
      </c>
      <c r="AM248" s="52" t="s">
        <v>102</v>
      </c>
      <c r="AN248" s="52" t="s">
        <v>102</v>
      </c>
      <c r="AO248" s="52" t="s">
        <v>102</v>
      </c>
      <c r="AP248" s="53" t="s">
        <v>262</v>
      </c>
      <c r="AQ248" s="54"/>
      <c r="AR248" s="52" t="s">
        <v>262</v>
      </c>
      <c r="AS248" s="54"/>
      <c r="AT248" s="54"/>
      <c r="AU248" s="52" t="s">
        <v>262</v>
      </c>
      <c r="AV248" s="52" t="s">
        <v>262</v>
      </c>
      <c r="AW248" s="52">
        <v>79</v>
      </c>
      <c r="AX248" s="51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206"/>
      <c r="CO248" s="206"/>
      <c r="CP248" s="206"/>
      <c r="CQ248" s="8">
        <f t="shared" si="108"/>
        <v>2</v>
      </c>
      <c r="CR248" s="8">
        <f t="shared" si="109"/>
        <v>79</v>
      </c>
      <c r="CS248" s="8">
        <f t="shared" si="110"/>
        <v>40.5</v>
      </c>
      <c r="CT248">
        <f t="shared" si="111"/>
        <v>12.569805089976535</v>
      </c>
      <c r="CU248" s="143" t="e">
        <f t="shared" si="112"/>
        <v>#DIV/0!</v>
      </c>
      <c r="CV248" s="143">
        <f t="shared" si="113"/>
        <v>2</v>
      </c>
      <c r="CX248" s="7">
        <f t="shared" si="114"/>
        <v>5.8500000000000032</v>
      </c>
      <c r="CY248" s="7">
        <f t="shared" si="115"/>
        <v>13.549999999999994</v>
      </c>
      <c r="CZ248" s="7">
        <f t="shared" si="116"/>
        <v>17.399999999999999</v>
      </c>
      <c r="DA248" s="7">
        <f t="shared" si="117"/>
        <v>21.25</v>
      </c>
      <c r="DB248" s="7">
        <f t="shared" si="118"/>
        <v>40.5</v>
      </c>
      <c r="DC248" s="7">
        <f t="shared" si="119"/>
        <v>48.20000000000001</v>
      </c>
      <c r="DD248" s="7">
        <f t="shared" si="120"/>
        <v>52.04999999999999</v>
      </c>
      <c r="DE248" s="7">
        <f t="shared" si="121"/>
        <v>59.75</v>
      </c>
      <c r="DF248" s="7">
        <f t="shared" si="122"/>
        <v>67.45</v>
      </c>
      <c r="DH248" s="7">
        <f t="shared" si="123"/>
        <v>5.8500000000000032</v>
      </c>
      <c r="DI248" s="7">
        <f t="shared" si="124"/>
        <v>13.549999999999994</v>
      </c>
      <c r="DJ248" s="7">
        <f t="shared" si="125"/>
        <v>17.399999999999999</v>
      </c>
      <c r="DK248" s="7">
        <f t="shared" si="126"/>
        <v>21.25</v>
      </c>
      <c r="DL248" s="7">
        <f t="shared" si="127"/>
        <v>40.5</v>
      </c>
      <c r="DM248" s="7">
        <f t="shared" si="128"/>
        <v>48.20000000000001</v>
      </c>
      <c r="DN248" s="7">
        <f t="shared" si="129"/>
        <v>52.04999999999999</v>
      </c>
      <c r="DO248" s="7">
        <f t="shared" si="130"/>
        <v>59.75</v>
      </c>
      <c r="DP248" s="7">
        <f t="shared" si="131"/>
        <v>67.45</v>
      </c>
    </row>
    <row r="249" spans="1:120" ht="25.5" hidden="1" customHeight="1" x14ac:dyDescent="0.25">
      <c r="A249" s="92" t="str">
        <f t="shared" si="139"/>
        <v>CM-SWVI [10]</v>
      </c>
      <c r="B249" s="92" t="str">
        <f t="shared" si="140"/>
        <v>Southwest Vancouver Island</v>
      </c>
      <c r="C249" s="93" t="str">
        <f t="shared" si="102"/>
        <v>HESQUIAT LAKE CREEK_Chum</v>
      </c>
      <c r="D249" s="128" t="s">
        <v>598</v>
      </c>
      <c r="E249" s="128" t="s">
        <v>598</v>
      </c>
      <c r="F249" s="64">
        <v>24</v>
      </c>
      <c r="G249" s="72" t="s">
        <v>210</v>
      </c>
      <c r="H249" s="65" t="s">
        <v>96</v>
      </c>
      <c r="I249" s="119"/>
      <c r="J249" s="119"/>
      <c r="K249" s="64">
        <v>5</v>
      </c>
      <c r="L249" s="52">
        <v>6</v>
      </c>
      <c r="M249" s="52">
        <v>5</v>
      </c>
      <c r="N249" s="52">
        <f t="shared" si="141"/>
        <v>735.8140837284202</v>
      </c>
      <c r="O249" s="52">
        <f t="shared" si="142"/>
        <v>7500</v>
      </c>
      <c r="P249" s="52">
        <f t="shared" si="143"/>
        <v>747.54992025270951</v>
      </c>
      <c r="Q249" s="66"/>
      <c r="R249" s="37"/>
      <c r="S249" s="74" t="s">
        <v>373</v>
      </c>
      <c r="T249" s="81">
        <f t="shared" si="106"/>
        <v>444</v>
      </c>
      <c r="U249" s="81">
        <f t="shared" si="107"/>
        <v>1199.5714285714287</v>
      </c>
      <c r="V249" s="233">
        <v>444</v>
      </c>
      <c r="W249" s="52" t="s">
        <v>102</v>
      </c>
      <c r="X249" s="52" t="s">
        <v>102</v>
      </c>
      <c r="Y249" s="52"/>
      <c r="Z249" s="52">
        <v>35</v>
      </c>
      <c r="AA249" s="52" t="s">
        <v>102</v>
      </c>
      <c r="AB249" s="123"/>
      <c r="AC249" s="52">
        <v>974</v>
      </c>
      <c r="AD249" s="53">
        <v>2658</v>
      </c>
      <c r="AE249" s="144">
        <v>938</v>
      </c>
      <c r="AF249" s="144">
        <v>707</v>
      </c>
      <c r="AG249" s="144">
        <v>2641</v>
      </c>
      <c r="AH249" s="52" t="s">
        <v>102</v>
      </c>
      <c r="AI249" s="52" t="s">
        <v>102</v>
      </c>
      <c r="AJ249" s="142"/>
      <c r="AK249" s="52" t="s">
        <v>102</v>
      </c>
      <c r="AL249" s="52" t="s">
        <v>102</v>
      </c>
      <c r="AM249" s="52" t="s">
        <v>102</v>
      </c>
      <c r="AN249" s="52" t="s">
        <v>102</v>
      </c>
      <c r="AO249" s="52" t="s">
        <v>102</v>
      </c>
      <c r="AP249" s="53">
        <v>74</v>
      </c>
      <c r="AQ249" s="53">
        <v>694</v>
      </c>
      <c r="AR249" s="53">
        <v>1000</v>
      </c>
      <c r="AS249" s="54"/>
      <c r="AT249" s="54"/>
      <c r="AU249" s="52" t="s">
        <v>262</v>
      </c>
      <c r="AV249" s="52">
        <v>2100</v>
      </c>
      <c r="AW249" s="52">
        <v>2000</v>
      </c>
      <c r="AX249" s="51" t="s">
        <v>264</v>
      </c>
      <c r="AY249" s="53" t="s">
        <v>102</v>
      </c>
      <c r="AZ249" s="53" t="s">
        <v>102</v>
      </c>
      <c r="BA249" s="53" t="s">
        <v>102</v>
      </c>
      <c r="BB249" s="53" t="s">
        <v>102</v>
      </c>
      <c r="BC249" s="53">
        <v>200</v>
      </c>
      <c r="BD249" s="53">
        <v>500</v>
      </c>
      <c r="BE249" s="53">
        <v>350</v>
      </c>
      <c r="BF249" s="53">
        <v>1000</v>
      </c>
      <c r="BG249" s="53">
        <v>700</v>
      </c>
      <c r="BH249" s="53">
        <v>800</v>
      </c>
      <c r="BI249" s="53" t="s">
        <v>102</v>
      </c>
      <c r="BJ249" s="53">
        <v>1400</v>
      </c>
      <c r="BK249" s="53">
        <v>1250</v>
      </c>
      <c r="BL249" s="53">
        <v>1500</v>
      </c>
      <c r="BM249" s="53">
        <v>300</v>
      </c>
      <c r="BN249" s="53">
        <v>3000</v>
      </c>
      <c r="BO249" s="53">
        <v>2000</v>
      </c>
      <c r="BP249" s="53" t="s">
        <v>102</v>
      </c>
      <c r="BQ249" s="53">
        <v>1000</v>
      </c>
      <c r="BR249" s="53">
        <v>1500</v>
      </c>
      <c r="BS249" s="53">
        <v>25</v>
      </c>
      <c r="BT249" s="53">
        <v>200</v>
      </c>
      <c r="BU249" s="53">
        <v>75</v>
      </c>
      <c r="BV249" s="53">
        <v>75</v>
      </c>
      <c r="BW249" s="53">
        <v>200</v>
      </c>
      <c r="BX249" s="53">
        <v>3500</v>
      </c>
      <c r="BY249" s="53">
        <v>400</v>
      </c>
      <c r="BZ249" s="53">
        <v>75</v>
      </c>
      <c r="CA249" s="53">
        <v>500</v>
      </c>
      <c r="CB249" s="53">
        <v>1000</v>
      </c>
      <c r="CC249" s="53">
        <v>100</v>
      </c>
      <c r="CD249" s="53">
        <v>1500</v>
      </c>
      <c r="CE249" s="53">
        <v>750</v>
      </c>
      <c r="CF249" s="53">
        <v>1500</v>
      </c>
      <c r="CG249" s="53">
        <v>3500</v>
      </c>
      <c r="CH249" s="53">
        <v>3500</v>
      </c>
      <c r="CI249" s="53">
        <v>3500</v>
      </c>
      <c r="CJ249" s="53">
        <v>3500</v>
      </c>
      <c r="CK249" s="53">
        <v>1500</v>
      </c>
      <c r="CL249" s="53">
        <v>7500</v>
      </c>
      <c r="CM249" s="53">
        <v>3500</v>
      </c>
      <c r="CN249" s="206"/>
      <c r="CO249" s="206"/>
      <c r="CP249" s="206"/>
      <c r="CQ249" s="8">
        <f t="shared" si="108"/>
        <v>25</v>
      </c>
      <c r="CR249" s="8">
        <f t="shared" si="109"/>
        <v>7500</v>
      </c>
      <c r="CS249" s="8">
        <f t="shared" si="110"/>
        <v>1407.7659574468084</v>
      </c>
      <c r="CT249">
        <f t="shared" si="111"/>
        <v>737.81615690849969</v>
      </c>
      <c r="CU249" s="143">
        <f t="shared" si="112"/>
        <v>239.5</v>
      </c>
      <c r="CV249" s="143">
        <f t="shared" si="113"/>
        <v>1199.5714285714287</v>
      </c>
      <c r="CX249" s="7">
        <f t="shared" si="114"/>
        <v>74.3</v>
      </c>
      <c r="CY249" s="7">
        <f t="shared" si="115"/>
        <v>189.99999999999994</v>
      </c>
      <c r="CZ249" s="7">
        <f t="shared" si="116"/>
        <v>220.00000000000011</v>
      </c>
      <c r="DA249" s="7">
        <f t="shared" si="117"/>
        <v>375</v>
      </c>
      <c r="DB249" s="7">
        <f t="shared" si="118"/>
        <v>1000</v>
      </c>
      <c r="DC249" s="7">
        <f t="shared" si="119"/>
        <v>1339.9999999999998</v>
      </c>
      <c r="DD249" s="7">
        <f t="shared" si="120"/>
        <v>1500</v>
      </c>
      <c r="DE249" s="7">
        <f t="shared" si="121"/>
        <v>2000</v>
      </c>
      <c r="DF249" s="7">
        <f t="shared" si="122"/>
        <v>3050.0000000000009</v>
      </c>
      <c r="DH249" s="7">
        <f t="shared" si="123"/>
        <v>56.45</v>
      </c>
      <c r="DI249" s="7">
        <f t="shared" si="124"/>
        <v>314.5</v>
      </c>
      <c r="DJ249" s="7">
        <f t="shared" si="125"/>
        <v>494.00000000000006</v>
      </c>
      <c r="DK249" s="7">
        <f t="shared" si="126"/>
        <v>631.5</v>
      </c>
      <c r="DL249" s="7">
        <f t="shared" si="127"/>
        <v>956</v>
      </c>
      <c r="DM249" s="7">
        <f t="shared" si="128"/>
        <v>989.6</v>
      </c>
      <c r="DN249" s="7">
        <f t="shared" si="129"/>
        <v>1150.0000000000005</v>
      </c>
      <c r="DO249" s="7">
        <f t="shared" si="130"/>
        <v>2025</v>
      </c>
      <c r="DP249" s="7">
        <f t="shared" si="131"/>
        <v>2289.35</v>
      </c>
    </row>
    <row r="250" spans="1:120" ht="25.5" hidden="1" customHeight="1" x14ac:dyDescent="0.25">
      <c r="A250" s="92" t="str">
        <f t="shared" si="139"/>
        <v>CO-CLAY [18]</v>
      </c>
      <c r="B250" s="92" t="str">
        <f t="shared" si="140"/>
        <v>Clayoquot</v>
      </c>
      <c r="C250" s="93" t="str">
        <f t="shared" si="102"/>
        <v>HESQUIAT LAKE CREEK_Coho</v>
      </c>
      <c r="D250" s="128" t="s">
        <v>598</v>
      </c>
      <c r="E250" s="128" t="s">
        <v>598</v>
      </c>
      <c r="F250" s="64">
        <v>24</v>
      </c>
      <c r="G250" s="72" t="s">
        <v>210</v>
      </c>
      <c r="H250" s="65" t="s">
        <v>93</v>
      </c>
      <c r="I250" s="119"/>
      <c r="J250" s="119"/>
      <c r="K250" s="64">
        <v>5</v>
      </c>
      <c r="L250" s="52">
        <v>6</v>
      </c>
      <c r="M250" s="52">
        <v>1</v>
      </c>
      <c r="N250" s="52">
        <f t="shared" si="141"/>
        <v>140</v>
      </c>
      <c r="O250" s="52">
        <f t="shared" si="142"/>
        <v>3500</v>
      </c>
      <c r="P250" s="52">
        <f t="shared" si="143"/>
        <v>495.1217661549714</v>
      </c>
      <c r="Q250" s="66"/>
      <c r="R250" s="37"/>
      <c r="S250" s="74" t="s">
        <v>372</v>
      </c>
      <c r="T250" s="81" t="e">
        <f t="shared" si="106"/>
        <v>#DIV/0!</v>
      </c>
      <c r="U250" s="81">
        <f t="shared" si="107"/>
        <v>827.5</v>
      </c>
      <c r="V250" s="232" t="s">
        <v>262</v>
      </c>
      <c r="W250" s="52" t="s">
        <v>102</v>
      </c>
      <c r="X250" s="52" t="s">
        <v>102</v>
      </c>
      <c r="Y250" s="52"/>
      <c r="Z250" s="52">
        <v>870</v>
      </c>
      <c r="AA250" s="52" t="s">
        <v>102</v>
      </c>
      <c r="AB250" s="123"/>
      <c r="AC250" s="52" t="s">
        <v>262</v>
      </c>
      <c r="AD250" s="53">
        <v>985</v>
      </c>
      <c r="AE250" s="144">
        <v>1155</v>
      </c>
      <c r="AF250" s="144" t="s">
        <v>263</v>
      </c>
      <c r="AG250" s="144">
        <v>300</v>
      </c>
      <c r="AH250" s="52" t="s">
        <v>102</v>
      </c>
      <c r="AI250" s="52" t="s">
        <v>102</v>
      </c>
      <c r="AJ250" s="142"/>
      <c r="AK250" s="52" t="s">
        <v>102</v>
      </c>
      <c r="AL250" s="52" t="s">
        <v>102</v>
      </c>
      <c r="AM250" s="52" t="s">
        <v>102</v>
      </c>
      <c r="AN250" s="52" t="s">
        <v>102</v>
      </c>
      <c r="AO250" s="52" t="s">
        <v>102</v>
      </c>
      <c r="AP250" s="53" t="s">
        <v>262</v>
      </c>
      <c r="AQ250" s="53">
        <v>140</v>
      </c>
      <c r="AR250" s="53" t="s">
        <v>263</v>
      </c>
      <c r="AS250" s="54"/>
      <c r="AT250" s="54"/>
      <c r="AU250" s="52" t="s">
        <v>262</v>
      </c>
      <c r="AV250" s="52" t="s">
        <v>263</v>
      </c>
      <c r="AW250" s="52" t="s">
        <v>263</v>
      </c>
      <c r="AX250" s="51" t="s">
        <v>264</v>
      </c>
      <c r="AY250" s="53" t="s">
        <v>102</v>
      </c>
      <c r="AZ250" s="53" t="s">
        <v>102</v>
      </c>
      <c r="BA250" s="53" t="s">
        <v>102</v>
      </c>
      <c r="BB250" s="53" t="s">
        <v>102</v>
      </c>
      <c r="BC250" s="53" t="s">
        <v>264</v>
      </c>
      <c r="BD250" s="53" t="s">
        <v>264</v>
      </c>
      <c r="BE250" s="53" t="s">
        <v>264</v>
      </c>
      <c r="BF250" s="53">
        <v>400</v>
      </c>
      <c r="BG250" s="53" t="s">
        <v>264</v>
      </c>
      <c r="BH250" s="53" t="s">
        <v>264</v>
      </c>
      <c r="BI250" s="53" t="s">
        <v>102</v>
      </c>
      <c r="BJ250" s="53" t="s">
        <v>264</v>
      </c>
      <c r="BK250" s="53" t="s">
        <v>262</v>
      </c>
      <c r="BL250" s="53" t="s">
        <v>262</v>
      </c>
      <c r="BM250" s="53">
        <v>50</v>
      </c>
      <c r="BN250" s="53">
        <v>50</v>
      </c>
      <c r="BO250" s="53" t="s">
        <v>264</v>
      </c>
      <c r="BP250" s="53" t="s">
        <v>102</v>
      </c>
      <c r="BQ250" s="53">
        <v>25</v>
      </c>
      <c r="BR250" s="53">
        <v>200</v>
      </c>
      <c r="BS250" s="53">
        <v>400</v>
      </c>
      <c r="BT250" s="53">
        <v>400</v>
      </c>
      <c r="BU250" s="53">
        <v>400</v>
      </c>
      <c r="BV250" s="53">
        <v>750</v>
      </c>
      <c r="BW250" s="53">
        <v>400</v>
      </c>
      <c r="BX250" s="53">
        <v>750</v>
      </c>
      <c r="BY250" s="53">
        <v>200</v>
      </c>
      <c r="BZ250" s="53">
        <v>400</v>
      </c>
      <c r="CA250" s="53">
        <v>500</v>
      </c>
      <c r="CB250" s="53">
        <v>1000</v>
      </c>
      <c r="CC250" s="53">
        <v>100</v>
      </c>
      <c r="CD250" s="53">
        <v>3500</v>
      </c>
      <c r="CE250" s="53">
        <v>3500</v>
      </c>
      <c r="CF250" s="53">
        <v>400</v>
      </c>
      <c r="CG250" s="53">
        <v>1500</v>
      </c>
      <c r="CH250" s="53">
        <v>3500</v>
      </c>
      <c r="CI250" s="53">
        <v>3500</v>
      </c>
      <c r="CJ250" s="53">
        <v>3500</v>
      </c>
      <c r="CK250" s="53">
        <v>1500</v>
      </c>
      <c r="CL250" s="53">
        <v>400</v>
      </c>
      <c r="CM250" s="53">
        <v>750</v>
      </c>
      <c r="CN250" s="206"/>
      <c r="CO250" s="206"/>
      <c r="CP250" s="206"/>
      <c r="CQ250" s="8">
        <f t="shared" si="108"/>
        <v>25</v>
      </c>
      <c r="CR250" s="8">
        <f t="shared" si="109"/>
        <v>3500</v>
      </c>
      <c r="CS250" s="8">
        <f t="shared" si="110"/>
        <v>1016.9354838709677</v>
      </c>
      <c r="CT250">
        <f t="shared" si="111"/>
        <v>521.30634086745238</v>
      </c>
      <c r="CU250" s="143">
        <f t="shared" si="112"/>
        <v>870</v>
      </c>
      <c r="CV250" s="143">
        <f t="shared" si="113"/>
        <v>827.5</v>
      </c>
      <c r="CX250" s="7">
        <f t="shared" si="114"/>
        <v>50</v>
      </c>
      <c r="CY250" s="7">
        <f t="shared" si="115"/>
        <v>170</v>
      </c>
      <c r="CZ250" s="7">
        <f t="shared" si="116"/>
        <v>200</v>
      </c>
      <c r="DA250" s="7">
        <f t="shared" si="117"/>
        <v>350</v>
      </c>
      <c r="DB250" s="7">
        <f t="shared" si="118"/>
        <v>400</v>
      </c>
      <c r="DC250" s="7">
        <f t="shared" si="119"/>
        <v>750</v>
      </c>
      <c r="DD250" s="7">
        <f t="shared" si="120"/>
        <v>810</v>
      </c>
      <c r="DE250" s="7">
        <f t="shared" si="121"/>
        <v>1077.5</v>
      </c>
      <c r="DF250" s="7">
        <f t="shared" si="122"/>
        <v>2500</v>
      </c>
      <c r="DH250" s="7">
        <f t="shared" si="123"/>
        <v>172</v>
      </c>
      <c r="DI250" s="7">
        <f t="shared" si="124"/>
        <v>236</v>
      </c>
      <c r="DJ250" s="7">
        <f t="shared" si="125"/>
        <v>268</v>
      </c>
      <c r="DK250" s="7">
        <f t="shared" si="126"/>
        <v>300</v>
      </c>
      <c r="DL250" s="7">
        <f t="shared" si="127"/>
        <v>870</v>
      </c>
      <c r="DM250" s="7">
        <f t="shared" si="128"/>
        <v>916</v>
      </c>
      <c r="DN250" s="7">
        <f t="shared" si="129"/>
        <v>939</v>
      </c>
      <c r="DO250" s="7">
        <f t="shared" si="130"/>
        <v>985</v>
      </c>
      <c r="DP250" s="7">
        <f t="shared" si="131"/>
        <v>1053</v>
      </c>
    </row>
    <row r="251" spans="1:120" ht="25.5" hidden="1" customHeight="1" x14ac:dyDescent="0.25">
      <c r="A251" s="92" t="str">
        <f t="shared" si="139"/>
        <v>CM-SWVI [10]</v>
      </c>
      <c r="B251" s="92" t="str">
        <f t="shared" si="140"/>
        <v>Southwest Vancouver Island</v>
      </c>
      <c r="C251" s="93" t="str">
        <f t="shared" si="102"/>
        <v>HESQUIAT POINT CREEK_Chum</v>
      </c>
      <c r="D251" s="128" t="s">
        <v>598</v>
      </c>
      <c r="E251" s="128" t="s">
        <v>598</v>
      </c>
      <c r="F251" s="64">
        <v>24</v>
      </c>
      <c r="G251" s="72" t="s">
        <v>205</v>
      </c>
      <c r="H251" s="65" t="s">
        <v>96</v>
      </c>
      <c r="I251" s="119"/>
      <c r="J251" s="119"/>
      <c r="K251" s="64">
        <v>5</v>
      </c>
      <c r="L251" s="52">
        <v>1</v>
      </c>
      <c r="M251" s="52">
        <v>0</v>
      </c>
      <c r="N251" s="52" t="e">
        <f t="shared" si="141"/>
        <v>#NUM!</v>
      </c>
      <c r="O251" s="52">
        <f t="shared" si="142"/>
        <v>0</v>
      </c>
      <c r="P251" s="52" t="e">
        <f t="shared" si="143"/>
        <v>#NUM!</v>
      </c>
      <c r="Q251" s="66"/>
      <c r="R251" s="37"/>
      <c r="S251" s="76" t="s">
        <v>374</v>
      </c>
      <c r="T251" s="81" t="e">
        <f t="shared" si="106"/>
        <v>#DIV/0!</v>
      </c>
      <c r="U251" s="81" t="e">
        <f t="shared" si="107"/>
        <v>#DIV/0!</v>
      </c>
      <c r="V251" s="52" t="s">
        <v>102</v>
      </c>
      <c r="W251" s="52" t="s">
        <v>102</v>
      </c>
      <c r="X251" s="52" t="s">
        <v>102</v>
      </c>
      <c r="Y251" s="52" t="s">
        <v>102</v>
      </c>
      <c r="Z251" s="52" t="s">
        <v>102</v>
      </c>
      <c r="AA251" s="52" t="s">
        <v>102</v>
      </c>
      <c r="AB251" s="52" t="s">
        <v>102</v>
      </c>
      <c r="AC251" s="52" t="s">
        <v>102</v>
      </c>
      <c r="AD251" s="53" t="s">
        <v>262</v>
      </c>
      <c r="AE251" s="144" t="s">
        <v>262</v>
      </c>
      <c r="AF251" s="52" t="s">
        <v>102</v>
      </c>
      <c r="AG251" s="144" t="s">
        <v>262</v>
      </c>
      <c r="AH251" s="52" t="s">
        <v>102</v>
      </c>
      <c r="AI251" s="52" t="s">
        <v>102</v>
      </c>
      <c r="AJ251" s="142"/>
      <c r="AK251" s="52" t="s">
        <v>102</v>
      </c>
      <c r="AL251" s="52" t="s">
        <v>102</v>
      </c>
      <c r="AM251" s="52" t="s">
        <v>102</v>
      </c>
      <c r="AN251" s="52" t="s">
        <v>102</v>
      </c>
      <c r="AO251" s="52" t="s">
        <v>102</v>
      </c>
      <c r="AP251" s="53" t="s">
        <v>102</v>
      </c>
      <c r="AQ251" s="53" t="s">
        <v>102</v>
      </c>
      <c r="AR251" s="53" t="s">
        <v>102</v>
      </c>
      <c r="AS251" s="54"/>
      <c r="AT251" s="54"/>
      <c r="AU251" s="54"/>
      <c r="AV251" s="54"/>
      <c r="AW251" s="52" t="s">
        <v>262</v>
      </c>
      <c r="AX251" s="51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206"/>
      <c r="CO251" s="206"/>
      <c r="CP251" s="206"/>
      <c r="CQ251" s="8">
        <f t="shared" si="108"/>
        <v>0</v>
      </c>
      <c r="CR251" s="8">
        <f t="shared" si="109"/>
        <v>0</v>
      </c>
      <c r="CS251" s="8" t="e">
        <f t="shared" si="110"/>
        <v>#DIV/0!</v>
      </c>
      <c r="CT251" t="e">
        <f t="shared" si="111"/>
        <v>#NUM!</v>
      </c>
      <c r="CU251" s="143" t="e">
        <f t="shared" si="112"/>
        <v>#DIV/0!</v>
      </c>
      <c r="CV251" s="143" t="e">
        <f t="shared" si="113"/>
        <v>#DIV/0!</v>
      </c>
      <c r="CX251" s="7" t="e">
        <f t="shared" si="114"/>
        <v>#NUM!</v>
      </c>
      <c r="CY251" s="7" t="e">
        <f t="shared" si="115"/>
        <v>#NUM!</v>
      </c>
      <c r="CZ251" s="7" t="e">
        <f t="shared" si="116"/>
        <v>#NUM!</v>
      </c>
      <c r="DA251" s="7" t="e">
        <f t="shared" si="117"/>
        <v>#NUM!</v>
      </c>
      <c r="DB251" s="7" t="e">
        <f t="shared" si="118"/>
        <v>#NUM!</v>
      </c>
      <c r="DC251" s="7" t="e">
        <f t="shared" si="119"/>
        <v>#NUM!</v>
      </c>
      <c r="DD251" s="7" t="e">
        <f t="shared" si="120"/>
        <v>#NUM!</v>
      </c>
      <c r="DE251" s="7" t="e">
        <f t="shared" si="121"/>
        <v>#NUM!</v>
      </c>
      <c r="DF251" s="7" t="e">
        <f t="shared" si="122"/>
        <v>#NUM!</v>
      </c>
      <c r="DH251" s="7" t="e">
        <f t="shared" si="123"/>
        <v>#NUM!</v>
      </c>
      <c r="DI251" s="7" t="e">
        <f t="shared" si="124"/>
        <v>#NUM!</v>
      </c>
      <c r="DJ251" s="7" t="e">
        <f t="shared" si="125"/>
        <v>#NUM!</v>
      </c>
      <c r="DK251" s="7" t="e">
        <f t="shared" si="126"/>
        <v>#NUM!</v>
      </c>
      <c r="DL251" s="7" t="e">
        <f t="shared" si="127"/>
        <v>#NUM!</v>
      </c>
      <c r="DM251" s="7" t="e">
        <f t="shared" si="128"/>
        <v>#NUM!</v>
      </c>
      <c r="DN251" s="7" t="e">
        <f t="shared" si="129"/>
        <v>#NUM!</v>
      </c>
      <c r="DO251" s="7" t="e">
        <f t="shared" si="130"/>
        <v>#NUM!</v>
      </c>
      <c r="DP251" s="7" t="e">
        <f t="shared" si="131"/>
        <v>#NUM!</v>
      </c>
    </row>
    <row r="252" spans="1:120" ht="25.5" hidden="1" customHeight="1" x14ac:dyDescent="0.25">
      <c r="A252" s="92" t="str">
        <f t="shared" si="139"/>
        <v>CO-CLAY [18]</v>
      </c>
      <c r="B252" s="92" t="str">
        <f t="shared" si="140"/>
        <v>Clayoquot</v>
      </c>
      <c r="C252" s="93" t="str">
        <f t="shared" si="102"/>
        <v>HESQUIAT POINT CREEK_Coho</v>
      </c>
      <c r="D252" s="128" t="s">
        <v>598</v>
      </c>
      <c r="E252" s="128" t="s">
        <v>598</v>
      </c>
      <c r="F252" s="64">
        <v>24</v>
      </c>
      <c r="G252" s="72" t="s">
        <v>205</v>
      </c>
      <c r="H252" s="65" t="s">
        <v>93</v>
      </c>
      <c r="I252" s="119"/>
      <c r="J252" s="119"/>
      <c r="K252" s="64">
        <v>5</v>
      </c>
      <c r="L252" s="52">
        <v>1</v>
      </c>
      <c r="M252" s="52">
        <v>0</v>
      </c>
      <c r="N252" s="52" t="e">
        <f t="shared" si="141"/>
        <v>#NUM!</v>
      </c>
      <c r="O252" s="52">
        <f t="shared" si="142"/>
        <v>0</v>
      </c>
      <c r="P252" s="52" t="e">
        <f t="shared" si="143"/>
        <v>#NUM!</v>
      </c>
      <c r="Q252" s="66"/>
      <c r="R252" s="37"/>
      <c r="S252" s="76" t="s">
        <v>374</v>
      </c>
      <c r="T252" s="81" t="e">
        <f t="shared" si="106"/>
        <v>#DIV/0!</v>
      </c>
      <c r="U252" s="81">
        <f t="shared" si="107"/>
        <v>7</v>
      </c>
      <c r="V252" s="52" t="s">
        <v>102</v>
      </c>
      <c r="W252" s="52" t="s">
        <v>102</v>
      </c>
      <c r="X252" s="52" t="s">
        <v>102</v>
      </c>
      <c r="Y252" s="52" t="s">
        <v>102</v>
      </c>
      <c r="Z252" s="52" t="s">
        <v>102</v>
      </c>
      <c r="AA252" s="52" t="s">
        <v>102</v>
      </c>
      <c r="AB252" s="52" t="s">
        <v>102</v>
      </c>
      <c r="AC252" s="52" t="s">
        <v>102</v>
      </c>
      <c r="AD252" s="53" t="s">
        <v>262</v>
      </c>
      <c r="AE252" s="144" t="s">
        <v>262</v>
      </c>
      <c r="AF252" s="52" t="s">
        <v>102</v>
      </c>
      <c r="AG252" s="144">
        <v>7</v>
      </c>
      <c r="AH252" s="52" t="s">
        <v>102</v>
      </c>
      <c r="AI252" s="52" t="s">
        <v>102</v>
      </c>
      <c r="AJ252" s="142"/>
      <c r="AK252" s="52" t="s">
        <v>102</v>
      </c>
      <c r="AL252" s="52" t="s">
        <v>102</v>
      </c>
      <c r="AM252" s="52" t="s">
        <v>102</v>
      </c>
      <c r="AN252" s="52" t="s">
        <v>102</v>
      </c>
      <c r="AO252" s="52" t="s">
        <v>102</v>
      </c>
      <c r="AP252" s="53" t="s">
        <v>102</v>
      </c>
      <c r="AQ252" s="53" t="s">
        <v>102</v>
      </c>
      <c r="AR252" s="53" t="s">
        <v>102</v>
      </c>
      <c r="AS252" s="54"/>
      <c r="AT252" s="54"/>
      <c r="AU252" s="54"/>
      <c r="AV252" s="54"/>
      <c r="AW252" s="52" t="s">
        <v>262</v>
      </c>
      <c r="AX252" s="51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206"/>
      <c r="CO252" s="206"/>
      <c r="CP252" s="206"/>
      <c r="CQ252" s="8">
        <f t="shared" si="108"/>
        <v>7</v>
      </c>
      <c r="CR252" s="8">
        <f t="shared" si="109"/>
        <v>7</v>
      </c>
      <c r="CS252" s="8">
        <f t="shared" si="110"/>
        <v>7</v>
      </c>
      <c r="CT252">
        <f t="shared" si="111"/>
        <v>7</v>
      </c>
      <c r="CU252" s="143" t="e">
        <f t="shared" si="112"/>
        <v>#DIV/0!</v>
      </c>
      <c r="CV252" s="143">
        <f t="shared" si="113"/>
        <v>7</v>
      </c>
      <c r="CX252" s="7">
        <f t="shared" si="114"/>
        <v>7</v>
      </c>
      <c r="CY252" s="7">
        <f t="shared" si="115"/>
        <v>7</v>
      </c>
      <c r="CZ252" s="7">
        <f t="shared" si="116"/>
        <v>7</v>
      </c>
      <c r="DA252" s="7">
        <f t="shared" si="117"/>
        <v>7</v>
      </c>
      <c r="DB252" s="7">
        <f t="shared" si="118"/>
        <v>7</v>
      </c>
      <c r="DC252" s="7">
        <f t="shared" si="119"/>
        <v>7</v>
      </c>
      <c r="DD252" s="7">
        <f t="shared" si="120"/>
        <v>7</v>
      </c>
      <c r="DE252" s="7">
        <f t="shared" si="121"/>
        <v>7</v>
      </c>
      <c r="DF252" s="7">
        <f t="shared" si="122"/>
        <v>7</v>
      </c>
      <c r="DH252" s="7">
        <f t="shared" si="123"/>
        <v>7</v>
      </c>
      <c r="DI252" s="7">
        <f t="shared" si="124"/>
        <v>7</v>
      </c>
      <c r="DJ252" s="7">
        <f t="shared" si="125"/>
        <v>7</v>
      </c>
      <c r="DK252" s="7">
        <f t="shared" si="126"/>
        <v>7</v>
      </c>
      <c r="DL252" s="7">
        <f t="shared" si="127"/>
        <v>7</v>
      </c>
      <c r="DM252" s="7">
        <f t="shared" si="128"/>
        <v>7</v>
      </c>
      <c r="DN252" s="7">
        <f t="shared" si="129"/>
        <v>7</v>
      </c>
      <c r="DO252" s="7">
        <f t="shared" si="130"/>
        <v>7</v>
      </c>
      <c r="DP252" s="7">
        <f t="shared" si="131"/>
        <v>7</v>
      </c>
    </row>
    <row r="253" spans="1:120" ht="25.5" hidden="1" customHeight="1" x14ac:dyDescent="0.25">
      <c r="A253" s="92" t="str">
        <f t="shared" si="139"/>
        <v>CM-SWVI [10]</v>
      </c>
      <c r="B253" s="92" t="str">
        <f t="shared" si="140"/>
        <v>Southwest Vancouver Island</v>
      </c>
      <c r="C253" s="93" t="str">
        <f t="shared" si="102"/>
        <v>HOOTLA KOOTLA CREEK_Chum</v>
      </c>
      <c r="D253" s="128" t="s">
        <v>598</v>
      </c>
      <c r="E253" s="128" t="s">
        <v>598</v>
      </c>
      <c r="F253" s="64">
        <v>24</v>
      </c>
      <c r="G253" s="72" t="s">
        <v>197</v>
      </c>
      <c r="H253" s="65" t="s">
        <v>96</v>
      </c>
      <c r="I253" s="119"/>
      <c r="J253" s="119"/>
      <c r="K253" s="64">
        <v>4</v>
      </c>
      <c r="L253" s="52">
        <v>5</v>
      </c>
      <c r="M253" s="52">
        <v>3</v>
      </c>
      <c r="N253" s="52">
        <f t="shared" si="141"/>
        <v>135.72088082974534</v>
      </c>
      <c r="O253" s="52">
        <f t="shared" si="142"/>
        <v>500</v>
      </c>
      <c r="P253" s="52">
        <f t="shared" si="143"/>
        <v>78.793038334225287</v>
      </c>
      <c r="Q253" s="66"/>
      <c r="R253" s="39"/>
      <c r="S253" s="76" t="s">
        <v>392</v>
      </c>
      <c r="T253" s="81" t="e">
        <f t="shared" si="106"/>
        <v>#DIV/0!</v>
      </c>
      <c r="U253" s="81" t="e">
        <f t="shared" si="107"/>
        <v>#DIV/0!</v>
      </c>
      <c r="V253" s="52" t="s">
        <v>102</v>
      </c>
      <c r="W253" s="52" t="s">
        <v>102</v>
      </c>
      <c r="X253" s="52" t="s">
        <v>102</v>
      </c>
      <c r="Y253" s="52" t="s">
        <v>102</v>
      </c>
      <c r="Z253" s="52" t="s">
        <v>102</v>
      </c>
      <c r="AA253" s="52" t="s">
        <v>102</v>
      </c>
      <c r="AB253" s="52" t="s">
        <v>102</v>
      </c>
      <c r="AC253" s="52" t="s">
        <v>102</v>
      </c>
      <c r="AD253" s="53" t="s">
        <v>263</v>
      </c>
      <c r="AE253" s="52" t="s">
        <v>102</v>
      </c>
      <c r="AF253" s="52" t="s">
        <v>102</v>
      </c>
      <c r="AG253" s="52" t="s">
        <v>102</v>
      </c>
      <c r="AH253" s="52" t="s">
        <v>102</v>
      </c>
      <c r="AI253" s="52" t="s">
        <v>102</v>
      </c>
      <c r="AJ253" s="142"/>
      <c r="AK253" s="52" t="s">
        <v>102</v>
      </c>
      <c r="AL253" s="52" t="s">
        <v>102</v>
      </c>
      <c r="AM253" s="52" t="s">
        <v>102</v>
      </c>
      <c r="AN253" s="52" t="s">
        <v>102</v>
      </c>
      <c r="AO253" s="52" t="s">
        <v>102</v>
      </c>
      <c r="AP253" s="53" t="s">
        <v>102</v>
      </c>
      <c r="AQ253" s="52">
        <v>200</v>
      </c>
      <c r="AR253" s="53" t="s">
        <v>102</v>
      </c>
      <c r="AS253" s="54"/>
      <c r="AT253" s="52" t="s">
        <v>262</v>
      </c>
      <c r="AU253" s="53" t="s">
        <v>262</v>
      </c>
      <c r="AV253" s="52">
        <v>250</v>
      </c>
      <c r="AW253" s="52">
        <v>50</v>
      </c>
      <c r="AX253" s="51" t="s">
        <v>262</v>
      </c>
      <c r="AY253" s="53">
        <v>40</v>
      </c>
      <c r="AZ253" s="53" t="s">
        <v>102</v>
      </c>
      <c r="BA253" s="53">
        <v>25</v>
      </c>
      <c r="BB253" s="53" t="s">
        <v>264</v>
      </c>
      <c r="BC253" s="53" t="s">
        <v>264</v>
      </c>
      <c r="BD253" s="53" t="s">
        <v>102</v>
      </c>
      <c r="BE253" s="53" t="s">
        <v>102</v>
      </c>
      <c r="BF253" s="53">
        <v>110</v>
      </c>
      <c r="BG253" s="53">
        <v>100</v>
      </c>
      <c r="BH253" s="53" t="s">
        <v>262</v>
      </c>
      <c r="BI253" s="53">
        <v>500</v>
      </c>
      <c r="BJ253" s="53" t="s">
        <v>264</v>
      </c>
      <c r="BK253" s="53" t="s">
        <v>264</v>
      </c>
      <c r="BL253" s="53" t="s">
        <v>264</v>
      </c>
      <c r="BM253" s="53" t="s">
        <v>264</v>
      </c>
      <c r="BN253" s="53" t="s">
        <v>264</v>
      </c>
      <c r="BO253" s="53" t="s">
        <v>262</v>
      </c>
      <c r="BP253" s="53" t="s">
        <v>264</v>
      </c>
      <c r="BQ253" s="53" t="s">
        <v>262</v>
      </c>
      <c r="BR253" s="53" t="s">
        <v>262</v>
      </c>
      <c r="BS253" s="53">
        <v>25</v>
      </c>
      <c r="BT253" s="53">
        <v>25</v>
      </c>
      <c r="BU253" s="53">
        <v>75</v>
      </c>
      <c r="BV253" s="53">
        <v>200</v>
      </c>
      <c r="BW253" s="53" t="s">
        <v>262</v>
      </c>
      <c r="BX253" s="53">
        <v>35</v>
      </c>
      <c r="BY253" s="53" t="s">
        <v>102</v>
      </c>
      <c r="BZ253" s="53" t="s">
        <v>102</v>
      </c>
      <c r="CA253" s="53" t="s">
        <v>264</v>
      </c>
      <c r="CB253" s="53" t="s">
        <v>102</v>
      </c>
      <c r="CC253" s="53" t="s">
        <v>102</v>
      </c>
      <c r="CD253" s="53" t="s">
        <v>102</v>
      </c>
      <c r="CE253" s="53" t="s">
        <v>102</v>
      </c>
      <c r="CF253" s="53" t="s">
        <v>102</v>
      </c>
      <c r="CG253" s="53" t="s">
        <v>102</v>
      </c>
      <c r="CH253" s="53" t="s">
        <v>102</v>
      </c>
      <c r="CI253" s="53" t="s">
        <v>102</v>
      </c>
      <c r="CJ253" s="53" t="s">
        <v>102</v>
      </c>
      <c r="CK253" s="53" t="s">
        <v>102</v>
      </c>
      <c r="CL253" s="53" t="s">
        <v>102</v>
      </c>
      <c r="CM253" s="53" t="s">
        <v>102</v>
      </c>
      <c r="CN253" s="206"/>
      <c r="CO253" s="206"/>
      <c r="CP253" s="206"/>
      <c r="CQ253" s="8">
        <f t="shared" si="108"/>
        <v>25</v>
      </c>
      <c r="CR253" s="8">
        <f t="shared" si="109"/>
        <v>500</v>
      </c>
      <c r="CS253" s="8">
        <f t="shared" si="110"/>
        <v>125.76923076923077</v>
      </c>
      <c r="CT253">
        <f t="shared" si="111"/>
        <v>78.793038334225287</v>
      </c>
      <c r="CU253" s="143" t="e">
        <f t="shared" si="112"/>
        <v>#DIV/0!</v>
      </c>
      <c r="CV253" s="143" t="e">
        <f t="shared" si="113"/>
        <v>#DIV/0!</v>
      </c>
      <c r="CX253" s="7">
        <f t="shared" si="114"/>
        <v>25</v>
      </c>
      <c r="CY253" s="7">
        <f t="shared" si="115"/>
        <v>25</v>
      </c>
      <c r="CZ253" s="7">
        <f t="shared" si="116"/>
        <v>29.000000000000004</v>
      </c>
      <c r="DA253" s="7">
        <f t="shared" si="117"/>
        <v>35</v>
      </c>
      <c r="DB253" s="7">
        <f t="shared" si="118"/>
        <v>75</v>
      </c>
      <c r="DC253" s="7">
        <f t="shared" si="119"/>
        <v>102</v>
      </c>
      <c r="DD253" s="7">
        <f t="shared" si="120"/>
        <v>108</v>
      </c>
      <c r="DE253" s="7">
        <f t="shared" si="121"/>
        <v>200</v>
      </c>
      <c r="DF253" s="7">
        <f t="shared" si="122"/>
        <v>209.99999999999997</v>
      </c>
      <c r="DH253" s="7">
        <f t="shared" si="123"/>
        <v>65.000000000000014</v>
      </c>
      <c r="DI253" s="7">
        <f t="shared" si="124"/>
        <v>95</v>
      </c>
      <c r="DJ253" s="7">
        <f t="shared" si="125"/>
        <v>109.99999999999999</v>
      </c>
      <c r="DK253" s="7">
        <f t="shared" si="126"/>
        <v>125</v>
      </c>
      <c r="DL253" s="7">
        <f t="shared" si="127"/>
        <v>200</v>
      </c>
      <c r="DM253" s="7">
        <f t="shared" si="128"/>
        <v>210</v>
      </c>
      <c r="DN253" s="7">
        <f t="shared" si="129"/>
        <v>215</v>
      </c>
      <c r="DO253" s="7">
        <f t="shared" si="130"/>
        <v>225</v>
      </c>
      <c r="DP253" s="7">
        <f t="shared" si="131"/>
        <v>235</v>
      </c>
    </row>
    <row r="254" spans="1:120" ht="25.5" hidden="1" customHeight="1" x14ac:dyDescent="0.25">
      <c r="A254" s="92" t="str">
        <f t="shared" si="139"/>
        <v>CO-CLAY [18]</v>
      </c>
      <c r="B254" s="92" t="str">
        <f t="shared" si="140"/>
        <v>Clayoquot</v>
      </c>
      <c r="C254" s="93" t="str">
        <f t="shared" si="102"/>
        <v>HOOTLA KOOTLA CREEK_Coho</v>
      </c>
      <c r="D254" s="128" t="s">
        <v>598</v>
      </c>
      <c r="E254" s="128" t="s">
        <v>598</v>
      </c>
      <c r="F254" s="64">
        <v>24</v>
      </c>
      <c r="G254" s="72" t="s">
        <v>197</v>
      </c>
      <c r="H254" s="65" t="s">
        <v>93</v>
      </c>
      <c r="I254" s="119"/>
      <c r="J254" s="119"/>
      <c r="K254" s="64">
        <v>4</v>
      </c>
      <c r="L254" s="52">
        <v>5</v>
      </c>
      <c r="M254" s="52">
        <v>3</v>
      </c>
      <c r="N254" s="52">
        <f t="shared" si="141"/>
        <v>34.341427276599958</v>
      </c>
      <c r="O254" s="52">
        <f t="shared" si="142"/>
        <v>7500</v>
      </c>
      <c r="P254" s="52">
        <f t="shared" si="143"/>
        <v>151.98428779279203</v>
      </c>
      <c r="Q254" s="66"/>
      <c r="R254" s="39"/>
      <c r="S254" s="76" t="s">
        <v>392</v>
      </c>
      <c r="T254" s="81" t="e">
        <f t="shared" si="106"/>
        <v>#DIV/0!</v>
      </c>
      <c r="U254" s="81" t="e">
        <f t="shared" si="107"/>
        <v>#DIV/0!</v>
      </c>
      <c r="V254" s="52" t="s">
        <v>102</v>
      </c>
      <c r="W254" s="52" t="s">
        <v>102</v>
      </c>
      <c r="X254" s="52" t="s">
        <v>102</v>
      </c>
      <c r="Y254" s="52" t="s">
        <v>102</v>
      </c>
      <c r="Z254" s="52" t="s">
        <v>102</v>
      </c>
      <c r="AA254" s="52" t="s">
        <v>102</v>
      </c>
      <c r="AB254" s="52" t="s">
        <v>102</v>
      </c>
      <c r="AC254" s="52" t="s">
        <v>102</v>
      </c>
      <c r="AD254" s="53" t="s">
        <v>263</v>
      </c>
      <c r="AE254" s="52" t="s">
        <v>102</v>
      </c>
      <c r="AF254" s="52" t="s">
        <v>102</v>
      </c>
      <c r="AG254" s="52" t="s">
        <v>102</v>
      </c>
      <c r="AH254" s="52" t="s">
        <v>102</v>
      </c>
      <c r="AI254" s="52" t="s">
        <v>102</v>
      </c>
      <c r="AJ254" s="142"/>
      <c r="AK254" s="52" t="s">
        <v>102</v>
      </c>
      <c r="AL254" s="52" t="s">
        <v>102</v>
      </c>
      <c r="AM254" s="52" t="s">
        <v>102</v>
      </c>
      <c r="AN254" s="52" t="s">
        <v>102</v>
      </c>
      <c r="AO254" s="52" t="s">
        <v>102</v>
      </c>
      <c r="AP254" s="53" t="s">
        <v>102</v>
      </c>
      <c r="AQ254" s="52">
        <v>45</v>
      </c>
      <c r="AR254" s="53" t="s">
        <v>102</v>
      </c>
      <c r="AS254" s="54"/>
      <c r="AT254" s="52" t="s">
        <v>262</v>
      </c>
      <c r="AU254" s="53" t="s">
        <v>262</v>
      </c>
      <c r="AV254" s="52">
        <v>30</v>
      </c>
      <c r="AW254" s="52">
        <v>30</v>
      </c>
      <c r="AX254" s="51" t="s">
        <v>264</v>
      </c>
      <c r="AY254" s="53" t="s">
        <v>264</v>
      </c>
      <c r="AZ254" s="53" t="s">
        <v>102</v>
      </c>
      <c r="BA254" s="53">
        <v>30</v>
      </c>
      <c r="BB254" s="53" t="s">
        <v>264</v>
      </c>
      <c r="BC254" s="53" t="s">
        <v>264</v>
      </c>
      <c r="BD254" s="53" t="s">
        <v>102</v>
      </c>
      <c r="BE254" s="53" t="s">
        <v>102</v>
      </c>
      <c r="BF254" s="53">
        <v>100</v>
      </c>
      <c r="BG254" s="53" t="s">
        <v>264</v>
      </c>
      <c r="BH254" s="53" t="s">
        <v>264</v>
      </c>
      <c r="BI254" s="53" t="s">
        <v>264</v>
      </c>
      <c r="BJ254" s="53">
        <v>50</v>
      </c>
      <c r="BK254" s="53">
        <v>200</v>
      </c>
      <c r="BL254" s="53">
        <v>50</v>
      </c>
      <c r="BM254" s="53">
        <v>300</v>
      </c>
      <c r="BN254" s="53">
        <v>50</v>
      </c>
      <c r="BO254" s="53">
        <v>250</v>
      </c>
      <c r="BP254" s="53">
        <v>20</v>
      </c>
      <c r="BQ254" s="53">
        <v>250</v>
      </c>
      <c r="BR254" s="53">
        <v>500</v>
      </c>
      <c r="BS254" s="53" t="s">
        <v>264</v>
      </c>
      <c r="BT254" s="53">
        <v>400</v>
      </c>
      <c r="BU254" s="53">
        <v>750</v>
      </c>
      <c r="BV254" s="53">
        <v>750</v>
      </c>
      <c r="BW254" s="53">
        <v>7500</v>
      </c>
      <c r="BX254" s="53">
        <v>450</v>
      </c>
      <c r="BY254" s="53" t="s">
        <v>102</v>
      </c>
      <c r="BZ254" s="53" t="s">
        <v>102</v>
      </c>
      <c r="CA254" s="53">
        <v>100</v>
      </c>
      <c r="CB254" s="53" t="s">
        <v>102</v>
      </c>
      <c r="CC254" s="53" t="s">
        <v>102</v>
      </c>
      <c r="CD254" s="53" t="s">
        <v>102</v>
      </c>
      <c r="CE254" s="53" t="s">
        <v>102</v>
      </c>
      <c r="CF254" s="53" t="s">
        <v>102</v>
      </c>
      <c r="CG254" s="53" t="s">
        <v>102</v>
      </c>
      <c r="CH254" s="53" t="s">
        <v>102</v>
      </c>
      <c r="CI254" s="53" t="s">
        <v>102</v>
      </c>
      <c r="CJ254" s="53" t="s">
        <v>102</v>
      </c>
      <c r="CK254" s="53" t="s">
        <v>102</v>
      </c>
      <c r="CL254" s="53" t="s">
        <v>102</v>
      </c>
      <c r="CM254" s="53" t="s">
        <v>102</v>
      </c>
      <c r="CN254" s="206"/>
      <c r="CO254" s="206"/>
      <c r="CP254" s="206"/>
      <c r="CQ254" s="8">
        <f t="shared" si="108"/>
        <v>20</v>
      </c>
      <c r="CR254" s="8">
        <f t="shared" si="109"/>
        <v>7500</v>
      </c>
      <c r="CS254" s="8">
        <f t="shared" si="110"/>
        <v>592.75</v>
      </c>
      <c r="CT254">
        <f t="shared" si="111"/>
        <v>151.98428779279203</v>
      </c>
      <c r="CU254" s="143" t="e">
        <f t="shared" si="112"/>
        <v>#DIV/0!</v>
      </c>
      <c r="CV254" s="143" t="e">
        <f t="shared" si="113"/>
        <v>#DIV/0!</v>
      </c>
      <c r="CX254" s="7">
        <f t="shared" si="114"/>
        <v>29.5</v>
      </c>
      <c r="CY254" s="7">
        <f t="shared" si="115"/>
        <v>30</v>
      </c>
      <c r="CZ254" s="7">
        <f t="shared" si="116"/>
        <v>42.000000000000014</v>
      </c>
      <c r="DA254" s="7">
        <f t="shared" si="117"/>
        <v>48.75</v>
      </c>
      <c r="DB254" s="7">
        <f t="shared" si="118"/>
        <v>150</v>
      </c>
      <c r="DC254" s="7">
        <f t="shared" si="119"/>
        <v>250</v>
      </c>
      <c r="DD254" s="7">
        <f t="shared" si="120"/>
        <v>267.5</v>
      </c>
      <c r="DE254" s="7">
        <f t="shared" si="121"/>
        <v>412.5</v>
      </c>
      <c r="DF254" s="7">
        <f t="shared" si="122"/>
        <v>537.49999999999966</v>
      </c>
      <c r="DH254" s="7">
        <f t="shared" si="123"/>
        <v>30</v>
      </c>
      <c r="DI254" s="7">
        <f t="shared" si="124"/>
        <v>30</v>
      </c>
      <c r="DJ254" s="7">
        <f t="shared" si="125"/>
        <v>30</v>
      </c>
      <c r="DK254" s="7">
        <f t="shared" si="126"/>
        <v>30</v>
      </c>
      <c r="DL254" s="7">
        <f t="shared" si="127"/>
        <v>30</v>
      </c>
      <c r="DM254" s="7">
        <f t="shared" si="128"/>
        <v>33</v>
      </c>
      <c r="DN254" s="7">
        <f t="shared" si="129"/>
        <v>34.5</v>
      </c>
      <c r="DO254" s="7">
        <f t="shared" si="130"/>
        <v>37.5</v>
      </c>
      <c r="DP254" s="7">
        <f t="shared" si="131"/>
        <v>40.5</v>
      </c>
    </row>
    <row r="255" spans="1:120" ht="25.5" hidden="1" customHeight="1" x14ac:dyDescent="0.25">
      <c r="A255" s="92" t="str">
        <f t="shared" si="139"/>
        <v>CM-SWVI [10]</v>
      </c>
      <c r="B255" s="92" t="str">
        <f t="shared" si="140"/>
        <v>Southwest Vancouver Island</v>
      </c>
      <c r="C255" s="93" t="str">
        <f t="shared" si="102"/>
        <v>HOT SPRINGS COVE CREEK_Chum</v>
      </c>
      <c r="D255" s="128" t="s">
        <v>598</v>
      </c>
      <c r="E255" s="128" t="s">
        <v>598</v>
      </c>
      <c r="F255" s="64">
        <v>24</v>
      </c>
      <c r="G255" s="72" t="s">
        <v>204</v>
      </c>
      <c r="H255" s="65" t="s">
        <v>96</v>
      </c>
      <c r="I255" s="119"/>
      <c r="J255" s="119"/>
      <c r="K255" s="64">
        <v>5</v>
      </c>
      <c r="L255" s="52">
        <v>4</v>
      </c>
      <c r="M255" s="52">
        <v>1372</v>
      </c>
      <c r="N255" s="52">
        <f t="shared" si="141"/>
        <v>1337.4408398131111</v>
      </c>
      <c r="O255" s="52">
        <f t="shared" si="142"/>
        <v>3500</v>
      </c>
      <c r="P255" s="52">
        <f t="shared" si="143"/>
        <v>437.20091511321448</v>
      </c>
      <c r="Q255" s="66"/>
      <c r="R255" s="37"/>
      <c r="S255" s="76" t="s">
        <v>394</v>
      </c>
      <c r="T255" s="81" t="e">
        <f t="shared" si="106"/>
        <v>#DIV/0!</v>
      </c>
      <c r="U255" s="81">
        <f t="shared" si="107"/>
        <v>510</v>
      </c>
      <c r="V255" s="52" t="s">
        <v>102</v>
      </c>
      <c r="W255" s="52" t="s">
        <v>102</v>
      </c>
      <c r="X255" s="52" t="s">
        <v>102</v>
      </c>
      <c r="Y255" s="52" t="s">
        <v>102</v>
      </c>
      <c r="Z255" s="52" t="s">
        <v>102</v>
      </c>
      <c r="AA255" s="52" t="s">
        <v>102</v>
      </c>
      <c r="AB255" s="52" t="s">
        <v>102</v>
      </c>
      <c r="AC255" s="52" t="s">
        <v>263</v>
      </c>
      <c r="AD255" s="53">
        <v>96</v>
      </c>
      <c r="AE255" s="52" t="s">
        <v>262</v>
      </c>
      <c r="AF255" s="144">
        <v>224</v>
      </c>
      <c r="AG255" s="144">
        <v>1210</v>
      </c>
      <c r="AH255" s="52" t="s">
        <v>102</v>
      </c>
      <c r="AI255" s="52" t="s">
        <v>102</v>
      </c>
      <c r="AJ255" s="142"/>
      <c r="AK255" s="52" t="s">
        <v>102</v>
      </c>
      <c r="AL255" s="52" t="s">
        <v>102</v>
      </c>
      <c r="AM255" s="52" t="s">
        <v>102</v>
      </c>
      <c r="AN255" s="52" t="s">
        <v>102</v>
      </c>
      <c r="AO255" s="52" t="s">
        <v>102</v>
      </c>
      <c r="AP255" s="53">
        <v>1678</v>
      </c>
      <c r="AQ255" s="53">
        <v>1066</v>
      </c>
      <c r="AR255" s="53" t="s">
        <v>263</v>
      </c>
      <c r="AS255" s="54"/>
      <c r="AT255" s="54"/>
      <c r="AU255" s="52" t="s">
        <v>263</v>
      </c>
      <c r="AV255" s="52" t="s">
        <v>262</v>
      </c>
      <c r="AW255" s="54"/>
      <c r="AX255" s="51" t="s">
        <v>262</v>
      </c>
      <c r="AY255" s="53" t="s">
        <v>102</v>
      </c>
      <c r="AZ255" s="53" t="s">
        <v>102</v>
      </c>
      <c r="BA255" s="53" t="s">
        <v>102</v>
      </c>
      <c r="BB255" s="53" t="s">
        <v>102</v>
      </c>
      <c r="BC255" s="53" t="s">
        <v>102</v>
      </c>
      <c r="BD255" s="53" t="s">
        <v>102</v>
      </c>
      <c r="BE255" s="53">
        <v>200</v>
      </c>
      <c r="BF255" s="53">
        <v>50</v>
      </c>
      <c r="BG255" s="53">
        <v>100</v>
      </c>
      <c r="BH255" s="53">
        <v>70</v>
      </c>
      <c r="BI255" s="53">
        <v>150</v>
      </c>
      <c r="BJ255" s="53">
        <v>350</v>
      </c>
      <c r="BK255" s="53">
        <v>82</v>
      </c>
      <c r="BL255" s="53">
        <v>2000</v>
      </c>
      <c r="BM255" s="53">
        <v>175</v>
      </c>
      <c r="BN255" s="53">
        <v>600</v>
      </c>
      <c r="BO255" s="53">
        <v>400</v>
      </c>
      <c r="BP255" s="53">
        <v>500</v>
      </c>
      <c r="BQ255" s="53">
        <v>500</v>
      </c>
      <c r="BR255" s="53">
        <v>600</v>
      </c>
      <c r="BS255" s="53">
        <v>1500</v>
      </c>
      <c r="BT255" s="53">
        <v>1500</v>
      </c>
      <c r="BU255" s="53">
        <v>3500</v>
      </c>
      <c r="BV255" s="53">
        <v>3500</v>
      </c>
      <c r="BW255" s="53">
        <v>3500</v>
      </c>
      <c r="BX255" s="53">
        <v>2000</v>
      </c>
      <c r="BY255" s="53">
        <v>200</v>
      </c>
      <c r="BZ255" s="53">
        <v>400</v>
      </c>
      <c r="CA255" s="53">
        <v>150</v>
      </c>
      <c r="CB255" s="53">
        <v>300</v>
      </c>
      <c r="CC255" s="53">
        <v>100</v>
      </c>
      <c r="CD255" s="53">
        <v>200</v>
      </c>
      <c r="CE255" s="53">
        <v>200</v>
      </c>
      <c r="CF255" s="53">
        <v>200</v>
      </c>
      <c r="CG255" s="53">
        <v>400</v>
      </c>
      <c r="CH255" s="53">
        <v>400</v>
      </c>
      <c r="CI255" s="53">
        <v>400</v>
      </c>
      <c r="CJ255" s="53">
        <v>400</v>
      </c>
      <c r="CK255" s="53">
        <v>200</v>
      </c>
      <c r="CL255" s="53">
        <v>3500</v>
      </c>
      <c r="CM255" s="53">
        <v>750</v>
      </c>
      <c r="CN255" s="206"/>
      <c r="CO255" s="206"/>
      <c r="CP255" s="206"/>
      <c r="CQ255" s="8">
        <f t="shared" si="108"/>
        <v>50</v>
      </c>
      <c r="CR255" s="8">
        <f t="shared" si="109"/>
        <v>3500</v>
      </c>
      <c r="CS255" s="8">
        <f t="shared" si="110"/>
        <v>833.77499999999998</v>
      </c>
      <c r="CT255">
        <f t="shared" si="111"/>
        <v>424.63188164876919</v>
      </c>
      <c r="CU255" s="143" t="e">
        <f t="shared" si="112"/>
        <v>#DIV/0!</v>
      </c>
      <c r="CV255" s="143">
        <f t="shared" si="113"/>
        <v>510</v>
      </c>
      <c r="CX255" s="7">
        <f t="shared" si="114"/>
        <v>81.400000000000006</v>
      </c>
      <c r="CY255" s="7">
        <f t="shared" si="115"/>
        <v>142.5</v>
      </c>
      <c r="CZ255" s="7">
        <f t="shared" si="116"/>
        <v>170.00000000000003</v>
      </c>
      <c r="DA255" s="7">
        <f t="shared" si="117"/>
        <v>200</v>
      </c>
      <c r="DB255" s="7">
        <f t="shared" si="118"/>
        <v>400</v>
      </c>
      <c r="DC255" s="7">
        <f t="shared" si="119"/>
        <v>439.99999999999989</v>
      </c>
      <c r="DD255" s="7">
        <f t="shared" si="120"/>
        <v>535.00000000000011</v>
      </c>
      <c r="DE255" s="7">
        <f t="shared" si="121"/>
        <v>1102</v>
      </c>
      <c r="DF255" s="7">
        <f t="shared" si="122"/>
        <v>1726.2999999999995</v>
      </c>
      <c r="DH255" s="7">
        <f t="shared" si="123"/>
        <v>121.6</v>
      </c>
      <c r="DI255" s="7">
        <f t="shared" si="124"/>
        <v>172.8</v>
      </c>
      <c r="DJ255" s="7">
        <f t="shared" si="125"/>
        <v>198.4</v>
      </c>
      <c r="DK255" s="7">
        <f t="shared" si="126"/>
        <v>224</v>
      </c>
      <c r="DL255" s="7">
        <f t="shared" si="127"/>
        <v>1066</v>
      </c>
      <c r="DM255" s="7">
        <f t="shared" si="128"/>
        <v>1123.5999999999999</v>
      </c>
      <c r="DN255" s="7">
        <f t="shared" si="129"/>
        <v>1152.4000000000001</v>
      </c>
      <c r="DO255" s="7">
        <f t="shared" si="130"/>
        <v>1210</v>
      </c>
      <c r="DP255" s="7">
        <f t="shared" si="131"/>
        <v>1397.2000000000003</v>
      </c>
    </row>
    <row r="256" spans="1:120" ht="25.5" hidden="1" customHeight="1" x14ac:dyDescent="0.25">
      <c r="A256" s="92" t="str">
        <f t="shared" si="139"/>
        <v>CO-CLAY [18]</v>
      </c>
      <c r="B256" s="92" t="str">
        <f t="shared" si="140"/>
        <v>Clayoquot</v>
      </c>
      <c r="C256" s="93" t="str">
        <f t="shared" si="102"/>
        <v>HOT SPRINGS COVE CREEK_Coho</v>
      </c>
      <c r="D256" s="128" t="s">
        <v>598</v>
      </c>
      <c r="E256" s="128" t="s">
        <v>598</v>
      </c>
      <c r="F256" s="64">
        <v>24</v>
      </c>
      <c r="G256" s="72" t="s">
        <v>204</v>
      </c>
      <c r="H256" s="65" t="s">
        <v>93</v>
      </c>
      <c r="I256" s="119"/>
      <c r="J256" s="119"/>
      <c r="K256" s="64">
        <v>5</v>
      </c>
      <c r="L256" s="52">
        <v>2</v>
      </c>
      <c r="M256" s="52">
        <v>146</v>
      </c>
      <c r="N256" s="52">
        <f t="shared" si="141"/>
        <v>107.08874824182044</v>
      </c>
      <c r="O256" s="52">
        <f t="shared" si="142"/>
        <v>400</v>
      </c>
      <c r="P256" s="52">
        <f t="shared" si="143"/>
        <v>49.025799539324659</v>
      </c>
      <c r="Q256" s="66"/>
      <c r="R256" s="37"/>
      <c r="S256" s="76" t="s">
        <v>393</v>
      </c>
      <c r="T256" s="81" t="e">
        <f t="shared" si="106"/>
        <v>#DIV/0!</v>
      </c>
      <c r="U256" s="81" t="e">
        <f t="shared" si="107"/>
        <v>#DIV/0!</v>
      </c>
      <c r="V256" s="52" t="s">
        <v>102</v>
      </c>
      <c r="W256" s="52" t="s">
        <v>102</v>
      </c>
      <c r="X256" s="52" t="s">
        <v>102</v>
      </c>
      <c r="Y256" s="52" t="s">
        <v>102</v>
      </c>
      <c r="Z256" s="52" t="s">
        <v>102</v>
      </c>
      <c r="AA256" s="52" t="s">
        <v>102</v>
      </c>
      <c r="AB256" s="52" t="s">
        <v>102</v>
      </c>
      <c r="AC256" s="52" t="s">
        <v>263</v>
      </c>
      <c r="AD256" s="53" t="s">
        <v>262</v>
      </c>
      <c r="AE256" s="52" t="s">
        <v>262</v>
      </c>
      <c r="AF256" s="144" t="s">
        <v>263</v>
      </c>
      <c r="AG256" s="144" t="s">
        <v>262</v>
      </c>
      <c r="AH256" s="52" t="s">
        <v>102</v>
      </c>
      <c r="AI256" s="52" t="s">
        <v>102</v>
      </c>
      <c r="AJ256" s="142"/>
      <c r="AK256" s="52" t="s">
        <v>102</v>
      </c>
      <c r="AL256" s="52" t="s">
        <v>102</v>
      </c>
      <c r="AM256" s="52" t="s">
        <v>102</v>
      </c>
      <c r="AN256" s="52" t="s">
        <v>102</v>
      </c>
      <c r="AO256" s="52" t="s">
        <v>102</v>
      </c>
      <c r="AP256" s="53">
        <v>47</v>
      </c>
      <c r="AQ256" s="53">
        <v>244</v>
      </c>
      <c r="AR256" s="53" t="s">
        <v>262</v>
      </c>
      <c r="AS256" s="54"/>
      <c r="AT256" s="54"/>
      <c r="AU256" s="52" t="s">
        <v>262</v>
      </c>
      <c r="AV256" s="52" t="s">
        <v>262</v>
      </c>
      <c r="AW256" s="54"/>
      <c r="AX256" s="51" t="s">
        <v>262</v>
      </c>
      <c r="AY256" s="53" t="s">
        <v>102</v>
      </c>
      <c r="AZ256" s="53" t="s">
        <v>102</v>
      </c>
      <c r="BA256" s="53" t="s">
        <v>102</v>
      </c>
      <c r="BB256" s="53" t="s">
        <v>102</v>
      </c>
      <c r="BC256" s="53" t="s">
        <v>102</v>
      </c>
      <c r="BD256" s="53" t="s">
        <v>102</v>
      </c>
      <c r="BE256" s="53" t="s">
        <v>264</v>
      </c>
      <c r="BF256" s="53" t="s">
        <v>264</v>
      </c>
      <c r="BG256" s="53" t="s">
        <v>262</v>
      </c>
      <c r="BH256" s="53" t="s">
        <v>262</v>
      </c>
      <c r="BI256" s="53" t="s">
        <v>264</v>
      </c>
      <c r="BJ256" s="53" t="s">
        <v>264</v>
      </c>
      <c r="BK256" s="53" t="s">
        <v>264</v>
      </c>
      <c r="BL256" s="53" t="s">
        <v>264</v>
      </c>
      <c r="BM256" s="53" t="s">
        <v>264</v>
      </c>
      <c r="BN256" s="53" t="s">
        <v>264</v>
      </c>
      <c r="BO256" s="53" t="s">
        <v>264</v>
      </c>
      <c r="BP256" s="53" t="s">
        <v>264</v>
      </c>
      <c r="BQ256" s="53" t="s">
        <v>264</v>
      </c>
      <c r="BR256" s="53" t="s">
        <v>264</v>
      </c>
      <c r="BS256" s="53" t="s">
        <v>264</v>
      </c>
      <c r="BT256" s="53" t="s">
        <v>264</v>
      </c>
      <c r="BU256" s="53" t="s">
        <v>262</v>
      </c>
      <c r="BV256" s="53" t="s">
        <v>262</v>
      </c>
      <c r="BW256" s="53">
        <v>25</v>
      </c>
      <c r="BX256" s="53">
        <v>10</v>
      </c>
      <c r="BY256" s="53">
        <v>25</v>
      </c>
      <c r="BZ256" s="53">
        <v>25</v>
      </c>
      <c r="CA256" s="53">
        <v>50</v>
      </c>
      <c r="CB256" s="53">
        <v>100</v>
      </c>
      <c r="CC256" s="53">
        <v>50</v>
      </c>
      <c r="CD256" s="53">
        <v>25</v>
      </c>
      <c r="CE256" s="53">
        <v>75</v>
      </c>
      <c r="CF256" s="53">
        <v>25</v>
      </c>
      <c r="CG256" s="53">
        <v>25</v>
      </c>
      <c r="CH256" s="53">
        <v>200</v>
      </c>
      <c r="CI256" s="53">
        <v>200</v>
      </c>
      <c r="CJ256" s="53">
        <v>400</v>
      </c>
      <c r="CK256" s="53">
        <v>25</v>
      </c>
      <c r="CL256" s="53">
        <v>25</v>
      </c>
      <c r="CM256" s="53">
        <v>25</v>
      </c>
      <c r="CN256" s="206"/>
      <c r="CO256" s="206"/>
      <c r="CP256" s="206"/>
      <c r="CQ256" s="8">
        <f t="shared" si="108"/>
        <v>10</v>
      </c>
      <c r="CR256" s="8">
        <f t="shared" si="109"/>
        <v>400</v>
      </c>
      <c r="CS256" s="8">
        <f t="shared" si="110"/>
        <v>84.263157894736835</v>
      </c>
      <c r="CT256">
        <f t="shared" si="111"/>
        <v>49.025799539324659</v>
      </c>
      <c r="CU256" s="143" t="e">
        <f t="shared" si="112"/>
        <v>#DIV/0!</v>
      </c>
      <c r="CV256" s="143" t="e">
        <f t="shared" si="113"/>
        <v>#DIV/0!</v>
      </c>
      <c r="CX256" s="7">
        <f t="shared" si="114"/>
        <v>23.5</v>
      </c>
      <c r="CY256" s="7">
        <f t="shared" si="115"/>
        <v>25</v>
      </c>
      <c r="CZ256" s="7">
        <f t="shared" si="116"/>
        <v>25</v>
      </c>
      <c r="DA256" s="7">
        <f t="shared" si="117"/>
        <v>25</v>
      </c>
      <c r="DB256" s="7">
        <f t="shared" si="118"/>
        <v>25</v>
      </c>
      <c r="DC256" s="7">
        <f t="shared" si="119"/>
        <v>49.4</v>
      </c>
      <c r="DD256" s="7">
        <f t="shared" si="120"/>
        <v>50</v>
      </c>
      <c r="DE256" s="7">
        <f t="shared" si="121"/>
        <v>87.5</v>
      </c>
      <c r="DF256" s="7">
        <f t="shared" si="122"/>
        <v>200</v>
      </c>
      <c r="DH256" s="7">
        <f t="shared" si="123"/>
        <v>56.850000000000009</v>
      </c>
      <c r="DI256" s="7">
        <f t="shared" si="124"/>
        <v>76.549999999999983</v>
      </c>
      <c r="DJ256" s="7">
        <f t="shared" si="125"/>
        <v>86.399999999999991</v>
      </c>
      <c r="DK256" s="7">
        <f t="shared" si="126"/>
        <v>96.25</v>
      </c>
      <c r="DL256" s="7">
        <f t="shared" si="127"/>
        <v>145.5</v>
      </c>
      <c r="DM256" s="7">
        <f t="shared" si="128"/>
        <v>165.20000000000002</v>
      </c>
      <c r="DN256" s="7">
        <f t="shared" si="129"/>
        <v>175.04999999999998</v>
      </c>
      <c r="DO256" s="7">
        <f t="shared" si="130"/>
        <v>194.75</v>
      </c>
      <c r="DP256" s="7">
        <f t="shared" si="131"/>
        <v>214.45000000000002</v>
      </c>
    </row>
    <row r="257" spans="1:174" ht="25.5" customHeight="1" x14ac:dyDescent="0.25">
      <c r="A257" s="92" t="str">
        <f t="shared" si="139"/>
        <v>CK-SWVI [31]</v>
      </c>
      <c r="B257" s="92" t="str">
        <f t="shared" si="140"/>
        <v>Southwest Vancouver Island</v>
      </c>
      <c r="C257" s="93" t="str">
        <f t="shared" si="102"/>
        <v>ICE RIVER_Chinook</v>
      </c>
      <c r="D257" s="128" t="s">
        <v>598</v>
      </c>
      <c r="E257" s="128" t="s">
        <v>598</v>
      </c>
      <c r="F257" s="64">
        <v>24</v>
      </c>
      <c r="G257" s="72" t="s">
        <v>202</v>
      </c>
      <c r="H257" s="65" t="s">
        <v>97</v>
      </c>
      <c r="I257" s="119"/>
      <c r="J257" s="119"/>
      <c r="K257" s="64">
        <v>4</v>
      </c>
      <c r="L257" s="52">
        <v>7</v>
      </c>
      <c r="M257" s="52">
        <v>4</v>
      </c>
      <c r="N257" s="52">
        <f t="shared" si="141"/>
        <v>27.144176165949062</v>
      </c>
      <c r="O257" s="52">
        <f t="shared" si="142"/>
        <v>400</v>
      </c>
      <c r="P257" s="52">
        <f t="shared" si="143"/>
        <v>47.330635765484004</v>
      </c>
      <c r="Q257" s="66"/>
      <c r="R257" s="39"/>
      <c r="S257" s="76" t="s">
        <v>395</v>
      </c>
      <c r="T257" s="81" t="e">
        <f t="shared" si="106"/>
        <v>#DIV/0!</v>
      </c>
      <c r="U257" s="81" t="e">
        <f t="shared" si="107"/>
        <v>#DIV/0!</v>
      </c>
      <c r="V257" s="52" t="s">
        <v>102</v>
      </c>
      <c r="W257" s="52" t="s">
        <v>102</v>
      </c>
      <c r="X257" s="52" t="s">
        <v>102</v>
      </c>
      <c r="Y257" s="52" t="s">
        <v>102</v>
      </c>
      <c r="Z257" s="52" t="s">
        <v>102</v>
      </c>
      <c r="AA257" s="52" t="s">
        <v>102</v>
      </c>
      <c r="AB257" s="123"/>
      <c r="AC257" s="52" t="s">
        <v>102</v>
      </c>
      <c r="AD257" s="52" t="s">
        <v>262</v>
      </c>
      <c r="AE257" s="52" t="s">
        <v>102</v>
      </c>
      <c r="AF257" s="52" t="s">
        <v>102</v>
      </c>
      <c r="AG257" s="52" t="s">
        <v>102</v>
      </c>
      <c r="AH257" s="53">
        <v>3</v>
      </c>
      <c r="AI257" s="53">
        <v>11</v>
      </c>
      <c r="AJ257" s="53" t="s">
        <v>262</v>
      </c>
      <c r="AK257" s="52" t="s">
        <v>102</v>
      </c>
      <c r="AL257" s="52" t="s">
        <v>102</v>
      </c>
      <c r="AM257" s="52" t="s">
        <v>102</v>
      </c>
      <c r="AN257" s="52" t="s">
        <v>102</v>
      </c>
      <c r="AO257" s="52" t="s">
        <v>102</v>
      </c>
      <c r="AP257" s="53" t="s">
        <v>262</v>
      </c>
      <c r="AQ257" s="53">
        <v>20</v>
      </c>
      <c r="AR257" s="53" t="s">
        <v>262</v>
      </c>
      <c r="AS257" s="54"/>
      <c r="AT257" s="52" t="s">
        <v>263</v>
      </c>
      <c r="AU257" s="52" t="s">
        <v>262</v>
      </c>
      <c r="AV257" s="52">
        <v>25</v>
      </c>
      <c r="AW257" s="52">
        <v>40</v>
      </c>
      <c r="AX257" s="51" t="s">
        <v>264</v>
      </c>
      <c r="AY257" s="53" t="s">
        <v>264</v>
      </c>
      <c r="AZ257" s="53" t="s">
        <v>264</v>
      </c>
      <c r="BA257" s="53">
        <v>5</v>
      </c>
      <c r="BB257" s="53" t="s">
        <v>264</v>
      </c>
      <c r="BC257" s="53" t="s">
        <v>264</v>
      </c>
      <c r="BD257" s="53" t="s">
        <v>264</v>
      </c>
      <c r="BE257" s="53" t="s">
        <v>264</v>
      </c>
      <c r="BF257" s="53" t="s">
        <v>264</v>
      </c>
      <c r="BG257" s="53" t="s">
        <v>264</v>
      </c>
      <c r="BH257" s="53" t="s">
        <v>262</v>
      </c>
      <c r="BI257" s="53" t="s">
        <v>262</v>
      </c>
      <c r="BJ257" s="53" t="s">
        <v>262</v>
      </c>
      <c r="BK257" s="53" t="s">
        <v>264</v>
      </c>
      <c r="BL257" s="53" t="s">
        <v>264</v>
      </c>
      <c r="BM257" s="53" t="s">
        <v>262</v>
      </c>
      <c r="BN257" s="53">
        <v>6</v>
      </c>
      <c r="BO257" s="53" t="s">
        <v>264</v>
      </c>
      <c r="BP257" s="53" t="s">
        <v>264</v>
      </c>
      <c r="BQ257" s="53" t="s">
        <v>262</v>
      </c>
      <c r="BR257" s="53" t="s">
        <v>262</v>
      </c>
      <c r="BS257" s="53" t="s">
        <v>262</v>
      </c>
      <c r="BT257" s="53">
        <v>25</v>
      </c>
      <c r="BU257" s="53">
        <v>25</v>
      </c>
      <c r="BV257" s="53">
        <v>25</v>
      </c>
      <c r="BW257" s="53">
        <v>25</v>
      </c>
      <c r="BX257" s="53" t="s">
        <v>262</v>
      </c>
      <c r="BY257" s="53">
        <v>25</v>
      </c>
      <c r="BZ257" s="53" t="s">
        <v>264</v>
      </c>
      <c r="CA257" s="53">
        <v>10</v>
      </c>
      <c r="CB257" s="53">
        <v>10</v>
      </c>
      <c r="CC257" s="53">
        <v>20</v>
      </c>
      <c r="CD257" s="53">
        <v>75</v>
      </c>
      <c r="CE257" s="53">
        <v>75</v>
      </c>
      <c r="CF257" s="53">
        <v>200</v>
      </c>
      <c r="CG257" s="53">
        <v>400</v>
      </c>
      <c r="CH257" s="53">
        <v>200</v>
      </c>
      <c r="CI257" s="53">
        <v>200</v>
      </c>
      <c r="CJ257" s="53">
        <v>200</v>
      </c>
      <c r="CK257" s="53">
        <v>200</v>
      </c>
      <c r="CL257" s="53">
        <v>200</v>
      </c>
      <c r="CM257" s="53">
        <v>200</v>
      </c>
      <c r="CN257" s="206"/>
      <c r="CO257" s="206"/>
      <c r="CP257" s="206"/>
      <c r="CQ257" s="8">
        <f t="shared" si="108"/>
        <v>3</v>
      </c>
      <c r="CR257" s="8">
        <f t="shared" si="109"/>
        <v>400</v>
      </c>
      <c r="CS257" s="8">
        <f t="shared" si="110"/>
        <v>89</v>
      </c>
      <c r="CT257">
        <f t="shared" si="111"/>
        <v>39.982643873274846</v>
      </c>
      <c r="CU257" s="143" t="e">
        <f t="shared" si="112"/>
        <v>#DIV/0!</v>
      </c>
      <c r="CV257" s="143" t="e">
        <f t="shared" si="113"/>
        <v>#DIV/0!</v>
      </c>
      <c r="CX257" s="7">
        <f t="shared" si="114"/>
        <v>5.2</v>
      </c>
      <c r="CY257" s="7">
        <f t="shared" si="115"/>
        <v>10</v>
      </c>
      <c r="CZ257" s="7">
        <f t="shared" si="116"/>
        <v>10.8</v>
      </c>
      <c r="DA257" s="7">
        <f t="shared" si="117"/>
        <v>20</v>
      </c>
      <c r="DB257" s="7">
        <f t="shared" si="118"/>
        <v>25</v>
      </c>
      <c r="DC257" s="7">
        <f t="shared" si="119"/>
        <v>53.99999999999995</v>
      </c>
      <c r="DD257" s="7">
        <f t="shared" si="120"/>
        <v>75</v>
      </c>
      <c r="DE257" s="7">
        <f t="shared" si="121"/>
        <v>200</v>
      </c>
      <c r="DF257" s="7">
        <f t="shared" si="122"/>
        <v>200</v>
      </c>
      <c r="DH257" s="7">
        <f t="shared" si="123"/>
        <v>4.5999999999999996</v>
      </c>
      <c r="DI257" s="7">
        <f t="shared" si="124"/>
        <v>7.8000000000000007</v>
      </c>
      <c r="DJ257" s="7">
        <f t="shared" si="125"/>
        <v>9.4</v>
      </c>
      <c r="DK257" s="7">
        <f t="shared" si="126"/>
        <v>11</v>
      </c>
      <c r="DL257" s="7">
        <f t="shared" si="127"/>
        <v>20</v>
      </c>
      <c r="DM257" s="7">
        <f t="shared" si="128"/>
        <v>22</v>
      </c>
      <c r="DN257" s="7">
        <f t="shared" si="129"/>
        <v>23</v>
      </c>
      <c r="DO257" s="7">
        <f t="shared" si="130"/>
        <v>25</v>
      </c>
      <c r="DP257" s="7">
        <f t="shared" si="131"/>
        <v>31.000000000000007</v>
      </c>
    </row>
    <row r="258" spans="1:174" ht="25.5" hidden="1" customHeight="1" x14ac:dyDescent="0.25">
      <c r="A258" s="92" t="str">
        <f t="shared" si="139"/>
        <v>CM-SWVI [10]</v>
      </c>
      <c r="B258" s="92" t="str">
        <f t="shared" si="140"/>
        <v>Southwest Vancouver Island</v>
      </c>
      <c r="C258" s="93" t="str">
        <f t="shared" si="102"/>
        <v>ICE RIVER_Chum</v>
      </c>
      <c r="D258" s="128" t="s">
        <v>598</v>
      </c>
      <c r="E258" s="128" t="s">
        <v>598</v>
      </c>
      <c r="F258" s="64">
        <v>24</v>
      </c>
      <c r="G258" s="72" t="s">
        <v>202</v>
      </c>
      <c r="H258" s="65" t="s">
        <v>96</v>
      </c>
      <c r="I258" s="119"/>
      <c r="J258" s="119"/>
      <c r="K258" s="64">
        <v>4</v>
      </c>
      <c r="L258" s="52">
        <v>7</v>
      </c>
      <c r="M258" s="52">
        <v>7</v>
      </c>
      <c r="N258" s="52">
        <f t="shared" si="141"/>
        <v>641.58775772295917</v>
      </c>
      <c r="O258" s="52">
        <f t="shared" si="142"/>
        <v>4924</v>
      </c>
      <c r="P258" s="52">
        <f t="shared" si="143"/>
        <v>592.41451656716163</v>
      </c>
      <c r="Q258" s="66"/>
      <c r="R258" s="39"/>
      <c r="S258" s="76" t="s">
        <v>395</v>
      </c>
      <c r="T258" s="81" t="e">
        <f t="shared" si="106"/>
        <v>#DIV/0!</v>
      </c>
      <c r="U258" s="81" t="e">
        <f t="shared" si="107"/>
        <v>#DIV/0!</v>
      </c>
      <c r="V258" s="52" t="s">
        <v>102</v>
      </c>
      <c r="W258" s="52" t="s">
        <v>102</v>
      </c>
      <c r="X258" s="52" t="s">
        <v>102</v>
      </c>
      <c r="Y258" s="52" t="s">
        <v>102</v>
      </c>
      <c r="Z258" s="52" t="s">
        <v>102</v>
      </c>
      <c r="AA258" s="52" t="s">
        <v>102</v>
      </c>
      <c r="AB258" s="123"/>
      <c r="AC258" s="52" t="s">
        <v>102</v>
      </c>
      <c r="AD258" s="53" t="s">
        <v>263</v>
      </c>
      <c r="AE258" s="52" t="s">
        <v>102</v>
      </c>
      <c r="AF258" s="52" t="s">
        <v>102</v>
      </c>
      <c r="AG258" s="52" t="s">
        <v>102</v>
      </c>
      <c r="AH258" s="53">
        <v>149</v>
      </c>
      <c r="AI258" s="53">
        <v>62</v>
      </c>
      <c r="AJ258" s="53">
        <v>140</v>
      </c>
      <c r="AK258" s="52" t="s">
        <v>102</v>
      </c>
      <c r="AL258" s="52" t="s">
        <v>102</v>
      </c>
      <c r="AM258" s="52" t="s">
        <v>102</v>
      </c>
      <c r="AN258" s="52" t="s">
        <v>102</v>
      </c>
      <c r="AO258" s="52" t="s">
        <v>102</v>
      </c>
      <c r="AP258" s="53">
        <v>4924</v>
      </c>
      <c r="AQ258" s="53">
        <v>1400</v>
      </c>
      <c r="AR258" s="53">
        <v>36</v>
      </c>
      <c r="AS258" s="54"/>
      <c r="AT258" s="52" t="s">
        <v>263</v>
      </c>
      <c r="AU258" s="52">
        <v>1400</v>
      </c>
      <c r="AV258" s="52">
        <v>1150</v>
      </c>
      <c r="AW258" s="52">
        <v>800</v>
      </c>
      <c r="AX258" s="51">
        <v>2000</v>
      </c>
      <c r="AY258" s="53">
        <v>400</v>
      </c>
      <c r="AZ258" s="53">
        <v>350</v>
      </c>
      <c r="BA258" s="53">
        <v>80</v>
      </c>
      <c r="BB258" s="53">
        <v>500</v>
      </c>
      <c r="BC258" s="53">
        <v>90</v>
      </c>
      <c r="BD258" s="53">
        <v>150</v>
      </c>
      <c r="BE258" s="53">
        <v>150</v>
      </c>
      <c r="BF258" s="53">
        <v>600</v>
      </c>
      <c r="BG258" s="53">
        <v>1200</v>
      </c>
      <c r="BH258" s="53">
        <v>750</v>
      </c>
      <c r="BI258" s="53">
        <v>600</v>
      </c>
      <c r="BJ258" s="53">
        <v>1100</v>
      </c>
      <c r="BK258" s="53">
        <v>400</v>
      </c>
      <c r="BL258" s="53">
        <v>650</v>
      </c>
      <c r="BM258" s="53">
        <v>250</v>
      </c>
      <c r="BN258" s="53">
        <v>2000</v>
      </c>
      <c r="BO258" s="53">
        <v>750</v>
      </c>
      <c r="BP258" s="53" t="s">
        <v>262</v>
      </c>
      <c r="BQ258" s="53">
        <v>400</v>
      </c>
      <c r="BR258" s="53">
        <v>1200</v>
      </c>
      <c r="BS258" s="53">
        <v>750</v>
      </c>
      <c r="BT258" s="53">
        <v>200</v>
      </c>
      <c r="BU258" s="53">
        <v>400</v>
      </c>
      <c r="BV258" s="53">
        <v>750</v>
      </c>
      <c r="BW258" s="53">
        <v>1500</v>
      </c>
      <c r="BX258" s="53">
        <v>3500</v>
      </c>
      <c r="BY258" s="53">
        <v>400</v>
      </c>
      <c r="BZ258" s="53">
        <v>400</v>
      </c>
      <c r="CA258" s="53">
        <v>600</v>
      </c>
      <c r="CB258" s="53">
        <v>800</v>
      </c>
      <c r="CC258" s="53">
        <v>800</v>
      </c>
      <c r="CD258" s="53">
        <v>1500</v>
      </c>
      <c r="CE258" s="53">
        <v>750</v>
      </c>
      <c r="CF258" s="53">
        <v>3500</v>
      </c>
      <c r="CG258" s="53">
        <v>1500</v>
      </c>
      <c r="CH258" s="53">
        <v>3500</v>
      </c>
      <c r="CI258" s="53">
        <v>750</v>
      </c>
      <c r="CJ258" s="53">
        <v>200</v>
      </c>
      <c r="CK258" s="53">
        <v>200</v>
      </c>
      <c r="CL258" s="53">
        <v>400</v>
      </c>
      <c r="CM258" s="53">
        <v>200</v>
      </c>
      <c r="CN258" s="206"/>
      <c r="CO258" s="206"/>
      <c r="CP258" s="206"/>
      <c r="CQ258" s="8">
        <f t="shared" si="108"/>
        <v>36</v>
      </c>
      <c r="CR258" s="8">
        <f t="shared" si="109"/>
        <v>4924</v>
      </c>
      <c r="CS258" s="8">
        <f t="shared" si="110"/>
        <v>925.62</v>
      </c>
      <c r="CT258">
        <f t="shared" si="111"/>
        <v>550.84856631981222</v>
      </c>
      <c r="CU258" s="143" t="e">
        <f t="shared" si="112"/>
        <v>#DIV/0!</v>
      </c>
      <c r="CV258" s="143" t="e">
        <f t="shared" si="113"/>
        <v>#DIV/0!</v>
      </c>
      <c r="CX258" s="7">
        <f t="shared" si="114"/>
        <v>84.5</v>
      </c>
      <c r="CY258" s="7">
        <f t="shared" si="115"/>
        <v>167.49999999999997</v>
      </c>
      <c r="CZ258" s="7">
        <f t="shared" si="116"/>
        <v>200</v>
      </c>
      <c r="DA258" s="7">
        <f t="shared" si="117"/>
        <v>275</v>
      </c>
      <c r="DB258" s="7">
        <f t="shared" si="118"/>
        <v>625</v>
      </c>
      <c r="DC258" s="7">
        <f t="shared" si="119"/>
        <v>750</v>
      </c>
      <c r="DD258" s="7">
        <f t="shared" si="120"/>
        <v>792.50000000000011</v>
      </c>
      <c r="DE258" s="7">
        <f t="shared" si="121"/>
        <v>1187.5</v>
      </c>
      <c r="DF258" s="7">
        <f t="shared" si="122"/>
        <v>1500</v>
      </c>
      <c r="DH258" s="7">
        <f t="shared" si="123"/>
        <v>46.4</v>
      </c>
      <c r="DI258" s="7">
        <f t="shared" si="124"/>
        <v>77.600000000000009</v>
      </c>
      <c r="DJ258" s="7">
        <f t="shared" si="125"/>
        <v>108.80000000000001</v>
      </c>
      <c r="DK258" s="7">
        <f t="shared" si="126"/>
        <v>140</v>
      </c>
      <c r="DL258" s="7">
        <f t="shared" si="127"/>
        <v>800</v>
      </c>
      <c r="DM258" s="7">
        <f t="shared" si="128"/>
        <v>1080</v>
      </c>
      <c r="DN258" s="7">
        <f t="shared" si="129"/>
        <v>1200</v>
      </c>
      <c r="DO258" s="7">
        <f t="shared" si="130"/>
        <v>1400</v>
      </c>
      <c r="DP258" s="7">
        <f t="shared" si="131"/>
        <v>1400</v>
      </c>
    </row>
    <row r="259" spans="1:174" ht="25.5" hidden="1" customHeight="1" x14ac:dyDescent="0.25">
      <c r="A259" s="92" t="str">
        <f t="shared" si="139"/>
        <v>CO-CLAY [18]</v>
      </c>
      <c r="B259" s="92" t="str">
        <f t="shared" si="140"/>
        <v>Clayoquot</v>
      </c>
      <c r="C259" s="93" t="str">
        <f t="shared" si="102"/>
        <v>ICE RIVER_Coho</v>
      </c>
      <c r="D259" s="128" t="s">
        <v>598</v>
      </c>
      <c r="E259" s="128" t="s">
        <v>598</v>
      </c>
      <c r="F259" s="64">
        <v>24</v>
      </c>
      <c r="G259" s="72" t="s">
        <v>202</v>
      </c>
      <c r="H259" s="65" t="s">
        <v>93</v>
      </c>
      <c r="I259" s="119"/>
      <c r="J259" s="119"/>
      <c r="K259" s="64">
        <v>4</v>
      </c>
      <c r="L259" s="52">
        <v>7</v>
      </c>
      <c r="M259" s="52">
        <v>4</v>
      </c>
      <c r="N259" s="52">
        <f t="shared" si="141"/>
        <v>71.090852983330223</v>
      </c>
      <c r="O259" s="52">
        <f t="shared" si="142"/>
        <v>750</v>
      </c>
      <c r="P259" s="52">
        <f t="shared" si="143"/>
        <v>87.080786702837727</v>
      </c>
      <c r="Q259" s="66"/>
      <c r="R259" s="39"/>
      <c r="S259" s="76" t="s">
        <v>395</v>
      </c>
      <c r="T259" s="81" t="e">
        <f t="shared" si="106"/>
        <v>#DIV/0!</v>
      </c>
      <c r="U259" s="81" t="e">
        <f t="shared" si="107"/>
        <v>#DIV/0!</v>
      </c>
      <c r="V259" s="52" t="s">
        <v>102</v>
      </c>
      <c r="W259" s="52" t="s">
        <v>102</v>
      </c>
      <c r="X259" s="52" t="s">
        <v>102</v>
      </c>
      <c r="Y259" s="52" t="s">
        <v>102</v>
      </c>
      <c r="Z259" s="52" t="s">
        <v>102</v>
      </c>
      <c r="AA259" s="52" t="s">
        <v>102</v>
      </c>
      <c r="AB259" s="123"/>
      <c r="AC259" s="52" t="s">
        <v>102</v>
      </c>
      <c r="AD259" s="53" t="s">
        <v>263</v>
      </c>
      <c r="AE259" s="52" t="s">
        <v>102</v>
      </c>
      <c r="AF259" s="52" t="s">
        <v>102</v>
      </c>
      <c r="AG259" s="52" t="s">
        <v>102</v>
      </c>
      <c r="AH259" s="53">
        <v>43</v>
      </c>
      <c r="AI259" s="53">
        <v>64</v>
      </c>
      <c r="AJ259" s="53">
        <v>86</v>
      </c>
      <c r="AK259" s="52" t="s">
        <v>102</v>
      </c>
      <c r="AL259" s="52" t="s">
        <v>102</v>
      </c>
      <c r="AM259" s="52" t="s">
        <v>102</v>
      </c>
      <c r="AN259" s="52" t="s">
        <v>102</v>
      </c>
      <c r="AO259" s="52" t="s">
        <v>102</v>
      </c>
      <c r="AP259" s="53" t="s">
        <v>262</v>
      </c>
      <c r="AQ259" s="53">
        <v>15</v>
      </c>
      <c r="AR259" s="53" t="s">
        <v>262</v>
      </c>
      <c r="AS259" s="54"/>
      <c r="AT259" s="52" t="s">
        <v>263</v>
      </c>
      <c r="AU259" s="52" t="s">
        <v>262</v>
      </c>
      <c r="AV259" s="52">
        <v>220</v>
      </c>
      <c r="AW259" s="52">
        <v>90</v>
      </c>
      <c r="AX259" s="51" t="s">
        <v>262</v>
      </c>
      <c r="AY259" s="53">
        <v>60</v>
      </c>
      <c r="AZ259" s="53">
        <v>20</v>
      </c>
      <c r="BA259" s="53">
        <v>20</v>
      </c>
      <c r="BB259" s="53" t="s">
        <v>264</v>
      </c>
      <c r="BC259" s="53">
        <v>50</v>
      </c>
      <c r="BD259" s="53">
        <v>50</v>
      </c>
      <c r="BE259" s="53" t="s">
        <v>262</v>
      </c>
      <c r="BF259" s="53">
        <v>40</v>
      </c>
      <c r="BG259" s="53" t="s">
        <v>264</v>
      </c>
      <c r="BH259" s="53" t="s">
        <v>262</v>
      </c>
      <c r="BI259" s="53" t="s">
        <v>264</v>
      </c>
      <c r="BJ259" s="53" t="s">
        <v>264</v>
      </c>
      <c r="BK259" s="53" t="s">
        <v>264</v>
      </c>
      <c r="BL259" s="53" t="s">
        <v>264</v>
      </c>
      <c r="BM259" s="53" t="s">
        <v>262</v>
      </c>
      <c r="BN259" s="53">
        <v>10</v>
      </c>
      <c r="BO259" s="53" t="s">
        <v>262</v>
      </c>
      <c r="BP259" s="53" t="s">
        <v>262</v>
      </c>
      <c r="BQ259" s="53" t="s">
        <v>262</v>
      </c>
      <c r="BR259" s="53" t="s">
        <v>262</v>
      </c>
      <c r="BS259" s="53" t="s">
        <v>262</v>
      </c>
      <c r="BT259" s="53" t="s">
        <v>264</v>
      </c>
      <c r="BU259" s="53" t="s">
        <v>262</v>
      </c>
      <c r="BV259" s="53">
        <v>25</v>
      </c>
      <c r="BW259" s="53">
        <v>25</v>
      </c>
      <c r="BX259" s="53">
        <v>35</v>
      </c>
      <c r="BY259" s="53">
        <v>25</v>
      </c>
      <c r="BZ259" s="53">
        <v>25</v>
      </c>
      <c r="CA259" s="53">
        <v>50</v>
      </c>
      <c r="CB259" s="53">
        <v>50</v>
      </c>
      <c r="CC259" s="53">
        <v>50</v>
      </c>
      <c r="CD259" s="53">
        <v>400</v>
      </c>
      <c r="CE259" s="53">
        <v>400</v>
      </c>
      <c r="CF259" s="53">
        <v>200</v>
      </c>
      <c r="CG259" s="53">
        <v>200</v>
      </c>
      <c r="CH259" s="53">
        <v>400</v>
      </c>
      <c r="CI259" s="53">
        <v>750</v>
      </c>
      <c r="CJ259" s="53">
        <v>750</v>
      </c>
      <c r="CK259" s="53">
        <v>750</v>
      </c>
      <c r="CL259" s="53">
        <v>400</v>
      </c>
      <c r="CM259" s="53">
        <v>400</v>
      </c>
      <c r="CN259" s="206"/>
      <c r="CO259" s="206"/>
      <c r="CP259" s="206"/>
      <c r="CQ259" s="8">
        <f t="shared" si="108"/>
        <v>10</v>
      </c>
      <c r="CR259" s="8">
        <f t="shared" si="109"/>
        <v>750</v>
      </c>
      <c r="CS259" s="8">
        <f t="shared" si="110"/>
        <v>183.96774193548387</v>
      </c>
      <c r="CT259">
        <f t="shared" si="111"/>
        <v>84.279599776555855</v>
      </c>
      <c r="CU259" s="143" t="e">
        <f t="shared" si="112"/>
        <v>#DIV/0!</v>
      </c>
      <c r="CV259" s="143" t="e">
        <f t="shared" si="113"/>
        <v>#DIV/0!</v>
      </c>
      <c r="CX259" s="7">
        <f t="shared" si="114"/>
        <v>17.5</v>
      </c>
      <c r="CY259" s="7">
        <f t="shared" si="115"/>
        <v>25</v>
      </c>
      <c r="CZ259" s="7">
        <f t="shared" si="116"/>
        <v>25</v>
      </c>
      <c r="DA259" s="7">
        <f t="shared" si="117"/>
        <v>30</v>
      </c>
      <c r="DB259" s="7">
        <f t="shared" si="118"/>
        <v>50</v>
      </c>
      <c r="DC259" s="7">
        <f t="shared" si="119"/>
        <v>86</v>
      </c>
      <c r="DD259" s="7">
        <f t="shared" si="120"/>
        <v>145</v>
      </c>
      <c r="DE259" s="7">
        <f t="shared" si="121"/>
        <v>310</v>
      </c>
      <c r="DF259" s="7">
        <f t="shared" si="122"/>
        <v>400</v>
      </c>
      <c r="DH259" s="7">
        <f t="shared" si="123"/>
        <v>22</v>
      </c>
      <c r="DI259" s="7">
        <f t="shared" si="124"/>
        <v>36</v>
      </c>
      <c r="DJ259" s="7">
        <f t="shared" si="125"/>
        <v>43</v>
      </c>
      <c r="DK259" s="7">
        <f t="shared" si="126"/>
        <v>48.25</v>
      </c>
      <c r="DL259" s="7">
        <f t="shared" si="127"/>
        <v>75</v>
      </c>
      <c r="DM259" s="7">
        <f t="shared" si="128"/>
        <v>86</v>
      </c>
      <c r="DN259" s="7">
        <f t="shared" si="129"/>
        <v>87</v>
      </c>
      <c r="DO259" s="7">
        <f t="shared" si="130"/>
        <v>89</v>
      </c>
      <c r="DP259" s="7">
        <f t="shared" si="131"/>
        <v>122.5</v>
      </c>
    </row>
    <row r="260" spans="1:174" ht="25.5" hidden="1" customHeight="1" x14ac:dyDescent="0.25">
      <c r="A260" s="92" t="str">
        <f t="shared" si="139"/>
        <v>SK-WVI [R10]</v>
      </c>
      <c r="B260" s="92" t="str">
        <f t="shared" si="140"/>
        <v>West Vancouver Island</v>
      </c>
      <c r="C260" s="93" t="str">
        <f t="shared" si="102"/>
        <v>ICE RIVER_Sockeye</v>
      </c>
      <c r="D260" s="128" t="s">
        <v>598</v>
      </c>
      <c r="E260" s="128" t="s">
        <v>598</v>
      </c>
      <c r="F260" s="64">
        <v>24</v>
      </c>
      <c r="G260" s="72" t="s">
        <v>202</v>
      </c>
      <c r="H260" s="65" t="s">
        <v>91</v>
      </c>
      <c r="I260" s="119"/>
      <c r="J260" s="119"/>
      <c r="K260" s="64">
        <v>4</v>
      </c>
      <c r="L260" s="52">
        <v>7</v>
      </c>
      <c r="M260" s="52">
        <v>3</v>
      </c>
      <c r="N260" s="52">
        <f t="shared" si="141"/>
        <v>44.721359549995796</v>
      </c>
      <c r="O260" s="52">
        <f t="shared" si="142"/>
        <v>50</v>
      </c>
      <c r="P260" s="52">
        <f t="shared" si="143"/>
        <v>15.518455739153596</v>
      </c>
      <c r="Q260" s="66"/>
      <c r="R260" s="39"/>
      <c r="S260" s="76" t="s">
        <v>396</v>
      </c>
      <c r="T260" s="81" t="e">
        <f t="shared" si="106"/>
        <v>#DIV/0!</v>
      </c>
      <c r="U260" s="81" t="e">
        <f t="shared" si="107"/>
        <v>#DIV/0!</v>
      </c>
      <c r="V260" s="52" t="s">
        <v>102</v>
      </c>
      <c r="W260" s="52" t="s">
        <v>102</v>
      </c>
      <c r="X260" s="52" t="s">
        <v>102</v>
      </c>
      <c r="Y260" s="52" t="s">
        <v>102</v>
      </c>
      <c r="Z260" s="52" t="s">
        <v>102</v>
      </c>
      <c r="AA260" s="52" t="s">
        <v>102</v>
      </c>
      <c r="AB260" s="123"/>
      <c r="AC260" s="52" t="s">
        <v>102</v>
      </c>
      <c r="AD260" s="52" t="s">
        <v>263</v>
      </c>
      <c r="AE260" s="52" t="s">
        <v>102</v>
      </c>
      <c r="AF260" s="52" t="s">
        <v>102</v>
      </c>
      <c r="AG260" s="52" t="s">
        <v>102</v>
      </c>
      <c r="AH260" s="53">
        <v>1</v>
      </c>
      <c r="AI260" s="53" t="s">
        <v>263</v>
      </c>
      <c r="AJ260" s="53" t="s">
        <v>262</v>
      </c>
      <c r="AK260" s="52" t="s">
        <v>102</v>
      </c>
      <c r="AL260" s="52" t="s">
        <v>102</v>
      </c>
      <c r="AM260" s="52" t="s">
        <v>102</v>
      </c>
      <c r="AN260" s="52" t="s">
        <v>102</v>
      </c>
      <c r="AO260" s="52" t="s">
        <v>102</v>
      </c>
      <c r="AP260" s="53" t="s">
        <v>262</v>
      </c>
      <c r="AQ260" s="53" t="s">
        <v>263</v>
      </c>
      <c r="AR260" s="53" t="s">
        <v>262</v>
      </c>
      <c r="AS260" s="54"/>
      <c r="AT260" s="52" t="s">
        <v>262</v>
      </c>
      <c r="AU260" s="53" t="s">
        <v>262</v>
      </c>
      <c r="AV260" s="52">
        <v>40</v>
      </c>
      <c r="AW260" s="52">
        <v>50</v>
      </c>
      <c r="AX260" s="51" t="s">
        <v>264</v>
      </c>
      <c r="AY260" s="53">
        <v>6</v>
      </c>
      <c r="AZ260" s="53" t="s">
        <v>264</v>
      </c>
      <c r="BA260" s="53">
        <v>5</v>
      </c>
      <c r="BB260" s="53" t="s">
        <v>264</v>
      </c>
      <c r="BC260" s="53" t="s">
        <v>264</v>
      </c>
      <c r="BD260" s="53" t="s">
        <v>264</v>
      </c>
      <c r="BE260" s="53" t="s">
        <v>264</v>
      </c>
      <c r="BF260" s="53" t="s">
        <v>264</v>
      </c>
      <c r="BG260" s="53">
        <v>15</v>
      </c>
      <c r="BH260" s="53" t="s">
        <v>262</v>
      </c>
      <c r="BI260" s="53" t="s">
        <v>264</v>
      </c>
      <c r="BJ260" s="53" t="s">
        <v>264</v>
      </c>
      <c r="BK260" s="53" t="s">
        <v>264</v>
      </c>
      <c r="BL260" s="53" t="s">
        <v>264</v>
      </c>
      <c r="BM260" s="53" t="s">
        <v>264</v>
      </c>
      <c r="BN260" s="53" t="s">
        <v>264</v>
      </c>
      <c r="BO260" s="53" t="s">
        <v>264</v>
      </c>
      <c r="BP260" s="53" t="s">
        <v>264</v>
      </c>
      <c r="BQ260" s="53" t="s">
        <v>264</v>
      </c>
      <c r="BR260" s="53" t="s">
        <v>264</v>
      </c>
      <c r="BS260" s="53" t="s">
        <v>264</v>
      </c>
      <c r="BT260" s="53" t="s">
        <v>264</v>
      </c>
      <c r="BU260" s="53" t="s">
        <v>264</v>
      </c>
      <c r="BV260" s="53" t="s">
        <v>264</v>
      </c>
      <c r="BW260" s="53" t="s">
        <v>264</v>
      </c>
      <c r="BX260" s="53" t="s">
        <v>264</v>
      </c>
      <c r="BY260" s="53" t="s">
        <v>264</v>
      </c>
      <c r="BZ260" s="53" t="s">
        <v>264</v>
      </c>
      <c r="CA260" s="53" t="s">
        <v>264</v>
      </c>
      <c r="CB260" s="53" t="s">
        <v>264</v>
      </c>
      <c r="CC260" s="53" t="s">
        <v>264</v>
      </c>
      <c r="CD260" s="53" t="s">
        <v>264</v>
      </c>
      <c r="CE260" s="53" t="s">
        <v>264</v>
      </c>
      <c r="CF260" s="53" t="s">
        <v>264</v>
      </c>
      <c r="CG260" s="53" t="s">
        <v>264</v>
      </c>
      <c r="CH260" s="53" t="s">
        <v>264</v>
      </c>
      <c r="CI260" s="53" t="s">
        <v>264</v>
      </c>
      <c r="CJ260" s="53" t="s">
        <v>264</v>
      </c>
      <c r="CK260" s="53" t="s">
        <v>264</v>
      </c>
      <c r="CL260" s="53" t="s">
        <v>264</v>
      </c>
      <c r="CM260" s="53" t="s">
        <v>264</v>
      </c>
      <c r="CN260" s="206"/>
      <c r="CO260" s="206"/>
      <c r="CP260" s="206"/>
      <c r="CQ260" s="8">
        <f t="shared" si="108"/>
        <v>1</v>
      </c>
      <c r="CR260" s="8">
        <f t="shared" si="109"/>
        <v>50</v>
      </c>
      <c r="CS260" s="8">
        <f t="shared" si="110"/>
        <v>19.5</v>
      </c>
      <c r="CT260">
        <f t="shared" si="111"/>
        <v>9.8259319385268977</v>
      </c>
      <c r="CU260" s="143" t="e">
        <f t="shared" si="112"/>
        <v>#DIV/0!</v>
      </c>
      <c r="CV260" s="143" t="e">
        <f t="shared" si="113"/>
        <v>#DIV/0!</v>
      </c>
      <c r="CX260" s="7">
        <f t="shared" si="114"/>
        <v>2</v>
      </c>
      <c r="CY260" s="7">
        <f t="shared" si="115"/>
        <v>4</v>
      </c>
      <c r="CZ260" s="7">
        <f t="shared" si="116"/>
        <v>5</v>
      </c>
      <c r="DA260" s="7">
        <f t="shared" si="117"/>
        <v>5.25</v>
      </c>
      <c r="DB260" s="7">
        <f t="shared" si="118"/>
        <v>10.5</v>
      </c>
      <c r="DC260" s="7">
        <f t="shared" si="119"/>
        <v>15</v>
      </c>
      <c r="DD260" s="7">
        <f t="shared" si="120"/>
        <v>21.25</v>
      </c>
      <c r="DE260" s="7">
        <f t="shared" si="121"/>
        <v>33.75</v>
      </c>
      <c r="DF260" s="7">
        <f t="shared" si="122"/>
        <v>42.5</v>
      </c>
      <c r="DH260" s="7">
        <f t="shared" si="123"/>
        <v>4.9000000000000039</v>
      </c>
      <c r="DI260" s="7">
        <f t="shared" si="124"/>
        <v>12.700000000000001</v>
      </c>
      <c r="DJ260" s="7">
        <f t="shared" si="125"/>
        <v>16.599999999999994</v>
      </c>
      <c r="DK260" s="7">
        <f t="shared" si="126"/>
        <v>20.5</v>
      </c>
      <c r="DL260" s="7">
        <f t="shared" si="127"/>
        <v>40</v>
      </c>
      <c r="DM260" s="7">
        <f t="shared" si="128"/>
        <v>42</v>
      </c>
      <c r="DN260" s="7">
        <f t="shared" si="129"/>
        <v>43</v>
      </c>
      <c r="DO260" s="7">
        <f t="shared" si="130"/>
        <v>45</v>
      </c>
      <c r="DP260" s="7">
        <f t="shared" si="131"/>
        <v>47</v>
      </c>
    </row>
    <row r="261" spans="1:174" ht="25.5" hidden="1" customHeight="1" x14ac:dyDescent="0.25">
      <c r="A261" s="92" t="str">
        <f t="shared" si="139"/>
        <v>CM-SWVI [10]</v>
      </c>
      <c r="B261" s="92" t="str">
        <f t="shared" si="140"/>
        <v>Southwest Vancouver Island</v>
      </c>
      <c r="C261" s="93" t="str">
        <f t="shared" ref="C261:C324" si="144">CONCATENATE(G261,"_",H261)</f>
        <v>KENNEDY LAKE BEACHES_Chum</v>
      </c>
      <c r="D261" s="128" t="s">
        <v>598</v>
      </c>
      <c r="E261" s="128" t="s">
        <v>598</v>
      </c>
      <c r="F261" s="64">
        <v>24</v>
      </c>
      <c r="G261" s="72" t="s">
        <v>180</v>
      </c>
      <c r="H261" s="65" t="s">
        <v>96</v>
      </c>
      <c r="I261" s="119"/>
      <c r="J261" s="119"/>
      <c r="K261" s="64">
        <v>4</v>
      </c>
      <c r="L261" s="52">
        <v>5</v>
      </c>
      <c r="M261" s="52">
        <v>1</v>
      </c>
      <c r="N261" s="52">
        <f t="shared" si="141"/>
        <v>4</v>
      </c>
      <c r="O261" s="52">
        <f t="shared" si="142"/>
        <v>4</v>
      </c>
      <c r="P261" s="52">
        <f t="shared" si="143"/>
        <v>4</v>
      </c>
      <c r="Q261" s="66"/>
      <c r="R261" s="39"/>
      <c r="S261" s="76" t="s">
        <v>360</v>
      </c>
      <c r="T261" s="81" t="e">
        <f t="shared" si="106"/>
        <v>#DIV/0!</v>
      </c>
      <c r="U261" s="81" t="e">
        <f t="shared" si="107"/>
        <v>#DIV/0!</v>
      </c>
      <c r="V261" s="232" t="s">
        <v>263</v>
      </c>
      <c r="W261" s="52"/>
      <c r="X261" s="52"/>
      <c r="Y261" s="52" t="s">
        <v>262</v>
      </c>
      <c r="Z261" s="52" t="s">
        <v>102</v>
      </c>
      <c r="AA261" s="52" t="s">
        <v>262</v>
      </c>
      <c r="AB261" s="52" t="s">
        <v>102</v>
      </c>
      <c r="AC261" s="123" t="s">
        <v>263</v>
      </c>
      <c r="AD261" s="123" t="s">
        <v>262</v>
      </c>
      <c r="AE261" s="53" t="s">
        <v>262</v>
      </c>
      <c r="AF261" s="52" t="s">
        <v>102</v>
      </c>
      <c r="AG261" s="52" t="s">
        <v>262</v>
      </c>
      <c r="AH261" s="52" t="s">
        <v>262</v>
      </c>
      <c r="AI261" s="52" t="s">
        <v>262</v>
      </c>
      <c r="AJ261" s="52" t="s">
        <v>262</v>
      </c>
      <c r="AK261" s="123" t="s">
        <v>102</v>
      </c>
      <c r="AL261" s="123" t="s">
        <v>102</v>
      </c>
      <c r="AM261" s="52" t="s">
        <v>102</v>
      </c>
      <c r="AN261" s="123" t="s">
        <v>262</v>
      </c>
      <c r="AO261" s="123" t="s">
        <v>262</v>
      </c>
      <c r="AP261" s="53" t="s">
        <v>262</v>
      </c>
      <c r="AQ261" s="53" t="s">
        <v>262</v>
      </c>
      <c r="AR261" s="53" t="s">
        <v>262</v>
      </c>
      <c r="AS261" s="52" t="s">
        <v>262</v>
      </c>
      <c r="AT261" s="54"/>
      <c r="AU261" s="54"/>
      <c r="AV261" s="52">
        <v>4</v>
      </c>
      <c r="AW261" s="54"/>
      <c r="AX261" s="51" t="s">
        <v>264</v>
      </c>
      <c r="AY261" s="53" t="s">
        <v>264</v>
      </c>
      <c r="AZ261" s="53" t="s">
        <v>264</v>
      </c>
      <c r="BA261" s="53" t="s">
        <v>264</v>
      </c>
      <c r="BB261" s="53" t="s">
        <v>264</v>
      </c>
      <c r="BC261" s="53" t="s">
        <v>264</v>
      </c>
      <c r="BD261" s="53" t="s">
        <v>264</v>
      </c>
      <c r="BE261" s="53" t="s">
        <v>102</v>
      </c>
      <c r="BF261" s="53" t="s">
        <v>264</v>
      </c>
      <c r="BG261" s="53" t="s">
        <v>264</v>
      </c>
      <c r="BH261" s="53" t="s">
        <v>262</v>
      </c>
      <c r="BI261" s="53" t="s">
        <v>264</v>
      </c>
      <c r="BJ261" s="53" t="s">
        <v>264</v>
      </c>
      <c r="BK261" s="53" t="s">
        <v>264</v>
      </c>
      <c r="BL261" s="53" t="s">
        <v>264</v>
      </c>
      <c r="BM261" s="53" t="s">
        <v>264</v>
      </c>
      <c r="BN261" s="53" t="s">
        <v>264</v>
      </c>
      <c r="BO261" s="53" t="s">
        <v>264</v>
      </c>
      <c r="BP261" s="53" t="s">
        <v>264</v>
      </c>
      <c r="BQ261" s="53" t="s">
        <v>264</v>
      </c>
      <c r="BR261" s="53" t="s">
        <v>264</v>
      </c>
      <c r="BS261" s="53" t="s">
        <v>264</v>
      </c>
      <c r="BT261" s="53" t="s">
        <v>264</v>
      </c>
      <c r="BU261" s="53" t="s">
        <v>264</v>
      </c>
      <c r="BV261" s="53" t="s">
        <v>264</v>
      </c>
      <c r="BW261" s="53" t="s">
        <v>264</v>
      </c>
      <c r="BX261" s="53" t="s">
        <v>264</v>
      </c>
      <c r="BY261" s="53" t="s">
        <v>264</v>
      </c>
      <c r="BZ261" s="53" t="s">
        <v>264</v>
      </c>
      <c r="CA261" s="53" t="s">
        <v>264</v>
      </c>
      <c r="CB261" s="53" t="s">
        <v>264</v>
      </c>
      <c r="CC261" s="53" t="s">
        <v>264</v>
      </c>
      <c r="CD261" s="53" t="s">
        <v>264</v>
      </c>
      <c r="CE261" s="53" t="s">
        <v>264</v>
      </c>
      <c r="CF261" s="53" t="s">
        <v>264</v>
      </c>
      <c r="CG261" s="53" t="s">
        <v>264</v>
      </c>
      <c r="CH261" s="53" t="s">
        <v>264</v>
      </c>
      <c r="CI261" s="53" t="s">
        <v>102</v>
      </c>
      <c r="CJ261" s="53" t="s">
        <v>102</v>
      </c>
      <c r="CK261" s="53" t="s">
        <v>102</v>
      </c>
      <c r="CL261" s="53" t="s">
        <v>102</v>
      </c>
      <c r="CM261" s="53" t="s">
        <v>102</v>
      </c>
      <c r="CN261" s="206"/>
      <c r="CO261" s="206"/>
      <c r="CP261" s="206"/>
      <c r="CQ261" s="8">
        <f t="shared" si="108"/>
        <v>4</v>
      </c>
      <c r="CR261" s="8">
        <f t="shared" si="109"/>
        <v>4</v>
      </c>
      <c r="CS261" s="8">
        <f t="shared" si="110"/>
        <v>4</v>
      </c>
      <c r="CT261">
        <f t="shared" si="111"/>
        <v>4</v>
      </c>
      <c r="CU261" s="143" t="e">
        <f t="shared" si="112"/>
        <v>#DIV/0!</v>
      </c>
      <c r="CV261" s="143" t="e">
        <f t="shared" si="113"/>
        <v>#DIV/0!</v>
      </c>
      <c r="CX261" s="7">
        <f t="shared" si="114"/>
        <v>4</v>
      </c>
      <c r="CY261" s="7">
        <f t="shared" si="115"/>
        <v>4</v>
      </c>
      <c r="CZ261" s="7">
        <f t="shared" si="116"/>
        <v>4</v>
      </c>
      <c r="DA261" s="7">
        <f t="shared" si="117"/>
        <v>4</v>
      </c>
      <c r="DB261" s="7">
        <f t="shared" si="118"/>
        <v>4</v>
      </c>
      <c r="DC261" s="7">
        <f t="shared" si="119"/>
        <v>4</v>
      </c>
      <c r="DD261" s="7">
        <f t="shared" si="120"/>
        <v>4</v>
      </c>
      <c r="DE261" s="7">
        <f t="shared" si="121"/>
        <v>4</v>
      </c>
      <c r="DF261" s="7">
        <f t="shared" si="122"/>
        <v>4</v>
      </c>
      <c r="DH261" s="7">
        <f t="shared" si="123"/>
        <v>4</v>
      </c>
      <c r="DI261" s="7">
        <f t="shared" si="124"/>
        <v>4</v>
      </c>
      <c r="DJ261" s="7">
        <f t="shared" si="125"/>
        <v>4</v>
      </c>
      <c r="DK261" s="7">
        <f t="shared" si="126"/>
        <v>4</v>
      </c>
      <c r="DL261" s="7">
        <f t="shared" si="127"/>
        <v>4</v>
      </c>
      <c r="DM261" s="7">
        <f t="shared" si="128"/>
        <v>4</v>
      </c>
      <c r="DN261" s="7">
        <f t="shared" si="129"/>
        <v>4</v>
      </c>
      <c r="DO261" s="7">
        <f t="shared" si="130"/>
        <v>4</v>
      </c>
      <c r="DP261" s="7">
        <f t="shared" si="131"/>
        <v>4</v>
      </c>
    </row>
    <row r="262" spans="1:174" ht="25.5" hidden="1" customHeight="1" x14ac:dyDescent="0.25">
      <c r="A262" s="92" t="str">
        <f t="shared" si="139"/>
        <v>CO-CLAY [18]</v>
      </c>
      <c r="B262" s="92" t="str">
        <f t="shared" si="140"/>
        <v>Clayoquot</v>
      </c>
      <c r="C262" s="93" t="str">
        <f t="shared" si="144"/>
        <v>KENNEDY LAKE BEACHES_Coho</v>
      </c>
      <c r="D262" s="128" t="s">
        <v>598</v>
      </c>
      <c r="E262" s="128" t="s">
        <v>598</v>
      </c>
      <c r="F262" s="64">
        <v>24</v>
      </c>
      <c r="G262" s="72" t="s">
        <v>180</v>
      </c>
      <c r="H262" s="65" t="s">
        <v>93</v>
      </c>
      <c r="I262" s="119"/>
      <c r="J262" s="119"/>
      <c r="K262" s="64">
        <v>4</v>
      </c>
      <c r="L262" s="52">
        <v>5</v>
      </c>
      <c r="M262" s="52">
        <v>5</v>
      </c>
      <c r="N262" s="52">
        <f t="shared" si="141"/>
        <v>13.915788418568702</v>
      </c>
      <c r="O262" s="52">
        <f t="shared" si="142"/>
        <v>3500</v>
      </c>
      <c r="P262" s="52">
        <f t="shared" si="143"/>
        <v>76.271993081513244</v>
      </c>
      <c r="Q262" s="66"/>
      <c r="R262" s="39"/>
      <c r="S262" s="76" t="s">
        <v>360</v>
      </c>
      <c r="T262" s="81" t="e">
        <f t="shared" ref="T262:T325" si="145">AVERAGE(V262:Y262)</f>
        <v>#DIV/0!</v>
      </c>
      <c r="U262" s="81">
        <f t="shared" ref="U262:U325" si="146">AVERAGE(V262:AG262)</f>
        <v>215</v>
      </c>
      <c r="V262" s="232" t="s">
        <v>263</v>
      </c>
      <c r="W262" s="52"/>
      <c r="X262" s="52"/>
      <c r="Y262" s="52" t="s">
        <v>262</v>
      </c>
      <c r="Z262" s="52" t="s">
        <v>102</v>
      </c>
      <c r="AA262" s="52" t="s">
        <v>262</v>
      </c>
      <c r="AB262" s="52" t="s">
        <v>102</v>
      </c>
      <c r="AC262" s="123" t="s">
        <v>263</v>
      </c>
      <c r="AD262" s="123" t="s">
        <v>263</v>
      </c>
      <c r="AE262" s="53">
        <v>95</v>
      </c>
      <c r="AF262" s="52" t="s">
        <v>102</v>
      </c>
      <c r="AG262" s="52">
        <v>335</v>
      </c>
      <c r="AH262" s="53">
        <v>73</v>
      </c>
      <c r="AI262" s="53">
        <v>60</v>
      </c>
      <c r="AJ262" s="52" t="s">
        <v>263</v>
      </c>
      <c r="AK262" s="123" t="s">
        <v>102</v>
      </c>
      <c r="AL262" s="123" t="s">
        <v>102</v>
      </c>
      <c r="AM262" s="52" t="s">
        <v>102</v>
      </c>
      <c r="AN262" s="54"/>
      <c r="AO262" s="54"/>
      <c r="AP262" s="53">
        <v>50</v>
      </c>
      <c r="AQ262" s="53">
        <v>5</v>
      </c>
      <c r="AR262" s="53" t="s">
        <v>263</v>
      </c>
      <c r="AS262" s="52">
        <v>25</v>
      </c>
      <c r="AT262" s="54"/>
      <c r="AU262" s="54"/>
      <c r="AV262" s="52">
        <v>6</v>
      </c>
      <c r="AW262" s="54"/>
      <c r="AX262" s="51" t="s">
        <v>264</v>
      </c>
      <c r="AY262" s="53" t="s">
        <v>264</v>
      </c>
      <c r="AZ262" s="53" t="s">
        <v>264</v>
      </c>
      <c r="BA262" s="53" t="s">
        <v>264</v>
      </c>
      <c r="BB262" s="53" t="s">
        <v>264</v>
      </c>
      <c r="BC262" s="53" t="s">
        <v>264</v>
      </c>
      <c r="BD262" s="53" t="s">
        <v>264</v>
      </c>
      <c r="BE262" s="53" t="s">
        <v>102</v>
      </c>
      <c r="BF262" s="53" t="s">
        <v>264</v>
      </c>
      <c r="BG262" s="53" t="s">
        <v>264</v>
      </c>
      <c r="BH262" s="53" t="s">
        <v>262</v>
      </c>
      <c r="BI262" s="53" t="s">
        <v>264</v>
      </c>
      <c r="BJ262" s="53" t="s">
        <v>264</v>
      </c>
      <c r="BK262" s="53" t="s">
        <v>264</v>
      </c>
      <c r="BL262" s="53" t="s">
        <v>264</v>
      </c>
      <c r="BM262" s="53" t="s">
        <v>264</v>
      </c>
      <c r="BN262" s="53" t="s">
        <v>264</v>
      </c>
      <c r="BO262" s="53" t="s">
        <v>264</v>
      </c>
      <c r="BP262" s="53" t="s">
        <v>264</v>
      </c>
      <c r="BQ262" s="53" t="s">
        <v>264</v>
      </c>
      <c r="BR262" s="53" t="s">
        <v>264</v>
      </c>
      <c r="BS262" s="53" t="s">
        <v>264</v>
      </c>
      <c r="BT262" s="53" t="s">
        <v>264</v>
      </c>
      <c r="BU262" s="53" t="s">
        <v>264</v>
      </c>
      <c r="BV262" s="53">
        <v>3500</v>
      </c>
      <c r="BW262" s="53">
        <v>1500</v>
      </c>
      <c r="BX262" s="53" t="s">
        <v>264</v>
      </c>
      <c r="BY262" s="53" t="s">
        <v>264</v>
      </c>
      <c r="BZ262" s="53" t="s">
        <v>264</v>
      </c>
      <c r="CA262" s="53" t="s">
        <v>264</v>
      </c>
      <c r="CB262" s="53" t="s">
        <v>264</v>
      </c>
      <c r="CC262" s="53" t="s">
        <v>264</v>
      </c>
      <c r="CD262" s="53" t="s">
        <v>264</v>
      </c>
      <c r="CE262" s="53" t="s">
        <v>264</v>
      </c>
      <c r="CF262" s="53" t="s">
        <v>264</v>
      </c>
      <c r="CG262" s="53" t="s">
        <v>264</v>
      </c>
      <c r="CH262" s="53" t="s">
        <v>264</v>
      </c>
      <c r="CI262" s="53" t="s">
        <v>102</v>
      </c>
      <c r="CJ262" s="53" t="s">
        <v>102</v>
      </c>
      <c r="CK262" s="53" t="s">
        <v>102</v>
      </c>
      <c r="CL262" s="53" t="s">
        <v>102</v>
      </c>
      <c r="CM262" s="53" t="s">
        <v>102</v>
      </c>
      <c r="CN262" s="206"/>
      <c r="CO262" s="206"/>
      <c r="CP262" s="206"/>
      <c r="CQ262" s="8">
        <f t="shared" ref="CQ262:CQ325" si="147">MIN(V262:CM262)</f>
        <v>5</v>
      </c>
      <c r="CR262" s="8">
        <f t="shared" ref="CR262:CR325" si="148">MAX(V262:CM262)</f>
        <v>3500</v>
      </c>
      <c r="CS262" s="8">
        <f t="shared" ref="CS262:CS325" si="149">AVERAGE(V262:CM262)</f>
        <v>564.9</v>
      </c>
      <c r="CT262">
        <f t="shared" ref="CT262:CT325" si="150">GEOMEAN(V262:CM262)</f>
        <v>87.870542847114649</v>
      </c>
      <c r="CU262" s="143" t="e">
        <f t="shared" ref="CU262:CU325" si="151">AVERAGE(V262:Z262)</f>
        <v>#DIV/0!</v>
      </c>
      <c r="CV262" s="143">
        <f t="shared" ref="CV262:CV325" si="152">AVERAGE(V262:AG262)</f>
        <v>215</v>
      </c>
      <c r="CX262" s="7">
        <f t="shared" ref="CX262:CX325" si="153">_xlfn.PERCENTILE.INC(V262:CM262,0.05)</f>
        <v>5.45</v>
      </c>
      <c r="CY262" s="7">
        <f t="shared" ref="CY262:CY325" si="154">_xlfn.PERCENTILE.INC(V262:CM262,0.15)</f>
        <v>12.649999999999993</v>
      </c>
      <c r="CZ262" s="7">
        <f t="shared" ref="CZ262:CZ325" si="155">_xlfn.PERCENTILE.INC(V262:CM262,0.2)</f>
        <v>21.199999999999996</v>
      </c>
      <c r="DA262" s="7">
        <f t="shared" ref="DA262:DA325" si="156">_xlfn.PERCENTILE.INC(V262:CM262,0.25)</f>
        <v>31.25</v>
      </c>
      <c r="DB262" s="7">
        <f t="shared" ref="DB262:DB325" si="157">_xlfn.PERCENTILE.INC(V262:CM262,0.5)</f>
        <v>66.5</v>
      </c>
      <c r="DC262" s="7">
        <f t="shared" ref="DC262:DC325" si="158">_xlfn.PERCENTILE.INC(V262:CM262,0.6)</f>
        <v>81.799999999999983</v>
      </c>
      <c r="DD262" s="7">
        <f t="shared" ref="DD262:DD325" si="159">_xlfn.PERCENTILE.INC(V262:CM262,0.65)</f>
        <v>91.700000000000017</v>
      </c>
      <c r="DE262" s="7">
        <f t="shared" ref="DE262:DE325" si="160">_xlfn.PERCENTILE.INC(V262:CM262,0.75)</f>
        <v>275</v>
      </c>
      <c r="DF262" s="7">
        <f t="shared" ref="DF262:DF325" si="161">_xlfn.PERCENTILE.INC(V262:CM262,0.85)</f>
        <v>1092.2499999999982</v>
      </c>
      <c r="DH262" s="7">
        <f t="shared" ref="DH262:DH325" si="162">_xlfn.PERCENTILE.INC(V262:AW262,0.05)</f>
        <v>5.35</v>
      </c>
      <c r="DI262" s="7">
        <f t="shared" ref="DI262:DI325" si="163">_xlfn.PERCENTILE.INC(V262:AW262,0.15)</f>
        <v>6.9499999999999966</v>
      </c>
      <c r="DJ262" s="7">
        <f t="shared" ref="DJ262:DJ325" si="164">_xlfn.PERCENTILE.INC(V262:AW262,0.2)</f>
        <v>13.600000000000007</v>
      </c>
      <c r="DK262" s="7">
        <f t="shared" ref="DK262:DK325" si="165">_xlfn.PERCENTILE.INC(V262:AW262,0.25)</f>
        <v>20.25</v>
      </c>
      <c r="DL262" s="7">
        <f t="shared" ref="DL262:DL325" si="166">_xlfn.PERCENTILE.INC(V262:AW262,0.5)</f>
        <v>55</v>
      </c>
      <c r="DM262" s="7">
        <f t="shared" ref="DM262:DM325" si="167">_xlfn.PERCENTILE.INC(V262:AW262,0.6)</f>
        <v>62.6</v>
      </c>
      <c r="DN262" s="7">
        <f t="shared" ref="DN262:DN325" si="168">_xlfn.PERCENTILE.INC(V262:AW262,0.65)</f>
        <v>67.149999999999991</v>
      </c>
      <c r="DO262" s="7">
        <f t="shared" ref="DO262:DO325" si="169">_xlfn.PERCENTILE.INC(V262:AW262,0.75)</f>
        <v>78.5</v>
      </c>
      <c r="DP262" s="7">
        <f t="shared" ref="DP262:DP325" si="170">_xlfn.PERCENTILE.INC(V262:AW262,0.85)</f>
        <v>93.9</v>
      </c>
    </row>
    <row r="263" spans="1:174" ht="25.5" hidden="1" customHeight="1" x14ac:dyDescent="0.25">
      <c r="A263" s="92" t="str">
        <f t="shared" si="139"/>
        <v>SK-L-13-16</v>
      </c>
      <c r="B263" s="92" t="str">
        <f t="shared" si="140"/>
        <v>Kennedy</v>
      </c>
      <c r="C263" s="93" t="str">
        <f t="shared" si="144"/>
        <v>KENNEDY LAKE BEACHES_Sockeye</v>
      </c>
      <c r="D263" s="128" t="s">
        <v>598</v>
      </c>
      <c r="E263" s="128" t="s">
        <v>598</v>
      </c>
      <c r="F263" s="64">
        <v>24</v>
      </c>
      <c r="G263" s="72" t="s">
        <v>180</v>
      </c>
      <c r="H263" s="65" t="s">
        <v>91</v>
      </c>
      <c r="I263" s="119"/>
      <c r="J263" s="119"/>
      <c r="K263" s="64">
        <v>4</v>
      </c>
      <c r="L263" s="52">
        <v>6</v>
      </c>
      <c r="M263" s="52">
        <v>6</v>
      </c>
      <c r="N263" s="52">
        <f t="shared" si="141"/>
        <v>2801.9103843836942</v>
      </c>
      <c r="O263" s="52">
        <f t="shared" si="142"/>
        <v>35000</v>
      </c>
      <c r="P263" s="52">
        <f t="shared" si="143"/>
        <v>2999.636847164847</v>
      </c>
      <c r="Q263" s="66"/>
      <c r="R263" s="39"/>
      <c r="S263" s="76" t="s">
        <v>368</v>
      </c>
      <c r="T263" s="81">
        <f t="shared" si="145"/>
        <v>691.5</v>
      </c>
      <c r="U263" s="81">
        <f t="shared" si="146"/>
        <v>3330.1666666666665</v>
      </c>
      <c r="V263" s="233">
        <v>1366</v>
      </c>
      <c r="W263" s="52"/>
      <c r="X263" s="52"/>
      <c r="Y263" s="52">
        <v>17</v>
      </c>
      <c r="Z263" s="52" t="s">
        <v>102</v>
      </c>
      <c r="AA263" s="52" t="s">
        <v>262</v>
      </c>
      <c r="AB263" s="52" t="s">
        <v>102</v>
      </c>
      <c r="AC263" s="52">
        <v>4540</v>
      </c>
      <c r="AD263" s="52">
        <v>5374</v>
      </c>
      <c r="AE263" s="53">
        <v>277</v>
      </c>
      <c r="AF263" s="52" t="s">
        <v>102</v>
      </c>
      <c r="AG263" s="52">
        <v>8407</v>
      </c>
      <c r="AH263" s="53">
        <v>18167</v>
      </c>
      <c r="AI263" s="53">
        <v>115</v>
      </c>
      <c r="AJ263" s="142"/>
      <c r="AK263" s="123" t="s">
        <v>102</v>
      </c>
      <c r="AL263" s="123" t="s">
        <v>102</v>
      </c>
      <c r="AM263" s="52">
        <v>183</v>
      </c>
      <c r="AN263" s="52" t="s">
        <v>102</v>
      </c>
      <c r="AO263" s="52" t="s">
        <v>102</v>
      </c>
      <c r="AP263" s="53">
        <v>6455</v>
      </c>
      <c r="AQ263" s="53">
        <v>4254</v>
      </c>
      <c r="AR263" s="53">
        <v>16500</v>
      </c>
      <c r="AS263" s="52">
        <v>753</v>
      </c>
      <c r="AT263" s="54"/>
      <c r="AU263" s="54"/>
      <c r="AV263" s="52">
        <v>7750</v>
      </c>
      <c r="AW263" s="54"/>
      <c r="AX263" s="51" t="s">
        <v>264</v>
      </c>
      <c r="AY263" s="53">
        <v>20000</v>
      </c>
      <c r="AZ263" s="53">
        <v>10000</v>
      </c>
      <c r="BA263" s="53">
        <v>4200</v>
      </c>
      <c r="BB263" s="53">
        <v>5100</v>
      </c>
      <c r="BC263" s="53">
        <v>4000</v>
      </c>
      <c r="BD263" s="53">
        <v>6650</v>
      </c>
      <c r="BE263" s="53" t="s">
        <v>102</v>
      </c>
      <c r="BF263" s="53">
        <v>2400</v>
      </c>
      <c r="BG263" s="53">
        <v>3500</v>
      </c>
      <c r="BH263" s="53">
        <v>3000</v>
      </c>
      <c r="BI263" s="53">
        <v>5000</v>
      </c>
      <c r="BJ263" s="53">
        <v>6000</v>
      </c>
      <c r="BK263" s="53">
        <v>2220</v>
      </c>
      <c r="BL263" s="53">
        <v>3120</v>
      </c>
      <c r="BM263" s="53">
        <v>1450</v>
      </c>
      <c r="BN263" s="53">
        <v>2000</v>
      </c>
      <c r="BO263" s="53">
        <v>5000</v>
      </c>
      <c r="BP263" s="53">
        <v>5800</v>
      </c>
      <c r="BQ263" s="53">
        <v>1100</v>
      </c>
      <c r="BR263" s="53">
        <v>3575</v>
      </c>
      <c r="BS263" s="53">
        <v>6400</v>
      </c>
      <c r="BT263" s="53">
        <v>750</v>
      </c>
      <c r="BU263" s="53">
        <v>200</v>
      </c>
      <c r="BV263" s="53">
        <v>400</v>
      </c>
      <c r="BW263" s="53">
        <v>3500</v>
      </c>
      <c r="BX263" s="53">
        <v>3800</v>
      </c>
      <c r="BY263" s="53">
        <v>1500</v>
      </c>
      <c r="BZ263" s="53">
        <v>400</v>
      </c>
      <c r="CA263" s="53">
        <v>800</v>
      </c>
      <c r="CB263" s="53">
        <v>7000</v>
      </c>
      <c r="CC263" s="53">
        <v>100</v>
      </c>
      <c r="CD263" s="53">
        <v>7500</v>
      </c>
      <c r="CE263" s="53">
        <v>7500</v>
      </c>
      <c r="CF263" s="53">
        <v>7500</v>
      </c>
      <c r="CG263" s="53">
        <v>15000</v>
      </c>
      <c r="CH263" s="53">
        <v>35000</v>
      </c>
      <c r="CI263" s="53" t="s">
        <v>102</v>
      </c>
      <c r="CJ263" s="53" t="s">
        <v>102</v>
      </c>
      <c r="CK263" s="53" t="s">
        <v>102</v>
      </c>
      <c r="CL263" s="53" t="s">
        <v>102</v>
      </c>
      <c r="CM263" s="53" t="s">
        <v>102</v>
      </c>
      <c r="CN263" s="206"/>
      <c r="CO263" s="206"/>
      <c r="CP263" s="206"/>
      <c r="CQ263" s="8">
        <f t="shared" si="147"/>
        <v>17</v>
      </c>
      <c r="CR263" s="8">
        <f t="shared" si="148"/>
        <v>35000</v>
      </c>
      <c r="CS263" s="8">
        <f t="shared" si="149"/>
        <v>5420.8775510204077</v>
      </c>
      <c r="CT263">
        <f t="shared" si="150"/>
        <v>2559.5684756913365</v>
      </c>
      <c r="CU263" s="143">
        <f t="shared" si="151"/>
        <v>691.5</v>
      </c>
      <c r="CV263" s="143">
        <f t="shared" si="152"/>
        <v>3330.1666666666665</v>
      </c>
      <c r="CX263" s="7">
        <f t="shared" si="153"/>
        <v>142.20000000000002</v>
      </c>
      <c r="CY263" s="7">
        <f t="shared" si="154"/>
        <v>469.99999999999977</v>
      </c>
      <c r="CZ263" s="7">
        <f t="shared" si="155"/>
        <v>781.2</v>
      </c>
      <c r="DA263" s="7">
        <f t="shared" si="156"/>
        <v>1366</v>
      </c>
      <c r="DB263" s="7">
        <f t="shared" si="157"/>
        <v>4000</v>
      </c>
      <c r="DC263" s="7">
        <f t="shared" si="158"/>
        <v>5000</v>
      </c>
      <c r="DD263" s="7">
        <f t="shared" si="159"/>
        <v>5459.2000000000016</v>
      </c>
      <c r="DE263" s="7">
        <f t="shared" si="160"/>
        <v>6650</v>
      </c>
      <c r="DF263" s="7">
        <f t="shared" si="161"/>
        <v>7699.9999999999991</v>
      </c>
      <c r="DH263" s="7">
        <f t="shared" si="162"/>
        <v>80.699999999999989</v>
      </c>
      <c r="DI263" s="7">
        <f t="shared" si="163"/>
        <v>179.60000000000002</v>
      </c>
      <c r="DJ263" s="7">
        <f t="shared" si="164"/>
        <v>239.4</v>
      </c>
      <c r="DK263" s="7">
        <f t="shared" si="165"/>
        <v>396</v>
      </c>
      <c r="DL263" s="7">
        <f t="shared" si="166"/>
        <v>4397</v>
      </c>
      <c r="DM263" s="7">
        <f t="shared" si="167"/>
        <v>5207.2000000000007</v>
      </c>
      <c r="DN263" s="7">
        <f t="shared" si="168"/>
        <v>5860.4500000000007</v>
      </c>
      <c r="DO263" s="7">
        <f t="shared" si="169"/>
        <v>7426.25</v>
      </c>
      <c r="DP263" s="7">
        <f t="shared" si="170"/>
        <v>8811.6499999999905</v>
      </c>
    </row>
    <row r="264" spans="1:174" ht="25.5" hidden="1" customHeight="1" x14ac:dyDescent="0.25">
      <c r="A264" s="92" t="str">
        <f t="shared" si="139"/>
        <v>CM-SWVI [10]</v>
      </c>
      <c r="B264" s="92" t="str">
        <f t="shared" si="140"/>
        <v>Southwest Vancouver Island</v>
      </c>
      <c r="C264" s="93" t="str">
        <f t="shared" si="144"/>
        <v>KENNEDY LAKE FEEDER STREAMS_Chum</v>
      </c>
      <c r="D264" s="128" t="s">
        <v>598</v>
      </c>
      <c r="E264" s="128" t="s">
        <v>598</v>
      </c>
      <c r="F264" s="64">
        <v>24</v>
      </c>
      <c r="G264" s="72" t="s">
        <v>181</v>
      </c>
      <c r="H264" s="65" t="s">
        <v>96</v>
      </c>
      <c r="I264" s="119"/>
      <c r="J264" s="119"/>
      <c r="K264" s="64">
        <v>4</v>
      </c>
      <c r="L264" s="52">
        <v>2</v>
      </c>
      <c r="M264" s="52">
        <v>0</v>
      </c>
      <c r="N264" s="52" t="e">
        <f t="shared" si="141"/>
        <v>#NUM!</v>
      </c>
      <c r="O264" s="52">
        <f t="shared" si="142"/>
        <v>0</v>
      </c>
      <c r="P264" s="52" t="e">
        <f t="shared" si="143"/>
        <v>#NUM!</v>
      </c>
      <c r="Q264" s="66"/>
      <c r="R264" s="39"/>
      <c r="S264" s="74" t="s">
        <v>369</v>
      </c>
      <c r="T264" s="81" t="e">
        <f t="shared" si="145"/>
        <v>#DIV/0!</v>
      </c>
      <c r="U264" s="81" t="e">
        <f t="shared" si="146"/>
        <v>#DIV/0!</v>
      </c>
      <c r="V264" s="52" t="s">
        <v>102</v>
      </c>
      <c r="W264" s="52" t="s">
        <v>102</v>
      </c>
      <c r="X264" s="52"/>
      <c r="Y264" s="52"/>
      <c r="Z264" s="52" t="s">
        <v>262</v>
      </c>
      <c r="AA264" s="52" t="s">
        <v>262</v>
      </c>
      <c r="AB264" s="52" t="s">
        <v>102</v>
      </c>
      <c r="AC264" s="52" t="s">
        <v>102</v>
      </c>
      <c r="AD264" s="52" t="s">
        <v>102</v>
      </c>
      <c r="AE264" s="52" t="s">
        <v>102</v>
      </c>
      <c r="AF264" s="52" t="s">
        <v>102</v>
      </c>
      <c r="AG264" s="52" t="s">
        <v>102</v>
      </c>
      <c r="AH264" s="52" t="s">
        <v>102</v>
      </c>
      <c r="AI264" s="52" t="s">
        <v>102</v>
      </c>
      <c r="AJ264" s="52" t="s">
        <v>102</v>
      </c>
      <c r="AK264" s="52" t="s">
        <v>102</v>
      </c>
      <c r="AL264" s="52" t="s">
        <v>102</v>
      </c>
      <c r="AM264" s="52" t="s">
        <v>102</v>
      </c>
      <c r="AN264" s="123" t="s">
        <v>262</v>
      </c>
      <c r="AO264" s="123" t="s">
        <v>262</v>
      </c>
      <c r="AP264" s="53" t="s">
        <v>262</v>
      </c>
      <c r="AQ264" s="54"/>
      <c r="AR264" s="54"/>
      <c r="AS264" s="52" t="s">
        <v>262</v>
      </c>
      <c r="AT264" s="54"/>
      <c r="AU264" s="54"/>
      <c r="AV264" s="54"/>
      <c r="AW264" s="54"/>
      <c r="AX264" s="51" t="s">
        <v>264</v>
      </c>
      <c r="AY264" s="53" t="s">
        <v>102</v>
      </c>
      <c r="AZ264" s="53" t="s">
        <v>102</v>
      </c>
      <c r="BA264" s="53" t="s">
        <v>102</v>
      </c>
      <c r="BB264" s="53" t="s">
        <v>264</v>
      </c>
      <c r="BC264" s="53" t="s">
        <v>264</v>
      </c>
      <c r="BD264" s="53" t="s">
        <v>102</v>
      </c>
      <c r="BE264" s="53" t="s">
        <v>264</v>
      </c>
      <c r="BF264" s="53" t="s">
        <v>264</v>
      </c>
      <c r="BG264" s="53" t="s">
        <v>264</v>
      </c>
      <c r="BH264" s="53" t="s">
        <v>262</v>
      </c>
      <c r="BI264" s="53" t="s">
        <v>264</v>
      </c>
      <c r="BJ264" s="53" t="s">
        <v>102</v>
      </c>
      <c r="BK264" s="53" t="s">
        <v>264</v>
      </c>
      <c r="BL264" s="53" t="s">
        <v>264</v>
      </c>
      <c r="BM264" s="53" t="s">
        <v>264</v>
      </c>
      <c r="BN264" s="53" t="s">
        <v>264</v>
      </c>
      <c r="BO264" s="53" t="s">
        <v>264</v>
      </c>
      <c r="BP264" s="53" t="s">
        <v>264</v>
      </c>
      <c r="BQ264" s="53" t="s">
        <v>264</v>
      </c>
      <c r="BR264" s="53" t="s">
        <v>264</v>
      </c>
      <c r="BS264" s="53" t="s">
        <v>264</v>
      </c>
      <c r="BT264" s="53" t="s">
        <v>264</v>
      </c>
      <c r="BU264" s="53" t="s">
        <v>264</v>
      </c>
      <c r="BV264" s="53" t="s">
        <v>102</v>
      </c>
      <c r="BW264" s="53" t="s">
        <v>102</v>
      </c>
      <c r="BX264" s="53" t="s">
        <v>102</v>
      </c>
      <c r="BY264" s="53" t="s">
        <v>102</v>
      </c>
      <c r="BZ264" s="53" t="s">
        <v>102</v>
      </c>
      <c r="CA264" s="53" t="s">
        <v>102</v>
      </c>
      <c r="CB264" s="53" t="s">
        <v>102</v>
      </c>
      <c r="CC264" s="53" t="s">
        <v>102</v>
      </c>
      <c r="CD264" s="53" t="s">
        <v>102</v>
      </c>
      <c r="CE264" s="53" t="s">
        <v>102</v>
      </c>
      <c r="CF264" s="53" t="s">
        <v>102</v>
      </c>
      <c r="CG264" s="53" t="s">
        <v>102</v>
      </c>
      <c r="CH264" s="53" t="s">
        <v>102</v>
      </c>
      <c r="CI264" s="53" t="s">
        <v>102</v>
      </c>
      <c r="CJ264" s="53" t="s">
        <v>102</v>
      </c>
      <c r="CK264" s="53" t="s">
        <v>102</v>
      </c>
      <c r="CL264" s="53" t="s">
        <v>102</v>
      </c>
      <c r="CM264" s="53" t="s">
        <v>102</v>
      </c>
      <c r="CN264" s="206"/>
      <c r="CO264" s="206"/>
      <c r="CP264" s="206"/>
      <c r="CQ264" s="8">
        <f t="shared" si="147"/>
        <v>0</v>
      </c>
      <c r="CR264" s="8">
        <f t="shared" si="148"/>
        <v>0</v>
      </c>
      <c r="CS264" s="8" t="e">
        <f t="shared" si="149"/>
        <v>#DIV/0!</v>
      </c>
      <c r="CT264" t="e">
        <f t="shared" si="150"/>
        <v>#NUM!</v>
      </c>
      <c r="CU264" s="143" t="e">
        <f t="shared" si="151"/>
        <v>#DIV/0!</v>
      </c>
      <c r="CV264" s="143" t="e">
        <f t="shared" si="152"/>
        <v>#DIV/0!</v>
      </c>
      <c r="CX264" s="7" t="e">
        <f t="shared" si="153"/>
        <v>#NUM!</v>
      </c>
      <c r="CY264" s="7" t="e">
        <f t="shared" si="154"/>
        <v>#NUM!</v>
      </c>
      <c r="CZ264" s="7" t="e">
        <f t="shared" si="155"/>
        <v>#NUM!</v>
      </c>
      <c r="DA264" s="7" t="e">
        <f t="shared" si="156"/>
        <v>#NUM!</v>
      </c>
      <c r="DB264" s="7" t="e">
        <f t="shared" si="157"/>
        <v>#NUM!</v>
      </c>
      <c r="DC264" s="7" t="e">
        <f t="shared" si="158"/>
        <v>#NUM!</v>
      </c>
      <c r="DD264" s="7" t="e">
        <f t="shared" si="159"/>
        <v>#NUM!</v>
      </c>
      <c r="DE264" s="7" t="e">
        <f t="shared" si="160"/>
        <v>#NUM!</v>
      </c>
      <c r="DF264" s="7" t="e">
        <f t="shared" si="161"/>
        <v>#NUM!</v>
      </c>
      <c r="DH264" s="7" t="e">
        <f t="shared" si="162"/>
        <v>#NUM!</v>
      </c>
      <c r="DI264" s="7" t="e">
        <f t="shared" si="163"/>
        <v>#NUM!</v>
      </c>
      <c r="DJ264" s="7" t="e">
        <f t="shared" si="164"/>
        <v>#NUM!</v>
      </c>
      <c r="DK264" s="7" t="e">
        <f t="shared" si="165"/>
        <v>#NUM!</v>
      </c>
      <c r="DL264" s="7" t="e">
        <f t="shared" si="166"/>
        <v>#NUM!</v>
      </c>
      <c r="DM264" s="7" t="e">
        <f t="shared" si="167"/>
        <v>#NUM!</v>
      </c>
      <c r="DN264" s="7" t="e">
        <f t="shared" si="168"/>
        <v>#NUM!</v>
      </c>
      <c r="DO264" s="7" t="e">
        <f t="shared" si="169"/>
        <v>#NUM!</v>
      </c>
      <c r="DP264" s="7" t="e">
        <f t="shared" si="170"/>
        <v>#NUM!</v>
      </c>
    </row>
    <row r="265" spans="1:174" ht="25.5" hidden="1" customHeight="1" x14ac:dyDescent="0.25">
      <c r="A265" s="92" t="str">
        <f t="shared" si="139"/>
        <v>CO-CLAY [18]</v>
      </c>
      <c r="B265" s="92" t="str">
        <f t="shared" si="140"/>
        <v>Clayoquot</v>
      </c>
      <c r="C265" s="93" t="str">
        <f t="shared" si="144"/>
        <v>KENNEDY LAKE FEEDER STREAMS_Coho</v>
      </c>
      <c r="D265" s="128" t="s">
        <v>598</v>
      </c>
      <c r="E265" s="128" t="s">
        <v>598</v>
      </c>
      <c r="F265" s="64">
        <v>24</v>
      </c>
      <c r="G265" s="72" t="s">
        <v>181</v>
      </c>
      <c r="H265" s="65" t="s">
        <v>93</v>
      </c>
      <c r="I265" s="119"/>
      <c r="J265" s="119"/>
      <c r="K265" s="64">
        <v>4</v>
      </c>
      <c r="L265" s="52">
        <v>2</v>
      </c>
      <c r="M265" s="52">
        <v>2</v>
      </c>
      <c r="N265" s="52">
        <f t="shared" si="141"/>
        <v>27.055498516937366</v>
      </c>
      <c r="O265" s="52">
        <f t="shared" si="142"/>
        <v>1500</v>
      </c>
      <c r="P265" s="52">
        <f t="shared" si="143"/>
        <v>445.25700372070435</v>
      </c>
      <c r="Q265" s="66"/>
      <c r="R265" s="39"/>
      <c r="S265" s="74" t="s">
        <v>369</v>
      </c>
      <c r="T265" s="81" t="e">
        <f t="shared" si="145"/>
        <v>#DIV/0!</v>
      </c>
      <c r="U265" s="81" t="e">
        <f t="shared" si="146"/>
        <v>#DIV/0!</v>
      </c>
      <c r="V265" s="52" t="s">
        <v>102</v>
      </c>
      <c r="W265" s="52" t="s">
        <v>102</v>
      </c>
      <c r="X265" s="52"/>
      <c r="Y265" s="52"/>
      <c r="Z265" s="52" t="s">
        <v>263</v>
      </c>
      <c r="AA265" s="52" t="s">
        <v>263</v>
      </c>
      <c r="AB265" s="52" t="s">
        <v>102</v>
      </c>
      <c r="AC265" s="52" t="s">
        <v>102</v>
      </c>
      <c r="AD265" s="52" t="s">
        <v>102</v>
      </c>
      <c r="AE265" s="52" t="s">
        <v>102</v>
      </c>
      <c r="AF265" s="52" t="s">
        <v>102</v>
      </c>
      <c r="AG265" s="52" t="s">
        <v>102</v>
      </c>
      <c r="AH265" s="52" t="s">
        <v>102</v>
      </c>
      <c r="AI265" s="52" t="s">
        <v>102</v>
      </c>
      <c r="AJ265" s="52" t="s">
        <v>102</v>
      </c>
      <c r="AK265" s="52" t="s">
        <v>102</v>
      </c>
      <c r="AL265" s="52" t="s">
        <v>102</v>
      </c>
      <c r="AM265" s="52" t="s">
        <v>102</v>
      </c>
      <c r="AN265" s="54"/>
      <c r="AO265" s="54"/>
      <c r="AP265" s="53">
        <v>12</v>
      </c>
      <c r="AQ265" s="54"/>
      <c r="AR265" s="54"/>
      <c r="AS265" s="52">
        <v>61</v>
      </c>
      <c r="AT265" s="54"/>
      <c r="AU265" s="54"/>
      <c r="AV265" s="54"/>
      <c r="AW265" s="54"/>
      <c r="AX265" s="51" t="s">
        <v>264</v>
      </c>
      <c r="AY265" s="53" t="s">
        <v>102</v>
      </c>
      <c r="AZ265" s="53" t="s">
        <v>102</v>
      </c>
      <c r="BA265" s="53" t="s">
        <v>102</v>
      </c>
      <c r="BB265" s="53" t="s">
        <v>264</v>
      </c>
      <c r="BC265" s="53">
        <v>100</v>
      </c>
      <c r="BD265" s="53" t="s">
        <v>102</v>
      </c>
      <c r="BE265" s="53" t="s">
        <v>264</v>
      </c>
      <c r="BF265" s="53">
        <v>100</v>
      </c>
      <c r="BG265" s="53">
        <v>250</v>
      </c>
      <c r="BH265" s="53" t="s">
        <v>264</v>
      </c>
      <c r="BI265" s="53" t="s">
        <v>264</v>
      </c>
      <c r="BJ265" s="53" t="s">
        <v>102</v>
      </c>
      <c r="BK265" s="53" t="s">
        <v>264</v>
      </c>
      <c r="BL265" s="53">
        <v>700</v>
      </c>
      <c r="BM265" s="53">
        <v>1500</v>
      </c>
      <c r="BN265" s="53">
        <v>1500</v>
      </c>
      <c r="BO265" s="53">
        <v>1500</v>
      </c>
      <c r="BP265" s="53" t="s">
        <v>264</v>
      </c>
      <c r="BQ265" s="53">
        <v>1000</v>
      </c>
      <c r="BR265" s="53">
        <v>1500</v>
      </c>
      <c r="BS265" s="53">
        <v>1500</v>
      </c>
      <c r="BT265" s="53">
        <v>825</v>
      </c>
      <c r="BU265" s="53">
        <v>1500</v>
      </c>
      <c r="BV265" s="53" t="s">
        <v>102</v>
      </c>
      <c r="BW265" s="53" t="s">
        <v>102</v>
      </c>
      <c r="BX265" s="53" t="s">
        <v>102</v>
      </c>
      <c r="BY265" s="53" t="s">
        <v>102</v>
      </c>
      <c r="BZ265" s="53" t="s">
        <v>102</v>
      </c>
      <c r="CA265" s="53" t="s">
        <v>102</v>
      </c>
      <c r="CB265" s="53" t="s">
        <v>102</v>
      </c>
      <c r="CC265" s="53" t="s">
        <v>102</v>
      </c>
      <c r="CD265" s="53" t="s">
        <v>102</v>
      </c>
      <c r="CE265" s="53" t="s">
        <v>102</v>
      </c>
      <c r="CF265" s="53" t="s">
        <v>102</v>
      </c>
      <c r="CG265" s="53" t="s">
        <v>102</v>
      </c>
      <c r="CH265" s="53" t="s">
        <v>102</v>
      </c>
      <c r="CI265" s="53" t="s">
        <v>102</v>
      </c>
      <c r="CJ265" s="53" t="s">
        <v>102</v>
      </c>
      <c r="CK265" s="53" t="s">
        <v>102</v>
      </c>
      <c r="CL265" s="53" t="s">
        <v>102</v>
      </c>
      <c r="CM265" s="53" t="s">
        <v>102</v>
      </c>
      <c r="CN265" s="206"/>
      <c r="CO265" s="206"/>
      <c r="CP265" s="206"/>
      <c r="CQ265" s="8">
        <f t="shared" si="147"/>
        <v>12</v>
      </c>
      <c r="CR265" s="8">
        <f t="shared" si="148"/>
        <v>1500</v>
      </c>
      <c r="CS265" s="8">
        <f t="shared" si="149"/>
        <v>860.57142857142856</v>
      </c>
      <c r="CT265">
        <f t="shared" si="150"/>
        <v>445.25700372070435</v>
      </c>
      <c r="CU265" s="143" t="e">
        <f t="shared" si="151"/>
        <v>#DIV/0!</v>
      </c>
      <c r="CV265" s="143" t="e">
        <f t="shared" si="152"/>
        <v>#DIV/0!</v>
      </c>
      <c r="CX265" s="7">
        <f t="shared" si="153"/>
        <v>43.849999999999994</v>
      </c>
      <c r="CY265" s="7">
        <f t="shared" si="154"/>
        <v>98.050000000000011</v>
      </c>
      <c r="CZ265" s="7">
        <f t="shared" si="155"/>
        <v>100</v>
      </c>
      <c r="DA265" s="7">
        <f t="shared" si="156"/>
        <v>137.5</v>
      </c>
      <c r="DB265" s="7">
        <f t="shared" si="157"/>
        <v>912.5</v>
      </c>
      <c r="DC265" s="7">
        <f t="shared" si="158"/>
        <v>1400.0000000000005</v>
      </c>
      <c r="DD265" s="7">
        <f t="shared" si="159"/>
        <v>1500</v>
      </c>
      <c r="DE265" s="7">
        <f t="shared" si="160"/>
        <v>1500</v>
      </c>
      <c r="DF265" s="7">
        <f t="shared" si="161"/>
        <v>1500</v>
      </c>
      <c r="DH265" s="7">
        <f t="shared" si="162"/>
        <v>14.450000000000003</v>
      </c>
      <c r="DI265" s="7">
        <f t="shared" si="163"/>
        <v>19.349999999999994</v>
      </c>
      <c r="DJ265" s="7">
        <f t="shared" si="164"/>
        <v>21.799999999999997</v>
      </c>
      <c r="DK265" s="7">
        <f t="shared" si="165"/>
        <v>24.25</v>
      </c>
      <c r="DL265" s="7">
        <f t="shared" si="166"/>
        <v>36.5</v>
      </c>
      <c r="DM265" s="7">
        <f t="shared" si="167"/>
        <v>41.400000000000006</v>
      </c>
      <c r="DN265" s="7">
        <f t="shared" si="168"/>
        <v>43.849999999999994</v>
      </c>
      <c r="DO265" s="7">
        <f t="shared" si="169"/>
        <v>48.75</v>
      </c>
      <c r="DP265" s="7">
        <f t="shared" si="170"/>
        <v>53.650000000000006</v>
      </c>
    </row>
    <row r="266" spans="1:174" ht="25.5" hidden="1" customHeight="1" x14ac:dyDescent="0.25">
      <c r="A266" s="92" t="str">
        <f t="shared" si="139"/>
        <v>SK-L-13-16</v>
      </c>
      <c r="B266" s="92" t="str">
        <f t="shared" si="140"/>
        <v>Kennedy</v>
      </c>
      <c r="C266" s="93" t="str">
        <f t="shared" si="144"/>
        <v>KENNEDY LAKE FEEDER STREAMS_Sockeye</v>
      </c>
      <c r="D266" s="128" t="s">
        <v>598</v>
      </c>
      <c r="E266" s="128" t="s">
        <v>598</v>
      </c>
      <c r="F266" s="64">
        <v>24</v>
      </c>
      <c r="G266" s="72" t="s">
        <v>181</v>
      </c>
      <c r="H266" s="65" t="s">
        <v>91</v>
      </c>
      <c r="I266" s="119"/>
      <c r="J266" s="119"/>
      <c r="K266" s="64">
        <v>4</v>
      </c>
      <c r="L266" s="52">
        <v>2</v>
      </c>
      <c r="M266" s="52">
        <v>0</v>
      </c>
      <c r="N266" s="52" t="e">
        <f t="shared" si="141"/>
        <v>#NUM!</v>
      </c>
      <c r="O266" s="52">
        <f t="shared" si="142"/>
        <v>1500</v>
      </c>
      <c r="P266" s="52">
        <f t="shared" si="143"/>
        <v>1024.6950765959598</v>
      </c>
      <c r="Q266" s="66"/>
      <c r="R266" s="39"/>
      <c r="S266" s="74" t="s">
        <v>369</v>
      </c>
      <c r="T266" s="81" t="e">
        <f t="shared" si="145"/>
        <v>#DIV/0!</v>
      </c>
      <c r="U266" s="81" t="e">
        <f t="shared" si="146"/>
        <v>#DIV/0!</v>
      </c>
      <c r="V266" s="52" t="s">
        <v>102</v>
      </c>
      <c r="W266" s="52" t="s">
        <v>102</v>
      </c>
      <c r="X266" s="52"/>
      <c r="Y266" s="52"/>
      <c r="Z266" s="52" t="s">
        <v>262</v>
      </c>
      <c r="AA266" s="52" t="s">
        <v>262</v>
      </c>
      <c r="AB266" s="52" t="s">
        <v>102</v>
      </c>
      <c r="AC266" s="52" t="s">
        <v>102</v>
      </c>
      <c r="AD266" s="52" t="s">
        <v>102</v>
      </c>
      <c r="AE266" s="52" t="s">
        <v>102</v>
      </c>
      <c r="AF266" s="52" t="s">
        <v>102</v>
      </c>
      <c r="AG266" s="52" t="s">
        <v>102</v>
      </c>
      <c r="AH266" s="52" t="s">
        <v>102</v>
      </c>
      <c r="AI266" s="52" t="s">
        <v>102</v>
      </c>
      <c r="AJ266" s="52" t="s">
        <v>102</v>
      </c>
      <c r="AK266" s="52" t="s">
        <v>102</v>
      </c>
      <c r="AL266" s="52" t="s">
        <v>102</v>
      </c>
      <c r="AM266" s="52" t="s">
        <v>102</v>
      </c>
      <c r="AN266" s="54"/>
      <c r="AO266" s="54"/>
      <c r="AP266" s="53" t="s">
        <v>262</v>
      </c>
      <c r="AQ266" s="54"/>
      <c r="AR266" s="54"/>
      <c r="AS266" s="52" t="s">
        <v>262</v>
      </c>
      <c r="AT266" s="54"/>
      <c r="AU266" s="54"/>
      <c r="AV266" s="54"/>
      <c r="AW266" s="54"/>
      <c r="AX266" s="51" t="s">
        <v>264</v>
      </c>
      <c r="AY266" s="53" t="s">
        <v>102</v>
      </c>
      <c r="AZ266" s="53" t="s">
        <v>102</v>
      </c>
      <c r="BA266" s="53" t="s">
        <v>102</v>
      </c>
      <c r="BB266" s="53" t="s">
        <v>264</v>
      </c>
      <c r="BC266" s="53" t="s">
        <v>264</v>
      </c>
      <c r="BD266" s="53" t="s">
        <v>102</v>
      </c>
      <c r="BE266" s="53">
        <v>700</v>
      </c>
      <c r="BF266" s="53" t="s">
        <v>264</v>
      </c>
      <c r="BG266" s="53" t="s">
        <v>264</v>
      </c>
      <c r="BH266" s="53" t="s">
        <v>262</v>
      </c>
      <c r="BI266" s="53" t="s">
        <v>264</v>
      </c>
      <c r="BJ266" s="53" t="s">
        <v>102</v>
      </c>
      <c r="BK266" s="53" t="s">
        <v>264</v>
      </c>
      <c r="BL266" s="53" t="s">
        <v>264</v>
      </c>
      <c r="BM266" s="53" t="s">
        <v>264</v>
      </c>
      <c r="BN266" s="53">
        <v>1500</v>
      </c>
      <c r="BO266" s="53" t="s">
        <v>264</v>
      </c>
      <c r="BP266" s="53" t="s">
        <v>264</v>
      </c>
      <c r="BQ266" s="53" t="s">
        <v>264</v>
      </c>
      <c r="BR266" s="53" t="s">
        <v>264</v>
      </c>
      <c r="BS266" s="53" t="s">
        <v>264</v>
      </c>
      <c r="BT266" s="53" t="s">
        <v>264</v>
      </c>
      <c r="BU266" s="53" t="s">
        <v>264</v>
      </c>
      <c r="BV266" s="53" t="s">
        <v>102</v>
      </c>
      <c r="BW266" s="53" t="s">
        <v>102</v>
      </c>
      <c r="BX266" s="53" t="s">
        <v>102</v>
      </c>
      <c r="BY266" s="53" t="s">
        <v>102</v>
      </c>
      <c r="BZ266" s="53" t="s">
        <v>102</v>
      </c>
      <c r="CA266" s="53" t="s">
        <v>102</v>
      </c>
      <c r="CB266" s="53" t="s">
        <v>102</v>
      </c>
      <c r="CC266" s="53" t="s">
        <v>102</v>
      </c>
      <c r="CD266" s="53" t="s">
        <v>102</v>
      </c>
      <c r="CE266" s="53" t="s">
        <v>102</v>
      </c>
      <c r="CF266" s="53" t="s">
        <v>102</v>
      </c>
      <c r="CG266" s="53" t="s">
        <v>102</v>
      </c>
      <c r="CH266" s="53" t="s">
        <v>102</v>
      </c>
      <c r="CI266" s="53" t="s">
        <v>102</v>
      </c>
      <c r="CJ266" s="53" t="s">
        <v>102</v>
      </c>
      <c r="CK266" s="53" t="s">
        <v>102</v>
      </c>
      <c r="CL266" s="53" t="s">
        <v>102</v>
      </c>
      <c r="CM266" s="53" t="s">
        <v>102</v>
      </c>
      <c r="CN266" s="206"/>
      <c r="CO266" s="206"/>
      <c r="CP266" s="206"/>
      <c r="CQ266" s="8">
        <f t="shared" si="147"/>
        <v>700</v>
      </c>
      <c r="CR266" s="8">
        <f t="shared" si="148"/>
        <v>1500</v>
      </c>
      <c r="CS266" s="8">
        <f t="shared" si="149"/>
        <v>1100</v>
      </c>
      <c r="CT266">
        <f t="shared" si="150"/>
        <v>1024.6950765959598</v>
      </c>
      <c r="CU266" s="143" t="e">
        <f t="shared" si="151"/>
        <v>#DIV/0!</v>
      </c>
      <c r="CV266" s="143" t="e">
        <f t="shared" si="152"/>
        <v>#DIV/0!</v>
      </c>
      <c r="CX266" s="7">
        <f t="shared" si="153"/>
        <v>740</v>
      </c>
      <c r="CY266" s="7">
        <f t="shared" si="154"/>
        <v>819.99999999999989</v>
      </c>
      <c r="CZ266" s="7">
        <f t="shared" si="155"/>
        <v>860</v>
      </c>
      <c r="DA266" s="7">
        <f t="shared" si="156"/>
        <v>900</v>
      </c>
      <c r="DB266" s="7">
        <f t="shared" si="157"/>
        <v>1100</v>
      </c>
      <c r="DC266" s="7">
        <f t="shared" si="158"/>
        <v>1180</v>
      </c>
      <c r="DD266" s="7">
        <f t="shared" si="159"/>
        <v>1220</v>
      </c>
      <c r="DE266" s="7">
        <f t="shared" si="160"/>
        <v>1300</v>
      </c>
      <c r="DF266" s="7">
        <f t="shared" si="161"/>
        <v>1380</v>
      </c>
      <c r="DH266" s="7" t="e">
        <f t="shared" si="162"/>
        <v>#NUM!</v>
      </c>
      <c r="DI266" s="7" t="e">
        <f t="shared" si="163"/>
        <v>#NUM!</v>
      </c>
      <c r="DJ266" s="7" t="e">
        <f t="shared" si="164"/>
        <v>#NUM!</v>
      </c>
      <c r="DK266" s="7" t="e">
        <f t="shared" si="165"/>
        <v>#NUM!</v>
      </c>
      <c r="DL266" s="7" t="e">
        <f t="shared" si="166"/>
        <v>#NUM!</v>
      </c>
      <c r="DM266" s="7" t="e">
        <f t="shared" si="167"/>
        <v>#NUM!</v>
      </c>
      <c r="DN266" s="7" t="e">
        <f t="shared" si="168"/>
        <v>#NUM!</v>
      </c>
      <c r="DO266" s="7" t="e">
        <f t="shared" si="169"/>
        <v>#NUM!</v>
      </c>
      <c r="DP266" s="7" t="e">
        <f t="shared" si="170"/>
        <v>#NUM!</v>
      </c>
    </row>
    <row r="267" spans="1:174" ht="25.5" customHeight="1" x14ac:dyDescent="0.25">
      <c r="A267" s="92" t="str">
        <f t="shared" si="139"/>
        <v>CK-SWVI [31]</v>
      </c>
      <c r="B267" s="92" t="str">
        <f t="shared" si="140"/>
        <v>Southwest Vancouver Island</v>
      </c>
      <c r="C267" s="93" t="str">
        <f t="shared" si="144"/>
        <v>KENNEDY RIVER (LOWER)_Chinook</v>
      </c>
      <c r="D267" s="128" t="s">
        <v>598</v>
      </c>
      <c r="E267" s="128" t="s">
        <v>598</v>
      </c>
      <c r="F267" s="64">
        <v>24</v>
      </c>
      <c r="G267" s="72" t="s">
        <v>359</v>
      </c>
      <c r="H267" s="65" t="s">
        <v>97</v>
      </c>
      <c r="I267" s="119"/>
      <c r="J267" s="119"/>
      <c r="K267" s="64">
        <v>3</v>
      </c>
      <c r="L267" s="52">
        <v>3</v>
      </c>
      <c r="M267" s="52">
        <v>3</v>
      </c>
      <c r="N267" s="52">
        <f t="shared" si="141"/>
        <v>243.288079822936</v>
      </c>
      <c r="O267" s="52">
        <f t="shared" si="142"/>
        <v>1500</v>
      </c>
      <c r="P267" s="52">
        <f t="shared" si="143"/>
        <v>325.55985606901703</v>
      </c>
      <c r="Q267" s="66"/>
      <c r="R267" s="39"/>
      <c r="S267" s="74" t="s">
        <v>357</v>
      </c>
      <c r="T267" s="81" t="e">
        <f t="shared" si="145"/>
        <v>#DIV/0!</v>
      </c>
      <c r="U267" s="81" t="e">
        <f t="shared" si="146"/>
        <v>#DIV/0!</v>
      </c>
      <c r="V267" s="52" t="s">
        <v>102</v>
      </c>
      <c r="W267" s="52" t="s">
        <v>102</v>
      </c>
      <c r="X267" s="52" t="s">
        <v>102</v>
      </c>
      <c r="Y267" s="52" t="s">
        <v>102</v>
      </c>
      <c r="Z267" s="52" t="s">
        <v>102</v>
      </c>
      <c r="AA267" s="52" t="s">
        <v>102</v>
      </c>
      <c r="AB267" s="52" t="s">
        <v>102</v>
      </c>
      <c r="AC267" s="52" t="s">
        <v>102</v>
      </c>
      <c r="AD267" s="52" t="s">
        <v>102</v>
      </c>
      <c r="AE267" s="52" t="s">
        <v>263</v>
      </c>
      <c r="AF267" s="52" t="s">
        <v>102</v>
      </c>
      <c r="AG267" s="52" t="s">
        <v>102</v>
      </c>
      <c r="AH267" s="52" t="s">
        <v>102</v>
      </c>
      <c r="AI267" s="52" t="s">
        <v>102</v>
      </c>
      <c r="AJ267" s="52" t="s">
        <v>102</v>
      </c>
      <c r="AK267" s="52" t="s">
        <v>102</v>
      </c>
      <c r="AL267" s="52" t="s">
        <v>102</v>
      </c>
      <c r="AM267" s="52" t="s">
        <v>102</v>
      </c>
      <c r="AN267" s="52" t="s">
        <v>102</v>
      </c>
      <c r="AO267" s="52" t="s">
        <v>102</v>
      </c>
      <c r="AP267" s="52" t="s">
        <v>102</v>
      </c>
      <c r="AQ267" s="54"/>
      <c r="AR267" s="53">
        <v>300</v>
      </c>
      <c r="AS267" s="52" t="s">
        <v>102</v>
      </c>
      <c r="AT267" s="54"/>
      <c r="AU267" s="52">
        <v>1200</v>
      </c>
      <c r="AV267" s="54"/>
      <c r="AW267" s="52">
        <v>40</v>
      </c>
      <c r="AX267" s="51" t="s">
        <v>264</v>
      </c>
      <c r="AY267" s="53" t="s">
        <v>102</v>
      </c>
      <c r="AZ267" s="53" t="s">
        <v>102</v>
      </c>
      <c r="BA267" s="53" t="s">
        <v>102</v>
      </c>
      <c r="BB267" s="53">
        <v>146</v>
      </c>
      <c r="BC267" s="53">
        <v>300</v>
      </c>
      <c r="BD267" s="53">
        <v>300</v>
      </c>
      <c r="BE267" s="53">
        <v>200</v>
      </c>
      <c r="BF267" s="53">
        <v>150</v>
      </c>
      <c r="BG267" s="53">
        <v>100</v>
      </c>
      <c r="BH267" s="53">
        <v>300</v>
      </c>
      <c r="BI267" s="53" t="s">
        <v>262</v>
      </c>
      <c r="BJ267" s="53">
        <v>400</v>
      </c>
      <c r="BK267" s="53" t="s">
        <v>264</v>
      </c>
      <c r="BL267" s="53">
        <v>100</v>
      </c>
      <c r="BM267" s="53">
        <v>250</v>
      </c>
      <c r="BN267" s="53">
        <v>75</v>
      </c>
      <c r="BO267" s="53">
        <v>100</v>
      </c>
      <c r="BP267" s="53">
        <v>200</v>
      </c>
      <c r="BQ267" s="53">
        <v>500</v>
      </c>
      <c r="BR267" s="53">
        <v>75</v>
      </c>
      <c r="BS267" s="53">
        <v>75</v>
      </c>
      <c r="BT267" s="53">
        <v>200</v>
      </c>
      <c r="BU267" s="53">
        <v>200</v>
      </c>
      <c r="BV267" s="53">
        <v>400</v>
      </c>
      <c r="BW267" s="53">
        <v>750</v>
      </c>
      <c r="BX267" s="53">
        <v>750</v>
      </c>
      <c r="BY267" s="53">
        <v>750</v>
      </c>
      <c r="BZ267" s="53">
        <v>400</v>
      </c>
      <c r="CA267" s="53">
        <v>450</v>
      </c>
      <c r="CB267" s="53">
        <v>500</v>
      </c>
      <c r="CC267" s="53">
        <v>50</v>
      </c>
      <c r="CD267" s="53">
        <v>750</v>
      </c>
      <c r="CE267" s="53">
        <v>750</v>
      </c>
      <c r="CF267" s="53">
        <v>750</v>
      </c>
      <c r="CG267" s="53">
        <v>1500</v>
      </c>
      <c r="CH267" s="53">
        <v>750</v>
      </c>
      <c r="CI267" s="53">
        <v>1500</v>
      </c>
      <c r="CJ267" s="53">
        <v>1500</v>
      </c>
      <c r="CK267" s="53">
        <v>750</v>
      </c>
      <c r="CL267" s="53">
        <v>750</v>
      </c>
      <c r="CM267" s="53">
        <v>750</v>
      </c>
      <c r="CN267" s="206"/>
      <c r="CO267" s="206"/>
      <c r="CP267" s="206"/>
      <c r="CQ267" s="8">
        <f t="shared" si="147"/>
        <v>40</v>
      </c>
      <c r="CR267" s="8">
        <f t="shared" si="148"/>
        <v>1500</v>
      </c>
      <c r="CS267" s="8">
        <f t="shared" si="149"/>
        <v>487.46153846153845</v>
      </c>
      <c r="CT267">
        <f t="shared" si="150"/>
        <v>325.55985606901703</v>
      </c>
      <c r="CU267" s="143" t="e">
        <f t="shared" si="151"/>
        <v>#DIV/0!</v>
      </c>
      <c r="CV267" s="143" t="e">
        <f t="shared" si="152"/>
        <v>#DIV/0!</v>
      </c>
      <c r="CX267" s="7">
        <f t="shared" si="153"/>
        <v>72.5</v>
      </c>
      <c r="CY267" s="7">
        <f t="shared" si="154"/>
        <v>100</v>
      </c>
      <c r="CZ267" s="7">
        <f t="shared" si="155"/>
        <v>127.60000000000007</v>
      </c>
      <c r="DA267" s="7">
        <f t="shared" si="156"/>
        <v>175</v>
      </c>
      <c r="DB267" s="7">
        <f t="shared" si="157"/>
        <v>400</v>
      </c>
      <c r="DC267" s="7">
        <f t="shared" si="158"/>
        <v>490.00000000000006</v>
      </c>
      <c r="DD267" s="7">
        <f t="shared" si="159"/>
        <v>674.99999999999977</v>
      </c>
      <c r="DE267" s="7">
        <f t="shared" si="160"/>
        <v>750</v>
      </c>
      <c r="DF267" s="7">
        <f t="shared" si="161"/>
        <v>750</v>
      </c>
      <c r="DH267" s="7">
        <f t="shared" si="162"/>
        <v>66.000000000000028</v>
      </c>
      <c r="DI267" s="7">
        <f t="shared" si="163"/>
        <v>118.00000000000001</v>
      </c>
      <c r="DJ267" s="7">
        <f t="shared" si="164"/>
        <v>143.99999999999997</v>
      </c>
      <c r="DK267" s="7">
        <f t="shared" si="165"/>
        <v>170</v>
      </c>
      <c r="DL267" s="7">
        <f t="shared" si="166"/>
        <v>300</v>
      </c>
      <c r="DM267" s="7">
        <f t="shared" si="167"/>
        <v>480.00000000000017</v>
      </c>
      <c r="DN267" s="7">
        <f t="shared" si="168"/>
        <v>569.99999999999977</v>
      </c>
      <c r="DO267" s="7">
        <f t="shared" si="169"/>
        <v>750</v>
      </c>
      <c r="DP267" s="7">
        <f t="shared" si="170"/>
        <v>930.00000000000011</v>
      </c>
    </row>
    <row r="268" spans="1:174" ht="25.5" hidden="1" customHeight="1" x14ac:dyDescent="0.25">
      <c r="A268" s="92" t="str">
        <f t="shared" si="139"/>
        <v>CM-SWVI [10]</v>
      </c>
      <c r="B268" s="92" t="str">
        <f t="shared" si="140"/>
        <v>Southwest Vancouver Island</v>
      </c>
      <c r="C268" s="93" t="str">
        <f t="shared" si="144"/>
        <v>KENNEDY RIVER (LOWER)_Chum</v>
      </c>
      <c r="D268" s="128" t="s">
        <v>598</v>
      </c>
      <c r="E268" s="128" t="s">
        <v>598</v>
      </c>
      <c r="F268" s="64">
        <v>24</v>
      </c>
      <c r="G268" s="72" t="s">
        <v>359</v>
      </c>
      <c r="H268" s="65" t="s">
        <v>96</v>
      </c>
      <c r="I268" s="119"/>
      <c r="J268" s="119"/>
      <c r="K268" s="64">
        <v>3</v>
      </c>
      <c r="L268" s="52">
        <v>3</v>
      </c>
      <c r="M268" s="52">
        <v>1</v>
      </c>
      <c r="N268" s="52">
        <f t="shared" si="141"/>
        <v>11</v>
      </c>
      <c r="O268" s="52">
        <f t="shared" si="142"/>
        <v>1500</v>
      </c>
      <c r="P268" s="52">
        <f t="shared" si="143"/>
        <v>236.21376779186372</v>
      </c>
      <c r="Q268" s="66"/>
      <c r="R268" s="39"/>
      <c r="S268" s="74" t="s">
        <v>357</v>
      </c>
      <c r="T268" s="81" t="e">
        <f t="shared" si="145"/>
        <v>#DIV/0!</v>
      </c>
      <c r="U268" s="81" t="e">
        <f t="shared" si="146"/>
        <v>#DIV/0!</v>
      </c>
      <c r="V268" s="52" t="s">
        <v>102</v>
      </c>
      <c r="W268" s="52" t="s">
        <v>102</v>
      </c>
      <c r="X268" s="52" t="s">
        <v>102</v>
      </c>
      <c r="Y268" s="52" t="s">
        <v>102</v>
      </c>
      <c r="Z268" s="52" t="s">
        <v>102</v>
      </c>
      <c r="AA268" s="52" t="s">
        <v>102</v>
      </c>
      <c r="AB268" s="52" t="s">
        <v>102</v>
      </c>
      <c r="AC268" s="52" t="s">
        <v>102</v>
      </c>
      <c r="AD268" s="52" t="s">
        <v>102</v>
      </c>
      <c r="AE268" s="52" t="s">
        <v>102</v>
      </c>
      <c r="AF268" s="52" t="s">
        <v>102</v>
      </c>
      <c r="AG268" s="52" t="s">
        <v>102</v>
      </c>
      <c r="AH268" s="52" t="s">
        <v>102</v>
      </c>
      <c r="AI268" s="52" t="s">
        <v>102</v>
      </c>
      <c r="AJ268" s="52" t="s">
        <v>102</v>
      </c>
      <c r="AK268" s="52" t="s">
        <v>102</v>
      </c>
      <c r="AL268" s="52" t="s">
        <v>102</v>
      </c>
      <c r="AM268" s="52" t="s">
        <v>102</v>
      </c>
      <c r="AN268" s="52" t="s">
        <v>102</v>
      </c>
      <c r="AO268" s="52" t="s">
        <v>102</v>
      </c>
      <c r="AP268" s="52" t="s">
        <v>102</v>
      </c>
      <c r="AQ268" s="54"/>
      <c r="AR268" s="53" t="s">
        <v>262</v>
      </c>
      <c r="AS268" s="52" t="s">
        <v>102</v>
      </c>
      <c r="AT268" s="54"/>
      <c r="AU268" s="52" t="s">
        <v>262</v>
      </c>
      <c r="AV268" s="54"/>
      <c r="AW268" s="52">
        <v>11</v>
      </c>
      <c r="AX268" s="51" t="s">
        <v>264</v>
      </c>
      <c r="AY268" s="53" t="s">
        <v>102</v>
      </c>
      <c r="AZ268" s="53" t="s">
        <v>102</v>
      </c>
      <c r="BA268" s="53" t="s">
        <v>102</v>
      </c>
      <c r="BB268" s="53" t="s">
        <v>264</v>
      </c>
      <c r="BC268" s="53" t="s">
        <v>264</v>
      </c>
      <c r="BD268" s="53" t="s">
        <v>264</v>
      </c>
      <c r="BE268" s="53" t="s">
        <v>264</v>
      </c>
      <c r="BF268" s="53" t="s">
        <v>264</v>
      </c>
      <c r="BG268" s="53" t="s">
        <v>264</v>
      </c>
      <c r="BH268" s="53" t="s">
        <v>262</v>
      </c>
      <c r="BI268" s="53" t="s">
        <v>262</v>
      </c>
      <c r="BJ268" s="53" t="s">
        <v>264</v>
      </c>
      <c r="BK268" s="53" t="s">
        <v>264</v>
      </c>
      <c r="BL268" s="53" t="s">
        <v>264</v>
      </c>
      <c r="BM268" s="53" t="s">
        <v>264</v>
      </c>
      <c r="BN268" s="53" t="s">
        <v>264</v>
      </c>
      <c r="BO268" s="53" t="s">
        <v>264</v>
      </c>
      <c r="BP268" s="53" t="s">
        <v>264</v>
      </c>
      <c r="BQ268" s="53" t="s">
        <v>264</v>
      </c>
      <c r="BR268" s="53" t="s">
        <v>264</v>
      </c>
      <c r="BS268" s="53" t="s">
        <v>264</v>
      </c>
      <c r="BT268" s="53" t="s">
        <v>264</v>
      </c>
      <c r="BU268" s="53" t="s">
        <v>264</v>
      </c>
      <c r="BV268" s="53" t="s">
        <v>264</v>
      </c>
      <c r="BW268" s="53" t="s">
        <v>264</v>
      </c>
      <c r="BX268" s="53" t="s">
        <v>264</v>
      </c>
      <c r="BY268" s="53" t="s">
        <v>262</v>
      </c>
      <c r="BZ268" s="53" t="s">
        <v>262</v>
      </c>
      <c r="CA268" s="53">
        <v>50</v>
      </c>
      <c r="CB268" s="53">
        <v>300</v>
      </c>
      <c r="CC268" s="53" t="s">
        <v>264</v>
      </c>
      <c r="CD268" s="53">
        <v>200</v>
      </c>
      <c r="CE268" s="53">
        <v>200</v>
      </c>
      <c r="CF268" s="53">
        <v>200</v>
      </c>
      <c r="CG268" s="53">
        <v>750</v>
      </c>
      <c r="CH268" s="53">
        <v>750</v>
      </c>
      <c r="CI268" s="53">
        <v>400</v>
      </c>
      <c r="CJ268" s="53">
        <v>200</v>
      </c>
      <c r="CK268" s="53">
        <v>200</v>
      </c>
      <c r="CL268" s="53">
        <v>1500</v>
      </c>
      <c r="CM268" s="53">
        <v>400</v>
      </c>
      <c r="CN268" s="206"/>
      <c r="CO268" s="206"/>
      <c r="CP268" s="206"/>
      <c r="CQ268" s="8">
        <f t="shared" si="147"/>
        <v>11</v>
      </c>
      <c r="CR268" s="8">
        <f t="shared" si="148"/>
        <v>1500</v>
      </c>
      <c r="CS268" s="8">
        <f t="shared" si="149"/>
        <v>397</v>
      </c>
      <c r="CT268">
        <f t="shared" si="150"/>
        <v>236.21376779186372</v>
      </c>
      <c r="CU268" s="143" t="e">
        <f t="shared" si="151"/>
        <v>#DIV/0!</v>
      </c>
      <c r="CV268" s="143" t="e">
        <f t="shared" si="152"/>
        <v>#DIV/0!</v>
      </c>
      <c r="CX268" s="7">
        <f t="shared" si="153"/>
        <v>34.400000000000006</v>
      </c>
      <c r="CY268" s="7">
        <f t="shared" si="154"/>
        <v>169.99999999999997</v>
      </c>
      <c r="CZ268" s="7">
        <f t="shared" si="155"/>
        <v>200</v>
      </c>
      <c r="DA268" s="7">
        <f t="shared" si="156"/>
        <v>200</v>
      </c>
      <c r="DB268" s="7">
        <f t="shared" si="157"/>
        <v>200</v>
      </c>
      <c r="DC268" s="7">
        <f t="shared" si="158"/>
        <v>319.99999999999994</v>
      </c>
      <c r="DD268" s="7">
        <f t="shared" si="159"/>
        <v>380.00000000000006</v>
      </c>
      <c r="DE268" s="7">
        <f t="shared" si="160"/>
        <v>400</v>
      </c>
      <c r="DF268" s="7">
        <f t="shared" si="161"/>
        <v>750</v>
      </c>
      <c r="DH268" s="7">
        <f t="shared" si="162"/>
        <v>11</v>
      </c>
      <c r="DI268" s="7">
        <f t="shared" si="163"/>
        <v>11</v>
      </c>
      <c r="DJ268" s="7">
        <f t="shared" si="164"/>
        <v>11</v>
      </c>
      <c r="DK268" s="7">
        <f t="shared" si="165"/>
        <v>11</v>
      </c>
      <c r="DL268" s="7">
        <f t="shared" si="166"/>
        <v>11</v>
      </c>
      <c r="DM268" s="7">
        <f t="shared" si="167"/>
        <v>11</v>
      </c>
      <c r="DN268" s="7">
        <f t="shared" si="168"/>
        <v>11</v>
      </c>
      <c r="DO268" s="7">
        <f t="shared" si="169"/>
        <v>11</v>
      </c>
      <c r="DP268" s="7">
        <f t="shared" si="170"/>
        <v>11</v>
      </c>
    </row>
    <row r="269" spans="1:174" ht="25.5" hidden="1" customHeight="1" x14ac:dyDescent="0.25">
      <c r="A269" s="92" t="str">
        <f t="shared" si="139"/>
        <v>CO-CLAY [18]</v>
      </c>
      <c r="B269" s="92" t="str">
        <f t="shared" si="140"/>
        <v>Clayoquot</v>
      </c>
      <c r="C269" s="93" t="str">
        <f t="shared" si="144"/>
        <v>KENNEDY RIVER (LOWER)_Coho</v>
      </c>
      <c r="D269" s="128" t="s">
        <v>598</v>
      </c>
      <c r="E269" s="128" t="s">
        <v>598</v>
      </c>
      <c r="F269" s="64">
        <v>24</v>
      </c>
      <c r="G269" s="72" t="s">
        <v>359</v>
      </c>
      <c r="H269" s="65" t="s">
        <v>93</v>
      </c>
      <c r="I269" s="119"/>
      <c r="J269" s="119"/>
      <c r="K269" s="64">
        <v>3</v>
      </c>
      <c r="L269" s="52">
        <v>3</v>
      </c>
      <c r="M269" s="52">
        <v>1</v>
      </c>
      <c r="N269" s="52">
        <f t="shared" si="141"/>
        <v>2760</v>
      </c>
      <c r="O269" s="52">
        <f t="shared" si="142"/>
        <v>2760</v>
      </c>
      <c r="P269" s="52">
        <f t="shared" si="143"/>
        <v>410.15659297023473</v>
      </c>
      <c r="Q269" s="66"/>
      <c r="R269" s="39"/>
      <c r="S269" s="74" t="s">
        <v>357</v>
      </c>
      <c r="T269" s="81" t="e">
        <f t="shared" si="145"/>
        <v>#DIV/0!</v>
      </c>
      <c r="U269" s="81" t="e">
        <f t="shared" si="146"/>
        <v>#DIV/0!</v>
      </c>
      <c r="V269" s="52" t="s">
        <v>102</v>
      </c>
      <c r="W269" s="52" t="s">
        <v>102</v>
      </c>
      <c r="X269" s="52" t="s">
        <v>102</v>
      </c>
      <c r="Y269" s="52" t="s">
        <v>102</v>
      </c>
      <c r="Z269" s="52" t="s">
        <v>102</v>
      </c>
      <c r="AA269" s="52" t="s">
        <v>102</v>
      </c>
      <c r="AB269" s="52" t="s">
        <v>102</v>
      </c>
      <c r="AC269" s="52" t="s">
        <v>102</v>
      </c>
      <c r="AD269" s="52" t="s">
        <v>102</v>
      </c>
      <c r="AE269" s="52" t="s">
        <v>102</v>
      </c>
      <c r="AF269" s="52" t="s">
        <v>102</v>
      </c>
      <c r="AG269" s="52" t="s">
        <v>102</v>
      </c>
      <c r="AH269" s="52" t="s">
        <v>102</v>
      </c>
      <c r="AI269" s="52" t="s">
        <v>102</v>
      </c>
      <c r="AJ269" s="52" t="s">
        <v>102</v>
      </c>
      <c r="AK269" s="52" t="s">
        <v>102</v>
      </c>
      <c r="AL269" s="52" t="s">
        <v>102</v>
      </c>
      <c r="AM269" s="52" t="s">
        <v>102</v>
      </c>
      <c r="AN269" s="52" t="s">
        <v>102</v>
      </c>
      <c r="AO269" s="52" t="s">
        <v>102</v>
      </c>
      <c r="AP269" s="52" t="s">
        <v>102</v>
      </c>
      <c r="AQ269" s="54"/>
      <c r="AR269" s="53" t="s">
        <v>262</v>
      </c>
      <c r="AS269" s="52" t="s">
        <v>102</v>
      </c>
      <c r="AT269" s="54"/>
      <c r="AU269" s="52" t="s">
        <v>262</v>
      </c>
      <c r="AV269" s="54"/>
      <c r="AW269" s="52">
        <v>2760</v>
      </c>
      <c r="AX269" s="51" t="s">
        <v>264</v>
      </c>
      <c r="AY269" s="53" t="s">
        <v>102</v>
      </c>
      <c r="AZ269" s="53" t="s">
        <v>102</v>
      </c>
      <c r="BA269" s="53" t="s">
        <v>102</v>
      </c>
      <c r="BB269" s="53" t="s">
        <v>264</v>
      </c>
      <c r="BC269" s="53" t="s">
        <v>264</v>
      </c>
      <c r="BD269" s="53" t="s">
        <v>264</v>
      </c>
      <c r="BE269" s="53" t="s">
        <v>264</v>
      </c>
      <c r="BF269" s="53" t="s">
        <v>264</v>
      </c>
      <c r="BG269" s="53" t="s">
        <v>264</v>
      </c>
      <c r="BH269" s="53" t="s">
        <v>262</v>
      </c>
      <c r="BI269" s="53" t="s">
        <v>264</v>
      </c>
      <c r="BJ269" s="53" t="s">
        <v>264</v>
      </c>
      <c r="BK269" s="53" t="s">
        <v>264</v>
      </c>
      <c r="BL269" s="53" t="s">
        <v>264</v>
      </c>
      <c r="BM269" s="53">
        <v>250</v>
      </c>
      <c r="BN269" s="53" t="s">
        <v>264</v>
      </c>
      <c r="BO269" s="53">
        <v>100</v>
      </c>
      <c r="BP269" s="53" t="s">
        <v>264</v>
      </c>
      <c r="BQ269" s="53" t="s">
        <v>264</v>
      </c>
      <c r="BR269" s="53" t="s">
        <v>264</v>
      </c>
      <c r="BS269" s="53" t="s">
        <v>264</v>
      </c>
      <c r="BT269" s="53" t="s">
        <v>264</v>
      </c>
      <c r="BU269" s="53" t="s">
        <v>264</v>
      </c>
      <c r="BV269" s="53" t="s">
        <v>264</v>
      </c>
      <c r="BW269" s="53" t="s">
        <v>264</v>
      </c>
      <c r="BX269" s="53" t="s">
        <v>264</v>
      </c>
      <c r="BY269" s="53" t="s">
        <v>264</v>
      </c>
      <c r="BZ269" s="53" t="s">
        <v>264</v>
      </c>
      <c r="CA269" s="53" t="s">
        <v>264</v>
      </c>
      <c r="CB269" s="53" t="s">
        <v>264</v>
      </c>
      <c r="CC269" s="53" t="s">
        <v>264</v>
      </c>
      <c r="CD269" s="53" t="s">
        <v>264</v>
      </c>
      <c r="CE269" s="53" t="s">
        <v>264</v>
      </c>
      <c r="CF269" s="53" t="s">
        <v>264</v>
      </c>
      <c r="CG269" s="53" t="s">
        <v>264</v>
      </c>
      <c r="CH269" s="53" t="s">
        <v>264</v>
      </c>
      <c r="CI269" s="53" t="s">
        <v>264</v>
      </c>
      <c r="CJ269" s="53" t="s">
        <v>264</v>
      </c>
      <c r="CK269" s="53" t="s">
        <v>264</v>
      </c>
      <c r="CL269" s="53" t="s">
        <v>264</v>
      </c>
      <c r="CM269" s="53" t="s">
        <v>264</v>
      </c>
      <c r="CN269" s="206"/>
      <c r="CO269" s="206"/>
      <c r="CP269" s="206"/>
      <c r="CQ269" s="8">
        <f t="shared" si="147"/>
        <v>100</v>
      </c>
      <c r="CR269" s="8">
        <f t="shared" si="148"/>
        <v>2760</v>
      </c>
      <c r="CS269" s="8">
        <f t="shared" si="149"/>
        <v>1036.6666666666667</v>
      </c>
      <c r="CT269">
        <f t="shared" si="150"/>
        <v>410.15659297023473</v>
      </c>
      <c r="CU269" s="143" t="e">
        <f t="shared" si="151"/>
        <v>#DIV/0!</v>
      </c>
      <c r="CV269" s="143" t="e">
        <f t="shared" si="152"/>
        <v>#DIV/0!</v>
      </c>
      <c r="CX269" s="7">
        <f t="shared" si="153"/>
        <v>115.00000000000001</v>
      </c>
      <c r="CY269" s="7">
        <f t="shared" si="154"/>
        <v>145</v>
      </c>
      <c r="CZ269" s="7">
        <f t="shared" si="155"/>
        <v>160</v>
      </c>
      <c r="DA269" s="7">
        <f t="shared" si="156"/>
        <v>175</v>
      </c>
      <c r="DB269" s="7">
        <f t="shared" si="157"/>
        <v>250</v>
      </c>
      <c r="DC269" s="7">
        <f t="shared" si="158"/>
        <v>752.00000000000045</v>
      </c>
      <c r="DD269" s="7">
        <f t="shared" si="159"/>
        <v>1002.9999999999995</v>
      </c>
      <c r="DE269" s="7">
        <f t="shared" si="160"/>
        <v>1505</v>
      </c>
      <c r="DF269" s="7">
        <f t="shared" si="161"/>
        <v>2007.0000000000005</v>
      </c>
      <c r="DH269" s="7">
        <f t="shared" si="162"/>
        <v>2760</v>
      </c>
      <c r="DI269" s="7">
        <f t="shared" si="163"/>
        <v>2760</v>
      </c>
      <c r="DJ269" s="7">
        <f t="shared" si="164"/>
        <v>2760</v>
      </c>
      <c r="DK269" s="7">
        <f t="shared" si="165"/>
        <v>2760</v>
      </c>
      <c r="DL269" s="7">
        <f t="shared" si="166"/>
        <v>2760</v>
      </c>
      <c r="DM269" s="7">
        <f t="shared" si="167"/>
        <v>2760</v>
      </c>
      <c r="DN269" s="7">
        <f t="shared" si="168"/>
        <v>2760</v>
      </c>
      <c r="DO269" s="7">
        <f t="shared" si="169"/>
        <v>2760</v>
      </c>
      <c r="DP269" s="7">
        <f t="shared" si="170"/>
        <v>2760</v>
      </c>
    </row>
    <row r="270" spans="1:174" ht="25.5" hidden="1" customHeight="1" x14ac:dyDescent="0.25">
      <c r="A270" s="92" t="str">
        <f t="shared" si="139"/>
        <v>SK-L-13-16</v>
      </c>
      <c r="B270" s="92" t="str">
        <f t="shared" si="140"/>
        <v>Kennedy</v>
      </c>
      <c r="C270" s="93" t="str">
        <f t="shared" si="144"/>
        <v>KENNEDY RIVER (LOWER)_Sockeye</v>
      </c>
      <c r="D270" s="128" t="s">
        <v>598</v>
      </c>
      <c r="E270" s="128" t="s">
        <v>598</v>
      </c>
      <c r="F270" s="64">
        <v>24</v>
      </c>
      <c r="G270" s="72" t="s">
        <v>359</v>
      </c>
      <c r="H270" s="65" t="s">
        <v>91</v>
      </c>
      <c r="I270" s="119"/>
      <c r="J270" s="119"/>
      <c r="K270" s="64">
        <v>3</v>
      </c>
      <c r="L270" s="52">
        <v>3</v>
      </c>
      <c r="M270" s="52">
        <v>1</v>
      </c>
      <c r="N270" s="52">
        <f t="shared" si="141"/>
        <v>609</v>
      </c>
      <c r="O270" s="52">
        <f t="shared" si="142"/>
        <v>3500</v>
      </c>
      <c r="P270" s="52">
        <f t="shared" si="143"/>
        <v>1459.9657530229947</v>
      </c>
      <c r="Q270" s="66"/>
      <c r="R270" s="39"/>
      <c r="S270" s="74" t="s">
        <v>357</v>
      </c>
      <c r="T270" s="81" t="e">
        <f t="shared" si="145"/>
        <v>#DIV/0!</v>
      </c>
      <c r="U270" s="81" t="e">
        <f t="shared" si="146"/>
        <v>#DIV/0!</v>
      </c>
      <c r="V270" s="52" t="s">
        <v>102</v>
      </c>
      <c r="W270" s="52" t="s">
        <v>102</v>
      </c>
      <c r="X270" s="52" t="s">
        <v>102</v>
      </c>
      <c r="Y270" s="52" t="s">
        <v>102</v>
      </c>
      <c r="Z270" s="52" t="s">
        <v>102</v>
      </c>
      <c r="AA270" s="52" t="s">
        <v>102</v>
      </c>
      <c r="AB270" s="52" t="s">
        <v>102</v>
      </c>
      <c r="AC270" s="52" t="s">
        <v>102</v>
      </c>
      <c r="AD270" s="52" t="s">
        <v>102</v>
      </c>
      <c r="AE270" s="52" t="s">
        <v>102</v>
      </c>
      <c r="AF270" s="52" t="s">
        <v>102</v>
      </c>
      <c r="AG270" s="52" t="s">
        <v>102</v>
      </c>
      <c r="AH270" s="52" t="s">
        <v>102</v>
      </c>
      <c r="AI270" s="52" t="s">
        <v>102</v>
      </c>
      <c r="AJ270" s="52" t="s">
        <v>102</v>
      </c>
      <c r="AK270" s="52" t="s">
        <v>102</v>
      </c>
      <c r="AL270" s="52" t="s">
        <v>102</v>
      </c>
      <c r="AM270" s="52" t="s">
        <v>102</v>
      </c>
      <c r="AN270" s="52" t="s">
        <v>102</v>
      </c>
      <c r="AO270" s="52" t="s">
        <v>102</v>
      </c>
      <c r="AP270" s="52" t="s">
        <v>102</v>
      </c>
      <c r="AQ270" s="54"/>
      <c r="AR270" s="53" t="s">
        <v>262</v>
      </c>
      <c r="AS270" s="52" t="s">
        <v>102</v>
      </c>
      <c r="AT270" s="54"/>
      <c r="AU270" s="52" t="s">
        <v>262</v>
      </c>
      <c r="AV270" s="54"/>
      <c r="AW270" s="52">
        <v>609</v>
      </c>
      <c r="AX270" s="51" t="s">
        <v>264</v>
      </c>
      <c r="AY270" s="53" t="s">
        <v>102</v>
      </c>
      <c r="AZ270" s="53" t="s">
        <v>102</v>
      </c>
      <c r="BA270" s="53" t="s">
        <v>102</v>
      </c>
      <c r="BB270" s="53" t="s">
        <v>264</v>
      </c>
      <c r="BC270" s="53" t="s">
        <v>264</v>
      </c>
      <c r="BD270" s="53" t="s">
        <v>264</v>
      </c>
      <c r="BE270" s="53" t="s">
        <v>264</v>
      </c>
      <c r="BF270" s="53" t="s">
        <v>264</v>
      </c>
      <c r="BG270" s="53">
        <v>3500</v>
      </c>
      <c r="BH270" s="53" t="s">
        <v>262</v>
      </c>
      <c r="BI270" s="53" t="s">
        <v>264</v>
      </c>
      <c r="BJ270" s="53" t="s">
        <v>264</v>
      </c>
      <c r="BK270" s="53" t="s">
        <v>264</v>
      </c>
      <c r="BL270" s="53" t="s">
        <v>264</v>
      </c>
      <c r="BM270" s="53" t="s">
        <v>264</v>
      </c>
      <c r="BN270" s="53" t="s">
        <v>264</v>
      </c>
      <c r="BO270" s="53" t="s">
        <v>264</v>
      </c>
      <c r="BP270" s="53" t="s">
        <v>264</v>
      </c>
      <c r="BQ270" s="53" t="s">
        <v>264</v>
      </c>
      <c r="BR270" s="53" t="s">
        <v>264</v>
      </c>
      <c r="BS270" s="53" t="s">
        <v>264</v>
      </c>
      <c r="BT270" s="53" t="s">
        <v>264</v>
      </c>
      <c r="BU270" s="53" t="s">
        <v>264</v>
      </c>
      <c r="BV270" s="53" t="s">
        <v>264</v>
      </c>
      <c r="BW270" s="53" t="s">
        <v>264</v>
      </c>
      <c r="BX270" s="53" t="s">
        <v>264</v>
      </c>
      <c r="BY270" s="53" t="s">
        <v>264</v>
      </c>
      <c r="BZ270" s="53" t="s">
        <v>264</v>
      </c>
      <c r="CA270" s="53" t="s">
        <v>264</v>
      </c>
      <c r="CB270" s="53" t="s">
        <v>264</v>
      </c>
      <c r="CC270" s="53" t="s">
        <v>264</v>
      </c>
      <c r="CD270" s="53" t="s">
        <v>264</v>
      </c>
      <c r="CE270" s="53" t="s">
        <v>264</v>
      </c>
      <c r="CF270" s="53" t="s">
        <v>264</v>
      </c>
      <c r="CG270" s="53" t="s">
        <v>264</v>
      </c>
      <c r="CH270" s="53" t="s">
        <v>264</v>
      </c>
      <c r="CI270" s="53" t="s">
        <v>264</v>
      </c>
      <c r="CJ270" s="53" t="s">
        <v>264</v>
      </c>
      <c r="CK270" s="53" t="s">
        <v>264</v>
      </c>
      <c r="CL270" s="53" t="s">
        <v>264</v>
      </c>
      <c r="CM270" s="53" t="s">
        <v>264</v>
      </c>
      <c r="CN270" s="206"/>
      <c r="CO270" s="206"/>
      <c r="CP270" s="206"/>
      <c r="CQ270" s="8">
        <f t="shared" si="147"/>
        <v>609</v>
      </c>
      <c r="CR270" s="8">
        <f t="shared" si="148"/>
        <v>3500</v>
      </c>
      <c r="CS270" s="8">
        <f t="shared" si="149"/>
        <v>2054.5</v>
      </c>
      <c r="CT270">
        <f t="shared" si="150"/>
        <v>1459.9657530229947</v>
      </c>
      <c r="CU270" s="143" t="e">
        <f t="shared" si="151"/>
        <v>#DIV/0!</v>
      </c>
      <c r="CV270" s="143" t="e">
        <f t="shared" si="152"/>
        <v>#DIV/0!</v>
      </c>
      <c r="CX270" s="7">
        <f t="shared" si="153"/>
        <v>753.55000000000018</v>
      </c>
      <c r="CY270" s="7">
        <f t="shared" si="154"/>
        <v>1042.6499999999996</v>
      </c>
      <c r="CZ270" s="7">
        <f t="shared" si="155"/>
        <v>1187.1999999999998</v>
      </c>
      <c r="DA270" s="7">
        <f t="shared" si="156"/>
        <v>1331.75</v>
      </c>
      <c r="DB270" s="7">
        <f t="shared" si="157"/>
        <v>2054.5</v>
      </c>
      <c r="DC270" s="7">
        <f t="shared" si="158"/>
        <v>2343.6000000000004</v>
      </c>
      <c r="DD270" s="7">
        <f t="shared" si="159"/>
        <v>2488.1499999999996</v>
      </c>
      <c r="DE270" s="7">
        <f t="shared" si="160"/>
        <v>2777.25</v>
      </c>
      <c r="DF270" s="7">
        <f t="shared" si="161"/>
        <v>3066.3500000000004</v>
      </c>
      <c r="DH270" s="7">
        <f t="shared" si="162"/>
        <v>609</v>
      </c>
      <c r="DI270" s="7">
        <f t="shared" si="163"/>
        <v>609</v>
      </c>
      <c r="DJ270" s="7">
        <f t="shared" si="164"/>
        <v>609</v>
      </c>
      <c r="DK270" s="7">
        <f t="shared" si="165"/>
        <v>609</v>
      </c>
      <c r="DL270" s="7">
        <f t="shared" si="166"/>
        <v>609</v>
      </c>
      <c r="DM270" s="7">
        <f t="shared" si="167"/>
        <v>609</v>
      </c>
      <c r="DN270" s="7">
        <f t="shared" si="168"/>
        <v>609</v>
      </c>
      <c r="DO270" s="7">
        <f t="shared" si="169"/>
        <v>609</v>
      </c>
      <c r="DP270" s="7">
        <f t="shared" si="170"/>
        <v>609</v>
      </c>
    </row>
    <row r="271" spans="1:174" ht="25.5" customHeight="1" x14ac:dyDescent="0.25">
      <c r="A271" s="92" t="str">
        <f t="shared" si="139"/>
        <v>CK-SWVI [31]</v>
      </c>
      <c r="B271" s="92" t="str">
        <f t="shared" si="140"/>
        <v>Southwest Vancouver Island</v>
      </c>
      <c r="C271" s="93" t="str">
        <f t="shared" si="144"/>
        <v>KENNEDY RIVER (UPPER)_Chinook</v>
      </c>
      <c r="D271" s="128" t="s">
        <v>598</v>
      </c>
      <c r="E271" s="128" t="s">
        <v>598</v>
      </c>
      <c r="F271" s="64">
        <v>24</v>
      </c>
      <c r="G271" s="72" t="s">
        <v>358</v>
      </c>
      <c r="H271" s="65" t="s">
        <v>97</v>
      </c>
      <c r="I271" s="119"/>
      <c r="J271" s="119"/>
      <c r="K271" s="64">
        <v>3</v>
      </c>
      <c r="L271" s="52">
        <v>8</v>
      </c>
      <c r="M271" s="52">
        <v>7</v>
      </c>
      <c r="N271" s="52">
        <f t="shared" si="141"/>
        <v>16.336227240591818</v>
      </c>
      <c r="O271" s="52">
        <f t="shared" si="142"/>
        <v>43</v>
      </c>
      <c r="P271" s="52">
        <f t="shared" si="143"/>
        <v>12.749371027891797</v>
      </c>
      <c r="Q271" s="66" t="s">
        <v>271</v>
      </c>
      <c r="R271" s="37"/>
      <c r="S271" s="74" t="s">
        <v>356</v>
      </c>
      <c r="T271" s="81">
        <f t="shared" si="145"/>
        <v>3.5</v>
      </c>
      <c r="U271" s="81">
        <f t="shared" si="146"/>
        <v>6.833333333333333</v>
      </c>
      <c r="V271" s="228">
        <v>4</v>
      </c>
      <c r="W271" s="52">
        <v>2</v>
      </c>
      <c r="X271" s="52">
        <v>2</v>
      </c>
      <c r="Y271" s="52">
        <v>6</v>
      </c>
      <c r="Z271" s="52" t="s">
        <v>263</v>
      </c>
      <c r="AA271" s="52" t="s">
        <v>263</v>
      </c>
      <c r="AB271" s="52" t="s">
        <v>263</v>
      </c>
      <c r="AC271" s="52" t="s">
        <v>263</v>
      </c>
      <c r="AD271" s="52" t="s">
        <v>263</v>
      </c>
      <c r="AE271" s="53">
        <v>16</v>
      </c>
      <c r="AF271" s="52" t="s">
        <v>263</v>
      </c>
      <c r="AG271" s="52">
        <v>11</v>
      </c>
      <c r="AH271" s="53">
        <v>9</v>
      </c>
      <c r="AI271" s="53">
        <v>16</v>
      </c>
      <c r="AJ271" s="53">
        <v>22</v>
      </c>
      <c r="AK271" s="53">
        <v>8</v>
      </c>
      <c r="AL271" s="52">
        <v>1</v>
      </c>
      <c r="AM271" s="52" t="s">
        <v>262</v>
      </c>
      <c r="AN271" s="53">
        <v>13</v>
      </c>
      <c r="AO271" s="53">
        <v>25</v>
      </c>
      <c r="AP271" s="53">
        <v>13</v>
      </c>
      <c r="AQ271" s="53">
        <v>43</v>
      </c>
      <c r="AR271" s="53">
        <v>42</v>
      </c>
      <c r="AS271" s="52">
        <v>24</v>
      </c>
      <c r="AT271" s="54"/>
      <c r="AU271" s="54"/>
      <c r="AV271" s="52">
        <v>42</v>
      </c>
      <c r="AW271" s="54"/>
      <c r="AX271" s="51" t="s">
        <v>264</v>
      </c>
      <c r="AY271" s="53">
        <v>20</v>
      </c>
      <c r="AZ271" s="53" t="s">
        <v>264</v>
      </c>
      <c r="BA271" s="53">
        <v>6</v>
      </c>
      <c r="BB271" s="53">
        <v>6</v>
      </c>
      <c r="BC271" s="53" t="s">
        <v>264</v>
      </c>
      <c r="BD271" s="53" t="s">
        <v>264</v>
      </c>
      <c r="BE271" s="53" t="s">
        <v>262</v>
      </c>
      <c r="BF271" s="53">
        <v>2</v>
      </c>
      <c r="BG271" s="53">
        <v>10</v>
      </c>
      <c r="BH271" s="53" t="s">
        <v>262</v>
      </c>
      <c r="BI271" s="53" t="s">
        <v>264</v>
      </c>
      <c r="BJ271" s="53" t="s">
        <v>264</v>
      </c>
      <c r="BK271" s="53" t="s">
        <v>264</v>
      </c>
      <c r="BL271" s="53" t="s">
        <v>262</v>
      </c>
      <c r="BM271" s="53">
        <v>25</v>
      </c>
      <c r="BN271" s="53" t="s">
        <v>264</v>
      </c>
      <c r="BO271" s="53" t="s">
        <v>264</v>
      </c>
      <c r="BP271" s="53" t="s">
        <v>264</v>
      </c>
      <c r="BQ271" s="53" t="s">
        <v>264</v>
      </c>
      <c r="BR271" s="53" t="s">
        <v>264</v>
      </c>
      <c r="BS271" s="53" t="s">
        <v>264</v>
      </c>
      <c r="BT271" s="53" t="s">
        <v>264</v>
      </c>
      <c r="BU271" s="53" t="s">
        <v>264</v>
      </c>
      <c r="BV271" s="53" t="s">
        <v>264</v>
      </c>
      <c r="BW271" s="53" t="s">
        <v>264</v>
      </c>
      <c r="BX271" s="53" t="s">
        <v>264</v>
      </c>
      <c r="BY271" s="53" t="s">
        <v>264</v>
      </c>
      <c r="BZ271" s="53" t="s">
        <v>264</v>
      </c>
      <c r="CA271" s="53" t="s">
        <v>264</v>
      </c>
      <c r="CB271" s="53" t="s">
        <v>264</v>
      </c>
      <c r="CC271" s="53" t="s">
        <v>262</v>
      </c>
      <c r="CD271" s="53" t="s">
        <v>264</v>
      </c>
      <c r="CE271" s="53" t="s">
        <v>264</v>
      </c>
      <c r="CF271" s="53" t="s">
        <v>264</v>
      </c>
      <c r="CG271" s="53" t="s">
        <v>264</v>
      </c>
      <c r="CH271" s="53" t="s">
        <v>264</v>
      </c>
      <c r="CI271" s="53" t="s">
        <v>264</v>
      </c>
      <c r="CJ271" s="53" t="s">
        <v>264</v>
      </c>
      <c r="CK271" s="53" t="s">
        <v>264</v>
      </c>
      <c r="CL271" s="53" t="s">
        <v>264</v>
      </c>
      <c r="CM271" s="53" t="s">
        <v>264</v>
      </c>
      <c r="CN271" s="206"/>
      <c r="CO271" s="206"/>
      <c r="CP271" s="206"/>
      <c r="CQ271" s="8">
        <f t="shared" si="147"/>
        <v>1</v>
      </c>
      <c r="CR271" s="8">
        <f t="shared" si="148"/>
        <v>43</v>
      </c>
      <c r="CS271" s="8">
        <f t="shared" si="149"/>
        <v>15.333333333333334</v>
      </c>
      <c r="CT271">
        <f t="shared" si="150"/>
        <v>10.071216677364596</v>
      </c>
      <c r="CU271" s="143">
        <f t="shared" si="151"/>
        <v>3.5</v>
      </c>
      <c r="CV271" s="143">
        <f t="shared" si="152"/>
        <v>6.833333333333333</v>
      </c>
      <c r="CX271" s="7">
        <f t="shared" si="153"/>
        <v>2</v>
      </c>
      <c r="CY271" s="7">
        <f t="shared" si="154"/>
        <v>2.8999999999999986</v>
      </c>
      <c r="CZ271" s="7">
        <f t="shared" si="155"/>
        <v>5.2000000000000011</v>
      </c>
      <c r="DA271" s="7">
        <f t="shared" si="156"/>
        <v>6</v>
      </c>
      <c r="DB271" s="7">
        <f t="shared" si="157"/>
        <v>12</v>
      </c>
      <c r="DC271" s="7">
        <f t="shared" si="158"/>
        <v>15.399999999999997</v>
      </c>
      <c r="DD271" s="7">
        <f t="shared" si="159"/>
        <v>16</v>
      </c>
      <c r="DE271" s="7">
        <f t="shared" si="160"/>
        <v>22.5</v>
      </c>
      <c r="DF271" s="7">
        <f t="shared" si="161"/>
        <v>25</v>
      </c>
      <c r="DH271" s="7">
        <f t="shared" si="162"/>
        <v>1.85</v>
      </c>
      <c r="DI271" s="7">
        <f t="shared" si="163"/>
        <v>3.0999999999999996</v>
      </c>
      <c r="DJ271" s="7">
        <f t="shared" si="164"/>
        <v>4.8000000000000007</v>
      </c>
      <c r="DK271" s="7">
        <f t="shared" si="165"/>
        <v>6.5</v>
      </c>
      <c r="DL271" s="7">
        <f t="shared" si="166"/>
        <v>13</v>
      </c>
      <c r="DM271" s="7">
        <f t="shared" si="167"/>
        <v>16</v>
      </c>
      <c r="DN271" s="7">
        <f t="shared" si="168"/>
        <v>16.300000000000004</v>
      </c>
      <c r="DO271" s="7">
        <f t="shared" si="169"/>
        <v>23.5</v>
      </c>
      <c r="DP271" s="7">
        <f t="shared" si="170"/>
        <v>32.649999999999991</v>
      </c>
    </row>
    <row r="272" spans="1:174" ht="25.5" hidden="1" customHeight="1" x14ac:dyDescent="0.3">
      <c r="A272" s="92" t="str">
        <f t="shared" si="139"/>
        <v>CM-SWVI [10]</v>
      </c>
      <c r="B272" s="92" t="str">
        <f t="shared" si="140"/>
        <v>Southwest Vancouver Island</v>
      </c>
      <c r="C272" s="93" t="str">
        <f t="shared" si="144"/>
        <v>KENNEDY RIVER (UPPER)_Chum</v>
      </c>
      <c r="D272" s="128" t="s">
        <v>598</v>
      </c>
      <c r="E272" s="128" t="s">
        <v>598</v>
      </c>
      <c r="F272" s="64">
        <v>24</v>
      </c>
      <c r="G272" s="72" t="s">
        <v>358</v>
      </c>
      <c r="H272" s="65" t="s">
        <v>96</v>
      </c>
      <c r="I272" s="119"/>
      <c r="J272" s="119"/>
      <c r="K272" s="64">
        <v>3</v>
      </c>
      <c r="L272" s="52">
        <v>8</v>
      </c>
      <c r="M272" s="52">
        <v>7</v>
      </c>
      <c r="N272" s="52">
        <f t="shared" si="141"/>
        <v>2.779453841356549</v>
      </c>
      <c r="O272" s="52">
        <f t="shared" si="142"/>
        <v>22</v>
      </c>
      <c r="P272" s="52">
        <f t="shared" si="143"/>
        <v>2.779453841356549</v>
      </c>
      <c r="Q272" s="66" t="s">
        <v>271</v>
      </c>
      <c r="R272" s="37"/>
      <c r="S272" s="74" t="s">
        <v>356</v>
      </c>
      <c r="T272" s="81">
        <f t="shared" si="145"/>
        <v>3</v>
      </c>
      <c r="U272" s="81">
        <f t="shared" si="146"/>
        <v>2.3333333333333335</v>
      </c>
      <c r="V272" s="231" t="s">
        <v>262</v>
      </c>
      <c r="W272" s="52">
        <v>2</v>
      </c>
      <c r="X272" s="52">
        <v>4</v>
      </c>
      <c r="Y272" s="52" t="s">
        <v>263</v>
      </c>
      <c r="Z272" s="52" t="s">
        <v>263</v>
      </c>
      <c r="AA272" s="52" t="s">
        <v>263</v>
      </c>
      <c r="AB272" s="52" t="s">
        <v>263</v>
      </c>
      <c r="AC272" s="123" t="s">
        <v>263</v>
      </c>
      <c r="AD272" s="123" t="s">
        <v>263</v>
      </c>
      <c r="AE272" s="53" t="s">
        <v>262</v>
      </c>
      <c r="AF272" s="52" t="s">
        <v>263</v>
      </c>
      <c r="AG272" s="52">
        <v>1</v>
      </c>
      <c r="AH272" s="53">
        <v>3</v>
      </c>
      <c r="AI272" s="53">
        <v>3</v>
      </c>
      <c r="AJ272" s="53">
        <v>1</v>
      </c>
      <c r="AK272" s="53">
        <v>5</v>
      </c>
      <c r="AL272" s="52" t="s">
        <v>262</v>
      </c>
      <c r="AM272" s="52">
        <v>1</v>
      </c>
      <c r="AN272" s="53">
        <v>1</v>
      </c>
      <c r="AO272" s="53">
        <v>5</v>
      </c>
      <c r="AP272" s="53">
        <v>22</v>
      </c>
      <c r="AQ272" s="53">
        <v>1</v>
      </c>
      <c r="AR272" s="53">
        <v>3</v>
      </c>
      <c r="AS272" s="52">
        <v>6</v>
      </c>
      <c r="AT272" s="54"/>
      <c r="AU272" s="54"/>
      <c r="AV272" s="52" t="s">
        <v>262</v>
      </c>
      <c r="AW272" s="54"/>
      <c r="AX272" s="51" t="s">
        <v>264</v>
      </c>
      <c r="AY272" s="53" t="s">
        <v>264</v>
      </c>
      <c r="AZ272" s="53" t="s">
        <v>264</v>
      </c>
      <c r="BA272" s="53" t="s">
        <v>264</v>
      </c>
      <c r="BB272" s="53" t="s">
        <v>264</v>
      </c>
      <c r="BC272" s="53" t="s">
        <v>264</v>
      </c>
      <c r="BD272" s="53" t="s">
        <v>264</v>
      </c>
      <c r="BE272" s="53" t="s">
        <v>264</v>
      </c>
      <c r="BF272" s="53" t="s">
        <v>264</v>
      </c>
      <c r="BG272" s="53" t="s">
        <v>264</v>
      </c>
      <c r="BH272" s="53" t="s">
        <v>262</v>
      </c>
      <c r="BI272" s="53" t="s">
        <v>264</v>
      </c>
      <c r="BJ272" s="53" t="s">
        <v>264</v>
      </c>
      <c r="BK272" s="53" t="s">
        <v>264</v>
      </c>
      <c r="BL272" s="53" t="s">
        <v>264</v>
      </c>
      <c r="BM272" s="53" t="s">
        <v>264</v>
      </c>
      <c r="BN272" s="53" t="s">
        <v>264</v>
      </c>
      <c r="BO272" s="53" t="s">
        <v>264</v>
      </c>
      <c r="BP272" s="53" t="s">
        <v>264</v>
      </c>
      <c r="BQ272" s="53" t="s">
        <v>264</v>
      </c>
      <c r="BR272" s="53" t="s">
        <v>264</v>
      </c>
      <c r="BS272" s="53" t="s">
        <v>264</v>
      </c>
      <c r="BT272" s="53" t="s">
        <v>264</v>
      </c>
      <c r="BU272" s="53" t="s">
        <v>264</v>
      </c>
      <c r="BV272" s="53" t="s">
        <v>264</v>
      </c>
      <c r="BW272" s="53" t="s">
        <v>264</v>
      </c>
      <c r="BX272" s="53" t="s">
        <v>264</v>
      </c>
      <c r="BY272" s="53" t="s">
        <v>264</v>
      </c>
      <c r="BZ272" s="53" t="s">
        <v>264</v>
      </c>
      <c r="CA272" s="53" t="s">
        <v>264</v>
      </c>
      <c r="CB272" s="53" t="s">
        <v>264</v>
      </c>
      <c r="CC272" s="53" t="s">
        <v>264</v>
      </c>
      <c r="CD272" s="53" t="s">
        <v>264</v>
      </c>
      <c r="CE272" s="53" t="s">
        <v>264</v>
      </c>
      <c r="CF272" s="53" t="s">
        <v>264</v>
      </c>
      <c r="CG272" s="53" t="s">
        <v>264</v>
      </c>
      <c r="CH272" s="53" t="s">
        <v>264</v>
      </c>
      <c r="CI272" s="53" t="s">
        <v>264</v>
      </c>
      <c r="CJ272" s="53" t="s">
        <v>264</v>
      </c>
      <c r="CK272" s="53" t="s">
        <v>264</v>
      </c>
      <c r="CL272" s="53" t="s">
        <v>264</v>
      </c>
      <c r="CM272" s="53" t="s">
        <v>264</v>
      </c>
      <c r="CN272" s="206"/>
      <c r="CO272" s="206"/>
      <c r="CP272" s="206"/>
      <c r="CQ272" s="8">
        <f t="shared" si="147"/>
        <v>1</v>
      </c>
      <c r="CR272" s="8">
        <f t="shared" si="148"/>
        <v>22</v>
      </c>
      <c r="CS272" s="8">
        <f t="shared" si="149"/>
        <v>4.1428571428571432</v>
      </c>
      <c r="CT272">
        <f t="shared" si="150"/>
        <v>2.6185997422133411</v>
      </c>
      <c r="CU272" s="143">
        <f t="shared" si="151"/>
        <v>3</v>
      </c>
      <c r="CV272" s="143">
        <f t="shared" si="152"/>
        <v>2.3333333333333335</v>
      </c>
      <c r="CX272" s="7">
        <f t="shared" si="153"/>
        <v>1</v>
      </c>
      <c r="CY272" s="7">
        <f t="shared" si="154"/>
        <v>1</v>
      </c>
      <c r="CZ272" s="7">
        <f t="shared" si="155"/>
        <v>1</v>
      </c>
      <c r="DA272" s="7">
        <f t="shared" si="156"/>
        <v>1</v>
      </c>
      <c r="DB272" s="7">
        <f t="shared" si="157"/>
        <v>3</v>
      </c>
      <c r="DC272" s="7">
        <f t="shared" si="158"/>
        <v>3</v>
      </c>
      <c r="DD272" s="7">
        <f t="shared" si="159"/>
        <v>3.4500000000000011</v>
      </c>
      <c r="DE272" s="7">
        <f t="shared" si="160"/>
        <v>4.75</v>
      </c>
      <c r="DF272" s="7">
        <f t="shared" si="161"/>
        <v>5.0499999999999989</v>
      </c>
      <c r="DH272" s="7">
        <f t="shared" si="162"/>
        <v>1</v>
      </c>
      <c r="DI272" s="7">
        <f t="shared" si="163"/>
        <v>1</v>
      </c>
      <c r="DJ272" s="7">
        <f t="shared" si="164"/>
        <v>1</v>
      </c>
      <c r="DK272" s="7">
        <f t="shared" si="165"/>
        <v>1</v>
      </c>
      <c r="DL272" s="7">
        <f t="shared" si="166"/>
        <v>3</v>
      </c>
      <c r="DM272" s="7">
        <f t="shared" si="167"/>
        <v>3</v>
      </c>
      <c r="DN272" s="7">
        <f t="shared" si="168"/>
        <v>3.4500000000000011</v>
      </c>
      <c r="DO272" s="7">
        <f t="shared" si="169"/>
        <v>4.75</v>
      </c>
      <c r="DP272" s="7">
        <f t="shared" si="170"/>
        <v>5.0499999999999989</v>
      </c>
      <c r="FK272" s="189" t="s">
        <v>645</v>
      </c>
      <c r="FL272" s="189" t="s">
        <v>646</v>
      </c>
      <c r="FM272" s="189" t="s">
        <v>647</v>
      </c>
      <c r="FN272" s="189" t="s">
        <v>648</v>
      </c>
      <c r="FO272" s="189" t="s">
        <v>649</v>
      </c>
      <c r="FP272" s="189" t="s">
        <v>650</v>
      </c>
      <c r="FQ272" s="189" t="s">
        <v>651</v>
      </c>
      <c r="FR272" s="189" t="s">
        <v>652</v>
      </c>
    </row>
    <row r="273" spans="1:174" ht="25.5" hidden="1" customHeight="1" x14ac:dyDescent="0.3">
      <c r="A273" s="92" t="str">
        <f t="shared" si="139"/>
        <v>CO-CLAY [18]</v>
      </c>
      <c r="B273" s="92" t="str">
        <f t="shared" si="140"/>
        <v>Clayoquot</v>
      </c>
      <c r="C273" s="93" t="str">
        <f t="shared" si="144"/>
        <v>KENNEDY RIVER (UPPER)_Coho</v>
      </c>
      <c r="D273" s="128" t="s">
        <v>598</v>
      </c>
      <c r="E273" s="128" t="s">
        <v>598</v>
      </c>
      <c r="F273" s="64">
        <v>24</v>
      </c>
      <c r="G273" s="72" t="s">
        <v>358</v>
      </c>
      <c r="H273" s="65" t="s">
        <v>93</v>
      </c>
      <c r="I273" s="119"/>
      <c r="J273" s="119"/>
      <c r="K273" s="64">
        <v>3</v>
      </c>
      <c r="L273" s="52">
        <v>8</v>
      </c>
      <c r="M273" s="52">
        <v>8</v>
      </c>
      <c r="N273" s="52">
        <f t="shared" si="141"/>
        <v>1291.4955281542289</v>
      </c>
      <c r="O273" s="52">
        <f t="shared" si="142"/>
        <v>3500</v>
      </c>
      <c r="P273" s="52">
        <f t="shared" si="143"/>
        <v>764.02196304372853</v>
      </c>
      <c r="Q273" s="66" t="s">
        <v>271</v>
      </c>
      <c r="R273" s="37"/>
      <c r="S273" s="74" t="s">
        <v>356</v>
      </c>
      <c r="T273" s="81">
        <f t="shared" si="145"/>
        <v>918.5</v>
      </c>
      <c r="U273" s="81">
        <f t="shared" si="146"/>
        <v>958.08333333333337</v>
      </c>
      <c r="V273" s="228">
        <v>422</v>
      </c>
      <c r="W273" s="52">
        <v>1338</v>
      </c>
      <c r="X273" s="52">
        <v>1043</v>
      </c>
      <c r="Y273" s="52">
        <v>871</v>
      </c>
      <c r="Z273" s="52">
        <v>572</v>
      </c>
      <c r="AA273" s="52">
        <v>850</v>
      </c>
      <c r="AB273" s="52">
        <v>750</v>
      </c>
      <c r="AC273" s="123">
        <v>148</v>
      </c>
      <c r="AD273" s="123">
        <v>724</v>
      </c>
      <c r="AE273" s="53">
        <v>1126</v>
      </c>
      <c r="AF273" s="52">
        <v>1981</v>
      </c>
      <c r="AG273" s="52">
        <v>1672</v>
      </c>
      <c r="AH273" s="53">
        <v>2245</v>
      </c>
      <c r="AI273" s="53">
        <v>2015</v>
      </c>
      <c r="AJ273" s="53">
        <v>2033</v>
      </c>
      <c r="AK273" s="53">
        <v>1185</v>
      </c>
      <c r="AL273" s="52">
        <v>274</v>
      </c>
      <c r="AM273" s="52">
        <v>2040</v>
      </c>
      <c r="AN273" s="53">
        <v>1801</v>
      </c>
      <c r="AO273" s="53">
        <v>1873</v>
      </c>
      <c r="AP273" s="53">
        <v>2724</v>
      </c>
      <c r="AQ273" s="53">
        <v>1693</v>
      </c>
      <c r="AR273" s="53">
        <v>2114</v>
      </c>
      <c r="AS273" s="52">
        <v>1255</v>
      </c>
      <c r="AT273" s="54"/>
      <c r="AU273" s="54"/>
      <c r="AV273" s="52">
        <v>300</v>
      </c>
      <c r="AW273" s="54"/>
      <c r="AX273" s="51" t="s">
        <v>264</v>
      </c>
      <c r="AY273" s="53">
        <v>250</v>
      </c>
      <c r="AZ273" s="53" t="s">
        <v>264</v>
      </c>
      <c r="BA273" s="53">
        <v>1400</v>
      </c>
      <c r="BB273" s="53">
        <v>1500</v>
      </c>
      <c r="BC273" s="53">
        <v>1800</v>
      </c>
      <c r="BD273" s="53">
        <v>1100</v>
      </c>
      <c r="BE273" s="53">
        <v>2500</v>
      </c>
      <c r="BF273" s="53">
        <v>2500</v>
      </c>
      <c r="BG273" s="53">
        <v>1200</v>
      </c>
      <c r="BH273" s="53" t="s">
        <v>264</v>
      </c>
      <c r="BI273" s="53" t="s">
        <v>264</v>
      </c>
      <c r="BJ273" s="53" t="s">
        <v>264</v>
      </c>
      <c r="BK273" s="53" t="s">
        <v>264</v>
      </c>
      <c r="BL273" s="53">
        <v>600</v>
      </c>
      <c r="BM273" s="53">
        <v>2000</v>
      </c>
      <c r="BN273" s="53">
        <v>300</v>
      </c>
      <c r="BO273" s="53">
        <v>400</v>
      </c>
      <c r="BP273" s="53">
        <v>150</v>
      </c>
      <c r="BQ273" s="53">
        <v>400</v>
      </c>
      <c r="BR273" s="53">
        <v>400</v>
      </c>
      <c r="BS273" s="53">
        <v>400</v>
      </c>
      <c r="BT273" s="53">
        <v>400</v>
      </c>
      <c r="BU273" s="53">
        <v>200</v>
      </c>
      <c r="BV273" s="53">
        <v>750</v>
      </c>
      <c r="BW273" s="53">
        <v>1500</v>
      </c>
      <c r="BX273" s="53">
        <v>300</v>
      </c>
      <c r="BY273" s="53">
        <v>25</v>
      </c>
      <c r="BZ273" s="53">
        <v>750</v>
      </c>
      <c r="CA273" s="53">
        <v>300</v>
      </c>
      <c r="CB273" s="53">
        <v>1500</v>
      </c>
      <c r="CC273" s="53">
        <v>500</v>
      </c>
      <c r="CD273" s="53">
        <v>3500</v>
      </c>
      <c r="CE273" s="53">
        <v>400</v>
      </c>
      <c r="CF273" s="53">
        <v>750</v>
      </c>
      <c r="CG273" s="53">
        <v>750</v>
      </c>
      <c r="CH273" s="53" t="s">
        <v>264</v>
      </c>
      <c r="CI273" s="53" t="s">
        <v>264</v>
      </c>
      <c r="CJ273" s="53" t="s">
        <v>264</v>
      </c>
      <c r="CK273" s="53" t="s">
        <v>264</v>
      </c>
      <c r="CL273" s="53" t="s">
        <v>264</v>
      </c>
      <c r="CM273" s="53" t="s">
        <v>264</v>
      </c>
      <c r="CN273" s="206"/>
      <c r="CO273" s="206"/>
      <c r="CP273" s="206"/>
      <c r="CQ273" s="8">
        <f t="shared" si="147"/>
        <v>25</v>
      </c>
      <c r="CR273" s="8">
        <f t="shared" si="148"/>
        <v>3500</v>
      </c>
      <c r="CS273" s="8">
        <f t="shared" si="149"/>
        <v>1119.5272727272727</v>
      </c>
      <c r="CT273">
        <f t="shared" si="150"/>
        <v>802.22993974416568</v>
      </c>
      <c r="CU273" s="143">
        <f t="shared" si="151"/>
        <v>849.2</v>
      </c>
      <c r="CV273" s="143">
        <f t="shared" si="152"/>
        <v>958.08333333333337</v>
      </c>
      <c r="CX273" s="7">
        <f t="shared" si="153"/>
        <v>185</v>
      </c>
      <c r="CY273" s="7">
        <f t="shared" si="154"/>
        <v>300</v>
      </c>
      <c r="CZ273" s="7">
        <f t="shared" si="155"/>
        <v>400</v>
      </c>
      <c r="DA273" s="7">
        <f t="shared" si="156"/>
        <v>400</v>
      </c>
      <c r="DB273" s="7">
        <f t="shared" si="157"/>
        <v>871</v>
      </c>
      <c r="DC273" s="7">
        <f t="shared" si="158"/>
        <v>1222</v>
      </c>
      <c r="DD273" s="7">
        <f t="shared" si="159"/>
        <v>1410.0000000000002</v>
      </c>
      <c r="DE273" s="7">
        <f t="shared" si="160"/>
        <v>1746.5</v>
      </c>
      <c r="DF273" s="7">
        <f t="shared" si="161"/>
        <v>2013.5</v>
      </c>
      <c r="DH273" s="7">
        <f t="shared" si="162"/>
        <v>279.2</v>
      </c>
      <c r="DI273" s="7">
        <f t="shared" si="163"/>
        <v>511.99999999999994</v>
      </c>
      <c r="DJ273" s="7">
        <f t="shared" si="164"/>
        <v>693.60000000000014</v>
      </c>
      <c r="DK273" s="7">
        <f t="shared" si="165"/>
        <v>750</v>
      </c>
      <c r="DL273" s="7">
        <f t="shared" si="166"/>
        <v>1255</v>
      </c>
      <c r="DM273" s="7">
        <f t="shared" si="167"/>
        <v>1680.3999999999999</v>
      </c>
      <c r="DN273" s="7">
        <f t="shared" si="168"/>
        <v>1757.8000000000002</v>
      </c>
      <c r="DO273" s="7">
        <f t="shared" si="169"/>
        <v>1981</v>
      </c>
      <c r="DP273" s="7">
        <f t="shared" si="170"/>
        <v>2035.8</v>
      </c>
      <c r="FK273" s="190" t="s">
        <v>657</v>
      </c>
      <c r="FL273" s="191">
        <v>2017</v>
      </c>
      <c r="FM273" s="190" t="s">
        <v>656</v>
      </c>
      <c r="FN273" s="190" t="s">
        <v>658</v>
      </c>
      <c r="FO273" s="191">
        <v>1</v>
      </c>
      <c r="FP273" s="190" t="s">
        <v>653</v>
      </c>
      <c r="FQ273" s="191" t="b">
        <v>1</v>
      </c>
      <c r="FR273" s="191">
        <v>3923</v>
      </c>
    </row>
    <row r="274" spans="1:174" ht="25.5" hidden="1" customHeight="1" x14ac:dyDescent="0.3">
      <c r="A274" s="92" t="str">
        <f t="shared" si="139"/>
        <v>SK-L-13-16</v>
      </c>
      <c r="B274" s="92" t="str">
        <f t="shared" si="140"/>
        <v>Kennedy</v>
      </c>
      <c r="C274" s="93" t="str">
        <f t="shared" si="144"/>
        <v>KENNEDY RIVER (UPPER)_Sockeye</v>
      </c>
      <c r="D274" s="128" t="s">
        <v>598</v>
      </c>
      <c r="E274" s="128" t="s">
        <v>598</v>
      </c>
      <c r="F274" s="64">
        <v>24</v>
      </c>
      <c r="G274" s="72" t="s">
        <v>358</v>
      </c>
      <c r="H274" s="65" t="s">
        <v>91</v>
      </c>
      <c r="I274" s="119"/>
      <c r="J274" s="119"/>
      <c r="K274" s="64">
        <v>3</v>
      </c>
      <c r="L274" s="52">
        <v>8</v>
      </c>
      <c r="M274" s="52">
        <v>8</v>
      </c>
      <c r="N274" s="52">
        <f t="shared" si="141"/>
        <v>6028.9671510806847</v>
      </c>
      <c r="O274" s="52">
        <f t="shared" si="142"/>
        <v>37756</v>
      </c>
      <c r="P274" s="52">
        <f t="shared" si="143"/>
        <v>2122.7713365446393</v>
      </c>
      <c r="Q274" s="66" t="s">
        <v>271</v>
      </c>
      <c r="R274" s="37"/>
      <c r="S274" s="74" t="s">
        <v>356</v>
      </c>
      <c r="T274" s="81">
        <f t="shared" si="145"/>
        <v>1798.5</v>
      </c>
      <c r="U274" s="81">
        <f t="shared" si="146"/>
        <v>3450.5833333333335</v>
      </c>
      <c r="V274" s="228">
        <v>2924</v>
      </c>
      <c r="W274" s="52">
        <v>2442</v>
      </c>
      <c r="X274" s="52">
        <v>1147</v>
      </c>
      <c r="Y274" s="52">
        <v>681</v>
      </c>
      <c r="Z274" s="52">
        <v>1833</v>
      </c>
      <c r="AA274" s="52">
        <v>3923</v>
      </c>
      <c r="AB274" s="52">
        <v>2880</v>
      </c>
      <c r="AC274" s="52">
        <v>1445</v>
      </c>
      <c r="AD274" s="52">
        <v>1698</v>
      </c>
      <c r="AE274" s="53">
        <v>1630</v>
      </c>
      <c r="AF274" s="52">
        <v>11020</v>
      </c>
      <c r="AG274" s="52">
        <v>9784</v>
      </c>
      <c r="AH274" s="53">
        <v>12580</v>
      </c>
      <c r="AI274" s="53">
        <v>4700</v>
      </c>
      <c r="AJ274" s="53">
        <v>7730</v>
      </c>
      <c r="AK274" s="52">
        <v>2370</v>
      </c>
      <c r="AL274" s="52">
        <v>5165</v>
      </c>
      <c r="AM274" s="52">
        <v>2173</v>
      </c>
      <c r="AN274" s="53">
        <v>14128</v>
      </c>
      <c r="AO274" s="53">
        <v>8948</v>
      </c>
      <c r="AP274" s="53">
        <v>2847</v>
      </c>
      <c r="AQ274" s="53">
        <v>7054</v>
      </c>
      <c r="AR274" s="53">
        <v>37756</v>
      </c>
      <c r="AS274" s="52">
        <v>1906</v>
      </c>
      <c r="AT274" s="54"/>
      <c r="AU274" s="54"/>
      <c r="AV274" s="52">
        <v>10183</v>
      </c>
      <c r="AW274" s="54"/>
      <c r="AX274" s="51" t="s">
        <v>264</v>
      </c>
      <c r="AY274" s="53">
        <v>3000</v>
      </c>
      <c r="AZ274" s="53">
        <v>9000</v>
      </c>
      <c r="BA274" s="53">
        <v>4829</v>
      </c>
      <c r="BB274" s="53">
        <v>1500</v>
      </c>
      <c r="BC274" s="53">
        <v>3000</v>
      </c>
      <c r="BD274" s="53">
        <v>4000</v>
      </c>
      <c r="BE274" s="53">
        <v>2200</v>
      </c>
      <c r="BF274" s="53">
        <v>800</v>
      </c>
      <c r="BG274" s="53">
        <v>1350</v>
      </c>
      <c r="BH274" s="53">
        <v>200</v>
      </c>
      <c r="BI274" s="53" t="s">
        <v>264</v>
      </c>
      <c r="BJ274" s="53">
        <v>3500</v>
      </c>
      <c r="BK274" s="53">
        <v>1000</v>
      </c>
      <c r="BL274" s="53">
        <v>850</v>
      </c>
      <c r="BM274" s="53">
        <v>200</v>
      </c>
      <c r="BN274" s="53">
        <v>600</v>
      </c>
      <c r="BO274" s="53">
        <v>1400</v>
      </c>
      <c r="BP274" s="53">
        <v>2300</v>
      </c>
      <c r="BQ274" s="53">
        <v>1500</v>
      </c>
      <c r="BR274" s="53">
        <v>1400</v>
      </c>
      <c r="BS274" s="53">
        <v>3500</v>
      </c>
      <c r="BT274" s="53">
        <v>1500</v>
      </c>
      <c r="BU274" s="53">
        <v>750</v>
      </c>
      <c r="BV274" s="53">
        <v>750</v>
      </c>
      <c r="BW274" s="53">
        <v>400</v>
      </c>
      <c r="BX274" s="53">
        <v>7500</v>
      </c>
      <c r="BY274" s="53">
        <v>200</v>
      </c>
      <c r="BZ274" s="53">
        <v>75</v>
      </c>
      <c r="CA274" s="53">
        <v>1500</v>
      </c>
      <c r="CB274" s="53">
        <v>1500</v>
      </c>
      <c r="CC274" s="53">
        <v>200</v>
      </c>
      <c r="CD274" s="53">
        <v>1500</v>
      </c>
      <c r="CE274" s="53">
        <v>500</v>
      </c>
      <c r="CF274" s="53">
        <v>3500</v>
      </c>
      <c r="CG274" s="53">
        <v>3500</v>
      </c>
      <c r="CH274" s="53">
        <v>3500</v>
      </c>
      <c r="CI274" s="53">
        <v>7500</v>
      </c>
      <c r="CJ274" s="53">
        <v>7500</v>
      </c>
      <c r="CK274" s="53">
        <v>7500</v>
      </c>
      <c r="CL274" s="53">
        <v>7500</v>
      </c>
      <c r="CM274" s="53">
        <v>7500</v>
      </c>
      <c r="CN274" s="206"/>
      <c r="CO274" s="206"/>
      <c r="CP274" s="206"/>
      <c r="CQ274" s="8">
        <f t="shared" si="147"/>
        <v>75</v>
      </c>
      <c r="CR274" s="8">
        <f t="shared" si="148"/>
        <v>37756</v>
      </c>
      <c r="CS274" s="8">
        <f t="shared" si="149"/>
        <v>4145.3999999999996</v>
      </c>
      <c r="CT274">
        <f t="shared" si="150"/>
        <v>2269.9565554955502</v>
      </c>
      <c r="CU274" s="143">
        <f t="shared" si="151"/>
        <v>1805.4</v>
      </c>
      <c r="CV274" s="143">
        <f t="shared" si="152"/>
        <v>3450.5833333333335</v>
      </c>
      <c r="CX274" s="7">
        <f t="shared" si="153"/>
        <v>200</v>
      </c>
      <c r="CY274" s="7">
        <f t="shared" si="154"/>
        <v>750</v>
      </c>
      <c r="CZ274" s="7">
        <f t="shared" si="155"/>
        <v>970.00000000000011</v>
      </c>
      <c r="DA274" s="7">
        <f t="shared" si="156"/>
        <v>1400</v>
      </c>
      <c r="DB274" s="7">
        <f t="shared" si="157"/>
        <v>2370</v>
      </c>
      <c r="DC274" s="7">
        <f t="shared" si="158"/>
        <v>3199.9999999999991</v>
      </c>
      <c r="DD274" s="7">
        <f t="shared" si="159"/>
        <v>3500</v>
      </c>
      <c r="DE274" s="7">
        <f t="shared" si="160"/>
        <v>5165</v>
      </c>
      <c r="DF274" s="7">
        <f t="shared" si="161"/>
        <v>7500</v>
      </c>
      <c r="DH274" s="7">
        <f t="shared" si="162"/>
        <v>1206.6000000000001</v>
      </c>
      <c r="DI274" s="7">
        <f t="shared" si="163"/>
        <v>1670.8</v>
      </c>
      <c r="DJ274" s="7">
        <f t="shared" si="164"/>
        <v>1806</v>
      </c>
      <c r="DK274" s="7">
        <f t="shared" si="165"/>
        <v>1906</v>
      </c>
      <c r="DL274" s="7">
        <f t="shared" si="166"/>
        <v>2924</v>
      </c>
      <c r="DM274" s="7">
        <f t="shared" si="167"/>
        <v>4885.9999999999991</v>
      </c>
      <c r="DN274" s="7">
        <f t="shared" si="168"/>
        <v>6298.4000000000024</v>
      </c>
      <c r="DO274" s="7">
        <f t="shared" si="169"/>
        <v>8948</v>
      </c>
      <c r="DP274" s="7">
        <f t="shared" si="170"/>
        <v>10517.8</v>
      </c>
      <c r="FK274" s="190" t="s">
        <v>657</v>
      </c>
      <c r="FL274" s="191">
        <v>2017</v>
      </c>
      <c r="FM274" s="190" t="s">
        <v>656</v>
      </c>
      <c r="FN274" s="190" t="s">
        <v>658</v>
      </c>
      <c r="FO274" s="191">
        <v>2</v>
      </c>
      <c r="FP274" s="190" t="s">
        <v>654</v>
      </c>
      <c r="FQ274" s="191" t="b">
        <v>1</v>
      </c>
      <c r="FR274" s="191">
        <v>850</v>
      </c>
    </row>
    <row r="275" spans="1:174" ht="25.5" hidden="1" customHeight="1" x14ac:dyDescent="0.3">
      <c r="A275" s="92" t="str">
        <f t="shared" si="139"/>
        <v>CM-SWVI [10]</v>
      </c>
      <c r="B275" s="92" t="str">
        <f t="shared" si="140"/>
        <v>Southwest Vancouver Island</v>
      </c>
      <c r="C275" s="93" t="str">
        <f t="shared" si="144"/>
        <v>KOOTOWIS CREEK_Chum</v>
      </c>
      <c r="D275" s="128" t="s">
        <v>598</v>
      </c>
      <c r="E275" s="128" t="s">
        <v>598</v>
      </c>
      <c r="F275" s="64">
        <v>24</v>
      </c>
      <c r="G275" s="72" t="s">
        <v>175</v>
      </c>
      <c r="H275" s="65" t="s">
        <v>96</v>
      </c>
      <c r="I275" s="119"/>
      <c r="J275" s="119"/>
      <c r="K275" s="64">
        <v>4</v>
      </c>
      <c r="L275" s="52">
        <v>7</v>
      </c>
      <c r="M275" s="52">
        <v>7</v>
      </c>
      <c r="N275" s="52">
        <f t="shared" si="141"/>
        <v>412.02846304113535</v>
      </c>
      <c r="O275" s="52">
        <f t="shared" si="142"/>
        <v>5000</v>
      </c>
      <c r="P275" s="52">
        <f t="shared" si="143"/>
        <v>625.52272673986647</v>
      </c>
      <c r="Q275" s="66"/>
      <c r="R275" s="39"/>
      <c r="S275" s="76" t="s">
        <v>397</v>
      </c>
      <c r="T275" s="81" t="e">
        <f t="shared" si="145"/>
        <v>#DIV/0!</v>
      </c>
      <c r="U275" s="81" t="e">
        <f t="shared" si="146"/>
        <v>#DIV/0!</v>
      </c>
      <c r="V275" s="52" t="s">
        <v>102</v>
      </c>
      <c r="W275" s="52" t="s">
        <v>102</v>
      </c>
      <c r="X275" s="52" t="s">
        <v>102</v>
      </c>
      <c r="Y275" s="52" t="s">
        <v>102</v>
      </c>
      <c r="Z275" s="52" t="s">
        <v>102</v>
      </c>
      <c r="AA275" s="52" t="s">
        <v>102</v>
      </c>
      <c r="AB275" s="52" t="s">
        <v>102</v>
      </c>
      <c r="AC275" s="52" t="s">
        <v>102</v>
      </c>
      <c r="AD275" s="52" t="s">
        <v>102</v>
      </c>
      <c r="AE275" s="52" t="s">
        <v>102</v>
      </c>
      <c r="AF275" s="144" t="s">
        <v>263</v>
      </c>
      <c r="AG275" s="52" t="s">
        <v>102</v>
      </c>
      <c r="AH275" s="52" t="s">
        <v>102</v>
      </c>
      <c r="AI275" s="52" t="s">
        <v>102</v>
      </c>
      <c r="AJ275" s="52" t="s">
        <v>102</v>
      </c>
      <c r="AK275" s="52" t="s">
        <v>102</v>
      </c>
      <c r="AL275" s="52" t="s">
        <v>102</v>
      </c>
      <c r="AM275" s="52" t="s">
        <v>102</v>
      </c>
      <c r="AN275" s="54"/>
      <c r="AO275" s="54"/>
      <c r="AP275" s="53">
        <v>1200</v>
      </c>
      <c r="AQ275" s="54"/>
      <c r="AR275" s="52">
        <v>2000</v>
      </c>
      <c r="AS275" s="52">
        <v>400</v>
      </c>
      <c r="AT275" s="52">
        <v>300</v>
      </c>
      <c r="AU275" s="52">
        <v>200</v>
      </c>
      <c r="AV275" s="52">
        <v>350</v>
      </c>
      <c r="AW275" s="52">
        <v>100</v>
      </c>
      <c r="AX275" s="51">
        <v>1500</v>
      </c>
      <c r="AY275" s="53">
        <v>200</v>
      </c>
      <c r="AZ275" s="53">
        <v>50</v>
      </c>
      <c r="BA275" s="53">
        <v>150</v>
      </c>
      <c r="BB275" s="53" t="s">
        <v>264</v>
      </c>
      <c r="BC275" s="53">
        <v>150</v>
      </c>
      <c r="BD275" s="53">
        <v>400</v>
      </c>
      <c r="BE275" s="53">
        <v>1500</v>
      </c>
      <c r="BF275" s="53">
        <v>1500</v>
      </c>
      <c r="BG275" s="53">
        <v>2000</v>
      </c>
      <c r="BH275" s="53">
        <v>800</v>
      </c>
      <c r="BI275" s="53">
        <v>70</v>
      </c>
      <c r="BJ275" s="53" t="s">
        <v>264</v>
      </c>
      <c r="BK275" s="53">
        <v>1500</v>
      </c>
      <c r="BL275" s="53">
        <v>5000</v>
      </c>
      <c r="BM275" s="53">
        <v>300</v>
      </c>
      <c r="BN275" s="53">
        <v>3500</v>
      </c>
      <c r="BO275" s="53">
        <v>1500</v>
      </c>
      <c r="BP275" s="53">
        <v>50</v>
      </c>
      <c r="BQ275" s="53">
        <v>2500</v>
      </c>
      <c r="BR275" s="53">
        <v>1500</v>
      </c>
      <c r="BS275" s="53">
        <v>400</v>
      </c>
      <c r="BT275" s="53">
        <v>750</v>
      </c>
      <c r="BU275" s="53">
        <v>200</v>
      </c>
      <c r="BV275" s="53">
        <v>3500</v>
      </c>
      <c r="BW275" s="53">
        <v>750</v>
      </c>
      <c r="BX275" s="53">
        <v>2700</v>
      </c>
      <c r="BY275" s="53">
        <v>750</v>
      </c>
      <c r="BZ275" s="53">
        <v>400</v>
      </c>
      <c r="CA275" s="53">
        <v>800</v>
      </c>
      <c r="CB275" s="53">
        <v>2000</v>
      </c>
      <c r="CC275" s="53">
        <v>600</v>
      </c>
      <c r="CD275" s="53" t="s">
        <v>102</v>
      </c>
      <c r="CE275" s="53">
        <v>1500</v>
      </c>
      <c r="CF275" s="53">
        <v>750</v>
      </c>
      <c r="CG275" s="53">
        <v>750</v>
      </c>
      <c r="CH275" s="53">
        <v>1500</v>
      </c>
      <c r="CI275" s="53">
        <v>400</v>
      </c>
      <c r="CJ275" s="53">
        <v>200</v>
      </c>
      <c r="CK275" s="53">
        <v>200</v>
      </c>
      <c r="CL275" s="53">
        <v>1500</v>
      </c>
      <c r="CM275" s="53">
        <v>750</v>
      </c>
      <c r="CN275" s="206"/>
      <c r="CO275" s="206"/>
      <c r="CP275" s="206"/>
      <c r="CQ275" s="8">
        <f t="shared" si="147"/>
        <v>50</v>
      </c>
      <c r="CR275" s="8">
        <f t="shared" si="148"/>
        <v>5000</v>
      </c>
      <c r="CS275" s="8">
        <f t="shared" si="149"/>
        <v>1067.8260869565217</v>
      </c>
      <c r="CT275">
        <f t="shared" si="150"/>
        <v>625.52272673986647</v>
      </c>
      <c r="CU275" s="143" t="e">
        <f t="shared" si="151"/>
        <v>#DIV/0!</v>
      </c>
      <c r="CV275" s="143" t="e">
        <f t="shared" si="152"/>
        <v>#DIV/0!</v>
      </c>
      <c r="CX275" s="7">
        <f t="shared" si="153"/>
        <v>77.5</v>
      </c>
      <c r="CY275" s="7">
        <f t="shared" si="154"/>
        <v>200</v>
      </c>
      <c r="CZ275" s="7">
        <f t="shared" si="155"/>
        <v>200</v>
      </c>
      <c r="DA275" s="7">
        <f t="shared" si="156"/>
        <v>300</v>
      </c>
      <c r="DB275" s="7">
        <f t="shared" si="157"/>
        <v>750</v>
      </c>
      <c r="DC275" s="7">
        <f t="shared" si="158"/>
        <v>800</v>
      </c>
      <c r="DD275" s="7">
        <f t="shared" si="159"/>
        <v>1500</v>
      </c>
      <c r="DE275" s="7">
        <f t="shared" si="160"/>
        <v>1500</v>
      </c>
      <c r="DF275" s="7">
        <f t="shared" si="161"/>
        <v>2000</v>
      </c>
      <c r="DH275" s="7">
        <f t="shared" si="162"/>
        <v>130</v>
      </c>
      <c r="DI275" s="7">
        <f t="shared" si="163"/>
        <v>190</v>
      </c>
      <c r="DJ275" s="7">
        <f t="shared" si="164"/>
        <v>220.00000000000003</v>
      </c>
      <c r="DK275" s="7">
        <f t="shared" si="165"/>
        <v>250</v>
      </c>
      <c r="DL275" s="7">
        <f t="shared" si="166"/>
        <v>350</v>
      </c>
      <c r="DM275" s="7">
        <f t="shared" si="167"/>
        <v>380</v>
      </c>
      <c r="DN275" s="7">
        <f t="shared" si="168"/>
        <v>395</v>
      </c>
      <c r="DO275" s="7">
        <f t="shared" si="169"/>
        <v>800</v>
      </c>
      <c r="DP275" s="7">
        <f t="shared" si="170"/>
        <v>1279.9999999999998</v>
      </c>
      <c r="FK275" s="190" t="s">
        <v>657</v>
      </c>
      <c r="FL275" s="191">
        <v>2017</v>
      </c>
      <c r="FM275" s="190" t="s">
        <v>656</v>
      </c>
      <c r="FN275" s="190" t="s">
        <v>658</v>
      </c>
      <c r="FO275" s="191">
        <v>4</v>
      </c>
      <c r="FP275" s="190" t="s">
        <v>501</v>
      </c>
      <c r="FQ275" s="191" t="b">
        <v>1</v>
      </c>
      <c r="FR275" s="191">
        <v>-6</v>
      </c>
    </row>
    <row r="276" spans="1:174" ht="25.5" hidden="1" customHeight="1" x14ac:dyDescent="0.3">
      <c r="A276" s="92" t="str">
        <f t="shared" si="139"/>
        <v>CO-CLAY [18]</v>
      </c>
      <c r="B276" s="92" t="str">
        <f t="shared" si="140"/>
        <v>Clayoquot</v>
      </c>
      <c r="C276" s="93" t="str">
        <f t="shared" si="144"/>
        <v>KOOTOWIS CREEK_Coho</v>
      </c>
      <c r="D276" s="128" t="s">
        <v>598</v>
      </c>
      <c r="E276" s="128" t="s">
        <v>598</v>
      </c>
      <c r="F276" s="64">
        <v>24</v>
      </c>
      <c r="G276" s="72" t="s">
        <v>175</v>
      </c>
      <c r="H276" s="65" t="s">
        <v>93</v>
      </c>
      <c r="I276" s="119"/>
      <c r="J276" s="119"/>
      <c r="K276" s="64">
        <v>4</v>
      </c>
      <c r="L276" s="52">
        <v>7</v>
      </c>
      <c r="M276" s="52">
        <v>7</v>
      </c>
      <c r="N276" s="52">
        <f t="shared" si="141"/>
        <v>1698.7551783752626</v>
      </c>
      <c r="O276" s="52">
        <f t="shared" si="142"/>
        <v>3500</v>
      </c>
      <c r="P276" s="52">
        <f t="shared" si="143"/>
        <v>631.36587205260867</v>
      </c>
      <c r="Q276" s="66"/>
      <c r="R276" s="39"/>
      <c r="S276" s="76" t="s">
        <v>397</v>
      </c>
      <c r="T276" s="81" t="e">
        <f t="shared" si="145"/>
        <v>#DIV/0!</v>
      </c>
      <c r="U276" s="81" t="e">
        <f t="shared" si="146"/>
        <v>#DIV/0!</v>
      </c>
      <c r="V276" s="52" t="s">
        <v>102</v>
      </c>
      <c r="W276" s="52" t="s">
        <v>102</v>
      </c>
      <c r="X276" s="52" t="s">
        <v>102</v>
      </c>
      <c r="Y276" s="52" t="s">
        <v>102</v>
      </c>
      <c r="Z276" s="52" t="s">
        <v>102</v>
      </c>
      <c r="AA276" s="52" t="s">
        <v>102</v>
      </c>
      <c r="AB276" s="52" t="s">
        <v>102</v>
      </c>
      <c r="AC276" s="52" t="s">
        <v>102</v>
      </c>
      <c r="AD276" s="52" t="s">
        <v>102</v>
      </c>
      <c r="AE276" s="52" t="s">
        <v>102</v>
      </c>
      <c r="AF276" s="144" t="s">
        <v>263</v>
      </c>
      <c r="AG276" s="52" t="s">
        <v>102</v>
      </c>
      <c r="AH276" s="52" t="s">
        <v>102</v>
      </c>
      <c r="AI276" s="52" t="s">
        <v>102</v>
      </c>
      <c r="AJ276" s="52" t="s">
        <v>102</v>
      </c>
      <c r="AK276" s="52" t="s">
        <v>102</v>
      </c>
      <c r="AL276" s="52" t="s">
        <v>102</v>
      </c>
      <c r="AM276" s="52" t="s">
        <v>102</v>
      </c>
      <c r="AN276" s="54"/>
      <c r="AO276" s="54"/>
      <c r="AP276" s="53">
        <v>3500</v>
      </c>
      <c r="AQ276" s="54"/>
      <c r="AR276" s="52">
        <v>2000</v>
      </c>
      <c r="AS276" s="52">
        <v>1800</v>
      </c>
      <c r="AT276" s="52">
        <v>1800</v>
      </c>
      <c r="AU276" s="52">
        <v>1200</v>
      </c>
      <c r="AV276" s="52">
        <v>1500</v>
      </c>
      <c r="AW276" s="52">
        <v>1000</v>
      </c>
      <c r="AX276" s="51">
        <v>1200</v>
      </c>
      <c r="AY276" s="53">
        <v>600</v>
      </c>
      <c r="AZ276" s="53">
        <v>600</v>
      </c>
      <c r="BA276" s="53">
        <v>400</v>
      </c>
      <c r="BB276" s="53">
        <v>12</v>
      </c>
      <c r="BC276" s="53">
        <v>800</v>
      </c>
      <c r="BD276" s="53">
        <v>500</v>
      </c>
      <c r="BE276" s="53">
        <v>500</v>
      </c>
      <c r="BF276" s="53">
        <v>1000</v>
      </c>
      <c r="BG276" s="53">
        <v>3500</v>
      </c>
      <c r="BH276" s="53" t="s">
        <v>264</v>
      </c>
      <c r="BI276" s="53" t="s">
        <v>264</v>
      </c>
      <c r="BJ276" s="53">
        <v>3000</v>
      </c>
      <c r="BK276" s="53" t="s">
        <v>264</v>
      </c>
      <c r="BL276" s="53">
        <v>300</v>
      </c>
      <c r="BM276" s="53">
        <v>800</v>
      </c>
      <c r="BN276" s="53">
        <v>750</v>
      </c>
      <c r="BO276" s="53">
        <v>1000</v>
      </c>
      <c r="BP276" s="53" t="s">
        <v>262</v>
      </c>
      <c r="BQ276" s="53">
        <v>400</v>
      </c>
      <c r="BR276" s="53">
        <v>1500</v>
      </c>
      <c r="BS276" s="53">
        <v>400</v>
      </c>
      <c r="BT276" s="53">
        <v>400</v>
      </c>
      <c r="BU276" s="53">
        <v>400</v>
      </c>
      <c r="BV276" s="53">
        <v>750</v>
      </c>
      <c r="BW276" s="53">
        <v>1500</v>
      </c>
      <c r="BX276" s="53">
        <v>1000</v>
      </c>
      <c r="BY276" s="53">
        <v>200</v>
      </c>
      <c r="BZ276" s="53">
        <v>1500</v>
      </c>
      <c r="CA276" s="53">
        <v>1200</v>
      </c>
      <c r="CB276" s="53">
        <v>2000</v>
      </c>
      <c r="CC276" s="53">
        <v>100</v>
      </c>
      <c r="CD276" s="53" t="s">
        <v>102</v>
      </c>
      <c r="CE276" s="53">
        <v>200</v>
      </c>
      <c r="CF276" s="53">
        <v>400</v>
      </c>
      <c r="CG276" s="53">
        <v>400</v>
      </c>
      <c r="CH276" s="53">
        <v>400</v>
      </c>
      <c r="CI276" s="53">
        <v>400</v>
      </c>
      <c r="CJ276" s="53">
        <v>400</v>
      </c>
      <c r="CK276" s="53">
        <v>200</v>
      </c>
      <c r="CL276" s="53">
        <v>200</v>
      </c>
      <c r="CM276" s="53">
        <v>200</v>
      </c>
      <c r="CN276" s="206"/>
      <c r="CO276" s="206"/>
      <c r="CP276" s="206"/>
      <c r="CQ276" s="8">
        <f t="shared" si="147"/>
        <v>12</v>
      </c>
      <c r="CR276" s="8">
        <f t="shared" si="148"/>
        <v>3500</v>
      </c>
      <c r="CS276" s="8">
        <f t="shared" si="149"/>
        <v>952.5454545454545</v>
      </c>
      <c r="CT276">
        <f t="shared" si="150"/>
        <v>631.36587205260867</v>
      </c>
      <c r="CU276" s="143" t="e">
        <f t="shared" si="151"/>
        <v>#DIV/0!</v>
      </c>
      <c r="CV276" s="143" t="e">
        <f t="shared" si="152"/>
        <v>#DIV/0!</v>
      </c>
      <c r="CX276" s="7">
        <f t="shared" si="153"/>
        <v>200</v>
      </c>
      <c r="CY276" s="7">
        <f t="shared" si="154"/>
        <v>245</v>
      </c>
      <c r="CZ276" s="7">
        <f t="shared" si="155"/>
        <v>400</v>
      </c>
      <c r="DA276" s="7">
        <f t="shared" si="156"/>
        <v>400</v>
      </c>
      <c r="DB276" s="7">
        <f t="shared" si="157"/>
        <v>675</v>
      </c>
      <c r="DC276" s="7">
        <f t="shared" si="158"/>
        <v>960.00000000000011</v>
      </c>
      <c r="DD276" s="7">
        <f t="shared" si="159"/>
        <v>1000</v>
      </c>
      <c r="DE276" s="7">
        <f t="shared" si="160"/>
        <v>1275</v>
      </c>
      <c r="DF276" s="7">
        <f t="shared" si="161"/>
        <v>1664.9999999999991</v>
      </c>
      <c r="DH276" s="7">
        <f t="shared" si="162"/>
        <v>1060</v>
      </c>
      <c r="DI276" s="7">
        <f t="shared" si="163"/>
        <v>1180</v>
      </c>
      <c r="DJ276" s="7">
        <f t="shared" si="164"/>
        <v>1260</v>
      </c>
      <c r="DK276" s="7">
        <f t="shared" si="165"/>
        <v>1350</v>
      </c>
      <c r="DL276" s="7">
        <f t="shared" si="166"/>
        <v>1800</v>
      </c>
      <c r="DM276" s="7">
        <f t="shared" si="167"/>
        <v>1800</v>
      </c>
      <c r="DN276" s="7">
        <f t="shared" si="168"/>
        <v>1800</v>
      </c>
      <c r="DO276" s="7">
        <f t="shared" si="169"/>
        <v>1900</v>
      </c>
      <c r="DP276" s="7">
        <f t="shared" si="170"/>
        <v>2149.9999999999995</v>
      </c>
      <c r="FK276" s="190" t="s">
        <v>657</v>
      </c>
      <c r="FL276" s="191">
        <v>2017</v>
      </c>
      <c r="FM276" s="190" t="s">
        <v>656</v>
      </c>
      <c r="FN276" s="190" t="s">
        <v>658</v>
      </c>
      <c r="FO276" s="191">
        <v>5</v>
      </c>
      <c r="FP276" s="190" t="s">
        <v>499</v>
      </c>
      <c r="FQ276" s="191" t="b">
        <v>1</v>
      </c>
      <c r="FR276" s="191">
        <v>-6</v>
      </c>
    </row>
    <row r="277" spans="1:174" ht="25.5" hidden="1" customHeight="1" x14ac:dyDescent="0.3">
      <c r="A277" s="92" t="str">
        <f t="shared" si="139"/>
        <v>CM-SWVI [10]</v>
      </c>
      <c r="B277" s="92" t="str">
        <f t="shared" si="140"/>
        <v>Southwest Vancouver Island</v>
      </c>
      <c r="C277" s="93" t="str">
        <f t="shared" si="144"/>
        <v>LITTLE WHITEPINE COVE #1 CREEK_Chum</v>
      </c>
      <c r="D277" s="128" t="s">
        <v>598</v>
      </c>
      <c r="E277" s="128" t="s">
        <v>598</v>
      </c>
      <c r="F277" s="64">
        <v>24</v>
      </c>
      <c r="G277" s="72" t="s">
        <v>192</v>
      </c>
      <c r="H277" s="65" t="s">
        <v>96</v>
      </c>
      <c r="I277" s="119"/>
      <c r="J277" s="119"/>
      <c r="K277" s="64">
        <v>4</v>
      </c>
      <c r="L277" s="52">
        <v>2</v>
      </c>
      <c r="M277" s="52">
        <v>2</v>
      </c>
      <c r="N277" s="52">
        <f t="shared" si="141"/>
        <v>350</v>
      </c>
      <c r="O277" s="52">
        <f t="shared" si="142"/>
        <v>1650</v>
      </c>
      <c r="P277" s="52">
        <f t="shared" si="143"/>
        <v>80.972536855608681</v>
      </c>
      <c r="Q277" s="66"/>
      <c r="R277" s="39"/>
      <c r="S277" s="74" t="s">
        <v>399</v>
      </c>
      <c r="T277" s="81" t="e">
        <f t="shared" si="145"/>
        <v>#DIV/0!</v>
      </c>
      <c r="U277" s="81" t="e">
        <f t="shared" si="146"/>
        <v>#DIV/0!</v>
      </c>
      <c r="V277" s="52" t="s">
        <v>102</v>
      </c>
      <c r="W277" s="52" t="s">
        <v>102</v>
      </c>
      <c r="X277" s="52" t="s">
        <v>102</v>
      </c>
      <c r="Y277" s="52"/>
      <c r="Z277" s="52" t="s">
        <v>102</v>
      </c>
      <c r="AA277" s="52" t="s">
        <v>102</v>
      </c>
      <c r="AB277" s="52" t="s">
        <v>102</v>
      </c>
      <c r="AC277" s="52" t="s">
        <v>102</v>
      </c>
      <c r="AD277" s="52" t="s">
        <v>102</v>
      </c>
      <c r="AE277" s="52" t="s">
        <v>102</v>
      </c>
      <c r="AF277" s="52" t="s">
        <v>102</v>
      </c>
      <c r="AG277" s="52" t="s">
        <v>102</v>
      </c>
      <c r="AH277" s="52" t="s">
        <v>102</v>
      </c>
      <c r="AI277" s="52" t="s">
        <v>102</v>
      </c>
      <c r="AJ277" s="52" t="s">
        <v>102</v>
      </c>
      <c r="AK277" s="52" t="s">
        <v>102</v>
      </c>
      <c r="AL277" s="52" t="s">
        <v>102</v>
      </c>
      <c r="AM277" s="52" t="s">
        <v>102</v>
      </c>
      <c r="AN277" s="52" t="s">
        <v>102</v>
      </c>
      <c r="AO277" s="52" t="s">
        <v>102</v>
      </c>
      <c r="AP277" s="53" t="s">
        <v>102</v>
      </c>
      <c r="AQ277" s="53" t="s">
        <v>102</v>
      </c>
      <c r="AR277" s="53" t="s">
        <v>102</v>
      </c>
      <c r="AS277" s="54"/>
      <c r="AT277" s="52" t="s">
        <v>263</v>
      </c>
      <c r="AU277" s="52">
        <v>350</v>
      </c>
      <c r="AV277" s="52" t="s">
        <v>102</v>
      </c>
      <c r="AW277" s="54"/>
      <c r="AX277" s="51" t="s">
        <v>102</v>
      </c>
      <c r="AY277" s="53">
        <v>10</v>
      </c>
      <c r="AZ277" s="53" t="s">
        <v>264</v>
      </c>
      <c r="BA277" s="53" t="s">
        <v>102</v>
      </c>
      <c r="BB277" s="53" t="s">
        <v>102</v>
      </c>
      <c r="BC277" s="53" t="s">
        <v>102</v>
      </c>
      <c r="BD277" s="53" t="s">
        <v>102</v>
      </c>
      <c r="BE277" s="53" t="s">
        <v>102</v>
      </c>
      <c r="BF277" s="53">
        <v>40</v>
      </c>
      <c r="BG277" s="53">
        <v>50</v>
      </c>
      <c r="BH277" s="53">
        <v>40</v>
      </c>
      <c r="BI277" s="53">
        <v>10</v>
      </c>
      <c r="BJ277" s="53" t="s">
        <v>102</v>
      </c>
      <c r="BK277" s="53">
        <v>400</v>
      </c>
      <c r="BL277" s="53">
        <v>1650</v>
      </c>
      <c r="BM277" s="53" t="s">
        <v>102</v>
      </c>
      <c r="BN277" s="53" t="s">
        <v>102</v>
      </c>
      <c r="BO277" s="53" t="s">
        <v>102</v>
      </c>
      <c r="BP277" s="53" t="s">
        <v>102</v>
      </c>
      <c r="BQ277" s="53" t="s">
        <v>102</v>
      </c>
      <c r="BR277" s="53" t="s">
        <v>102</v>
      </c>
      <c r="BS277" s="53" t="s">
        <v>102</v>
      </c>
      <c r="BT277" s="53" t="s">
        <v>102</v>
      </c>
      <c r="BU277" s="53" t="s">
        <v>102</v>
      </c>
      <c r="BV277" s="53" t="s">
        <v>102</v>
      </c>
      <c r="BW277" s="53" t="s">
        <v>102</v>
      </c>
      <c r="BX277" s="53" t="s">
        <v>102</v>
      </c>
      <c r="BY277" s="53" t="s">
        <v>102</v>
      </c>
      <c r="BZ277" s="53" t="s">
        <v>102</v>
      </c>
      <c r="CA277" s="53" t="s">
        <v>102</v>
      </c>
      <c r="CB277" s="53" t="s">
        <v>102</v>
      </c>
      <c r="CC277" s="53" t="s">
        <v>102</v>
      </c>
      <c r="CD277" s="53" t="s">
        <v>102</v>
      </c>
      <c r="CE277" s="53" t="s">
        <v>102</v>
      </c>
      <c r="CF277" s="53" t="s">
        <v>102</v>
      </c>
      <c r="CG277" s="53" t="s">
        <v>102</v>
      </c>
      <c r="CH277" s="53" t="s">
        <v>102</v>
      </c>
      <c r="CI277" s="53" t="s">
        <v>102</v>
      </c>
      <c r="CJ277" s="53" t="s">
        <v>102</v>
      </c>
      <c r="CK277" s="53" t="s">
        <v>102</v>
      </c>
      <c r="CL277" s="53" t="s">
        <v>102</v>
      </c>
      <c r="CM277" s="53" t="s">
        <v>102</v>
      </c>
      <c r="CN277" s="206"/>
      <c r="CO277" s="206"/>
      <c r="CP277" s="206"/>
      <c r="CQ277" s="8">
        <f t="shared" si="147"/>
        <v>10</v>
      </c>
      <c r="CR277" s="8">
        <f t="shared" si="148"/>
        <v>1650</v>
      </c>
      <c r="CS277" s="8">
        <f t="shared" si="149"/>
        <v>318.75</v>
      </c>
      <c r="CT277">
        <f t="shared" si="150"/>
        <v>80.972536855608681</v>
      </c>
      <c r="CU277" s="143" t="e">
        <f t="shared" si="151"/>
        <v>#DIV/0!</v>
      </c>
      <c r="CV277" s="143" t="e">
        <f t="shared" si="152"/>
        <v>#DIV/0!</v>
      </c>
      <c r="CX277" s="7">
        <f t="shared" si="153"/>
        <v>10</v>
      </c>
      <c r="CY277" s="7">
        <f t="shared" si="154"/>
        <v>11.499999999999995</v>
      </c>
      <c r="CZ277" s="7">
        <f t="shared" si="155"/>
        <v>22.000000000000011</v>
      </c>
      <c r="DA277" s="7">
        <f t="shared" si="156"/>
        <v>32.5</v>
      </c>
      <c r="DB277" s="7">
        <f t="shared" si="157"/>
        <v>45</v>
      </c>
      <c r="DC277" s="7">
        <f t="shared" si="158"/>
        <v>110.00000000000006</v>
      </c>
      <c r="DD277" s="7">
        <f t="shared" si="159"/>
        <v>214.99999999999994</v>
      </c>
      <c r="DE277" s="7">
        <f t="shared" si="160"/>
        <v>362.5</v>
      </c>
      <c r="DF277" s="7">
        <f t="shared" si="161"/>
        <v>397.5</v>
      </c>
      <c r="DH277" s="7">
        <f t="shared" si="162"/>
        <v>350</v>
      </c>
      <c r="DI277" s="7">
        <f t="shared" si="163"/>
        <v>350</v>
      </c>
      <c r="DJ277" s="7">
        <f t="shared" si="164"/>
        <v>350</v>
      </c>
      <c r="DK277" s="7">
        <f t="shared" si="165"/>
        <v>350</v>
      </c>
      <c r="DL277" s="7">
        <f t="shared" si="166"/>
        <v>350</v>
      </c>
      <c r="DM277" s="7">
        <f t="shared" si="167"/>
        <v>350</v>
      </c>
      <c r="DN277" s="7">
        <f t="shared" si="168"/>
        <v>350</v>
      </c>
      <c r="DO277" s="7">
        <f t="shared" si="169"/>
        <v>350</v>
      </c>
      <c r="DP277" s="7">
        <f t="shared" si="170"/>
        <v>350</v>
      </c>
      <c r="FK277" s="190" t="s">
        <v>659</v>
      </c>
      <c r="FL277" s="191">
        <v>2017</v>
      </c>
      <c r="FM277" s="190" t="s">
        <v>656</v>
      </c>
      <c r="FN277" s="190" t="s">
        <v>155</v>
      </c>
      <c r="FO277" s="191">
        <v>2</v>
      </c>
      <c r="FP277" s="190" t="s">
        <v>654</v>
      </c>
      <c r="FQ277" s="191" t="b">
        <v>1</v>
      </c>
      <c r="FR277" s="191">
        <v>3</v>
      </c>
    </row>
    <row r="278" spans="1:174" ht="25.5" hidden="1" customHeight="1" x14ac:dyDescent="0.3">
      <c r="A278" s="92" t="str">
        <f t="shared" si="139"/>
        <v>CO-CLAY [18]</v>
      </c>
      <c r="B278" s="92" t="str">
        <f t="shared" si="140"/>
        <v>Clayoquot</v>
      </c>
      <c r="C278" s="93" t="str">
        <f t="shared" si="144"/>
        <v>LITTLE WHITEPINE COVE #1 CREEK_Coho</v>
      </c>
      <c r="D278" s="128" t="s">
        <v>598</v>
      </c>
      <c r="E278" s="128" t="s">
        <v>598</v>
      </c>
      <c r="F278" s="64">
        <v>24</v>
      </c>
      <c r="G278" s="72" t="s">
        <v>192</v>
      </c>
      <c r="H278" s="65" t="s">
        <v>93</v>
      </c>
      <c r="I278" s="119"/>
      <c r="J278" s="119"/>
      <c r="K278" s="64">
        <v>4</v>
      </c>
      <c r="L278" s="52">
        <v>2</v>
      </c>
      <c r="M278" s="52">
        <v>0</v>
      </c>
      <c r="N278" s="52" t="e">
        <f t="shared" si="141"/>
        <v>#NUM!</v>
      </c>
      <c r="O278" s="52">
        <f t="shared" si="142"/>
        <v>0</v>
      </c>
      <c r="P278" s="52" t="e">
        <f t="shared" si="143"/>
        <v>#NUM!</v>
      </c>
      <c r="Q278" s="66"/>
      <c r="R278" s="39"/>
      <c r="S278" s="74" t="s">
        <v>398</v>
      </c>
      <c r="T278" s="81" t="e">
        <f t="shared" si="145"/>
        <v>#DIV/0!</v>
      </c>
      <c r="U278" s="81" t="e">
        <f t="shared" si="146"/>
        <v>#DIV/0!</v>
      </c>
      <c r="V278" s="52" t="s">
        <v>102</v>
      </c>
      <c r="W278" s="52" t="s">
        <v>102</v>
      </c>
      <c r="X278" s="52" t="s">
        <v>102</v>
      </c>
      <c r="Y278" s="52"/>
      <c r="Z278" s="52" t="s">
        <v>102</v>
      </c>
      <c r="AA278" s="52" t="s">
        <v>102</v>
      </c>
      <c r="AB278" s="52" t="s">
        <v>102</v>
      </c>
      <c r="AC278" s="52" t="s">
        <v>102</v>
      </c>
      <c r="AD278" s="52" t="s">
        <v>102</v>
      </c>
      <c r="AE278" s="52" t="s">
        <v>102</v>
      </c>
      <c r="AF278" s="52" t="s">
        <v>102</v>
      </c>
      <c r="AG278" s="52" t="s">
        <v>102</v>
      </c>
      <c r="AH278" s="52" t="s">
        <v>102</v>
      </c>
      <c r="AI278" s="52" t="s">
        <v>102</v>
      </c>
      <c r="AJ278" s="52" t="s">
        <v>102</v>
      </c>
      <c r="AK278" s="52" t="s">
        <v>102</v>
      </c>
      <c r="AL278" s="52" t="s">
        <v>102</v>
      </c>
      <c r="AM278" s="52" t="s">
        <v>102</v>
      </c>
      <c r="AN278" s="52" t="s">
        <v>102</v>
      </c>
      <c r="AO278" s="52" t="s">
        <v>102</v>
      </c>
      <c r="AP278" s="53" t="s">
        <v>102</v>
      </c>
      <c r="AQ278" s="53" t="s">
        <v>102</v>
      </c>
      <c r="AR278" s="53" t="s">
        <v>102</v>
      </c>
      <c r="AS278" s="54"/>
      <c r="AT278" s="52" t="s">
        <v>262</v>
      </c>
      <c r="AU278" s="52" t="s">
        <v>262</v>
      </c>
      <c r="AV278" s="52" t="s">
        <v>102</v>
      </c>
      <c r="AW278" s="54"/>
      <c r="AX278" s="51" t="s">
        <v>102</v>
      </c>
      <c r="AY278" s="53" t="s">
        <v>264</v>
      </c>
      <c r="AZ278" s="53" t="s">
        <v>264</v>
      </c>
      <c r="BA278" s="53" t="s">
        <v>102</v>
      </c>
      <c r="BB278" s="53" t="s">
        <v>102</v>
      </c>
      <c r="BC278" s="53" t="s">
        <v>102</v>
      </c>
      <c r="BD278" s="53" t="s">
        <v>102</v>
      </c>
      <c r="BE278" s="53" t="s">
        <v>102</v>
      </c>
      <c r="BF278" s="53" t="s">
        <v>262</v>
      </c>
      <c r="BG278" s="53" t="s">
        <v>262</v>
      </c>
      <c r="BH278" s="53" t="s">
        <v>262</v>
      </c>
      <c r="BI278" s="53" t="s">
        <v>264</v>
      </c>
      <c r="BJ278" s="53" t="s">
        <v>102</v>
      </c>
      <c r="BK278" s="53" t="s">
        <v>264</v>
      </c>
      <c r="BL278" s="53" t="s">
        <v>262</v>
      </c>
      <c r="BM278" s="53" t="s">
        <v>102</v>
      </c>
      <c r="BN278" s="53" t="s">
        <v>102</v>
      </c>
      <c r="BO278" s="53" t="s">
        <v>102</v>
      </c>
      <c r="BP278" s="53" t="s">
        <v>102</v>
      </c>
      <c r="BQ278" s="53" t="s">
        <v>102</v>
      </c>
      <c r="BR278" s="53" t="s">
        <v>102</v>
      </c>
      <c r="BS278" s="53" t="s">
        <v>102</v>
      </c>
      <c r="BT278" s="53" t="s">
        <v>102</v>
      </c>
      <c r="BU278" s="53" t="s">
        <v>102</v>
      </c>
      <c r="BV278" s="53" t="s">
        <v>102</v>
      </c>
      <c r="BW278" s="53" t="s">
        <v>102</v>
      </c>
      <c r="BX278" s="53" t="s">
        <v>102</v>
      </c>
      <c r="BY278" s="53" t="s">
        <v>102</v>
      </c>
      <c r="BZ278" s="53" t="s">
        <v>102</v>
      </c>
      <c r="CA278" s="53" t="s">
        <v>102</v>
      </c>
      <c r="CB278" s="53" t="s">
        <v>102</v>
      </c>
      <c r="CC278" s="53" t="s">
        <v>102</v>
      </c>
      <c r="CD278" s="53" t="s">
        <v>102</v>
      </c>
      <c r="CE278" s="53" t="s">
        <v>102</v>
      </c>
      <c r="CF278" s="53" t="s">
        <v>102</v>
      </c>
      <c r="CG278" s="53" t="s">
        <v>102</v>
      </c>
      <c r="CH278" s="53" t="s">
        <v>102</v>
      </c>
      <c r="CI278" s="53" t="s">
        <v>102</v>
      </c>
      <c r="CJ278" s="53" t="s">
        <v>102</v>
      </c>
      <c r="CK278" s="53" t="s">
        <v>102</v>
      </c>
      <c r="CL278" s="53" t="s">
        <v>102</v>
      </c>
      <c r="CM278" s="53" t="s">
        <v>102</v>
      </c>
      <c r="CN278" s="206"/>
      <c r="CO278" s="206"/>
      <c r="CP278" s="206"/>
      <c r="CQ278" s="8">
        <f t="shared" si="147"/>
        <v>0</v>
      </c>
      <c r="CR278" s="8">
        <f t="shared" si="148"/>
        <v>0</v>
      </c>
      <c r="CS278" s="8" t="e">
        <f t="shared" si="149"/>
        <v>#DIV/0!</v>
      </c>
      <c r="CT278" t="e">
        <f t="shared" si="150"/>
        <v>#NUM!</v>
      </c>
      <c r="CU278" s="143" t="e">
        <f t="shared" si="151"/>
        <v>#DIV/0!</v>
      </c>
      <c r="CV278" s="143" t="e">
        <f t="shared" si="152"/>
        <v>#DIV/0!</v>
      </c>
      <c r="CX278" s="7" t="e">
        <f t="shared" si="153"/>
        <v>#NUM!</v>
      </c>
      <c r="CY278" s="7" t="e">
        <f t="shared" si="154"/>
        <v>#NUM!</v>
      </c>
      <c r="CZ278" s="7" t="e">
        <f t="shared" si="155"/>
        <v>#NUM!</v>
      </c>
      <c r="DA278" s="7" t="e">
        <f t="shared" si="156"/>
        <v>#NUM!</v>
      </c>
      <c r="DB278" s="7" t="e">
        <f t="shared" si="157"/>
        <v>#NUM!</v>
      </c>
      <c r="DC278" s="7" t="e">
        <f t="shared" si="158"/>
        <v>#NUM!</v>
      </c>
      <c r="DD278" s="7" t="e">
        <f t="shared" si="159"/>
        <v>#NUM!</v>
      </c>
      <c r="DE278" s="7" t="e">
        <f t="shared" si="160"/>
        <v>#NUM!</v>
      </c>
      <c r="DF278" s="7" t="e">
        <f t="shared" si="161"/>
        <v>#NUM!</v>
      </c>
      <c r="DH278" s="7" t="e">
        <f t="shared" si="162"/>
        <v>#NUM!</v>
      </c>
      <c r="DI278" s="7" t="e">
        <f t="shared" si="163"/>
        <v>#NUM!</v>
      </c>
      <c r="DJ278" s="7" t="e">
        <f t="shared" si="164"/>
        <v>#NUM!</v>
      </c>
      <c r="DK278" s="7" t="e">
        <f t="shared" si="165"/>
        <v>#NUM!</v>
      </c>
      <c r="DL278" s="7" t="e">
        <f t="shared" si="166"/>
        <v>#NUM!</v>
      </c>
      <c r="DM278" s="7" t="e">
        <f t="shared" si="167"/>
        <v>#NUM!</v>
      </c>
      <c r="DN278" s="7" t="e">
        <f t="shared" si="168"/>
        <v>#NUM!</v>
      </c>
      <c r="DO278" s="7" t="e">
        <f t="shared" si="169"/>
        <v>#NUM!</v>
      </c>
      <c r="DP278" s="7" t="e">
        <f t="shared" si="170"/>
        <v>#NUM!</v>
      </c>
      <c r="FK278" s="190" t="s">
        <v>659</v>
      </c>
      <c r="FL278" s="191">
        <v>2017</v>
      </c>
      <c r="FM278" s="190" t="s">
        <v>656</v>
      </c>
      <c r="FN278" s="190" t="s">
        <v>155</v>
      </c>
      <c r="FO278" s="191">
        <v>4</v>
      </c>
      <c r="FP278" s="190" t="s">
        <v>501</v>
      </c>
      <c r="FQ278" s="191" t="b">
        <v>1</v>
      </c>
      <c r="FR278" s="191">
        <v>-1</v>
      </c>
    </row>
    <row r="279" spans="1:174" ht="25.5" hidden="1" customHeight="1" x14ac:dyDescent="0.3">
      <c r="A279" s="92" t="str">
        <f t="shared" si="139"/>
        <v>CM-SWVI [10]</v>
      </c>
      <c r="B279" s="92" t="str">
        <f t="shared" si="140"/>
        <v>Southwest Vancouver Island</v>
      </c>
      <c r="C279" s="93" t="str">
        <f t="shared" si="144"/>
        <v>LOST SHOE CREEK_Chum</v>
      </c>
      <c r="D279" s="128" t="s">
        <v>598</v>
      </c>
      <c r="E279" s="128" t="s">
        <v>598</v>
      </c>
      <c r="F279" s="64">
        <v>24</v>
      </c>
      <c r="G279" s="72" t="s">
        <v>155</v>
      </c>
      <c r="H279" s="65" t="s">
        <v>96</v>
      </c>
      <c r="I279" s="119"/>
      <c r="J279" s="119"/>
      <c r="K279" s="64">
        <v>5</v>
      </c>
      <c r="L279" s="52">
        <v>3</v>
      </c>
      <c r="M279" s="52">
        <v>2</v>
      </c>
      <c r="N279" s="52">
        <f t="shared" si="141"/>
        <v>25.099800796022265</v>
      </c>
      <c r="O279" s="52">
        <f t="shared" si="142"/>
        <v>400</v>
      </c>
      <c r="P279" s="52">
        <f t="shared" si="143"/>
        <v>56.072329162507629</v>
      </c>
      <c r="Q279" s="66"/>
      <c r="R279" s="37"/>
      <c r="S279" s="74" t="s">
        <v>400</v>
      </c>
      <c r="T279" s="81" t="e">
        <f t="shared" si="145"/>
        <v>#DIV/0!</v>
      </c>
      <c r="U279" s="81">
        <f t="shared" si="146"/>
        <v>254</v>
      </c>
      <c r="V279" s="52" t="s">
        <v>102</v>
      </c>
      <c r="W279" s="52" t="s">
        <v>102</v>
      </c>
      <c r="X279" s="52" t="s">
        <v>102</v>
      </c>
      <c r="Y279" s="52" t="s">
        <v>102</v>
      </c>
      <c r="Z279" s="52" t="s">
        <v>263</v>
      </c>
      <c r="AA279" s="52" t="s">
        <v>262</v>
      </c>
      <c r="AB279" s="52">
        <v>254</v>
      </c>
      <c r="AC279" s="52" t="s">
        <v>102</v>
      </c>
      <c r="AD279" s="52" t="s">
        <v>102</v>
      </c>
      <c r="AE279" s="52" t="s">
        <v>102</v>
      </c>
      <c r="AF279" s="52" t="s">
        <v>102</v>
      </c>
      <c r="AG279" s="52" t="s">
        <v>102</v>
      </c>
      <c r="AH279" s="52" t="s">
        <v>102</v>
      </c>
      <c r="AI279" s="52" t="s">
        <v>102</v>
      </c>
      <c r="AJ279" s="52" t="s">
        <v>102</v>
      </c>
      <c r="AK279" s="52" t="s">
        <v>102</v>
      </c>
      <c r="AL279" s="52" t="s">
        <v>102</v>
      </c>
      <c r="AM279" s="52" t="s">
        <v>102</v>
      </c>
      <c r="AN279" s="52" t="s">
        <v>102</v>
      </c>
      <c r="AO279" s="52" t="s">
        <v>102</v>
      </c>
      <c r="AP279" s="53" t="s">
        <v>102</v>
      </c>
      <c r="AQ279" s="54"/>
      <c r="AR279" s="54"/>
      <c r="AS279" s="54"/>
      <c r="AT279" s="54"/>
      <c r="AU279" s="52">
        <v>35</v>
      </c>
      <c r="AV279" s="52">
        <v>18</v>
      </c>
      <c r="AW279" s="52" t="s">
        <v>262</v>
      </c>
      <c r="AX279" s="51">
        <v>10</v>
      </c>
      <c r="AY279" s="53">
        <v>20</v>
      </c>
      <c r="AZ279" s="53" t="s">
        <v>102</v>
      </c>
      <c r="BA279" s="53" t="s">
        <v>264</v>
      </c>
      <c r="BB279" s="53" t="s">
        <v>102</v>
      </c>
      <c r="BC279" s="53" t="s">
        <v>264</v>
      </c>
      <c r="BD279" s="53" t="s">
        <v>264</v>
      </c>
      <c r="BE279" s="53" t="s">
        <v>264</v>
      </c>
      <c r="BF279" s="53" t="s">
        <v>262</v>
      </c>
      <c r="BG279" s="53">
        <v>25</v>
      </c>
      <c r="BH279" s="53">
        <v>20</v>
      </c>
      <c r="BI279" s="53" t="s">
        <v>264</v>
      </c>
      <c r="BJ279" s="53" t="s">
        <v>264</v>
      </c>
      <c r="BK279" s="53" t="s">
        <v>264</v>
      </c>
      <c r="BL279" s="53">
        <v>70</v>
      </c>
      <c r="BM279" s="53" t="s">
        <v>262</v>
      </c>
      <c r="BN279" s="53" t="s">
        <v>262</v>
      </c>
      <c r="BO279" s="53" t="s">
        <v>262</v>
      </c>
      <c r="BP279" s="53" t="s">
        <v>262</v>
      </c>
      <c r="BQ279" s="53" t="s">
        <v>264</v>
      </c>
      <c r="BR279" s="53" t="s">
        <v>262</v>
      </c>
      <c r="BS279" s="53">
        <v>25</v>
      </c>
      <c r="BT279" s="53" t="s">
        <v>264</v>
      </c>
      <c r="BU279" s="53" t="s">
        <v>262</v>
      </c>
      <c r="BV279" s="53">
        <v>75</v>
      </c>
      <c r="BW279" s="53">
        <v>25</v>
      </c>
      <c r="BX279" s="53">
        <v>60</v>
      </c>
      <c r="BY279" s="53">
        <v>25</v>
      </c>
      <c r="BZ279" s="53">
        <v>75</v>
      </c>
      <c r="CA279" s="53">
        <v>75</v>
      </c>
      <c r="CB279" s="53">
        <v>25</v>
      </c>
      <c r="CC279" s="53">
        <v>25</v>
      </c>
      <c r="CD279" s="53">
        <v>75</v>
      </c>
      <c r="CE279" s="53">
        <v>200</v>
      </c>
      <c r="CF279" s="53">
        <v>25</v>
      </c>
      <c r="CG279" s="53">
        <v>200</v>
      </c>
      <c r="CH279" s="53">
        <v>200</v>
      </c>
      <c r="CI279" s="53">
        <v>200</v>
      </c>
      <c r="CJ279" s="53" t="s">
        <v>102</v>
      </c>
      <c r="CK279" s="53">
        <v>200</v>
      </c>
      <c r="CL279" s="53">
        <v>400</v>
      </c>
      <c r="CM279" s="53">
        <v>200</v>
      </c>
      <c r="CN279" s="206"/>
      <c r="CO279" s="206"/>
      <c r="CP279" s="206"/>
      <c r="CQ279" s="8">
        <f t="shared" si="147"/>
        <v>10</v>
      </c>
      <c r="CR279" s="8">
        <f t="shared" si="148"/>
        <v>400</v>
      </c>
      <c r="CS279" s="8">
        <f t="shared" si="149"/>
        <v>98.538461538461533</v>
      </c>
      <c r="CT279">
        <f t="shared" si="150"/>
        <v>59.426840285881276</v>
      </c>
      <c r="CU279" s="143" t="e">
        <f t="shared" si="151"/>
        <v>#DIV/0!</v>
      </c>
      <c r="CV279" s="143">
        <f t="shared" si="152"/>
        <v>254</v>
      </c>
      <c r="CX279" s="7">
        <f t="shared" si="153"/>
        <v>18.5</v>
      </c>
      <c r="CY279" s="7">
        <f t="shared" si="154"/>
        <v>23.75</v>
      </c>
      <c r="CZ279" s="7">
        <f t="shared" si="155"/>
        <v>25</v>
      </c>
      <c r="DA279" s="7">
        <f t="shared" si="156"/>
        <v>25</v>
      </c>
      <c r="DB279" s="7">
        <f t="shared" si="157"/>
        <v>65</v>
      </c>
      <c r="DC279" s="7">
        <f t="shared" si="158"/>
        <v>75</v>
      </c>
      <c r="DD279" s="7">
        <f t="shared" si="159"/>
        <v>75</v>
      </c>
      <c r="DE279" s="7">
        <f t="shared" si="160"/>
        <v>200</v>
      </c>
      <c r="DF279" s="7">
        <f t="shared" si="161"/>
        <v>200</v>
      </c>
      <c r="DH279" s="7">
        <f t="shared" si="162"/>
        <v>19.700000000000003</v>
      </c>
      <c r="DI279" s="7">
        <f t="shared" si="163"/>
        <v>23.1</v>
      </c>
      <c r="DJ279" s="7">
        <f t="shared" si="164"/>
        <v>24.799999999999997</v>
      </c>
      <c r="DK279" s="7">
        <f t="shared" si="165"/>
        <v>26.5</v>
      </c>
      <c r="DL279" s="7">
        <f t="shared" si="166"/>
        <v>35</v>
      </c>
      <c r="DM279" s="7">
        <f t="shared" si="167"/>
        <v>78.80000000000004</v>
      </c>
      <c r="DN279" s="7">
        <f t="shared" si="168"/>
        <v>100.69999999999996</v>
      </c>
      <c r="DO279" s="7">
        <f t="shared" si="169"/>
        <v>144.5</v>
      </c>
      <c r="DP279" s="7">
        <f t="shared" si="170"/>
        <v>188.30000000000004</v>
      </c>
      <c r="FK279" s="190" t="s">
        <v>660</v>
      </c>
      <c r="FL279" s="191">
        <v>2017</v>
      </c>
      <c r="FM279" s="190" t="s">
        <v>656</v>
      </c>
      <c r="FN279" s="190" t="s">
        <v>635</v>
      </c>
      <c r="FO279" s="191">
        <v>2</v>
      </c>
      <c r="FP279" s="190" t="s">
        <v>654</v>
      </c>
      <c r="FQ279" s="191" t="b">
        <v>1</v>
      </c>
      <c r="FR279" s="191">
        <v>-6</v>
      </c>
    </row>
    <row r="280" spans="1:174" ht="25.5" hidden="1" customHeight="1" x14ac:dyDescent="0.3">
      <c r="A280" s="92" t="str">
        <f t="shared" si="139"/>
        <v>CO-CLAY [18]</v>
      </c>
      <c r="B280" s="92" t="str">
        <f t="shared" si="140"/>
        <v>Clayoquot</v>
      </c>
      <c r="C280" s="93" t="str">
        <f t="shared" si="144"/>
        <v>LOST SHOE CREEK_Coho</v>
      </c>
      <c r="D280" s="128" t="s">
        <v>598</v>
      </c>
      <c r="E280" s="128" t="s">
        <v>598</v>
      </c>
      <c r="F280" s="64">
        <v>24</v>
      </c>
      <c r="G280" s="72" t="s">
        <v>155</v>
      </c>
      <c r="H280" s="65" t="s">
        <v>93</v>
      </c>
      <c r="I280" s="119"/>
      <c r="J280" s="119"/>
      <c r="K280" s="64">
        <v>5</v>
      </c>
      <c r="L280" s="52">
        <v>3</v>
      </c>
      <c r="M280" s="52">
        <v>1</v>
      </c>
      <c r="N280" s="52">
        <f t="shared" si="141"/>
        <v>250</v>
      </c>
      <c r="O280" s="52">
        <f t="shared" si="142"/>
        <v>750</v>
      </c>
      <c r="P280" s="52">
        <f t="shared" si="143"/>
        <v>164.99483597791229</v>
      </c>
      <c r="Q280" s="66"/>
      <c r="R280" s="37"/>
      <c r="S280" s="74" t="s">
        <v>400</v>
      </c>
      <c r="T280" s="81" t="e">
        <f t="shared" si="145"/>
        <v>#DIV/0!</v>
      </c>
      <c r="U280" s="81">
        <f t="shared" si="146"/>
        <v>21</v>
      </c>
      <c r="V280" s="52" t="s">
        <v>102</v>
      </c>
      <c r="W280" s="52" t="s">
        <v>102</v>
      </c>
      <c r="X280" s="52" t="s">
        <v>102</v>
      </c>
      <c r="Y280" s="52" t="s">
        <v>102</v>
      </c>
      <c r="Z280" s="52">
        <v>37</v>
      </c>
      <c r="AA280" s="52">
        <v>3</v>
      </c>
      <c r="AB280" s="52">
        <v>23</v>
      </c>
      <c r="AC280" s="52" t="s">
        <v>102</v>
      </c>
      <c r="AD280" s="52" t="s">
        <v>102</v>
      </c>
      <c r="AE280" s="52" t="s">
        <v>102</v>
      </c>
      <c r="AF280" s="52" t="s">
        <v>102</v>
      </c>
      <c r="AG280" s="52" t="s">
        <v>102</v>
      </c>
      <c r="AH280" s="52" t="s">
        <v>102</v>
      </c>
      <c r="AI280" s="52" t="s">
        <v>102</v>
      </c>
      <c r="AJ280" s="52" t="s">
        <v>102</v>
      </c>
      <c r="AK280" s="52" t="s">
        <v>102</v>
      </c>
      <c r="AL280" s="52" t="s">
        <v>102</v>
      </c>
      <c r="AM280" s="52" t="s">
        <v>102</v>
      </c>
      <c r="AN280" s="52" t="s">
        <v>102</v>
      </c>
      <c r="AO280" s="52" t="s">
        <v>102</v>
      </c>
      <c r="AP280" s="53" t="s">
        <v>102</v>
      </c>
      <c r="AQ280" s="54"/>
      <c r="AR280" s="54"/>
      <c r="AS280" s="54"/>
      <c r="AT280" s="54"/>
      <c r="AU280" s="52" t="s">
        <v>262</v>
      </c>
      <c r="AV280" s="52">
        <v>250</v>
      </c>
      <c r="AW280" s="52" t="s">
        <v>262</v>
      </c>
      <c r="AX280" s="51" t="s">
        <v>262</v>
      </c>
      <c r="AY280" s="53" t="s">
        <v>102</v>
      </c>
      <c r="AZ280" s="53" t="s">
        <v>102</v>
      </c>
      <c r="BA280" s="53">
        <v>120</v>
      </c>
      <c r="BB280" s="53" t="s">
        <v>102</v>
      </c>
      <c r="BC280" s="53">
        <v>100</v>
      </c>
      <c r="BD280" s="53">
        <v>150</v>
      </c>
      <c r="BE280" s="53">
        <v>100</v>
      </c>
      <c r="BF280" s="53">
        <v>150</v>
      </c>
      <c r="BG280" s="53">
        <v>100</v>
      </c>
      <c r="BH280" s="53" t="s">
        <v>264</v>
      </c>
      <c r="BI280" s="53" t="s">
        <v>264</v>
      </c>
      <c r="BJ280" s="53" t="s">
        <v>264</v>
      </c>
      <c r="BK280" s="53">
        <v>250</v>
      </c>
      <c r="BL280" s="53">
        <v>25</v>
      </c>
      <c r="BM280" s="53" t="s">
        <v>264</v>
      </c>
      <c r="BN280" s="53">
        <v>300</v>
      </c>
      <c r="BO280" s="53">
        <v>400</v>
      </c>
      <c r="BP280" s="53">
        <v>200</v>
      </c>
      <c r="BQ280" s="53">
        <v>200</v>
      </c>
      <c r="BR280" s="53">
        <v>400</v>
      </c>
      <c r="BS280" s="53">
        <v>75</v>
      </c>
      <c r="BT280" s="53">
        <v>400</v>
      </c>
      <c r="BU280" s="53">
        <v>400</v>
      </c>
      <c r="BV280" s="53">
        <v>200</v>
      </c>
      <c r="BW280" s="53">
        <v>400</v>
      </c>
      <c r="BX280" s="53">
        <v>500</v>
      </c>
      <c r="BY280" s="53">
        <v>200</v>
      </c>
      <c r="BZ280" s="53">
        <v>750</v>
      </c>
      <c r="CA280" s="53">
        <v>25</v>
      </c>
      <c r="CB280" s="53">
        <v>75</v>
      </c>
      <c r="CC280" s="53">
        <v>25</v>
      </c>
      <c r="CD280" s="53" t="s">
        <v>264</v>
      </c>
      <c r="CE280" s="53" t="s">
        <v>264</v>
      </c>
      <c r="CF280" s="53" t="s">
        <v>264</v>
      </c>
      <c r="CG280" s="53" t="s">
        <v>264</v>
      </c>
      <c r="CH280" s="53" t="s">
        <v>264</v>
      </c>
      <c r="CI280" s="53" t="s">
        <v>264</v>
      </c>
      <c r="CJ280" s="53" t="s">
        <v>102</v>
      </c>
      <c r="CK280" s="53" t="s">
        <v>264</v>
      </c>
      <c r="CL280" s="53" t="s">
        <v>264</v>
      </c>
      <c r="CM280" s="53" t="s">
        <v>264</v>
      </c>
      <c r="CN280" s="206"/>
      <c r="CO280" s="206"/>
      <c r="CP280" s="206"/>
      <c r="CQ280" s="8">
        <f t="shared" si="147"/>
        <v>3</v>
      </c>
      <c r="CR280" s="8">
        <f t="shared" si="148"/>
        <v>750</v>
      </c>
      <c r="CS280" s="8">
        <f t="shared" si="149"/>
        <v>209.21428571428572</v>
      </c>
      <c r="CT280">
        <f t="shared" si="150"/>
        <v>126.34691113027002</v>
      </c>
      <c r="CU280" s="143">
        <f t="shared" si="151"/>
        <v>37</v>
      </c>
      <c r="CV280" s="143">
        <f t="shared" si="152"/>
        <v>21</v>
      </c>
      <c r="CX280" s="7">
        <f t="shared" si="153"/>
        <v>23.7</v>
      </c>
      <c r="CY280" s="7">
        <f t="shared" si="154"/>
        <v>25.599999999999998</v>
      </c>
      <c r="CZ280" s="7">
        <f t="shared" si="155"/>
        <v>52.200000000000017</v>
      </c>
      <c r="DA280" s="7">
        <f t="shared" si="156"/>
        <v>75</v>
      </c>
      <c r="DB280" s="7">
        <f t="shared" si="157"/>
        <v>175</v>
      </c>
      <c r="DC280" s="7">
        <f t="shared" si="158"/>
        <v>200</v>
      </c>
      <c r="DD280" s="7">
        <f t="shared" si="159"/>
        <v>227.50000000000003</v>
      </c>
      <c r="DE280" s="7">
        <f t="shared" si="160"/>
        <v>325</v>
      </c>
      <c r="DF280" s="7">
        <f t="shared" si="161"/>
        <v>400</v>
      </c>
      <c r="DH280" s="7">
        <f t="shared" si="162"/>
        <v>5.9999999999999982</v>
      </c>
      <c r="DI280" s="7">
        <f t="shared" si="163"/>
        <v>12</v>
      </c>
      <c r="DJ280" s="7">
        <f t="shared" si="164"/>
        <v>15.000000000000002</v>
      </c>
      <c r="DK280" s="7">
        <f t="shared" si="165"/>
        <v>18</v>
      </c>
      <c r="DL280" s="7">
        <f t="shared" si="166"/>
        <v>30</v>
      </c>
      <c r="DM280" s="7">
        <f t="shared" si="167"/>
        <v>34.199999999999996</v>
      </c>
      <c r="DN280" s="7">
        <f t="shared" si="168"/>
        <v>36.300000000000004</v>
      </c>
      <c r="DO280" s="7">
        <f t="shared" si="169"/>
        <v>90.25</v>
      </c>
      <c r="DP280" s="7">
        <f t="shared" si="170"/>
        <v>154.14999999999998</v>
      </c>
      <c r="FK280" s="190" t="s">
        <v>660</v>
      </c>
      <c r="FL280" s="191">
        <v>2017</v>
      </c>
      <c r="FM280" s="190" t="s">
        <v>656</v>
      </c>
      <c r="FN280" s="190" t="s">
        <v>635</v>
      </c>
      <c r="FO280" s="191">
        <v>4</v>
      </c>
      <c r="FP280" s="190" t="s">
        <v>501</v>
      </c>
      <c r="FQ280" s="191" t="b">
        <v>1</v>
      </c>
      <c r="FR280" s="191">
        <v>30</v>
      </c>
    </row>
    <row r="281" spans="1:174" ht="25.5" hidden="1" customHeight="1" x14ac:dyDescent="0.3">
      <c r="A281" s="92"/>
      <c r="B281" s="92"/>
      <c r="C281" s="93" t="str">
        <f t="shared" si="144"/>
        <v>MEARES CREEK_Chum</v>
      </c>
      <c r="D281" s="128" t="s">
        <v>598</v>
      </c>
      <c r="E281" s="128" t="s">
        <v>598</v>
      </c>
      <c r="F281" s="64">
        <v>24</v>
      </c>
      <c r="G281" s="72" t="s">
        <v>635</v>
      </c>
      <c r="H281" s="65" t="s">
        <v>96</v>
      </c>
      <c r="I281" s="119"/>
      <c r="J281" s="119"/>
      <c r="K281" s="64"/>
      <c r="L281" s="52"/>
      <c r="M281" s="52"/>
      <c r="N281" s="52"/>
      <c r="O281" s="52"/>
      <c r="P281" s="52"/>
      <c r="Q281" s="66"/>
      <c r="R281" s="37"/>
      <c r="S281" s="74"/>
      <c r="T281" s="81">
        <f t="shared" si="145"/>
        <v>2</v>
      </c>
      <c r="U281" s="81">
        <f t="shared" si="146"/>
        <v>48.5</v>
      </c>
      <c r="V281" s="232" t="s">
        <v>263</v>
      </c>
      <c r="W281" s="52"/>
      <c r="X281" s="52">
        <v>2</v>
      </c>
      <c r="Y281" s="52"/>
      <c r="Z281" s="52" t="s">
        <v>102</v>
      </c>
      <c r="AA281" s="52">
        <v>30</v>
      </c>
      <c r="AB281" s="52">
        <v>88</v>
      </c>
      <c r="AC281" s="52"/>
      <c r="AD281" s="52">
        <v>74</v>
      </c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1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206"/>
      <c r="CO281" s="206"/>
      <c r="CP281" s="206"/>
      <c r="CQ281" s="8">
        <f t="shared" si="147"/>
        <v>2</v>
      </c>
      <c r="CR281" s="8">
        <f t="shared" si="148"/>
        <v>88</v>
      </c>
      <c r="CS281" s="8">
        <f t="shared" si="149"/>
        <v>48.5</v>
      </c>
      <c r="CT281">
        <f t="shared" si="150"/>
        <v>25.001519861395664</v>
      </c>
      <c r="CU281" s="143">
        <f t="shared" si="151"/>
        <v>2</v>
      </c>
      <c r="CV281" s="143">
        <f t="shared" si="152"/>
        <v>48.5</v>
      </c>
      <c r="CX281" s="7">
        <f t="shared" si="153"/>
        <v>6.1999999999999975</v>
      </c>
      <c r="CY281" s="7">
        <f t="shared" si="154"/>
        <v>14.599999999999998</v>
      </c>
      <c r="CZ281" s="7">
        <f t="shared" si="155"/>
        <v>18.800000000000004</v>
      </c>
      <c r="DA281" s="7">
        <f t="shared" si="156"/>
        <v>23</v>
      </c>
      <c r="DB281" s="7">
        <f t="shared" si="157"/>
        <v>52</v>
      </c>
      <c r="DC281" s="7">
        <f t="shared" si="158"/>
        <v>65.199999999999989</v>
      </c>
      <c r="DD281" s="7">
        <f t="shared" si="159"/>
        <v>71.800000000000011</v>
      </c>
      <c r="DE281" s="7">
        <f t="shared" si="160"/>
        <v>77.5</v>
      </c>
      <c r="DF281" s="7">
        <f t="shared" si="161"/>
        <v>81.7</v>
      </c>
      <c r="DH281" s="7">
        <f t="shared" si="162"/>
        <v>6.1999999999999975</v>
      </c>
      <c r="DI281" s="7">
        <f t="shared" si="163"/>
        <v>14.599999999999998</v>
      </c>
      <c r="DJ281" s="7">
        <f t="shared" si="164"/>
        <v>18.800000000000004</v>
      </c>
      <c r="DK281" s="7">
        <f t="shared" si="165"/>
        <v>23</v>
      </c>
      <c r="DL281" s="7">
        <f t="shared" si="166"/>
        <v>52</v>
      </c>
      <c r="DM281" s="7">
        <f t="shared" si="167"/>
        <v>65.199999999999989</v>
      </c>
      <c r="DN281" s="7">
        <f t="shared" si="168"/>
        <v>71.800000000000011</v>
      </c>
      <c r="DO281" s="7">
        <f t="shared" si="169"/>
        <v>77.5</v>
      </c>
      <c r="DP281" s="7">
        <f t="shared" si="170"/>
        <v>81.7</v>
      </c>
      <c r="FK281" s="190" t="s">
        <v>661</v>
      </c>
      <c r="FL281" s="191">
        <v>2017</v>
      </c>
      <c r="FM281" s="190" t="s">
        <v>656</v>
      </c>
      <c r="FN281" s="190" t="s">
        <v>200</v>
      </c>
      <c r="FO281" s="191">
        <v>1</v>
      </c>
      <c r="FP281" s="190" t="s">
        <v>653</v>
      </c>
      <c r="FQ281" s="191" t="b">
        <v>1</v>
      </c>
      <c r="FR281" s="192">
        <v>2489</v>
      </c>
    </row>
    <row r="282" spans="1:174" ht="25.5" hidden="1" customHeight="1" x14ac:dyDescent="0.3">
      <c r="A282" s="92"/>
      <c r="B282" s="92"/>
      <c r="C282" s="93" t="str">
        <f t="shared" si="144"/>
        <v>MEARES CREEK_Coho</v>
      </c>
      <c r="D282" s="128" t="s">
        <v>598</v>
      </c>
      <c r="E282" s="128" t="s">
        <v>598</v>
      </c>
      <c r="F282" s="64">
        <v>24</v>
      </c>
      <c r="G282" s="72" t="s">
        <v>635</v>
      </c>
      <c r="H282" s="65" t="s">
        <v>93</v>
      </c>
      <c r="I282" s="119"/>
      <c r="J282" s="119"/>
      <c r="K282" s="64"/>
      <c r="L282" s="52"/>
      <c r="M282" s="52"/>
      <c r="N282" s="52"/>
      <c r="O282" s="52"/>
      <c r="P282" s="52"/>
      <c r="Q282" s="66"/>
      <c r="R282" s="37"/>
      <c r="S282" s="74"/>
      <c r="T282" s="81" t="e">
        <f t="shared" si="145"/>
        <v>#DIV/0!</v>
      </c>
      <c r="U282" s="81">
        <f t="shared" si="146"/>
        <v>3</v>
      </c>
      <c r="V282" s="232" t="s">
        <v>262</v>
      </c>
      <c r="W282" s="52"/>
      <c r="X282" s="52" t="s">
        <v>262</v>
      </c>
      <c r="Y282" s="52"/>
      <c r="Z282" s="52" t="s">
        <v>102</v>
      </c>
      <c r="AA282" s="52" t="s">
        <v>263</v>
      </c>
      <c r="AB282" s="52">
        <v>3</v>
      </c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1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206"/>
      <c r="CO282" s="206"/>
      <c r="CP282" s="206"/>
      <c r="CQ282" s="8">
        <f t="shared" si="147"/>
        <v>3</v>
      </c>
      <c r="CR282" s="8">
        <f t="shared" si="148"/>
        <v>3</v>
      </c>
      <c r="CS282" s="8">
        <f t="shared" si="149"/>
        <v>3</v>
      </c>
      <c r="CT282">
        <f t="shared" si="150"/>
        <v>3</v>
      </c>
      <c r="CU282" s="143" t="e">
        <f t="shared" si="151"/>
        <v>#DIV/0!</v>
      </c>
      <c r="CV282" s="143">
        <f t="shared" si="152"/>
        <v>3</v>
      </c>
      <c r="CX282" s="7">
        <f t="shared" si="153"/>
        <v>3</v>
      </c>
      <c r="CY282" s="7">
        <f t="shared" si="154"/>
        <v>3</v>
      </c>
      <c r="CZ282" s="7">
        <f t="shared" si="155"/>
        <v>3</v>
      </c>
      <c r="DA282" s="7">
        <f t="shared" si="156"/>
        <v>3</v>
      </c>
      <c r="DB282" s="7">
        <f t="shared" si="157"/>
        <v>3</v>
      </c>
      <c r="DC282" s="7">
        <f t="shared" si="158"/>
        <v>3</v>
      </c>
      <c r="DD282" s="7">
        <f t="shared" si="159"/>
        <v>3</v>
      </c>
      <c r="DE282" s="7">
        <f t="shared" si="160"/>
        <v>3</v>
      </c>
      <c r="DF282" s="7">
        <f t="shared" si="161"/>
        <v>3</v>
      </c>
      <c r="DH282" s="7">
        <f t="shared" si="162"/>
        <v>3</v>
      </c>
      <c r="DI282" s="7">
        <f t="shared" si="163"/>
        <v>3</v>
      </c>
      <c r="DJ282" s="7">
        <f t="shared" si="164"/>
        <v>3</v>
      </c>
      <c r="DK282" s="7">
        <f t="shared" si="165"/>
        <v>3</v>
      </c>
      <c r="DL282" s="7">
        <f t="shared" si="166"/>
        <v>3</v>
      </c>
      <c r="DM282" s="7">
        <f t="shared" si="167"/>
        <v>3</v>
      </c>
      <c r="DN282" s="7">
        <f t="shared" si="168"/>
        <v>3</v>
      </c>
      <c r="DO282" s="7">
        <f t="shared" si="169"/>
        <v>3</v>
      </c>
      <c r="DP282" s="7">
        <f t="shared" si="170"/>
        <v>3</v>
      </c>
      <c r="FK282" s="190" t="s">
        <v>661</v>
      </c>
      <c r="FL282" s="191">
        <v>2017</v>
      </c>
      <c r="FM282" s="190" t="s">
        <v>656</v>
      </c>
      <c r="FN282" s="190" t="s">
        <v>200</v>
      </c>
      <c r="FO282" s="191">
        <v>2</v>
      </c>
      <c r="FP282" s="190" t="s">
        <v>654</v>
      </c>
      <c r="FQ282" s="191" t="b">
        <v>0</v>
      </c>
      <c r="FR282" s="192">
        <v>902</v>
      </c>
    </row>
    <row r="283" spans="1:174" ht="25.5" customHeight="1" x14ac:dyDescent="0.3">
      <c r="A283" s="92" t="str">
        <f t="shared" ref="A283:A292" si="171">VLOOKUP(C283,CU,6,FALSE)</f>
        <v>CK-SWVI [31]</v>
      </c>
      <c r="B283" s="92" t="str">
        <f t="shared" ref="B283:B292" si="172">VLOOKUP(C283,CU,7,FALSE)</f>
        <v>Southwest Vancouver Island</v>
      </c>
      <c r="C283" s="93" t="str">
        <f t="shared" si="144"/>
        <v>MEGIN RIVER_Chinook</v>
      </c>
      <c r="D283" s="128" t="s">
        <v>598</v>
      </c>
      <c r="E283" s="128" t="s">
        <v>599</v>
      </c>
      <c r="F283" s="64">
        <v>24</v>
      </c>
      <c r="G283" s="72" t="s">
        <v>200</v>
      </c>
      <c r="H283" s="65" t="s">
        <v>97</v>
      </c>
      <c r="I283" s="119"/>
      <c r="J283" s="119"/>
      <c r="K283" s="64">
        <v>3</v>
      </c>
      <c r="L283" s="52">
        <v>10</v>
      </c>
      <c r="M283" s="52">
        <v>10</v>
      </c>
      <c r="N283" s="52">
        <f t="shared" ref="N283:N292" si="173">GEOMEAN(AJ283:AW283)</f>
        <v>84.892886260049281</v>
      </c>
      <c r="O283" s="52">
        <f t="shared" ref="O283:O292" si="174">MAX(AJ283:CM283)</f>
        <v>1500</v>
      </c>
      <c r="P283" s="52">
        <f t="shared" ref="P283:P292" si="175">GEOMEAN(AJ283:CM283)</f>
        <v>108.88252178031614</v>
      </c>
      <c r="Q283" s="66" t="s">
        <v>270</v>
      </c>
      <c r="R283" s="37"/>
      <c r="S283" s="74" t="s">
        <v>1</v>
      </c>
      <c r="T283" s="81">
        <f t="shared" si="145"/>
        <v>34.5</v>
      </c>
      <c r="U283" s="81">
        <f t="shared" si="146"/>
        <v>42.5</v>
      </c>
      <c r="V283" s="233">
        <v>87</v>
      </c>
      <c r="W283" s="52">
        <v>23</v>
      </c>
      <c r="X283" s="52">
        <v>14</v>
      </c>
      <c r="Y283" s="177">
        <v>14</v>
      </c>
      <c r="Z283" s="177">
        <v>7</v>
      </c>
      <c r="AA283" s="52">
        <v>61</v>
      </c>
      <c r="AB283" s="52">
        <v>17</v>
      </c>
      <c r="AC283" s="52">
        <v>49</v>
      </c>
      <c r="AD283" s="52">
        <v>37</v>
      </c>
      <c r="AE283" s="144">
        <v>73</v>
      </c>
      <c r="AF283" s="144">
        <v>80</v>
      </c>
      <c r="AG283" s="144">
        <v>48</v>
      </c>
      <c r="AH283" s="179">
        <v>9</v>
      </c>
      <c r="AI283" s="179">
        <v>15</v>
      </c>
      <c r="AJ283" s="53">
        <v>24</v>
      </c>
      <c r="AK283" s="177">
        <v>13</v>
      </c>
      <c r="AL283" s="89">
        <v>117</v>
      </c>
      <c r="AM283" s="177">
        <v>36</v>
      </c>
      <c r="AN283" s="52">
        <v>72</v>
      </c>
      <c r="AO283" s="179">
        <v>28</v>
      </c>
      <c r="AP283" s="53">
        <v>23</v>
      </c>
      <c r="AQ283" s="179" t="s">
        <v>263</v>
      </c>
      <c r="AR283" s="179">
        <v>160</v>
      </c>
      <c r="AS283" s="177">
        <v>234</v>
      </c>
      <c r="AT283" s="177">
        <v>370</v>
      </c>
      <c r="AU283" s="177">
        <v>266</v>
      </c>
      <c r="AV283" s="177">
        <v>164</v>
      </c>
      <c r="AW283" s="177">
        <v>323</v>
      </c>
      <c r="AX283" s="178">
        <v>841</v>
      </c>
      <c r="AY283" s="179">
        <v>436</v>
      </c>
      <c r="AZ283" s="179">
        <v>150</v>
      </c>
      <c r="BA283" s="179">
        <v>10</v>
      </c>
      <c r="BB283" s="179" t="s">
        <v>264</v>
      </c>
      <c r="BC283" s="179">
        <v>26</v>
      </c>
      <c r="BD283" s="179">
        <v>30</v>
      </c>
      <c r="BE283" s="179">
        <v>25</v>
      </c>
      <c r="BF283" s="179">
        <v>30</v>
      </c>
      <c r="BG283" s="179" t="s">
        <v>262</v>
      </c>
      <c r="BH283" s="179" t="s">
        <v>264</v>
      </c>
      <c r="BI283" s="179" t="s">
        <v>264</v>
      </c>
      <c r="BJ283" s="179">
        <v>100</v>
      </c>
      <c r="BK283" s="179">
        <v>150</v>
      </c>
      <c r="BL283" s="179">
        <v>160</v>
      </c>
      <c r="BM283" s="179">
        <v>50</v>
      </c>
      <c r="BN283" s="179">
        <v>6</v>
      </c>
      <c r="BO283" s="179">
        <v>50</v>
      </c>
      <c r="BP283" s="179">
        <v>50</v>
      </c>
      <c r="BQ283" s="179">
        <v>25</v>
      </c>
      <c r="BR283" s="179">
        <v>75</v>
      </c>
      <c r="BS283" s="179">
        <v>75</v>
      </c>
      <c r="BT283" s="179">
        <v>25</v>
      </c>
      <c r="BU283" s="179">
        <v>75</v>
      </c>
      <c r="BV283" s="179">
        <v>25</v>
      </c>
      <c r="BW283" s="179">
        <v>25</v>
      </c>
      <c r="BX283" s="179">
        <v>10</v>
      </c>
      <c r="BY283" s="179">
        <v>25</v>
      </c>
      <c r="BZ283" s="179">
        <v>200</v>
      </c>
      <c r="CA283" s="179">
        <v>50</v>
      </c>
      <c r="CB283" s="179">
        <v>300</v>
      </c>
      <c r="CC283" s="179">
        <v>50</v>
      </c>
      <c r="CD283" s="179">
        <v>750</v>
      </c>
      <c r="CE283" s="179">
        <v>750</v>
      </c>
      <c r="CF283" s="179">
        <v>750</v>
      </c>
      <c r="CG283" s="179">
        <v>1500</v>
      </c>
      <c r="CH283" s="179">
        <v>750</v>
      </c>
      <c r="CI283" s="179">
        <v>1500</v>
      </c>
      <c r="CJ283" s="179">
        <v>1500</v>
      </c>
      <c r="CK283" s="179">
        <v>1500</v>
      </c>
      <c r="CL283" s="179">
        <v>750</v>
      </c>
      <c r="CM283" s="179">
        <v>1500</v>
      </c>
      <c r="CN283" s="206"/>
      <c r="CO283" s="206"/>
      <c r="CP283" s="206"/>
      <c r="CQ283" s="8">
        <f t="shared" si="147"/>
        <v>6</v>
      </c>
      <c r="CR283" s="8">
        <f t="shared" si="148"/>
        <v>1500</v>
      </c>
      <c r="CS283" s="8">
        <f t="shared" si="149"/>
        <v>256.73846153846154</v>
      </c>
      <c r="CT283">
        <f t="shared" si="150"/>
        <v>81.356890907922221</v>
      </c>
      <c r="CU283" s="143">
        <f t="shared" si="151"/>
        <v>29</v>
      </c>
      <c r="CV283" s="143">
        <f t="shared" si="152"/>
        <v>42.5</v>
      </c>
      <c r="CX283" s="7">
        <f t="shared" si="153"/>
        <v>10</v>
      </c>
      <c r="CY283" s="7">
        <f t="shared" si="154"/>
        <v>20.599999999999998</v>
      </c>
      <c r="CZ283" s="7">
        <f t="shared" si="155"/>
        <v>24.8</v>
      </c>
      <c r="DA283" s="7">
        <f t="shared" si="156"/>
        <v>25</v>
      </c>
      <c r="DB283" s="7">
        <f t="shared" si="157"/>
        <v>61</v>
      </c>
      <c r="DC283" s="7">
        <f t="shared" si="158"/>
        <v>82.799999999999983</v>
      </c>
      <c r="DD283" s="7">
        <f t="shared" si="159"/>
        <v>136.80000000000004</v>
      </c>
      <c r="DE283" s="7">
        <f t="shared" si="160"/>
        <v>234</v>
      </c>
      <c r="DF283" s="7">
        <f t="shared" si="161"/>
        <v>750</v>
      </c>
      <c r="DH283" s="7">
        <f t="shared" si="162"/>
        <v>10.199999999999999</v>
      </c>
      <c r="DI283" s="7">
        <f t="shared" si="163"/>
        <v>14</v>
      </c>
      <c r="DJ283" s="7">
        <f t="shared" si="164"/>
        <v>15.4</v>
      </c>
      <c r="DK283" s="7">
        <f t="shared" si="165"/>
        <v>20</v>
      </c>
      <c r="DL283" s="7">
        <f t="shared" si="166"/>
        <v>48</v>
      </c>
      <c r="DM283" s="7">
        <f t="shared" si="167"/>
        <v>67.600000000000023</v>
      </c>
      <c r="DN283" s="7">
        <f t="shared" si="168"/>
        <v>72.900000000000006</v>
      </c>
      <c r="DO283" s="7">
        <f t="shared" si="169"/>
        <v>102</v>
      </c>
      <c r="DP283" s="7">
        <f t="shared" si="170"/>
        <v>170.99999999999986</v>
      </c>
      <c r="FK283" s="190" t="s">
        <v>661</v>
      </c>
      <c r="FL283" s="191">
        <v>2017</v>
      </c>
      <c r="FM283" s="190" t="s">
        <v>656</v>
      </c>
      <c r="FN283" s="190" t="s">
        <v>200</v>
      </c>
      <c r="FO283" s="191">
        <v>3</v>
      </c>
      <c r="FP283" s="190" t="s">
        <v>655</v>
      </c>
      <c r="FQ283" s="191" t="b">
        <v>1</v>
      </c>
      <c r="FR283" s="192">
        <v>5</v>
      </c>
    </row>
    <row r="284" spans="1:174" ht="25.5" hidden="1" customHeight="1" x14ac:dyDescent="0.3">
      <c r="A284" s="92" t="str">
        <f t="shared" si="171"/>
        <v>CM-SWVI [10]</v>
      </c>
      <c r="B284" s="92" t="str">
        <f t="shared" si="172"/>
        <v>Southwest Vancouver Island</v>
      </c>
      <c r="C284" s="93" t="str">
        <f t="shared" si="144"/>
        <v>MEGIN RIVER_Chum</v>
      </c>
      <c r="D284" s="128" t="s">
        <v>598</v>
      </c>
      <c r="E284" s="128" t="s">
        <v>598</v>
      </c>
      <c r="F284" s="64">
        <v>24</v>
      </c>
      <c r="G284" s="72" t="s">
        <v>200</v>
      </c>
      <c r="H284" s="65" t="s">
        <v>96</v>
      </c>
      <c r="I284" s="119"/>
      <c r="J284" s="119"/>
      <c r="K284" s="64">
        <v>3</v>
      </c>
      <c r="L284" s="52">
        <v>11</v>
      </c>
      <c r="M284" s="52">
        <v>11</v>
      </c>
      <c r="N284" s="52">
        <f t="shared" si="173"/>
        <v>1790.7143357708367</v>
      </c>
      <c r="O284" s="52">
        <f t="shared" si="174"/>
        <v>30000</v>
      </c>
      <c r="P284" s="52">
        <f t="shared" si="175"/>
        <v>3399.1464183945409</v>
      </c>
      <c r="Q284" s="66" t="s">
        <v>270</v>
      </c>
      <c r="R284" s="37"/>
      <c r="S284" s="74" t="s">
        <v>1</v>
      </c>
      <c r="T284" s="81">
        <f t="shared" si="145"/>
        <v>58.75</v>
      </c>
      <c r="U284" s="81">
        <f t="shared" si="146"/>
        <v>885.5</v>
      </c>
      <c r="V284" s="233">
        <v>118</v>
      </c>
      <c r="W284" s="52">
        <v>52</v>
      </c>
      <c r="X284" s="52">
        <v>10</v>
      </c>
      <c r="Y284" s="52">
        <v>55</v>
      </c>
      <c r="Z284" s="52">
        <v>26</v>
      </c>
      <c r="AA284" s="52">
        <v>412</v>
      </c>
      <c r="AB284" s="52">
        <v>383</v>
      </c>
      <c r="AC284" s="52">
        <v>619</v>
      </c>
      <c r="AD284" s="52">
        <v>1061</v>
      </c>
      <c r="AE284" s="144">
        <v>1065</v>
      </c>
      <c r="AF284" s="144">
        <v>1558</v>
      </c>
      <c r="AG284" s="144">
        <v>5267</v>
      </c>
      <c r="AH284" s="53">
        <v>414</v>
      </c>
      <c r="AI284" s="53">
        <v>205</v>
      </c>
      <c r="AJ284" s="53">
        <v>525</v>
      </c>
      <c r="AK284" s="52">
        <v>323</v>
      </c>
      <c r="AL284" s="89">
        <v>9036</v>
      </c>
      <c r="AM284" s="52">
        <v>97</v>
      </c>
      <c r="AN284" s="53">
        <v>2204</v>
      </c>
      <c r="AO284" s="53">
        <v>3119</v>
      </c>
      <c r="AP284" s="53">
        <v>3346</v>
      </c>
      <c r="AQ284" s="53">
        <v>4332</v>
      </c>
      <c r="AR284" s="53">
        <v>1642</v>
      </c>
      <c r="AS284" s="52">
        <v>4383</v>
      </c>
      <c r="AT284" s="52">
        <v>12217</v>
      </c>
      <c r="AU284" s="52">
        <v>2673</v>
      </c>
      <c r="AV284" s="52">
        <v>1201</v>
      </c>
      <c r="AW284" s="52">
        <v>834</v>
      </c>
      <c r="AX284" s="51">
        <v>17000</v>
      </c>
      <c r="AY284" s="53">
        <v>4000</v>
      </c>
      <c r="AZ284" s="53">
        <v>4500</v>
      </c>
      <c r="BA284" s="53">
        <v>5000</v>
      </c>
      <c r="BB284" s="53">
        <v>500</v>
      </c>
      <c r="BC284" s="53">
        <v>1300</v>
      </c>
      <c r="BD284" s="53">
        <v>2500</v>
      </c>
      <c r="BE284" s="53">
        <v>3000</v>
      </c>
      <c r="BF284" s="53">
        <v>9000</v>
      </c>
      <c r="BG284" s="53">
        <v>6000</v>
      </c>
      <c r="BH284" s="53">
        <v>6500</v>
      </c>
      <c r="BI284" s="53">
        <v>5000</v>
      </c>
      <c r="BJ284" s="53">
        <v>13000</v>
      </c>
      <c r="BK284" s="53">
        <v>5000</v>
      </c>
      <c r="BL284" s="53">
        <v>22000</v>
      </c>
      <c r="BM284" s="53">
        <v>4800</v>
      </c>
      <c r="BN284" s="53">
        <v>30000</v>
      </c>
      <c r="BO284" s="53">
        <v>12000</v>
      </c>
      <c r="BP284" s="53">
        <v>11700</v>
      </c>
      <c r="BQ284" s="53">
        <v>2000</v>
      </c>
      <c r="BR284" s="53">
        <v>10000</v>
      </c>
      <c r="BS284" s="53">
        <v>3500</v>
      </c>
      <c r="BT284" s="53">
        <v>7500</v>
      </c>
      <c r="BU284" s="53">
        <v>1500</v>
      </c>
      <c r="BV284" s="53">
        <v>3500</v>
      </c>
      <c r="BW284" s="53">
        <v>3500</v>
      </c>
      <c r="BX284" s="53">
        <v>10000</v>
      </c>
      <c r="BY284" s="53">
        <v>3500</v>
      </c>
      <c r="BZ284" s="53">
        <v>75</v>
      </c>
      <c r="CA284" s="53">
        <v>400</v>
      </c>
      <c r="CB284" s="53">
        <v>2000</v>
      </c>
      <c r="CC284" s="53">
        <v>1000</v>
      </c>
      <c r="CD284" s="53">
        <v>7500</v>
      </c>
      <c r="CE284" s="53">
        <v>3500</v>
      </c>
      <c r="CF284" s="53">
        <v>15000</v>
      </c>
      <c r="CG284" s="53">
        <v>7500</v>
      </c>
      <c r="CH284" s="53">
        <v>7500</v>
      </c>
      <c r="CI284" s="53">
        <v>3500</v>
      </c>
      <c r="CJ284" s="53">
        <v>3500</v>
      </c>
      <c r="CK284" s="53">
        <v>1500</v>
      </c>
      <c r="CL284" s="53">
        <v>15000</v>
      </c>
      <c r="CM284" s="53">
        <v>3500</v>
      </c>
      <c r="CN284" s="206"/>
      <c r="CO284" s="206"/>
      <c r="CP284" s="206"/>
      <c r="CQ284" s="8">
        <f t="shared" si="147"/>
        <v>10</v>
      </c>
      <c r="CR284" s="8">
        <f t="shared" si="148"/>
        <v>30000</v>
      </c>
      <c r="CS284" s="8">
        <f t="shared" si="149"/>
        <v>4806.4571428571426</v>
      </c>
      <c r="CT284">
        <f t="shared" si="150"/>
        <v>2034.073895433846</v>
      </c>
      <c r="CU284" s="143">
        <f t="shared" si="151"/>
        <v>52.2</v>
      </c>
      <c r="CV284" s="143">
        <f t="shared" si="152"/>
        <v>885.5</v>
      </c>
      <c r="CX284" s="7">
        <f t="shared" si="153"/>
        <v>64</v>
      </c>
      <c r="CY284" s="7">
        <f t="shared" si="154"/>
        <v>404.2</v>
      </c>
      <c r="CZ284" s="7">
        <f t="shared" si="155"/>
        <v>520</v>
      </c>
      <c r="DA284" s="7">
        <f t="shared" si="156"/>
        <v>1015.25</v>
      </c>
      <c r="DB284" s="7">
        <f t="shared" si="157"/>
        <v>3500</v>
      </c>
      <c r="DC284" s="7">
        <f t="shared" si="158"/>
        <v>3699.9999999999991</v>
      </c>
      <c r="DD284" s="7">
        <f t="shared" si="159"/>
        <v>4482.45</v>
      </c>
      <c r="DE284" s="7">
        <f t="shared" si="160"/>
        <v>6375</v>
      </c>
      <c r="DF284" s="7">
        <f t="shared" si="161"/>
        <v>9662.5999999999985</v>
      </c>
      <c r="DH284" s="7">
        <f t="shared" si="162"/>
        <v>35.1</v>
      </c>
      <c r="DI284" s="7">
        <f t="shared" si="163"/>
        <v>98.05</v>
      </c>
      <c r="DJ284" s="7">
        <f t="shared" si="164"/>
        <v>152.80000000000004</v>
      </c>
      <c r="DK284" s="7">
        <f t="shared" si="165"/>
        <v>293.5</v>
      </c>
      <c r="DL284" s="7">
        <f t="shared" si="166"/>
        <v>947.5</v>
      </c>
      <c r="DM284" s="7">
        <f t="shared" si="167"/>
        <v>1272.3999999999996</v>
      </c>
      <c r="DN284" s="7">
        <f t="shared" si="168"/>
        <v>1604.2</v>
      </c>
      <c r="DO284" s="7">
        <f t="shared" si="169"/>
        <v>2784.5</v>
      </c>
      <c r="DP284" s="7">
        <f t="shared" si="170"/>
        <v>4282.6999999999989</v>
      </c>
      <c r="FK284" s="190" t="s">
        <v>661</v>
      </c>
      <c r="FL284" s="191">
        <v>2017</v>
      </c>
      <c r="FM284" s="190" t="s">
        <v>656</v>
      </c>
      <c r="FN284" s="190" t="s">
        <v>200</v>
      </c>
      <c r="FO284" s="191">
        <v>4</v>
      </c>
      <c r="FP284" s="190" t="s">
        <v>501</v>
      </c>
      <c r="FQ284" s="191" t="b">
        <v>1</v>
      </c>
      <c r="FR284" s="192">
        <v>412</v>
      </c>
    </row>
    <row r="285" spans="1:174" ht="25.5" hidden="1" customHeight="1" x14ac:dyDescent="0.3">
      <c r="A285" s="92" t="str">
        <f t="shared" si="171"/>
        <v>CO-CLAY [18]</v>
      </c>
      <c r="B285" s="92" t="str">
        <f t="shared" si="172"/>
        <v>Clayoquot</v>
      </c>
      <c r="C285" s="93" t="str">
        <f t="shared" si="144"/>
        <v>MEGIN RIVER_Coho</v>
      </c>
      <c r="D285" s="128" t="s">
        <v>598</v>
      </c>
      <c r="E285" s="128" t="s">
        <v>598</v>
      </c>
      <c r="F285" s="64">
        <v>24</v>
      </c>
      <c r="G285" s="72" t="s">
        <v>200</v>
      </c>
      <c r="H285" s="65" t="s">
        <v>93</v>
      </c>
      <c r="I285" s="119"/>
      <c r="J285" s="119"/>
      <c r="K285" s="64">
        <v>3</v>
      </c>
      <c r="L285" s="52">
        <v>11</v>
      </c>
      <c r="M285" s="52">
        <v>11</v>
      </c>
      <c r="N285" s="52">
        <f t="shared" si="173"/>
        <v>975.67661723956405</v>
      </c>
      <c r="O285" s="52">
        <f t="shared" si="174"/>
        <v>4000</v>
      </c>
      <c r="P285" s="52">
        <f t="shared" si="175"/>
        <v>569.98013109214764</v>
      </c>
      <c r="Q285" s="66" t="s">
        <v>270</v>
      </c>
      <c r="R285" s="37"/>
      <c r="S285" s="74" t="s">
        <v>1</v>
      </c>
      <c r="T285" s="81">
        <f t="shared" si="145"/>
        <v>1236.75</v>
      </c>
      <c r="U285" s="81">
        <f t="shared" si="146"/>
        <v>1205.5</v>
      </c>
      <c r="V285" s="233">
        <v>2107</v>
      </c>
      <c r="W285" s="52">
        <v>1199</v>
      </c>
      <c r="X285" s="52">
        <v>1322</v>
      </c>
      <c r="Y285" s="52">
        <v>319</v>
      </c>
      <c r="Z285" s="52">
        <v>300</v>
      </c>
      <c r="AA285" s="52">
        <v>902</v>
      </c>
      <c r="AB285" s="52">
        <v>269</v>
      </c>
      <c r="AC285" s="52">
        <v>260</v>
      </c>
      <c r="AD285" s="52">
        <v>989</v>
      </c>
      <c r="AE285" s="144">
        <v>1796</v>
      </c>
      <c r="AF285" s="144">
        <v>3242</v>
      </c>
      <c r="AG285" s="144">
        <v>1761</v>
      </c>
      <c r="AH285" s="53">
        <v>786</v>
      </c>
      <c r="AI285" s="53">
        <v>825</v>
      </c>
      <c r="AJ285" s="53">
        <v>583</v>
      </c>
      <c r="AK285" s="52">
        <v>441</v>
      </c>
      <c r="AL285" s="89">
        <v>595</v>
      </c>
      <c r="AM285" s="52">
        <v>901</v>
      </c>
      <c r="AN285" s="52">
        <v>1105</v>
      </c>
      <c r="AO285" s="53">
        <v>1289</v>
      </c>
      <c r="AP285" s="53">
        <v>3911</v>
      </c>
      <c r="AQ285" s="53">
        <v>1115</v>
      </c>
      <c r="AR285" s="53">
        <v>1207</v>
      </c>
      <c r="AS285" s="52">
        <v>1606</v>
      </c>
      <c r="AT285" s="52">
        <v>2007</v>
      </c>
      <c r="AU285" s="52">
        <v>649</v>
      </c>
      <c r="AV285" s="52">
        <v>357</v>
      </c>
      <c r="AW285" s="52">
        <v>918</v>
      </c>
      <c r="AX285" s="51">
        <v>132</v>
      </c>
      <c r="AY285" s="53">
        <v>50</v>
      </c>
      <c r="AZ285" s="53">
        <v>50</v>
      </c>
      <c r="BA285" s="53">
        <v>125</v>
      </c>
      <c r="BB285" s="53" t="s">
        <v>264</v>
      </c>
      <c r="BC285" s="53">
        <v>25</v>
      </c>
      <c r="BD285" s="53" t="s">
        <v>262</v>
      </c>
      <c r="BE285" s="53">
        <v>50</v>
      </c>
      <c r="BF285" s="53">
        <v>300</v>
      </c>
      <c r="BG285" s="53">
        <v>100</v>
      </c>
      <c r="BH285" s="53" t="s">
        <v>264</v>
      </c>
      <c r="BI285" s="53" t="s">
        <v>264</v>
      </c>
      <c r="BJ285" s="53" t="s">
        <v>264</v>
      </c>
      <c r="BK285" s="53">
        <v>50</v>
      </c>
      <c r="BL285" s="53">
        <v>150</v>
      </c>
      <c r="BM285" s="53">
        <v>300</v>
      </c>
      <c r="BN285" s="53">
        <v>500</v>
      </c>
      <c r="BO285" s="53">
        <v>400</v>
      </c>
      <c r="BP285" s="53">
        <v>250</v>
      </c>
      <c r="BQ285" s="53">
        <v>750</v>
      </c>
      <c r="BR285" s="53">
        <v>400</v>
      </c>
      <c r="BS285" s="53">
        <v>400</v>
      </c>
      <c r="BT285" s="53">
        <v>400</v>
      </c>
      <c r="BU285" s="53">
        <v>200</v>
      </c>
      <c r="BV285" s="53">
        <v>750</v>
      </c>
      <c r="BW285" s="53">
        <v>400</v>
      </c>
      <c r="BX285" s="53">
        <v>85</v>
      </c>
      <c r="BY285" s="53">
        <v>75</v>
      </c>
      <c r="BZ285" s="53">
        <v>1500</v>
      </c>
      <c r="CA285" s="53">
        <v>3000</v>
      </c>
      <c r="CB285" s="53">
        <v>4000</v>
      </c>
      <c r="CC285" s="53">
        <v>800</v>
      </c>
      <c r="CD285" s="53">
        <v>3500</v>
      </c>
      <c r="CE285" s="53">
        <v>3500</v>
      </c>
      <c r="CF285" s="53">
        <v>750</v>
      </c>
      <c r="CG285" s="53">
        <v>3500</v>
      </c>
      <c r="CH285" s="53">
        <v>3500</v>
      </c>
      <c r="CI285" s="53">
        <v>3500</v>
      </c>
      <c r="CJ285" s="53">
        <v>3500</v>
      </c>
      <c r="CK285" s="53">
        <v>3500</v>
      </c>
      <c r="CL285" s="53">
        <v>1500</v>
      </c>
      <c r="CM285" s="53">
        <v>1500</v>
      </c>
      <c r="CN285" s="206"/>
      <c r="CO285" s="206"/>
      <c r="CP285" s="206"/>
      <c r="CQ285" s="8">
        <f t="shared" si="147"/>
        <v>25</v>
      </c>
      <c r="CR285" s="8">
        <f t="shared" si="148"/>
        <v>4000</v>
      </c>
      <c r="CS285" s="8">
        <f t="shared" si="149"/>
        <v>1173.123076923077</v>
      </c>
      <c r="CT285">
        <f t="shared" si="150"/>
        <v>623.65433210027561</v>
      </c>
      <c r="CU285" s="143">
        <f t="shared" si="151"/>
        <v>1049.4000000000001</v>
      </c>
      <c r="CV285" s="143">
        <f t="shared" si="152"/>
        <v>1205.5</v>
      </c>
      <c r="CX285" s="7">
        <f t="shared" si="153"/>
        <v>50</v>
      </c>
      <c r="CY285" s="7">
        <f t="shared" si="154"/>
        <v>142.79999999999998</v>
      </c>
      <c r="CZ285" s="7">
        <f t="shared" si="155"/>
        <v>258</v>
      </c>
      <c r="DA285" s="7">
        <f t="shared" si="156"/>
        <v>300</v>
      </c>
      <c r="DB285" s="7">
        <f t="shared" si="157"/>
        <v>750</v>
      </c>
      <c r="DC285" s="7">
        <f t="shared" si="158"/>
        <v>946.39999999999986</v>
      </c>
      <c r="DD285" s="7">
        <f t="shared" si="159"/>
        <v>1165.4000000000001</v>
      </c>
      <c r="DE285" s="7">
        <f t="shared" si="160"/>
        <v>1500</v>
      </c>
      <c r="DF285" s="7">
        <f t="shared" si="161"/>
        <v>3096.7999999999997</v>
      </c>
      <c r="DH285" s="7">
        <f t="shared" si="162"/>
        <v>279.85000000000002</v>
      </c>
      <c r="DI285" s="7">
        <f t="shared" si="163"/>
        <v>361.2</v>
      </c>
      <c r="DJ285" s="7">
        <f t="shared" si="164"/>
        <v>497.80000000000007</v>
      </c>
      <c r="DK285" s="7">
        <f t="shared" si="165"/>
        <v>592</v>
      </c>
      <c r="DL285" s="7">
        <f t="shared" si="166"/>
        <v>953.5</v>
      </c>
      <c r="DM285" s="7">
        <f t="shared" si="167"/>
        <v>1131.8</v>
      </c>
      <c r="DN285" s="7">
        <f t="shared" si="168"/>
        <v>1203.4000000000001</v>
      </c>
      <c r="DO285" s="7">
        <f t="shared" si="169"/>
        <v>1393</v>
      </c>
      <c r="DP285" s="7">
        <f t="shared" si="170"/>
        <v>1794.25</v>
      </c>
      <c r="FK285" s="190" t="s">
        <v>661</v>
      </c>
      <c r="FL285" s="191">
        <v>2017</v>
      </c>
      <c r="FM285" s="190" t="s">
        <v>656</v>
      </c>
      <c r="FN285" s="190" t="s">
        <v>200</v>
      </c>
      <c r="FO285" s="191">
        <v>5</v>
      </c>
      <c r="FP285" s="190" t="s">
        <v>499</v>
      </c>
      <c r="FQ285" s="191" t="b">
        <v>1</v>
      </c>
      <c r="FR285" s="192">
        <v>61</v>
      </c>
    </row>
    <row r="286" spans="1:174" ht="25.5" hidden="1" customHeight="1" x14ac:dyDescent="0.3">
      <c r="A286" s="92" t="str">
        <f t="shared" si="171"/>
        <v>Pkodd-WVI [6]</v>
      </c>
      <c r="B286" s="92" t="str">
        <f t="shared" si="172"/>
        <v>West Vancouver Island</v>
      </c>
      <c r="C286" s="93" t="str">
        <f t="shared" si="144"/>
        <v>MEGIN RIVER_Pink</v>
      </c>
      <c r="D286" s="128" t="s">
        <v>598</v>
      </c>
      <c r="E286" s="128" t="s">
        <v>598</v>
      </c>
      <c r="F286" s="64">
        <v>24</v>
      </c>
      <c r="G286" s="72" t="s">
        <v>200</v>
      </c>
      <c r="H286" s="65" t="s">
        <v>95</v>
      </c>
      <c r="I286" s="119"/>
      <c r="J286" s="119"/>
      <c r="K286" s="64">
        <v>3</v>
      </c>
      <c r="L286" s="52">
        <v>11</v>
      </c>
      <c r="M286" s="52">
        <v>6</v>
      </c>
      <c r="N286" s="52">
        <f t="shared" si="173"/>
        <v>4.9877967249083053</v>
      </c>
      <c r="O286" s="52">
        <f t="shared" si="174"/>
        <v>3500</v>
      </c>
      <c r="P286" s="52">
        <f t="shared" si="175"/>
        <v>71.002603477899754</v>
      </c>
      <c r="Q286" s="66" t="s">
        <v>270</v>
      </c>
      <c r="R286" s="37"/>
      <c r="S286" s="74"/>
      <c r="T286" s="81">
        <f t="shared" si="145"/>
        <v>1</v>
      </c>
      <c r="U286" s="81">
        <f t="shared" si="146"/>
        <v>25.2</v>
      </c>
      <c r="V286" s="232" t="s">
        <v>262</v>
      </c>
      <c r="W286" s="52">
        <v>1</v>
      </c>
      <c r="X286" s="52" t="s">
        <v>262</v>
      </c>
      <c r="Y286" s="52" t="s">
        <v>262</v>
      </c>
      <c r="Z286" s="52" t="s">
        <v>262</v>
      </c>
      <c r="AA286" s="52">
        <v>5</v>
      </c>
      <c r="AB286" s="52" t="s">
        <v>262</v>
      </c>
      <c r="AC286" s="52">
        <v>36</v>
      </c>
      <c r="AD286" s="52" t="s">
        <v>262</v>
      </c>
      <c r="AE286" s="144">
        <v>63</v>
      </c>
      <c r="AF286" s="52" t="s">
        <v>263</v>
      </c>
      <c r="AG286" s="144">
        <v>21</v>
      </c>
      <c r="AH286" s="52" t="s">
        <v>262</v>
      </c>
      <c r="AI286" s="53">
        <v>13</v>
      </c>
      <c r="AJ286" s="53" t="s">
        <v>262</v>
      </c>
      <c r="AK286" s="52">
        <v>2</v>
      </c>
      <c r="AL286" s="89" t="s">
        <v>262</v>
      </c>
      <c r="AM286" s="52">
        <v>1</v>
      </c>
      <c r="AN286" s="52" t="s">
        <v>262</v>
      </c>
      <c r="AO286" s="53">
        <v>4</v>
      </c>
      <c r="AP286" s="53" t="s">
        <v>262</v>
      </c>
      <c r="AQ286" s="53" t="s">
        <v>262</v>
      </c>
      <c r="AR286" s="53" t="s">
        <v>262</v>
      </c>
      <c r="AS286" s="52">
        <v>10</v>
      </c>
      <c r="AT286" s="52" t="s">
        <v>262</v>
      </c>
      <c r="AU286" s="52">
        <v>16</v>
      </c>
      <c r="AV286" s="52">
        <v>12</v>
      </c>
      <c r="AW286" s="52">
        <v>5</v>
      </c>
      <c r="AX286" s="51" t="s">
        <v>264</v>
      </c>
      <c r="AY286" s="53" t="s">
        <v>264</v>
      </c>
      <c r="AZ286" s="53" t="s">
        <v>264</v>
      </c>
      <c r="BA286" s="53" t="s">
        <v>264</v>
      </c>
      <c r="BB286" s="53" t="s">
        <v>264</v>
      </c>
      <c r="BC286" s="53" t="s">
        <v>264</v>
      </c>
      <c r="BD286" s="53" t="s">
        <v>264</v>
      </c>
      <c r="BE286" s="53" t="s">
        <v>264</v>
      </c>
      <c r="BF286" s="53" t="s">
        <v>264</v>
      </c>
      <c r="BG286" s="53" t="s">
        <v>264</v>
      </c>
      <c r="BH286" s="53" t="s">
        <v>262</v>
      </c>
      <c r="BI286" s="53" t="s">
        <v>264</v>
      </c>
      <c r="BJ286" s="53" t="s">
        <v>262</v>
      </c>
      <c r="BK286" s="53">
        <v>25</v>
      </c>
      <c r="BL286" s="53" t="s">
        <v>262</v>
      </c>
      <c r="BM286" s="53" t="s">
        <v>264</v>
      </c>
      <c r="BN286" s="53">
        <v>300</v>
      </c>
      <c r="BO286" s="53" t="s">
        <v>264</v>
      </c>
      <c r="BP286" s="53">
        <v>400</v>
      </c>
      <c r="BQ286" s="53" t="s">
        <v>264</v>
      </c>
      <c r="BR286" s="53">
        <v>2000</v>
      </c>
      <c r="BS286" s="53" t="s">
        <v>262</v>
      </c>
      <c r="BT286" s="53">
        <v>3500</v>
      </c>
      <c r="BU286" s="53" t="s">
        <v>262</v>
      </c>
      <c r="BV286" s="53">
        <v>750</v>
      </c>
      <c r="BW286" s="53" t="s">
        <v>262</v>
      </c>
      <c r="BX286" s="53">
        <v>3000</v>
      </c>
      <c r="BY286" s="53" t="s">
        <v>264</v>
      </c>
      <c r="BZ286" s="53">
        <v>400</v>
      </c>
      <c r="CA286" s="53" t="s">
        <v>264</v>
      </c>
      <c r="CB286" s="53">
        <v>300</v>
      </c>
      <c r="CC286" s="53" t="s">
        <v>264</v>
      </c>
      <c r="CD286" s="53">
        <v>400</v>
      </c>
      <c r="CE286" s="53">
        <v>25</v>
      </c>
      <c r="CF286" s="53">
        <v>25</v>
      </c>
      <c r="CG286" s="53">
        <v>75</v>
      </c>
      <c r="CH286" s="53">
        <v>25</v>
      </c>
      <c r="CI286" s="53">
        <v>200</v>
      </c>
      <c r="CJ286" s="53">
        <v>25</v>
      </c>
      <c r="CK286" s="53">
        <v>25</v>
      </c>
      <c r="CL286" s="53">
        <v>750</v>
      </c>
      <c r="CM286" s="53" t="s">
        <v>264</v>
      </c>
      <c r="CN286" s="206"/>
      <c r="CO286" s="206"/>
      <c r="CP286" s="206"/>
      <c r="CQ286" s="8">
        <f t="shared" si="147"/>
        <v>1</v>
      </c>
      <c r="CR286" s="8">
        <f t="shared" si="148"/>
        <v>3500</v>
      </c>
      <c r="CS286" s="8">
        <f t="shared" si="149"/>
        <v>400.45161290322579</v>
      </c>
      <c r="CT286">
        <f t="shared" si="150"/>
        <v>50.389840663488052</v>
      </c>
      <c r="CU286" s="143">
        <f t="shared" si="151"/>
        <v>1</v>
      </c>
      <c r="CV286" s="143">
        <f t="shared" si="152"/>
        <v>25.2</v>
      </c>
      <c r="CX286" s="7">
        <f t="shared" si="153"/>
        <v>1.5</v>
      </c>
      <c r="CY286" s="7">
        <f t="shared" si="154"/>
        <v>5</v>
      </c>
      <c r="CZ286" s="7">
        <f t="shared" si="155"/>
        <v>10</v>
      </c>
      <c r="DA286" s="7">
        <f t="shared" si="156"/>
        <v>12.5</v>
      </c>
      <c r="DB286" s="7">
        <f t="shared" si="157"/>
        <v>25</v>
      </c>
      <c r="DC286" s="7">
        <f t="shared" si="158"/>
        <v>63</v>
      </c>
      <c r="DD286" s="7">
        <f t="shared" si="159"/>
        <v>137.5</v>
      </c>
      <c r="DE286" s="7">
        <f t="shared" si="160"/>
        <v>350</v>
      </c>
      <c r="DF286" s="7">
        <f t="shared" si="161"/>
        <v>575</v>
      </c>
      <c r="DH286" s="7">
        <f t="shared" si="162"/>
        <v>1</v>
      </c>
      <c r="DI286" s="7">
        <f t="shared" si="163"/>
        <v>1.7999999999999998</v>
      </c>
      <c r="DJ286" s="7">
        <f t="shared" si="164"/>
        <v>2.8000000000000007</v>
      </c>
      <c r="DK286" s="7">
        <f t="shared" si="165"/>
        <v>4</v>
      </c>
      <c r="DL286" s="7">
        <f t="shared" si="166"/>
        <v>10</v>
      </c>
      <c r="DM286" s="7">
        <f t="shared" si="167"/>
        <v>12.2</v>
      </c>
      <c r="DN286" s="7">
        <f t="shared" si="168"/>
        <v>12.8</v>
      </c>
      <c r="DO286" s="7">
        <f t="shared" si="169"/>
        <v>16</v>
      </c>
      <c r="DP286" s="7">
        <f t="shared" si="170"/>
        <v>23.999999999999989</v>
      </c>
      <c r="FK286" s="190" t="s">
        <v>662</v>
      </c>
      <c r="FL286" s="191">
        <v>2017</v>
      </c>
      <c r="FM286" s="190" t="s">
        <v>656</v>
      </c>
      <c r="FN286" s="190" t="s">
        <v>194</v>
      </c>
      <c r="FO286" s="191">
        <v>1</v>
      </c>
      <c r="FP286" s="190" t="s">
        <v>653</v>
      </c>
      <c r="FQ286" s="191" t="b">
        <v>1</v>
      </c>
      <c r="FR286" s="192">
        <v>143</v>
      </c>
    </row>
    <row r="287" spans="1:174" ht="25.5" hidden="1" customHeight="1" x14ac:dyDescent="0.3">
      <c r="A287" s="92" t="str">
        <f t="shared" si="171"/>
        <v>SK-L-13-18</v>
      </c>
      <c r="B287" s="92" t="str">
        <f t="shared" si="172"/>
        <v>Megin</v>
      </c>
      <c r="C287" s="93" t="str">
        <f t="shared" si="144"/>
        <v>MEGIN RIVER_Sockeye</v>
      </c>
      <c r="D287" s="128" t="s">
        <v>598</v>
      </c>
      <c r="E287" s="128" t="s">
        <v>598</v>
      </c>
      <c r="F287" s="64">
        <v>24</v>
      </c>
      <c r="G287" s="72" t="s">
        <v>200</v>
      </c>
      <c r="H287" s="65" t="s">
        <v>91</v>
      </c>
      <c r="I287" s="119"/>
      <c r="J287" s="119"/>
      <c r="K287" s="64">
        <v>3</v>
      </c>
      <c r="L287" s="52">
        <v>11</v>
      </c>
      <c r="M287" s="52">
        <v>11</v>
      </c>
      <c r="N287" s="52">
        <f t="shared" si="173"/>
        <v>387.55139192047778</v>
      </c>
      <c r="O287" s="52">
        <f t="shared" si="174"/>
        <v>3500</v>
      </c>
      <c r="P287" s="52">
        <f t="shared" si="175"/>
        <v>591.5959911851246</v>
      </c>
      <c r="Q287" s="66" t="s">
        <v>270</v>
      </c>
      <c r="R287" s="37"/>
      <c r="S287" s="74"/>
      <c r="T287" s="81">
        <f t="shared" si="145"/>
        <v>1364</v>
      </c>
      <c r="U287" s="81">
        <f t="shared" si="146"/>
        <v>1322</v>
      </c>
      <c r="V287" s="233">
        <v>3214</v>
      </c>
      <c r="W287" s="52">
        <v>1293</v>
      </c>
      <c r="X287" s="52">
        <v>626</v>
      </c>
      <c r="Y287" s="52">
        <v>323</v>
      </c>
      <c r="Z287" s="52">
        <v>1140</v>
      </c>
      <c r="AA287" s="52">
        <v>2489</v>
      </c>
      <c r="AB287" s="52" t="s">
        <v>263</v>
      </c>
      <c r="AC287" s="52">
        <v>29</v>
      </c>
      <c r="AD287" s="52">
        <v>1379</v>
      </c>
      <c r="AE287" s="144">
        <v>464</v>
      </c>
      <c r="AF287" s="52" t="s">
        <v>262</v>
      </c>
      <c r="AG287" s="144">
        <v>2263</v>
      </c>
      <c r="AH287" s="53">
        <v>525</v>
      </c>
      <c r="AI287" s="52" t="s">
        <v>262</v>
      </c>
      <c r="AJ287" s="53">
        <v>296</v>
      </c>
      <c r="AK287" s="52">
        <v>355</v>
      </c>
      <c r="AL287" s="89">
        <v>82</v>
      </c>
      <c r="AM287" s="52">
        <v>212</v>
      </c>
      <c r="AN287" s="52">
        <v>551</v>
      </c>
      <c r="AO287" s="53">
        <v>1561</v>
      </c>
      <c r="AP287" s="53">
        <v>1297</v>
      </c>
      <c r="AQ287" s="53">
        <v>400</v>
      </c>
      <c r="AR287" s="53">
        <v>872</v>
      </c>
      <c r="AS287" s="52">
        <v>597</v>
      </c>
      <c r="AT287" s="52">
        <v>677</v>
      </c>
      <c r="AU287" s="52">
        <v>1607</v>
      </c>
      <c r="AV287" s="52">
        <v>415</v>
      </c>
      <c r="AW287" s="52">
        <v>9</v>
      </c>
      <c r="AX287" s="51">
        <v>1740</v>
      </c>
      <c r="AY287" s="53">
        <v>7</v>
      </c>
      <c r="AZ287" s="53" t="s">
        <v>264</v>
      </c>
      <c r="BA287" s="53">
        <v>200</v>
      </c>
      <c r="BB287" s="53" t="s">
        <v>264</v>
      </c>
      <c r="BC287" s="53" t="s">
        <v>262</v>
      </c>
      <c r="BD287" s="53">
        <v>1000</v>
      </c>
      <c r="BE287" s="53">
        <v>700</v>
      </c>
      <c r="BF287" s="53">
        <v>300</v>
      </c>
      <c r="BG287" s="53">
        <v>500</v>
      </c>
      <c r="BH287" s="53" t="s">
        <v>264</v>
      </c>
      <c r="BI287" s="53" t="s">
        <v>264</v>
      </c>
      <c r="BJ287" s="53">
        <v>300</v>
      </c>
      <c r="BK287" s="53">
        <v>300</v>
      </c>
      <c r="BL287" s="53">
        <v>520</v>
      </c>
      <c r="BM287" s="53">
        <v>200</v>
      </c>
      <c r="BN287" s="53">
        <v>2500</v>
      </c>
      <c r="BO287" s="53">
        <v>1200</v>
      </c>
      <c r="BP287" s="53">
        <v>2000</v>
      </c>
      <c r="BQ287" s="53">
        <v>200</v>
      </c>
      <c r="BR287" s="53">
        <v>2500</v>
      </c>
      <c r="BS287" s="53">
        <v>750</v>
      </c>
      <c r="BT287" s="53">
        <v>400</v>
      </c>
      <c r="BU287" s="53">
        <v>750</v>
      </c>
      <c r="BV287" s="53">
        <v>750</v>
      </c>
      <c r="BW287" s="53">
        <v>400</v>
      </c>
      <c r="BX287" s="53">
        <v>1500</v>
      </c>
      <c r="BY287" s="53">
        <v>200</v>
      </c>
      <c r="BZ287" s="53">
        <v>750</v>
      </c>
      <c r="CA287" s="53">
        <v>200</v>
      </c>
      <c r="CB287" s="53">
        <v>2000</v>
      </c>
      <c r="CC287" s="53">
        <v>100</v>
      </c>
      <c r="CD287" s="53">
        <v>1500</v>
      </c>
      <c r="CE287" s="53">
        <v>1500</v>
      </c>
      <c r="CF287" s="53">
        <v>1500</v>
      </c>
      <c r="CG287" s="53">
        <v>1500</v>
      </c>
      <c r="CH287" s="53">
        <v>1500</v>
      </c>
      <c r="CI287" s="53">
        <v>1500</v>
      </c>
      <c r="CJ287" s="53">
        <v>1500</v>
      </c>
      <c r="CK287" s="53">
        <v>3500</v>
      </c>
      <c r="CL287" s="53">
        <v>1500</v>
      </c>
      <c r="CM287" s="53">
        <v>3500</v>
      </c>
      <c r="CN287" s="209"/>
      <c r="CO287" s="209"/>
      <c r="CP287" s="209"/>
      <c r="CQ287" s="8">
        <f t="shared" si="147"/>
        <v>7</v>
      </c>
      <c r="CR287" s="8">
        <f t="shared" si="148"/>
        <v>3500</v>
      </c>
      <c r="CS287" s="8">
        <f t="shared" si="149"/>
        <v>1026.5</v>
      </c>
      <c r="CT287">
        <f t="shared" si="150"/>
        <v>619.2101802740458</v>
      </c>
      <c r="CU287" s="143">
        <f t="shared" si="151"/>
        <v>1319.2</v>
      </c>
      <c r="CV287" s="143">
        <f t="shared" si="152"/>
        <v>1322</v>
      </c>
      <c r="CX287" s="7">
        <f t="shared" si="153"/>
        <v>82.9</v>
      </c>
      <c r="CY287" s="7">
        <f t="shared" si="154"/>
        <v>201.8</v>
      </c>
      <c r="CZ287" s="7">
        <f t="shared" si="155"/>
        <v>300</v>
      </c>
      <c r="DA287" s="7">
        <f t="shared" si="156"/>
        <v>331</v>
      </c>
      <c r="DB287" s="7">
        <f t="shared" si="157"/>
        <v>750</v>
      </c>
      <c r="DC287" s="7">
        <f t="shared" si="158"/>
        <v>1176</v>
      </c>
      <c r="DD287" s="7">
        <f t="shared" si="159"/>
        <v>1350.3</v>
      </c>
      <c r="DE287" s="7">
        <f t="shared" si="160"/>
        <v>1500</v>
      </c>
      <c r="DF287" s="7">
        <f t="shared" si="161"/>
        <v>1720.0500000000002</v>
      </c>
      <c r="DH287" s="7">
        <f t="shared" si="162"/>
        <v>39.600000000000009</v>
      </c>
      <c r="DI287" s="7">
        <f t="shared" si="163"/>
        <v>262.39999999999998</v>
      </c>
      <c r="DJ287" s="7">
        <f t="shared" si="164"/>
        <v>317.60000000000002</v>
      </c>
      <c r="DK287" s="7">
        <f t="shared" si="165"/>
        <v>355</v>
      </c>
      <c r="DL287" s="7">
        <f t="shared" si="166"/>
        <v>597</v>
      </c>
      <c r="DM287" s="7">
        <f t="shared" si="167"/>
        <v>754.99999999999977</v>
      </c>
      <c r="DN287" s="7">
        <f t="shared" si="168"/>
        <v>1032.8000000000004</v>
      </c>
      <c r="DO287" s="7">
        <f t="shared" si="169"/>
        <v>1297</v>
      </c>
      <c r="DP287" s="7">
        <f t="shared" si="170"/>
        <v>1579.3999999999999</v>
      </c>
      <c r="DR287" s="7">
        <f>_xlfn.PERCENTILE.INC((AA287:AG287,AJ287,AL287,AN287,AP287),0.05)</f>
        <v>50.199999999999996</v>
      </c>
      <c r="DS287" s="7">
        <f>_xlfn.PERCENTILE.INC((AA287:AG287,AJ287,AL287,AN287,AP287),0.15)</f>
        <v>124.80000000000004</v>
      </c>
      <c r="DT287" s="7">
        <f>_xlfn.PERCENTILE.INC((AA287:AG287,AJ287,AL287,AN287,AP287),0.2)</f>
        <v>210.4</v>
      </c>
      <c r="DU287" s="7">
        <f>_xlfn.PERCENTILE.INC((AA287:AG287,AJ287,AL287,AN287,AP287),0.25)</f>
        <v>296</v>
      </c>
      <c r="DV287" s="7">
        <f>_xlfn.PERCENTILE.INC((AA287:AG287,AJ287,AL287,AN287,AP287),0.5)</f>
        <v>551</v>
      </c>
      <c r="DW287" s="7">
        <f>_xlfn.PERCENTILE.INC((AA287:AG287,AJ287,AL287,AN287,AP287),0.6)</f>
        <v>1147.7999999999997</v>
      </c>
      <c r="DX287" s="7">
        <f>_xlfn.PERCENTILE.INC((AA287:AG287,AJ287,AL287,AN287,AP287),0.65)</f>
        <v>1313.4</v>
      </c>
      <c r="DY287" s="7">
        <f>_xlfn.PERCENTILE.INC((AA287:AG287,AJ287,AL287,AN287,AP287),0.75)</f>
        <v>1379</v>
      </c>
      <c r="DZ287" s="7">
        <f>_xlfn.PERCENTILE.INC((AA287:AG287,AJ287,AL287,AN287,AP287),0.85)</f>
        <v>2086.1999999999998</v>
      </c>
      <c r="FK287" s="190" t="s">
        <v>662</v>
      </c>
      <c r="FL287" s="191">
        <v>2017</v>
      </c>
      <c r="FM287" s="190" t="s">
        <v>656</v>
      </c>
      <c r="FN287" s="190" t="s">
        <v>194</v>
      </c>
      <c r="FO287" s="191">
        <v>2</v>
      </c>
      <c r="FP287" s="190" t="s">
        <v>654</v>
      </c>
      <c r="FQ287" s="191" t="b">
        <v>1</v>
      </c>
      <c r="FR287" s="192">
        <v>864</v>
      </c>
    </row>
    <row r="288" spans="1:174" ht="25.5" customHeight="1" x14ac:dyDescent="0.3">
      <c r="A288" s="92" t="str">
        <f t="shared" si="171"/>
        <v>CK-SWVI [31]</v>
      </c>
      <c r="B288" s="92" t="str">
        <f t="shared" si="172"/>
        <v>Southwest Vancouver Island</v>
      </c>
      <c r="C288" s="93" t="str">
        <f t="shared" si="144"/>
        <v>MOYEHA RIVER_Chinook</v>
      </c>
      <c r="D288" s="128" t="s">
        <v>598</v>
      </c>
      <c r="E288" s="128" t="s">
        <v>599</v>
      </c>
      <c r="F288" s="64">
        <v>24</v>
      </c>
      <c r="G288" s="72" t="s">
        <v>194</v>
      </c>
      <c r="H288" s="65" t="s">
        <v>97</v>
      </c>
      <c r="I288" s="119"/>
      <c r="J288" s="119"/>
      <c r="K288" s="64">
        <v>3</v>
      </c>
      <c r="L288" s="52">
        <v>11</v>
      </c>
      <c r="M288" s="52">
        <v>11</v>
      </c>
      <c r="N288" s="52">
        <f t="shared" si="173"/>
        <v>129.15986056578828</v>
      </c>
      <c r="O288" s="52">
        <f t="shared" si="174"/>
        <v>750</v>
      </c>
      <c r="P288" s="52">
        <f t="shared" si="175"/>
        <v>106.84494436146005</v>
      </c>
      <c r="Q288" s="66" t="s">
        <v>270</v>
      </c>
      <c r="R288" s="37"/>
      <c r="S288" s="74" t="s">
        <v>1</v>
      </c>
      <c r="T288" s="81">
        <f t="shared" si="145"/>
        <v>73.75</v>
      </c>
      <c r="U288" s="81">
        <f t="shared" si="146"/>
        <v>70.599999999999994</v>
      </c>
      <c r="V288" s="233">
        <v>131</v>
      </c>
      <c r="W288" s="52">
        <v>99</v>
      </c>
      <c r="X288" s="52">
        <v>43</v>
      </c>
      <c r="Y288" s="177">
        <v>22</v>
      </c>
      <c r="Z288" s="177">
        <v>20</v>
      </c>
      <c r="AA288" s="52">
        <v>136</v>
      </c>
      <c r="AB288" s="177">
        <v>139</v>
      </c>
      <c r="AC288" s="177" t="s">
        <v>102</v>
      </c>
      <c r="AD288" s="177">
        <v>44</v>
      </c>
      <c r="AE288" s="180">
        <v>5</v>
      </c>
      <c r="AF288" s="177" t="s">
        <v>102</v>
      </c>
      <c r="AG288" s="180">
        <v>67</v>
      </c>
      <c r="AH288" s="53">
        <v>185</v>
      </c>
      <c r="AI288" s="179">
        <v>60</v>
      </c>
      <c r="AJ288" s="53">
        <v>149</v>
      </c>
      <c r="AK288" s="52">
        <v>112</v>
      </c>
      <c r="AL288" s="89">
        <v>85</v>
      </c>
      <c r="AM288" s="52">
        <v>115</v>
      </c>
      <c r="AN288" s="52">
        <v>362</v>
      </c>
      <c r="AO288" s="53">
        <v>155</v>
      </c>
      <c r="AP288" s="53">
        <v>54</v>
      </c>
      <c r="AQ288" s="53">
        <v>115</v>
      </c>
      <c r="AR288" s="53">
        <v>94</v>
      </c>
      <c r="AS288" s="52">
        <v>239</v>
      </c>
      <c r="AT288" s="52">
        <v>155</v>
      </c>
      <c r="AU288" s="52">
        <v>84</v>
      </c>
      <c r="AV288" s="52">
        <v>243</v>
      </c>
      <c r="AW288" s="177">
        <v>89</v>
      </c>
      <c r="AX288" s="178">
        <v>420</v>
      </c>
      <c r="AY288" s="179">
        <v>250</v>
      </c>
      <c r="AZ288" s="179" t="s">
        <v>264</v>
      </c>
      <c r="BA288" s="179" t="s">
        <v>264</v>
      </c>
      <c r="BB288" s="179" t="s">
        <v>264</v>
      </c>
      <c r="BC288" s="179">
        <v>80</v>
      </c>
      <c r="BD288" s="179" t="s">
        <v>262</v>
      </c>
      <c r="BE288" s="179" t="s">
        <v>262</v>
      </c>
      <c r="BF288" s="179" t="s">
        <v>264</v>
      </c>
      <c r="BG288" s="179" t="s">
        <v>262</v>
      </c>
      <c r="BH288" s="179" t="s">
        <v>262</v>
      </c>
      <c r="BI288" s="179" t="s">
        <v>264</v>
      </c>
      <c r="BJ288" s="179" t="s">
        <v>262</v>
      </c>
      <c r="BK288" s="179">
        <v>25</v>
      </c>
      <c r="BL288" s="179">
        <v>25</v>
      </c>
      <c r="BM288" s="179">
        <v>6</v>
      </c>
      <c r="BN288" s="179">
        <v>10</v>
      </c>
      <c r="BO288" s="179">
        <v>50</v>
      </c>
      <c r="BP288" s="179">
        <v>25</v>
      </c>
      <c r="BQ288" s="179">
        <v>25</v>
      </c>
      <c r="BR288" s="179">
        <v>50</v>
      </c>
      <c r="BS288" s="179">
        <v>75</v>
      </c>
      <c r="BT288" s="179">
        <v>75</v>
      </c>
      <c r="BU288" s="179">
        <v>75</v>
      </c>
      <c r="BV288" s="179">
        <v>25</v>
      </c>
      <c r="BW288" s="179">
        <v>75</v>
      </c>
      <c r="BX288" s="179">
        <v>80</v>
      </c>
      <c r="BY288" s="179">
        <v>25</v>
      </c>
      <c r="BZ288" s="179">
        <v>75</v>
      </c>
      <c r="CA288" s="179">
        <v>10</v>
      </c>
      <c r="CB288" s="179">
        <v>25</v>
      </c>
      <c r="CC288" s="179">
        <v>50</v>
      </c>
      <c r="CD288" s="179">
        <v>200</v>
      </c>
      <c r="CE288" s="179">
        <v>400</v>
      </c>
      <c r="CF288" s="179">
        <v>750</v>
      </c>
      <c r="CG288" s="179">
        <v>750</v>
      </c>
      <c r="CH288" s="179">
        <v>750</v>
      </c>
      <c r="CI288" s="179">
        <v>750</v>
      </c>
      <c r="CJ288" s="179">
        <v>750</v>
      </c>
      <c r="CK288" s="179">
        <v>750</v>
      </c>
      <c r="CL288" s="179">
        <v>750</v>
      </c>
      <c r="CM288" s="179">
        <v>750</v>
      </c>
      <c r="CN288" s="206"/>
      <c r="CO288" s="206"/>
      <c r="CP288" s="206"/>
      <c r="CQ288" s="8">
        <f t="shared" si="147"/>
        <v>5</v>
      </c>
      <c r="CR288" s="8">
        <f t="shared" si="148"/>
        <v>750</v>
      </c>
      <c r="CS288" s="8">
        <f t="shared" si="149"/>
        <v>192.37931034482759</v>
      </c>
      <c r="CT288">
        <f t="shared" si="150"/>
        <v>93.114058047099277</v>
      </c>
      <c r="CU288" s="143">
        <f t="shared" si="151"/>
        <v>63</v>
      </c>
      <c r="CV288" s="143">
        <f t="shared" si="152"/>
        <v>70.599999999999994</v>
      </c>
      <c r="CX288" s="7">
        <f t="shared" si="153"/>
        <v>10</v>
      </c>
      <c r="CY288" s="7">
        <f t="shared" si="154"/>
        <v>25</v>
      </c>
      <c r="CZ288" s="7">
        <f t="shared" si="155"/>
        <v>25</v>
      </c>
      <c r="DA288" s="7">
        <f t="shared" si="156"/>
        <v>45.5</v>
      </c>
      <c r="DB288" s="7">
        <f t="shared" si="157"/>
        <v>84.5</v>
      </c>
      <c r="DC288" s="7">
        <f t="shared" si="158"/>
        <v>115</v>
      </c>
      <c r="DD288" s="7">
        <f t="shared" si="159"/>
        <v>136.15</v>
      </c>
      <c r="DE288" s="7">
        <f t="shared" si="160"/>
        <v>196.25</v>
      </c>
      <c r="DF288" s="7">
        <f t="shared" si="161"/>
        <v>408.99999999999989</v>
      </c>
      <c r="DH288" s="7">
        <f t="shared" si="162"/>
        <v>20.5</v>
      </c>
      <c r="DI288" s="7">
        <f t="shared" si="163"/>
        <v>43.75</v>
      </c>
      <c r="DJ288" s="7">
        <f t="shared" si="164"/>
        <v>54</v>
      </c>
      <c r="DK288" s="7">
        <f t="shared" si="165"/>
        <v>61.75</v>
      </c>
      <c r="DL288" s="7">
        <f t="shared" si="166"/>
        <v>105.5</v>
      </c>
      <c r="DM288" s="7">
        <f t="shared" si="167"/>
        <v>115</v>
      </c>
      <c r="DN288" s="7">
        <f t="shared" si="168"/>
        <v>132.25</v>
      </c>
      <c r="DO288" s="7">
        <f t="shared" si="169"/>
        <v>146.5</v>
      </c>
      <c r="DP288" s="7">
        <f t="shared" si="170"/>
        <v>162.5</v>
      </c>
      <c r="FK288" s="190" t="s">
        <v>662</v>
      </c>
      <c r="FL288" s="191">
        <v>2017</v>
      </c>
      <c r="FM288" s="190" t="s">
        <v>656</v>
      </c>
      <c r="FN288" s="190" t="s">
        <v>194</v>
      </c>
      <c r="FO288" s="191">
        <v>3</v>
      </c>
      <c r="FP288" s="190" t="s">
        <v>655</v>
      </c>
      <c r="FQ288" s="191" t="b">
        <v>1</v>
      </c>
      <c r="FR288" s="192">
        <v>17</v>
      </c>
    </row>
    <row r="289" spans="1:174" ht="25.5" hidden="1" customHeight="1" x14ac:dyDescent="0.3">
      <c r="A289" s="92" t="str">
        <f t="shared" si="171"/>
        <v>CM-SWVI [10]</v>
      </c>
      <c r="B289" s="92" t="str">
        <f t="shared" si="172"/>
        <v>Southwest Vancouver Island</v>
      </c>
      <c r="C289" s="93" t="str">
        <f t="shared" si="144"/>
        <v>MOYEHA RIVER_Chum</v>
      </c>
      <c r="D289" s="128" t="s">
        <v>598</v>
      </c>
      <c r="E289" s="128" t="s">
        <v>598</v>
      </c>
      <c r="F289" s="64">
        <v>24</v>
      </c>
      <c r="G289" s="72" t="s">
        <v>194</v>
      </c>
      <c r="H289" s="65" t="s">
        <v>96</v>
      </c>
      <c r="I289" s="119"/>
      <c r="J289" s="119"/>
      <c r="K289" s="64">
        <v>3</v>
      </c>
      <c r="L289" s="52">
        <v>11</v>
      </c>
      <c r="M289" s="52">
        <v>11</v>
      </c>
      <c r="N289" s="52">
        <f t="shared" si="173"/>
        <v>9589.8491634518741</v>
      </c>
      <c r="O289" s="52">
        <f t="shared" si="174"/>
        <v>24002</v>
      </c>
      <c r="P289" s="52">
        <f t="shared" si="175"/>
        <v>4312.6128396819922</v>
      </c>
      <c r="Q289" s="66" t="s">
        <v>270</v>
      </c>
      <c r="R289" s="37"/>
      <c r="S289" s="74" t="s">
        <v>1</v>
      </c>
      <c r="T289" s="81">
        <f t="shared" si="145"/>
        <v>722</v>
      </c>
      <c r="U289" s="81">
        <f t="shared" si="146"/>
        <v>4584.8999999999996</v>
      </c>
      <c r="V289" s="233">
        <v>1594</v>
      </c>
      <c r="W289" s="52">
        <v>607</v>
      </c>
      <c r="X289" s="52">
        <v>173</v>
      </c>
      <c r="Y289" s="52">
        <v>514</v>
      </c>
      <c r="Z289" s="52">
        <v>1343</v>
      </c>
      <c r="AA289" s="52">
        <v>2639</v>
      </c>
      <c r="AB289" s="52">
        <v>1033</v>
      </c>
      <c r="AC289" s="52" t="s">
        <v>102</v>
      </c>
      <c r="AD289" s="52">
        <v>4146</v>
      </c>
      <c r="AE289" s="144">
        <v>1801</v>
      </c>
      <c r="AF289" s="52" t="s">
        <v>102</v>
      </c>
      <c r="AG289" s="144">
        <v>31999</v>
      </c>
      <c r="AH289" s="53">
        <v>12170</v>
      </c>
      <c r="AI289" s="53">
        <v>7320</v>
      </c>
      <c r="AJ289" s="53">
        <v>6619</v>
      </c>
      <c r="AK289" s="52">
        <v>24002</v>
      </c>
      <c r="AL289" s="89">
        <v>21580</v>
      </c>
      <c r="AM289" s="52">
        <v>7934</v>
      </c>
      <c r="AN289" s="52">
        <v>11857</v>
      </c>
      <c r="AO289" s="53">
        <v>15100</v>
      </c>
      <c r="AP289" s="53">
        <v>14645</v>
      </c>
      <c r="AQ289" s="53">
        <v>8914</v>
      </c>
      <c r="AR289" s="53">
        <v>4652</v>
      </c>
      <c r="AS289" s="52">
        <v>12698</v>
      </c>
      <c r="AT289" s="52">
        <v>19086</v>
      </c>
      <c r="AU289" s="52">
        <v>5162</v>
      </c>
      <c r="AV289" s="52">
        <v>5883</v>
      </c>
      <c r="AW289" s="52">
        <v>2556</v>
      </c>
      <c r="AX289" s="51">
        <v>8600</v>
      </c>
      <c r="AY289" s="53">
        <v>7000</v>
      </c>
      <c r="AZ289" s="53">
        <v>6000</v>
      </c>
      <c r="BA289" s="53">
        <v>3800</v>
      </c>
      <c r="BB289" s="53" t="s">
        <v>264</v>
      </c>
      <c r="BC289" s="53">
        <v>1800</v>
      </c>
      <c r="BD289" s="53">
        <v>2500</v>
      </c>
      <c r="BE289" s="53">
        <v>2500</v>
      </c>
      <c r="BF289" s="53">
        <v>6000</v>
      </c>
      <c r="BG289" s="53">
        <v>6300</v>
      </c>
      <c r="BH289" s="53">
        <v>1250</v>
      </c>
      <c r="BI289" s="53">
        <v>2000</v>
      </c>
      <c r="BJ289" s="53">
        <v>6000</v>
      </c>
      <c r="BK289" s="53">
        <v>5000</v>
      </c>
      <c r="BL289" s="53">
        <v>11250</v>
      </c>
      <c r="BM289" s="53">
        <v>2500</v>
      </c>
      <c r="BN289" s="53">
        <v>8000</v>
      </c>
      <c r="BO289" s="53">
        <v>5000</v>
      </c>
      <c r="BP289" s="53">
        <v>6800</v>
      </c>
      <c r="BQ289" s="53">
        <v>6000</v>
      </c>
      <c r="BR289" s="53">
        <v>9500</v>
      </c>
      <c r="BS289" s="53">
        <v>7500</v>
      </c>
      <c r="BT289" s="53">
        <v>3500</v>
      </c>
      <c r="BU289" s="53">
        <v>3500</v>
      </c>
      <c r="BV289" s="53">
        <v>1500</v>
      </c>
      <c r="BW289" s="53">
        <v>1500</v>
      </c>
      <c r="BX289" s="53">
        <v>7500</v>
      </c>
      <c r="BY289" s="53">
        <v>1500</v>
      </c>
      <c r="BZ289" s="53">
        <v>200</v>
      </c>
      <c r="CA289" s="53">
        <v>400</v>
      </c>
      <c r="CB289" s="53">
        <v>1500</v>
      </c>
      <c r="CC289" s="53">
        <v>1500</v>
      </c>
      <c r="CD289" s="53">
        <v>1500</v>
      </c>
      <c r="CE289" s="53">
        <v>1500</v>
      </c>
      <c r="CF289" s="53">
        <v>1500</v>
      </c>
      <c r="CG289" s="53">
        <v>7500</v>
      </c>
      <c r="CH289" s="53">
        <v>7500</v>
      </c>
      <c r="CI289" s="53">
        <v>3500</v>
      </c>
      <c r="CJ289" s="53">
        <v>3500</v>
      </c>
      <c r="CK289" s="53">
        <v>1500</v>
      </c>
      <c r="CL289" s="53">
        <v>15000</v>
      </c>
      <c r="CM289" s="53">
        <v>3500</v>
      </c>
      <c r="CN289" s="206"/>
      <c r="CO289" s="206"/>
      <c r="CP289" s="206"/>
      <c r="CQ289" s="8">
        <f t="shared" si="147"/>
        <v>173</v>
      </c>
      <c r="CR289" s="8">
        <f t="shared" si="148"/>
        <v>31999</v>
      </c>
      <c r="CS289" s="8">
        <f t="shared" si="149"/>
        <v>6125.7761194029854</v>
      </c>
      <c r="CT289">
        <f t="shared" si="150"/>
        <v>3785.8709457100467</v>
      </c>
      <c r="CU289" s="143">
        <f t="shared" si="151"/>
        <v>846.2</v>
      </c>
      <c r="CV289" s="143">
        <f t="shared" si="152"/>
        <v>4584.8999999999996</v>
      </c>
      <c r="CX289" s="7">
        <f t="shared" si="153"/>
        <v>541.90000000000009</v>
      </c>
      <c r="CY289" s="7">
        <f t="shared" si="154"/>
        <v>1500</v>
      </c>
      <c r="CZ289" s="7">
        <f t="shared" si="155"/>
        <v>1500</v>
      </c>
      <c r="DA289" s="7">
        <f t="shared" si="156"/>
        <v>1547</v>
      </c>
      <c r="DB289" s="7">
        <f t="shared" si="157"/>
        <v>4652</v>
      </c>
      <c r="DC289" s="7">
        <f t="shared" si="158"/>
        <v>6000</v>
      </c>
      <c r="DD289" s="7">
        <f t="shared" si="159"/>
        <v>6587.0999999999995</v>
      </c>
      <c r="DE289" s="7">
        <f t="shared" si="160"/>
        <v>7500</v>
      </c>
      <c r="DF289" s="7">
        <f t="shared" si="161"/>
        <v>11310.7</v>
      </c>
      <c r="DH289" s="7">
        <f t="shared" si="162"/>
        <v>537.25</v>
      </c>
      <c r="DI289" s="7">
        <f t="shared" si="163"/>
        <v>1265.5</v>
      </c>
      <c r="DJ289" s="7">
        <f t="shared" si="164"/>
        <v>1594</v>
      </c>
      <c r="DK289" s="7">
        <f t="shared" si="165"/>
        <v>1989.75</v>
      </c>
      <c r="DL289" s="7">
        <f t="shared" si="166"/>
        <v>6251</v>
      </c>
      <c r="DM289" s="7">
        <f t="shared" si="167"/>
        <v>7934</v>
      </c>
      <c r="DN289" s="7">
        <f t="shared" si="168"/>
        <v>9649.75</v>
      </c>
      <c r="DO289" s="7">
        <f t="shared" si="169"/>
        <v>12566</v>
      </c>
      <c r="DP289" s="7">
        <f t="shared" si="170"/>
        <v>16096.5</v>
      </c>
      <c r="FK289" s="190" t="s">
        <v>662</v>
      </c>
      <c r="FL289" s="191">
        <v>2017</v>
      </c>
      <c r="FM289" s="190" t="s">
        <v>656</v>
      </c>
      <c r="FN289" s="190" t="s">
        <v>194</v>
      </c>
      <c r="FO289" s="191">
        <v>4</v>
      </c>
      <c r="FP289" s="190" t="s">
        <v>501</v>
      </c>
      <c r="FQ289" s="191" t="b">
        <v>1</v>
      </c>
      <c r="FR289" s="192">
        <v>2639</v>
      </c>
    </row>
    <row r="290" spans="1:174" ht="25.5" hidden="1" customHeight="1" x14ac:dyDescent="0.3">
      <c r="A290" s="92" t="str">
        <f t="shared" si="171"/>
        <v>CO-CLAY [18]</v>
      </c>
      <c r="B290" s="92" t="str">
        <f t="shared" si="172"/>
        <v>Clayoquot</v>
      </c>
      <c r="C290" s="93" t="str">
        <f t="shared" si="144"/>
        <v>MOYEHA RIVER_Coho</v>
      </c>
      <c r="D290" s="128" t="s">
        <v>598</v>
      </c>
      <c r="E290" s="128" t="s">
        <v>598</v>
      </c>
      <c r="F290" s="64">
        <v>24</v>
      </c>
      <c r="G290" s="72" t="s">
        <v>194</v>
      </c>
      <c r="H290" s="65" t="s">
        <v>93</v>
      </c>
      <c r="I290" s="119"/>
      <c r="J290" s="119"/>
      <c r="K290" s="64">
        <v>3</v>
      </c>
      <c r="L290" s="52">
        <v>11</v>
      </c>
      <c r="M290" s="52">
        <v>11</v>
      </c>
      <c r="N290" s="52">
        <f t="shared" si="173"/>
        <v>2264.785417425076</v>
      </c>
      <c r="O290" s="52">
        <f t="shared" si="174"/>
        <v>5137</v>
      </c>
      <c r="P290" s="52">
        <f t="shared" si="175"/>
        <v>762.31322663134654</v>
      </c>
      <c r="Q290" s="66" t="s">
        <v>270</v>
      </c>
      <c r="R290" s="37"/>
      <c r="S290" s="74" t="s">
        <v>1</v>
      </c>
      <c r="T290" s="81">
        <f t="shared" si="145"/>
        <v>872.75</v>
      </c>
      <c r="U290" s="81">
        <f t="shared" si="146"/>
        <v>1431.6</v>
      </c>
      <c r="V290" s="233">
        <v>870</v>
      </c>
      <c r="W290" s="52">
        <v>1462</v>
      </c>
      <c r="X290" s="52">
        <v>609</v>
      </c>
      <c r="Y290" s="52">
        <v>550</v>
      </c>
      <c r="Z290" s="52">
        <v>1055</v>
      </c>
      <c r="AA290" s="52">
        <v>864</v>
      </c>
      <c r="AB290" s="52">
        <v>1369</v>
      </c>
      <c r="AC290" s="52" t="s">
        <v>102</v>
      </c>
      <c r="AD290" s="52">
        <v>3508</v>
      </c>
      <c r="AE290" s="144">
        <v>1138</v>
      </c>
      <c r="AF290" s="144" t="s">
        <v>102</v>
      </c>
      <c r="AG290" s="144">
        <v>2891</v>
      </c>
      <c r="AH290" s="53">
        <v>4390</v>
      </c>
      <c r="AI290" s="53">
        <v>8175</v>
      </c>
      <c r="AJ290" s="53">
        <v>2719</v>
      </c>
      <c r="AK290" s="52">
        <v>1628</v>
      </c>
      <c r="AL290" s="89">
        <v>1086</v>
      </c>
      <c r="AM290" s="52">
        <v>2754</v>
      </c>
      <c r="AN290" s="52">
        <v>4477</v>
      </c>
      <c r="AO290" s="53">
        <v>2807</v>
      </c>
      <c r="AP290" s="53">
        <v>3724</v>
      </c>
      <c r="AQ290" s="53">
        <v>4002</v>
      </c>
      <c r="AR290" s="53">
        <v>3547</v>
      </c>
      <c r="AS290" s="52">
        <v>3079</v>
      </c>
      <c r="AT290" s="52">
        <v>5137</v>
      </c>
      <c r="AU290" s="52">
        <v>657</v>
      </c>
      <c r="AV290" s="52">
        <v>746</v>
      </c>
      <c r="AW290" s="52">
        <v>1370</v>
      </c>
      <c r="AX290" s="51">
        <v>1700</v>
      </c>
      <c r="AY290" s="53">
        <v>300</v>
      </c>
      <c r="AZ290" s="53">
        <v>100</v>
      </c>
      <c r="BA290" s="53">
        <v>125</v>
      </c>
      <c r="BB290" s="53" t="s">
        <v>264</v>
      </c>
      <c r="BC290" s="53">
        <v>250</v>
      </c>
      <c r="BD290" s="53" t="s">
        <v>262</v>
      </c>
      <c r="BE290" s="53">
        <v>200</v>
      </c>
      <c r="BF290" s="53">
        <v>500</v>
      </c>
      <c r="BG290" s="53">
        <v>180</v>
      </c>
      <c r="BH290" s="53" t="s">
        <v>264</v>
      </c>
      <c r="BI290" s="53" t="s">
        <v>264</v>
      </c>
      <c r="BJ290" s="53" t="s">
        <v>264</v>
      </c>
      <c r="BK290" s="53">
        <v>300</v>
      </c>
      <c r="BL290" s="53">
        <v>450</v>
      </c>
      <c r="BM290" s="53">
        <v>800</v>
      </c>
      <c r="BN290" s="53">
        <v>250</v>
      </c>
      <c r="BO290" s="53">
        <v>400</v>
      </c>
      <c r="BP290" s="53">
        <v>565</v>
      </c>
      <c r="BQ290" s="53">
        <v>500</v>
      </c>
      <c r="BR290" s="53">
        <v>400</v>
      </c>
      <c r="BS290" s="53">
        <v>200</v>
      </c>
      <c r="BT290" s="53">
        <v>750</v>
      </c>
      <c r="BU290" s="53">
        <v>200</v>
      </c>
      <c r="BV290" s="53">
        <v>750</v>
      </c>
      <c r="BW290" s="53">
        <v>200</v>
      </c>
      <c r="BX290" s="53">
        <v>300</v>
      </c>
      <c r="BY290" s="53">
        <v>75</v>
      </c>
      <c r="BZ290" s="53">
        <v>750</v>
      </c>
      <c r="CA290" s="53">
        <v>200</v>
      </c>
      <c r="CB290" s="53">
        <v>500</v>
      </c>
      <c r="CC290" s="53">
        <v>250</v>
      </c>
      <c r="CD290" s="53">
        <v>1500</v>
      </c>
      <c r="CE290" s="53">
        <v>1500</v>
      </c>
      <c r="CF290" s="53">
        <v>750</v>
      </c>
      <c r="CG290" s="53">
        <v>1500</v>
      </c>
      <c r="CH290" s="53">
        <v>1500</v>
      </c>
      <c r="CI290" s="53">
        <v>3500</v>
      </c>
      <c r="CJ290" s="53">
        <v>3500</v>
      </c>
      <c r="CK290" s="53">
        <v>1500</v>
      </c>
      <c r="CL290" s="53">
        <v>1500</v>
      </c>
      <c r="CM290" s="53">
        <v>1500</v>
      </c>
      <c r="CN290" s="206"/>
      <c r="CO290" s="206"/>
      <c r="CP290" s="206"/>
      <c r="CQ290" s="8">
        <f t="shared" si="147"/>
        <v>75</v>
      </c>
      <c r="CR290" s="8">
        <f t="shared" si="148"/>
        <v>8175</v>
      </c>
      <c r="CS290" s="8">
        <f t="shared" si="149"/>
        <v>1493</v>
      </c>
      <c r="CT290">
        <f t="shared" si="150"/>
        <v>874.52417704791071</v>
      </c>
      <c r="CU290" s="143">
        <f t="shared" si="151"/>
        <v>909.2</v>
      </c>
      <c r="CV290" s="143">
        <f t="shared" si="152"/>
        <v>1431.6</v>
      </c>
      <c r="CX290" s="7">
        <f t="shared" si="153"/>
        <v>182</v>
      </c>
      <c r="CY290" s="7">
        <f t="shared" si="154"/>
        <v>250</v>
      </c>
      <c r="CZ290" s="7">
        <f t="shared" si="155"/>
        <v>300</v>
      </c>
      <c r="DA290" s="7">
        <f t="shared" si="156"/>
        <v>400</v>
      </c>
      <c r="DB290" s="7">
        <f t="shared" si="157"/>
        <v>864</v>
      </c>
      <c r="DC290" s="7">
        <f t="shared" si="158"/>
        <v>1388.3999999999996</v>
      </c>
      <c r="DD290" s="7">
        <f t="shared" si="159"/>
        <v>1500</v>
      </c>
      <c r="DE290" s="7">
        <f t="shared" si="160"/>
        <v>1664</v>
      </c>
      <c r="DF290" s="7">
        <f t="shared" si="161"/>
        <v>3373.699999999998</v>
      </c>
      <c r="DH290" s="7">
        <f t="shared" si="162"/>
        <v>621</v>
      </c>
      <c r="DI290" s="7">
        <f t="shared" si="163"/>
        <v>834.5</v>
      </c>
      <c r="DJ290" s="7">
        <f t="shared" si="164"/>
        <v>870</v>
      </c>
      <c r="DK290" s="7">
        <f t="shared" si="165"/>
        <v>1062.75</v>
      </c>
      <c r="DL290" s="7">
        <f t="shared" si="166"/>
        <v>2173.5</v>
      </c>
      <c r="DM290" s="7">
        <f t="shared" si="167"/>
        <v>2807</v>
      </c>
      <c r="DN290" s="7">
        <f t="shared" si="168"/>
        <v>2938</v>
      </c>
      <c r="DO290" s="7">
        <f t="shared" si="169"/>
        <v>3537.25</v>
      </c>
      <c r="DP290" s="7">
        <f t="shared" si="170"/>
        <v>4099</v>
      </c>
      <c r="FK290" s="190" t="s">
        <v>662</v>
      </c>
      <c r="FL290" s="191">
        <v>2017</v>
      </c>
      <c r="FM290" s="190" t="s">
        <v>656</v>
      </c>
      <c r="FN290" s="190" t="s">
        <v>194</v>
      </c>
      <c r="FO290" s="191">
        <v>5</v>
      </c>
      <c r="FP290" s="190" t="s">
        <v>499</v>
      </c>
      <c r="FQ290" s="191" t="b">
        <v>1</v>
      </c>
      <c r="FR290" s="192">
        <v>136</v>
      </c>
    </row>
    <row r="291" spans="1:174" ht="25.5" hidden="1" customHeight="1" x14ac:dyDescent="0.3">
      <c r="A291" s="92" t="str">
        <f t="shared" si="171"/>
        <v>Pkodd-WVI [6]</v>
      </c>
      <c r="B291" s="92" t="str">
        <f t="shared" si="172"/>
        <v>West Vancouver Island</v>
      </c>
      <c r="C291" s="93" t="str">
        <f t="shared" si="144"/>
        <v>MOYEHA RIVER_Pink</v>
      </c>
      <c r="D291" s="128" t="s">
        <v>598</v>
      </c>
      <c r="E291" s="128" t="s">
        <v>598</v>
      </c>
      <c r="F291" s="64">
        <v>24</v>
      </c>
      <c r="G291" s="72" t="s">
        <v>194</v>
      </c>
      <c r="H291" s="65" t="s">
        <v>95</v>
      </c>
      <c r="I291" s="119"/>
      <c r="J291" s="119"/>
      <c r="K291" s="64">
        <v>3</v>
      </c>
      <c r="L291" s="52">
        <v>11</v>
      </c>
      <c r="M291" s="52">
        <v>10</v>
      </c>
      <c r="N291" s="52">
        <f t="shared" si="173"/>
        <v>5.2438647816018111</v>
      </c>
      <c r="O291" s="52">
        <f t="shared" si="174"/>
        <v>9000</v>
      </c>
      <c r="P291" s="52">
        <f t="shared" si="175"/>
        <v>47.287641190364866</v>
      </c>
      <c r="Q291" s="66" t="s">
        <v>270</v>
      </c>
      <c r="R291" s="37"/>
      <c r="S291" s="74"/>
      <c r="T291" s="81">
        <f t="shared" si="145"/>
        <v>3</v>
      </c>
      <c r="U291" s="81">
        <f t="shared" si="146"/>
        <v>12.333333333333334</v>
      </c>
      <c r="V291" s="232" t="s">
        <v>263</v>
      </c>
      <c r="W291" s="52">
        <v>3</v>
      </c>
      <c r="X291" s="52" t="s">
        <v>262</v>
      </c>
      <c r="Y291" s="52" t="s">
        <v>262</v>
      </c>
      <c r="Z291" s="52" t="s">
        <v>263</v>
      </c>
      <c r="AA291" s="52">
        <v>17</v>
      </c>
      <c r="AB291" s="52" t="s">
        <v>263</v>
      </c>
      <c r="AC291" s="52" t="s">
        <v>102</v>
      </c>
      <c r="AD291" s="52" t="s">
        <v>262</v>
      </c>
      <c r="AE291" s="144" t="s">
        <v>262</v>
      </c>
      <c r="AF291" s="144" t="s">
        <v>102</v>
      </c>
      <c r="AG291" s="144">
        <v>17</v>
      </c>
      <c r="AH291" s="53">
        <v>11</v>
      </c>
      <c r="AI291" s="52" t="s">
        <v>263</v>
      </c>
      <c r="AJ291" s="53">
        <v>5</v>
      </c>
      <c r="AK291" s="52">
        <v>2</v>
      </c>
      <c r="AL291" s="89">
        <v>1</v>
      </c>
      <c r="AM291" s="52">
        <v>6</v>
      </c>
      <c r="AN291" s="52" t="s">
        <v>262</v>
      </c>
      <c r="AO291" s="53">
        <v>10</v>
      </c>
      <c r="AP291" s="53">
        <v>14</v>
      </c>
      <c r="AQ291" s="53">
        <v>21</v>
      </c>
      <c r="AR291" s="53">
        <v>2</v>
      </c>
      <c r="AS291" s="52">
        <v>6</v>
      </c>
      <c r="AT291" s="52">
        <v>3</v>
      </c>
      <c r="AU291" s="52">
        <v>51</v>
      </c>
      <c r="AV291" s="52">
        <v>7</v>
      </c>
      <c r="AW291" s="52">
        <v>1</v>
      </c>
      <c r="AX291" s="51">
        <v>200</v>
      </c>
      <c r="AY291" s="53" t="s">
        <v>264</v>
      </c>
      <c r="AZ291" s="53" t="s">
        <v>264</v>
      </c>
      <c r="BA291" s="53" t="s">
        <v>264</v>
      </c>
      <c r="BB291" s="53" t="s">
        <v>264</v>
      </c>
      <c r="BC291" s="53" t="s">
        <v>264</v>
      </c>
      <c r="BD291" s="53" t="s">
        <v>264</v>
      </c>
      <c r="BE291" s="53" t="s">
        <v>264</v>
      </c>
      <c r="BF291" s="53" t="s">
        <v>264</v>
      </c>
      <c r="BG291" s="53">
        <v>2</v>
      </c>
      <c r="BH291" s="53" t="s">
        <v>262</v>
      </c>
      <c r="BI291" s="53" t="s">
        <v>264</v>
      </c>
      <c r="BJ291" s="53" t="s">
        <v>262</v>
      </c>
      <c r="BK291" s="53" t="s">
        <v>264</v>
      </c>
      <c r="BL291" s="53">
        <v>2500</v>
      </c>
      <c r="BM291" s="53">
        <v>10</v>
      </c>
      <c r="BN291" s="53" t="s">
        <v>262</v>
      </c>
      <c r="BO291" s="53">
        <v>500</v>
      </c>
      <c r="BP291" s="53">
        <v>5500</v>
      </c>
      <c r="BQ291" s="53" t="s">
        <v>264</v>
      </c>
      <c r="BR291" s="53">
        <v>9000</v>
      </c>
      <c r="BS291" s="53">
        <v>25</v>
      </c>
      <c r="BT291" s="53">
        <v>1500</v>
      </c>
      <c r="BU291" s="53" t="s">
        <v>262</v>
      </c>
      <c r="BV291" s="53">
        <v>3500</v>
      </c>
      <c r="BW291" s="53" t="s">
        <v>262</v>
      </c>
      <c r="BX291" s="53">
        <v>2000</v>
      </c>
      <c r="BY291" s="53">
        <v>75</v>
      </c>
      <c r="BZ291" s="53">
        <v>7500</v>
      </c>
      <c r="CA291" s="53">
        <v>20</v>
      </c>
      <c r="CB291" s="53">
        <v>100</v>
      </c>
      <c r="CC291" s="53">
        <v>6</v>
      </c>
      <c r="CD291" s="53">
        <v>750</v>
      </c>
      <c r="CE291" s="53">
        <v>25</v>
      </c>
      <c r="CF291" s="53">
        <v>25</v>
      </c>
      <c r="CG291" s="53">
        <v>75</v>
      </c>
      <c r="CH291" s="53">
        <v>25</v>
      </c>
      <c r="CI291" s="53" t="s">
        <v>262</v>
      </c>
      <c r="CJ291" s="53" t="s">
        <v>264</v>
      </c>
      <c r="CK291" s="53" t="s">
        <v>264</v>
      </c>
      <c r="CL291" s="53" t="s">
        <v>264</v>
      </c>
      <c r="CM291" s="53" t="s">
        <v>264</v>
      </c>
      <c r="CN291" s="206"/>
      <c r="CO291" s="206"/>
      <c r="CP291" s="206"/>
      <c r="CQ291" s="8">
        <f t="shared" si="147"/>
        <v>1</v>
      </c>
      <c r="CR291" s="8">
        <f t="shared" si="148"/>
        <v>9000</v>
      </c>
      <c r="CS291" s="8">
        <f t="shared" si="149"/>
        <v>881.97368421052636</v>
      </c>
      <c r="CT291">
        <f t="shared" si="150"/>
        <v>40.103270099324007</v>
      </c>
      <c r="CU291" s="143">
        <f t="shared" si="151"/>
        <v>3</v>
      </c>
      <c r="CV291" s="143">
        <f t="shared" si="152"/>
        <v>12.333333333333334</v>
      </c>
      <c r="CX291" s="7">
        <f t="shared" si="153"/>
        <v>1.85</v>
      </c>
      <c r="CY291" s="7">
        <f t="shared" si="154"/>
        <v>3</v>
      </c>
      <c r="CZ291" s="7">
        <f t="shared" si="155"/>
        <v>5.4</v>
      </c>
      <c r="DA291" s="7">
        <f t="shared" si="156"/>
        <v>6</v>
      </c>
      <c r="DB291" s="7">
        <f t="shared" si="157"/>
        <v>20.5</v>
      </c>
      <c r="DC291" s="7">
        <f t="shared" si="158"/>
        <v>25</v>
      </c>
      <c r="DD291" s="7">
        <f t="shared" si="159"/>
        <v>52.200000000000017</v>
      </c>
      <c r="DE291" s="7">
        <f t="shared" si="160"/>
        <v>175</v>
      </c>
      <c r="DF291" s="7">
        <f t="shared" si="161"/>
        <v>1725.0000000000014</v>
      </c>
      <c r="DH291" s="7">
        <f t="shared" si="162"/>
        <v>1</v>
      </c>
      <c r="DI291" s="7">
        <f t="shared" si="163"/>
        <v>2</v>
      </c>
      <c r="DJ291" s="7">
        <f t="shared" si="164"/>
        <v>2.2000000000000002</v>
      </c>
      <c r="DK291" s="7">
        <f t="shared" si="165"/>
        <v>3</v>
      </c>
      <c r="DL291" s="7">
        <f t="shared" si="166"/>
        <v>6</v>
      </c>
      <c r="DM291" s="7">
        <f t="shared" si="167"/>
        <v>8.7999999999999989</v>
      </c>
      <c r="DN291" s="7">
        <f t="shared" si="168"/>
        <v>10.4</v>
      </c>
      <c r="DO291" s="7">
        <f t="shared" si="169"/>
        <v>14</v>
      </c>
      <c r="DP291" s="7">
        <f t="shared" si="170"/>
        <v>17</v>
      </c>
      <c r="FK291" s="190" t="s">
        <v>663</v>
      </c>
      <c r="FL291" s="191">
        <v>2017</v>
      </c>
      <c r="FM291" s="190" t="s">
        <v>656</v>
      </c>
      <c r="FN291" s="190" t="s">
        <v>637</v>
      </c>
      <c r="FO291" s="191">
        <v>1</v>
      </c>
      <c r="FP291" s="190" t="s">
        <v>653</v>
      </c>
      <c r="FQ291" s="191" t="b">
        <v>1</v>
      </c>
      <c r="FR291" s="191">
        <v>73</v>
      </c>
    </row>
    <row r="292" spans="1:174" ht="25.5" hidden="1" customHeight="1" x14ac:dyDescent="0.3">
      <c r="A292" s="92" t="str">
        <f t="shared" si="171"/>
        <v>SK-WVI [R10]</v>
      </c>
      <c r="B292" s="92" t="str">
        <f t="shared" si="172"/>
        <v>West Vancouver Island</v>
      </c>
      <c r="C292" s="93" t="str">
        <f t="shared" si="144"/>
        <v>MOYEHA RIVER_Sockeye</v>
      </c>
      <c r="D292" s="128" t="s">
        <v>598</v>
      </c>
      <c r="E292" s="128" t="s">
        <v>598</v>
      </c>
      <c r="F292" s="64">
        <v>24</v>
      </c>
      <c r="G292" s="72" t="s">
        <v>194</v>
      </c>
      <c r="H292" s="65" t="s">
        <v>91</v>
      </c>
      <c r="I292" s="119"/>
      <c r="J292" s="119"/>
      <c r="K292" s="64">
        <v>3</v>
      </c>
      <c r="L292" s="52">
        <v>11</v>
      </c>
      <c r="M292" s="52">
        <v>11</v>
      </c>
      <c r="N292" s="52">
        <f t="shared" si="173"/>
        <v>175.4792328077655</v>
      </c>
      <c r="O292" s="52">
        <f t="shared" si="174"/>
        <v>580</v>
      </c>
      <c r="P292" s="52">
        <f t="shared" si="175"/>
        <v>95.447063569675578</v>
      </c>
      <c r="Q292" s="66" t="s">
        <v>270</v>
      </c>
      <c r="R292" s="37"/>
      <c r="S292" s="74"/>
      <c r="T292" s="81">
        <f t="shared" si="145"/>
        <v>178.5</v>
      </c>
      <c r="U292" s="81">
        <f t="shared" si="146"/>
        <v>219.1</v>
      </c>
      <c r="V292" s="233">
        <v>149</v>
      </c>
      <c r="W292" s="52">
        <v>426</v>
      </c>
      <c r="X292" s="52">
        <v>70</v>
      </c>
      <c r="Y292" s="52">
        <v>69</v>
      </c>
      <c r="Z292" s="52">
        <v>74</v>
      </c>
      <c r="AA292" s="52">
        <v>143</v>
      </c>
      <c r="AB292" s="52">
        <v>246</v>
      </c>
      <c r="AC292" s="52" t="s">
        <v>102</v>
      </c>
      <c r="AD292" s="52">
        <v>414</v>
      </c>
      <c r="AE292" s="144">
        <v>49</v>
      </c>
      <c r="AF292" s="144" t="s">
        <v>102</v>
      </c>
      <c r="AG292" s="144">
        <v>551</v>
      </c>
      <c r="AH292" s="53">
        <v>785</v>
      </c>
      <c r="AI292" s="53">
        <v>270</v>
      </c>
      <c r="AJ292" s="53">
        <v>76</v>
      </c>
      <c r="AK292" s="52">
        <v>91</v>
      </c>
      <c r="AL292" s="89">
        <v>218</v>
      </c>
      <c r="AM292" s="52">
        <v>288</v>
      </c>
      <c r="AN292" s="52">
        <v>391</v>
      </c>
      <c r="AO292" s="53">
        <v>240</v>
      </c>
      <c r="AP292" s="53">
        <v>77</v>
      </c>
      <c r="AQ292" s="53">
        <v>72</v>
      </c>
      <c r="AR292" s="53">
        <v>102</v>
      </c>
      <c r="AS292" s="52">
        <v>75</v>
      </c>
      <c r="AT292" s="52">
        <v>580</v>
      </c>
      <c r="AU292" s="52">
        <v>503</v>
      </c>
      <c r="AV292" s="52">
        <v>254</v>
      </c>
      <c r="AW292" s="52">
        <v>205</v>
      </c>
      <c r="AX292" s="51">
        <v>200</v>
      </c>
      <c r="AY292" s="53">
        <v>500</v>
      </c>
      <c r="AZ292" s="53" t="s">
        <v>264</v>
      </c>
      <c r="BA292" s="53" t="s">
        <v>264</v>
      </c>
      <c r="BB292" s="53" t="s">
        <v>264</v>
      </c>
      <c r="BC292" s="53" t="s">
        <v>264</v>
      </c>
      <c r="BD292" s="53" t="s">
        <v>262</v>
      </c>
      <c r="BE292" s="53" t="s">
        <v>262</v>
      </c>
      <c r="BF292" s="53">
        <v>1</v>
      </c>
      <c r="BG292" s="53">
        <v>3</v>
      </c>
      <c r="BH292" s="53" t="s">
        <v>262</v>
      </c>
      <c r="BI292" s="53" t="s">
        <v>264</v>
      </c>
      <c r="BJ292" s="53" t="s">
        <v>262</v>
      </c>
      <c r="BK292" s="53">
        <v>25</v>
      </c>
      <c r="BL292" s="53" t="s">
        <v>264</v>
      </c>
      <c r="BM292" s="53" t="s">
        <v>264</v>
      </c>
      <c r="BN292" s="53" t="s">
        <v>264</v>
      </c>
      <c r="BO292" s="53">
        <v>20</v>
      </c>
      <c r="BP292" s="53" t="s">
        <v>264</v>
      </c>
      <c r="BQ292" s="53" t="s">
        <v>264</v>
      </c>
      <c r="BR292" s="53" t="s">
        <v>264</v>
      </c>
      <c r="BS292" s="53" t="s">
        <v>264</v>
      </c>
      <c r="BT292" s="53" t="s">
        <v>264</v>
      </c>
      <c r="BU292" s="53" t="s">
        <v>264</v>
      </c>
      <c r="BV292" s="53" t="s">
        <v>264</v>
      </c>
      <c r="BW292" s="53" t="s">
        <v>264</v>
      </c>
      <c r="BX292" s="53" t="s">
        <v>264</v>
      </c>
      <c r="BY292" s="53" t="s">
        <v>264</v>
      </c>
      <c r="BZ292" s="53" t="s">
        <v>264</v>
      </c>
      <c r="CA292" s="53" t="s">
        <v>264</v>
      </c>
      <c r="CB292" s="53" t="s">
        <v>264</v>
      </c>
      <c r="CC292" s="53" t="s">
        <v>264</v>
      </c>
      <c r="CD292" s="53" t="s">
        <v>264</v>
      </c>
      <c r="CE292" s="53" t="s">
        <v>264</v>
      </c>
      <c r="CF292" s="53" t="s">
        <v>264</v>
      </c>
      <c r="CG292" s="53" t="s">
        <v>264</v>
      </c>
      <c r="CH292" s="53" t="s">
        <v>264</v>
      </c>
      <c r="CI292" s="53" t="s">
        <v>264</v>
      </c>
      <c r="CJ292" s="53" t="s">
        <v>264</v>
      </c>
      <c r="CK292" s="53" t="s">
        <v>264</v>
      </c>
      <c r="CL292" s="53" t="s">
        <v>264</v>
      </c>
      <c r="CM292" s="53" t="s">
        <v>264</v>
      </c>
      <c r="CN292" s="209"/>
      <c r="CO292" s="209"/>
      <c r="CP292" s="209"/>
      <c r="CQ292" s="8">
        <f t="shared" si="147"/>
        <v>1</v>
      </c>
      <c r="CR292" s="8">
        <f t="shared" si="148"/>
        <v>785</v>
      </c>
      <c r="CS292" s="8">
        <f t="shared" si="149"/>
        <v>223.96875</v>
      </c>
      <c r="CT292">
        <f t="shared" si="150"/>
        <v>122.95500467225851</v>
      </c>
      <c r="CU292" s="143">
        <f t="shared" si="151"/>
        <v>157.6</v>
      </c>
      <c r="CV292" s="143">
        <f t="shared" si="152"/>
        <v>219.1</v>
      </c>
      <c r="CX292" s="7">
        <f t="shared" si="153"/>
        <v>12.349999999999998</v>
      </c>
      <c r="CY292" s="7">
        <f t="shared" si="154"/>
        <v>61.999999999999986</v>
      </c>
      <c r="CZ292" s="7">
        <f t="shared" si="155"/>
        <v>70.400000000000006</v>
      </c>
      <c r="DA292" s="7">
        <f t="shared" si="156"/>
        <v>73.5</v>
      </c>
      <c r="DB292" s="7">
        <f t="shared" si="157"/>
        <v>174.5</v>
      </c>
      <c r="DC292" s="7">
        <f t="shared" si="158"/>
        <v>231.19999999999996</v>
      </c>
      <c r="DD292" s="7">
        <f t="shared" si="159"/>
        <v>247.20000000000002</v>
      </c>
      <c r="DE292" s="7">
        <f t="shared" si="160"/>
        <v>313.75</v>
      </c>
      <c r="DF292" s="7">
        <f t="shared" si="161"/>
        <v>451.89999999999986</v>
      </c>
      <c r="DH292" s="7">
        <f t="shared" si="162"/>
        <v>69.25</v>
      </c>
      <c r="DI292" s="7">
        <f t="shared" si="163"/>
        <v>73.5</v>
      </c>
      <c r="DJ292" s="7">
        <f t="shared" si="164"/>
        <v>75</v>
      </c>
      <c r="DK292" s="7">
        <f t="shared" si="165"/>
        <v>76.25</v>
      </c>
      <c r="DL292" s="7">
        <f t="shared" si="166"/>
        <v>211.5</v>
      </c>
      <c r="DM292" s="7">
        <f t="shared" si="167"/>
        <v>246</v>
      </c>
      <c r="DN292" s="7">
        <f t="shared" si="168"/>
        <v>258</v>
      </c>
      <c r="DO292" s="7">
        <f t="shared" si="169"/>
        <v>365.25</v>
      </c>
      <c r="DP292" s="7">
        <f t="shared" si="170"/>
        <v>445.25</v>
      </c>
      <c r="DR292" s="7">
        <f>_xlfn.PERCENTILE.INC((AA292,AH292,AJ292:AV292),0.05)</f>
        <v>74.099999999999994</v>
      </c>
      <c r="DS292" s="7">
        <f>_xlfn.PERCENTILE.INC((AA292,AH292,AJ292:AV292),0.15)</f>
        <v>76.099999999999994</v>
      </c>
      <c r="DT292" s="7">
        <f>_xlfn.PERCENTILE.INC((AA292,AH292,AJ292:AV292),0.2)</f>
        <v>76.8</v>
      </c>
      <c r="DU292" s="7">
        <f>_xlfn.PERCENTILE.INC((AA292,AH292,AJ292:AV292),0.25)</f>
        <v>84</v>
      </c>
      <c r="DV292" s="7">
        <f>_xlfn.PERCENTILE.INC((AA292,AH292,AJ292:AV292),0.5)</f>
        <v>218</v>
      </c>
      <c r="DW292" s="7">
        <f>_xlfn.PERCENTILE.INC((AA292,AH292,AJ292:AV292),0.6)</f>
        <v>245.6</v>
      </c>
      <c r="DX292" s="7">
        <f>_xlfn.PERCENTILE.INC((AA292,AH292,AJ292:AV292),0.65)</f>
        <v>257.39999999999998</v>
      </c>
      <c r="DY292" s="7">
        <f>_xlfn.PERCENTILE.INC((AA292,AH292,AJ292:AV292),0.75)</f>
        <v>339.5</v>
      </c>
      <c r="DZ292" s="7">
        <f>_xlfn.PERCENTILE.INC((AA292,AH292,AJ292:AV292),0.85)</f>
        <v>491.80000000000007</v>
      </c>
      <c r="FK292" s="190" t="s">
        <v>663</v>
      </c>
      <c r="FL292" s="191">
        <v>2017</v>
      </c>
      <c r="FM292" s="190" t="s">
        <v>656</v>
      </c>
      <c r="FN292" s="190" t="s">
        <v>637</v>
      </c>
      <c r="FO292" s="191">
        <v>2</v>
      </c>
      <c r="FP292" s="190" t="s">
        <v>654</v>
      </c>
      <c r="FQ292" s="191" t="b">
        <v>1</v>
      </c>
      <c r="FR292" s="191">
        <v>-1</v>
      </c>
    </row>
    <row r="293" spans="1:174" ht="25.5" hidden="1" customHeight="1" x14ac:dyDescent="0.3">
      <c r="A293" s="92"/>
      <c r="B293" s="92"/>
      <c r="C293" s="93" t="str">
        <f t="shared" si="144"/>
        <v>MURIEL LAKE CREEK_Sockeye</v>
      </c>
      <c r="D293" s="128" t="s">
        <v>598</v>
      </c>
      <c r="E293" s="128" t="s">
        <v>598</v>
      </c>
      <c r="F293" s="64">
        <v>24</v>
      </c>
      <c r="G293" s="72" t="s">
        <v>636</v>
      </c>
      <c r="H293" s="65" t="s">
        <v>91</v>
      </c>
      <c r="I293" s="119"/>
      <c r="J293" s="119"/>
      <c r="K293" s="64"/>
      <c r="L293" s="52"/>
      <c r="M293" s="52"/>
      <c r="N293" s="52"/>
      <c r="O293" s="52"/>
      <c r="P293" s="52"/>
      <c r="Q293" s="66"/>
      <c r="R293" s="39"/>
      <c r="S293" s="76"/>
      <c r="T293" s="81">
        <f t="shared" si="145"/>
        <v>69</v>
      </c>
      <c r="U293" s="81">
        <f t="shared" si="146"/>
        <v>119</v>
      </c>
      <c r="V293" s="228"/>
      <c r="W293" s="52"/>
      <c r="X293" s="52">
        <v>69</v>
      </c>
      <c r="Y293" s="52"/>
      <c r="Z293" s="52" t="s">
        <v>263</v>
      </c>
      <c r="AA293" s="52" t="s">
        <v>102</v>
      </c>
      <c r="AB293" s="123" t="s">
        <v>102</v>
      </c>
      <c r="AC293" s="123" t="s">
        <v>102</v>
      </c>
      <c r="AD293" s="123" t="s">
        <v>102</v>
      </c>
      <c r="AE293" s="144">
        <v>169</v>
      </c>
      <c r="AF293" s="52" t="s">
        <v>102</v>
      </c>
      <c r="AG293" s="52" t="s">
        <v>102</v>
      </c>
      <c r="AH293" s="53"/>
      <c r="AI293" s="179"/>
      <c r="AJ293" s="53"/>
      <c r="AK293" s="52"/>
      <c r="AL293" s="89"/>
      <c r="AM293" s="52"/>
      <c r="AN293" s="52"/>
      <c r="AO293" s="53"/>
      <c r="AP293" s="53"/>
      <c r="AQ293" s="53"/>
      <c r="AR293" s="53"/>
      <c r="AS293" s="52"/>
      <c r="AT293" s="52"/>
      <c r="AU293" s="52"/>
      <c r="AV293" s="52"/>
      <c r="AW293" s="177"/>
      <c r="AX293" s="178"/>
      <c r="AY293" s="179"/>
      <c r="AZ293" s="179"/>
      <c r="BA293" s="179"/>
      <c r="BB293" s="179"/>
      <c r="BC293" s="179"/>
      <c r="BD293" s="179"/>
      <c r="BE293" s="179"/>
      <c r="BF293" s="179"/>
      <c r="BG293" s="179"/>
      <c r="BH293" s="179"/>
      <c r="BI293" s="179"/>
      <c r="BJ293" s="179"/>
      <c r="BK293" s="179"/>
      <c r="BL293" s="179"/>
      <c r="BM293" s="179"/>
      <c r="BN293" s="179"/>
      <c r="BO293" s="179"/>
      <c r="BP293" s="179"/>
      <c r="BQ293" s="179"/>
      <c r="BR293" s="179"/>
      <c r="BS293" s="179"/>
      <c r="BT293" s="179"/>
      <c r="BU293" s="179"/>
      <c r="BV293" s="179"/>
      <c r="BW293" s="179"/>
      <c r="BX293" s="179"/>
      <c r="BY293" s="179"/>
      <c r="BZ293" s="179"/>
      <c r="CA293" s="179"/>
      <c r="CB293" s="179"/>
      <c r="CC293" s="179"/>
      <c r="CD293" s="179"/>
      <c r="CE293" s="179"/>
      <c r="CF293" s="179"/>
      <c r="CG293" s="179"/>
      <c r="CH293" s="179"/>
      <c r="CI293" s="179"/>
      <c r="CJ293" s="179"/>
      <c r="CK293" s="179"/>
      <c r="CL293" s="179"/>
      <c r="CM293" s="179"/>
      <c r="CN293" s="209"/>
      <c r="CO293" s="209"/>
      <c r="CP293" s="209"/>
      <c r="CQ293" s="8">
        <f t="shared" si="147"/>
        <v>69</v>
      </c>
      <c r="CR293" s="8">
        <f t="shared" si="148"/>
        <v>169</v>
      </c>
      <c r="CS293" s="8">
        <f t="shared" si="149"/>
        <v>119</v>
      </c>
      <c r="CT293">
        <f t="shared" si="150"/>
        <v>107.98611021793496</v>
      </c>
      <c r="CU293" s="143">
        <f t="shared" si="151"/>
        <v>69</v>
      </c>
      <c r="CV293" s="143">
        <f t="shared" si="152"/>
        <v>119</v>
      </c>
      <c r="CX293" s="7">
        <f t="shared" si="153"/>
        <v>74</v>
      </c>
      <c r="CY293" s="7">
        <f t="shared" si="154"/>
        <v>83.999999999999986</v>
      </c>
      <c r="CZ293" s="7">
        <f t="shared" si="155"/>
        <v>89</v>
      </c>
      <c r="DA293" s="7">
        <f t="shared" si="156"/>
        <v>94</v>
      </c>
      <c r="DB293" s="7">
        <f t="shared" si="157"/>
        <v>119</v>
      </c>
      <c r="DC293" s="7">
        <f t="shared" si="158"/>
        <v>129</v>
      </c>
      <c r="DD293" s="7">
        <f t="shared" si="159"/>
        <v>134</v>
      </c>
      <c r="DE293" s="7">
        <f t="shared" si="160"/>
        <v>144</v>
      </c>
      <c r="DF293" s="7">
        <f t="shared" si="161"/>
        <v>154</v>
      </c>
      <c r="DH293" s="7">
        <f t="shared" si="162"/>
        <v>74</v>
      </c>
      <c r="DI293" s="7">
        <f t="shared" si="163"/>
        <v>83.999999999999986</v>
      </c>
      <c r="DJ293" s="7">
        <f t="shared" si="164"/>
        <v>89</v>
      </c>
      <c r="DK293" s="7">
        <f t="shared" si="165"/>
        <v>94</v>
      </c>
      <c r="DL293" s="7">
        <f t="shared" si="166"/>
        <v>119</v>
      </c>
      <c r="DM293" s="7">
        <f t="shared" si="167"/>
        <v>129</v>
      </c>
      <c r="DN293" s="7">
        <f t="shared" si="168"/>
        <v>134</v>
      </c>
      <c r="DO293" s="7">
        <f t="shared" si="169"/>
        <v>144</v>
      </c>
      <c r="DP293" s="7">
        <f t="shared" si="170"/>
        <v>154</v>
      </c>
      <c r="FK293" s="190" t="s">
        <v>664</v>
      </c>
      <c r="FL293" s="191">
        <v>2017</v>
      </c>
      <c r="FM293" s="190" t="s">
        <v>656</v>
      </c>
      <c r="FN293" s="190" t="s">
        <v>640</v>
      </c>
      <c r="FO293" s="191">
        <v>2</v>
      </c>
      <c r="FP293" s="190" t="s">
        <v>654</v>
      </c>
      <c r="FQ293" s="191" t="b">
        <v>1</v>
      </c>
      <c r="FR293" s="191">
        <v>-6</v>
      </c>
    </row>
    <row r="294" spans="1:174" ht="25.5" hidden="1" customHeight="1" x14ac:dyDescent="0.3">
      <c r="A294" s="92"/>
      <c r="B294" s="92"/>
      <c r="C294" s="93" t="str">
        <f t="shared" si="144"/>
        <v>MURIEL S1 CREEK_Coho</v>
      </c>
      <c r="D294" s="128" t="s">
        <v>598</v>
      </c>
      <c r="E294" s="128" t="s">
        <v>598</v>
      </c>
      <c r="F294" s="64">
        <v>24</v>
      </c>
      <c r="G294" s="72" t="s">
        <v>637</v>
      </c>
      <c r="H294" s="65" t="s">
        <v>93</v>
      </c>
      <c r="I294" s="119"/>
      <c r="J294" s="119"/>
      <c r="K294" s="64"/>
      <c r="L294" s="52"/>
      <c r="M294" s="52"/>
      <c r="N294" s="52"/>
      <c r="O294" s="52"/>
      <c r="P294" s="52"/>
      <c r="Q294" s="66"/>
      <c r="R294" s="39"/>
      <c r="S294" s="76"/>
      <c r="T294" s="81" t="e">
        <f t="shared" si="145"/>
        <v>#DIV/0!</v>
      </c>
      <c r="U294" s="81" t="e">
        <f t="shared" si="146"/>
        <v>#DIV/0!</v>
      </c>
      <c r="V294" s="228"/>
      <c r="W294" s="52"/>
      <c r="X294" s="52"/>
      <c r="Y294" s="52"/>
      <c r="Z294" s="52" t="s">
        <v>102</v>
      </c>
      <c r="AA294" s="144" t="s">
        <v>262</v>
      </c>
      <c r="AB294" s="123" t="s">
        <v>102</v>
      </c>
      <c r="AC294" s="52" t="s">
        <v>102</v>
      </c>
      <c r="AD294" s="52" t="s">
        <v>263</v>
      </c>
      <c r="AE294" s="52" t="s">
        <v>102</v>
      </c>
      <c r="AF294" s="52" t="s">
        <v>102</v>
      </c>
      <c r="AG294" s="52" t="s">
        <v>102</v>
      </c>
      <c r="AH294" s="53"/>
      <c r="AI294" s="53"/>
      <c r="AJ294" s="53"/>
      <c r="AK294" s="52"/>
      <c r="AL294" s="89"/>
      <c r="AM294" s="52"/>
      <c r="AN294" s="52"/>
      <c r="AO294" s="53"/>
      <c r="AP294" s="53"/>
      <c r="AQ294" s="53"/>
      <c r="AR294" s="53"/>
      <c r="AS294" s="52"/>
      <c r="AT294" s="52"/>
      <c r="AU294" s="52"/>
      <c r="AV294" s="52"/>
      <c r="AW294" s="177"/>
      <c r="AX294" s="178"/>
      <c r="AY294" s="179"/>
      <c r="AZ294" s="179"/>
      <c r="BA294" s="179"/>
      <c r="BB294" s="179"/>
      <c r="BC294" s="179"/>
      <c r="BD294" s="179"/>
      <c r="BE294" s="179"/>
      <c r="BF294" s="179"/>
      <c r="BG294" s="179"/>
      <c r="BH294" s="179"/>
      <c r="BI294" s="179"/>
      <c r="BJ294" s="179"/>
      <c r="BK294" s="179"/>
      <c r="BL294" s="179"/>
      <c r="BM294" s="179"/>
      <c r="BN294" s="179"/>
      <c r="BO294" s="179"/>
      <c r="BP294" s="179"/>
      <c r="BQ294" s="179"/>
      <c r="BR294" s="179"/>
      <c r="BS294" s="179"/>
      <c r="BT294" s="179"/>
      <c r="BU294" s="179"/>
      <c r="BV294" s="179"/>
      <c r="BW294" s="179"/>
      <c r="BX294" s="179"/>
      <c r="BY294" s="179"/>
      <c r="BZ294" s="179"/>
      <c r="CA294" s="179"/>
      <c r="CB294" s="179"/>
      <c r="CC294" s="179"/>
      <c r="CD294" s="179"/>
      <c r="CE294" s="179"/>
      <c r="CF294" s="179"/>
      <c r="CG294" s="179"/>
      <c r="CH294" s="179"/>
      <c r="CI294" s="179"/>
      <c r="CJ294" s="179"/>
      <c r="CK294" s="179"/>
      <c r="CL294" s="179"/>
      <c r="CM294" s="179"/>
      <c r="CN294" s="209"/>
      <c r="CO294" s="209"/>
      <c r="CP294" s="209"/>
      <c r="CQ294" s="8">
        <f t="shared" si="147"/>
        <v>0</v>
      </c>
      <c r="CR294" s="8">
        <f t="shared" si="148"/>
        <v>0</v>
      </c>
      <c r="CS294" s="8" t="e">
        <f t="shared" si="149"/>
        <v>#DIV/0!</v>
      </c>
      <c r="CT294" t="e">
        <f t="shared" si="150"/>
        <v>#NUM!</v>
      </c>
      <c r="CU294" s="143" t="e">
        <f t="shared" si="151"/>
        <v>#DIV/0!</v>
      </c>
      <c r="CV294" s="143" t="e">
        <f t="shared" si="152"/>
        <v>#DIV/0!</v>
      </c>
      <c r="CX294" s="7" t="e">
        <f t="shared" si="153"/>
        <v>#NUM!</v>
      </c>
      <c r="CY294" s="7" t="e">
        <f t="shared" si="154"/>
        <v>#NUM!</v>
      </c>
      <c r="CZ294" s="7" t="e">
        <f t="shared" si="155"/>
        <v>#NUM!</v>
      </c>
      <c r="DA294" s="7" t="e">
        <f t="shared" si="156"/>
        <v>#NUM!</v>
      </c>
      <c r="DB294" s="7" t="e">
        <f t="shared" si="157"/>
        <v>#NUM!</v>
      </c>
      <c r="DC294" s="7" t="e">
        <f t="shared" si="158"/>
        <v>#NUM!</v>
      </c>
      <c r="DD294" s="7" t="e">
        <f t="shared" si="159"/>
        <v>#NUM!</v>
      </c>
      <c r="DE294" s="7" t="e">
        <f t="shared" si="160"/>
        <v>#NUM!</v>
      </c>
      <c r="DF294" s="7" t="e">
        <f t="shared" si="161"/>
        <v>#NUM!</v>
      </c>
      <c r="DH294" s="7" t="e">
        <f t="shared" si="162"/>
        <v>#NUM!</v>
      </c>
      <c r="DI294" s="7" t="e">
        <f t="shared" si="163"/>
        <v>#NUM!</v>
      </c>
      <c r="DJ294" s="7" t="e">
        <f t="shared" si="164"/>
        <v>#NUM!</v>
      </c>
      <c r="DK294" s="7" t="e">
        <f t="shared" si="165"/>
        <v>#NUM!</v>
      </c>
      <c r="DL294" s="7" t="e">
        <f t="shared" si="166"/>
        <v>#NUM!</v>
      </c>
      <c r="DM294" s="7" t="e">
        <f t="shared" si="167"/>
        <v>#NUM!</v>
      </c>
      <c r="DN294" s="7" t="e">
        <f t="shared" si="168"/>
        <v>#NUM!</v>
      </c>
      <c r="DO294" s="7" t="e">
        <f t="shared" si="169"/>
        <v>#NUM!</v>
      </c>
      <c r="DP294" s="7" t="e">
        <f t="shared" si="170"/>
        <v>#NUM!</v>
      </c>
      <c r="FK294" s="190" t="s">
        <v>664</v>
      </c>
      <c r="FL294" s="191">
        <v>2017</v>
      </c>
      <c r="FM294" s="190" t="s">
        <v>656</v>
      </c>
      <c r="FN294" s="190" t="s">
        <v>640</v>
      </c>
      <c r="FO294" s="191">
        <v>4</v>
      </c>
      <c r="FP294" s="190" t="s">
        <v>501</v>
      </c>
      <c r="FQ294" s="191" t="b">
        <v>1</v>
      </c>
      <c r="FR294" s="191">
        <v>34</v>
      </c>
    </row>
    <row r="295" spans="1:174" ht="25.5" hidden="1" customHeight="1" x14ac:dyDescent="0.3">
      <c r="A295" s="92"/>
      <c r="B295" s="92"/>
      <c r="C295" s="93" t="str">
        <f t="shared" si="144"/>
        <v>MURIEL S1 CREEK_Sockeye</v>
      </c>
      <c r="D295" s="128" t="s">
        <v>598</v>
      </c>
      <c r="E295" s="128" t="s">
        <v>598</v>
      </c>
      <c r="F295" s="64">
        <v>24</v>
      </c>
      <c r="G295" s="72" t="s">
        <v>637</v>
      </c>
      <c r="H295" s="65" t="s">
        <v>91</v>
      </c>
      <c r="I295" s="119"/>
      <c r="J295" s="119"/>
      <c r="K295" s="64"/>
      <c r="L295" s="52"/>
      <c r="M295" s="52"/>
      <c r="N295" s="52"/>
      <c r="O295" s="52"/>
      <c r="P295" s="52"/>
      <c r="Q295" s="66"/>
      <c r="R295" s="39"/>
      <c r="S295" s="76"/>
      <c r="T295" s="81" t="e">
        <f t="shared" si="145"/>
        <v>#DIV/0!</v>
      </c>
      <c r="U295" s="81">
        <f t="shared" si="146"/>
        <v>73</v>
      </c>
      <c r="V295" s="228"/>
      <c r="W295" s="52"/>
      <c r="X295" s="52"/>
      <c r="Y295" s="52"/>
      <c r="Z295" s="52" t="s">
        <v>102</v>
      </c>
      <c r="AA295" s="52">
        <v>73</v>
      </c>
      <c r="AB295" s="123" t="s">
        <v>102</v>
      </c>
      <c r="AC295" s="52" t="s">
        <v>102</v>
      </c>
      <c r="AD295" s="52" t="s">
        <v>263</v>
      </c>
      <c r="AE295" s="52" t="s">
        <v>102</v>
      </c>
      <c r="AF295" s="52" t="s">
        <v>102</v>
      </c>
      <c r="AG295" s="52" t="s">
        <v>102</v>
      </c>
      <c r="AH295" s="53"/>
      <c r="AI295" s="53"/>
      <c r="AJ295" s="53"/>
      <c r="AK295" s="52"/>
      <c r="AL295" s="89"/>
      <c r="AM295" s="52"/>
      <c r="AN295" s="52"/>
      <c r="AO295" s="53"/>
      <c r="AP295" s="53"/>
      <c r="AQ295" s="53"/>
      <c r="AR295" s="53"/>
      <c r="AS295" s="52"/>
      <c r="AT295" s="52"/>
      <c r="AU295" s="52"/>
      <c r="AV295" s="52"/>
      <c r="AW295" s="177"/>
      <c r="AX295" s="178"/>
      <c r="AY295" s="179"/>
      <c r="AZ295" s="179"/>
      <c r="BA295" s="179"/>
      <c r="BB295" s="179"/>
      <c r="BC295" s="179"/>
      <c r="BD295" s="179"/>
      <c r="BE295" s="179"/>
      <c r="BF295" s="179"/>
      <c r="BG295" s="179"/>
      <c r="BH295" s="179"/>
      <c r="BI295" s="179"/>
      <c r="BJ295" s="179"/>
      <c r="BK295" s="179"/>
      <c r="BL295" s="179"/>
      <c r="BM295" s="179"/>
      <c r="BN295" s="179"/>
      <c r="BO295" s="179"/>
      <c r="BP295" s="179"/>
      <c r="BQ295" s="179"/>
      <c r="BR295" s="179"/>
      <c r="BS295" s="179"/>
      <c r="BT295" s="179"/>
      <c r="BU295" s="179"/>
      <c r="BV295" s="179"/>
      <c r="BW295" s="179"/>
      <c r="BX295" s="179"/>
      <c r="BY295" s="179"/>
      <c r="BZ295" s="179"/>
      <c r="CA295" s="179"/>
      <c r="CB295" s="179"/>
      <c r="CC295" s="179"/>
      <c r="CD295" s="179"/>
      <c r="CE295" s="179"/>
      <c r="CF295" s="179"/>
      <c r="CG295" s="179"/>
      <c r="CH295" s="179"/>
      <c r="CI295" s="179"/>
      <c r="CJ295" s="179"/>
      <c r="CK295" s="179"/>
      <c r="CL295" s="179"/>
      <c r="CM295" s="179"/>
      <c r="CN295" s="209"/>
      <c r="CO295" s="209"/>
      <c r="CP295" s="209"/>
      <c r="CQ295" s="8">
        <f t="shared" si="147"/>
        <v>73</v>
      </c>
      <c r="CR295" s="8">
        <f t="shared" si="148"/>
        <v>73</v>
      </c>
      <c r="CS295" s="8">
        <f t="shared" si="149"/>
        <v>73</v>
      </c>
      <c r="CT295">
        <f t="shared" si="150"/>
        <v>73</v>
      </c>
      <c r="CU295" s="143" t="e">
        <f t="shared" si="151"/>
        <v>#DIV/0!</v>
      </c>
      <c r="CV295" s="143">
        <f t="shared" si="152"/>
        <v>73</v>
      </c>
      <c r="CX295" s="7">
        <f t="shared" si="153"/>
        <v>73</v>
      </c>
      <c r="CY295" s="7">
        <f t="shared" si="154"/>
        <v>73</v>
      </c>
      <c r="CZ295" s="7">
        <f t="shared" si="155"/>
        <v>73</v>
      </c>
      <c r="DA295" s="7">
        <f t="shared" si="156"/>
        <v>73</v>
      </c>
      <c r="DB295" s="7">
        <f t="shared" si="157"/>
        <v>73</v>
      </c>
      <c r="DC295" s="7">
        <f t="shared" si="158"/>
        <v>73</v>
      </c>
      <c r="DD295" s="7">
        <f t="shared" si="159"/>
        <v>73</v>
      </c>
      <c r="DE295" s="7">
        <f t="shared" si="160"/>
        <v>73</v>
      </c>
      <c r="DF295" s="7">
        <f t="shared" si="161"/>
        <v>73</v>
      </c>
      <c r="DH295" s="7">
        <f t="shared" si="162"/>
        <v>73</v>
      </c>
      <c r="DI295" s="7">
        <f t="shared" si="163"/>
        <v>73</v>
      </c>
      <c r="DJ295" s="7">
        <f t="shared" si="164"/>
        <v>73</v>
      </c>
      <c r="DK295" s="7">
        <f t="shared" si="165"/>
        <v>73</v>
      </c>
      <c r="DL295" s="7">
        <f t="shared" si="166"/>
        <v>73</v>
      </c>
      <c r="DM295" s="7">
        <f t="shared" si="167"/>
        <v>73</v>
      </c>
      <c r="DN295" s="7">
        <f t="shared" si="168"/>
        <v>73</v>
      </c>
      <c r="DO295" s="7">
        <f t="shared" si="169"/>
        <v>73</v>
      </c>
      <c r="DP295" s="7">
        <f t="shared" si="170"/>
        <v>73</v>
      </c>
      <c r="FK295" s="190" t="s">
        <v>665</v>
      </c>
      <c r="FL295" s="191">
        <v>2017</v>
      </c>
      <c r="FM295" s="190" t="s">
        <v>656</v>
      </c>
      <c r="FN295" s="190" t="s">
        <v>188</v>
      </c>
      <c r="FO295" s="191">
        <v>2</v>
      </c>
      <c r="FP295" s="190" t="s">
        <v>654</v>
      </c>
      <c r="FQ295" s="191" t="b">
        <v>1</v>
      </c>
      <c r="FR295" s="191">
        <v>-1</v>
      </c>
    </row>
    <row r="296" spans="1:174" ht="25.5" hidden="1" customHeight="1" x14ac:dyDescent="0.3">
      <c r="A296" s="92"/>
      <c r="B296" s="92"/>
      <c r="C296" s="93" t="str">
        <f t="shared" si="144"/>
        <v>PACILTH CREEK_Chum</v>
      </c>
      <c r="D296" s="128" t="s">
        <v>598</v>
      </c>
      <c r="E296" s="128" t="s">
        <v>598</v>
      </c>
      <c r="F296" s="64">
        <v>24</v>
      </c>
      <c r="G296" s="72" t="s">
        <v>638</v>
      </c>
      <c r="H296" s="65" t="s">
        <v>96</v>
      </c>
      <c r="I296" s="119"/>
      <c r="J296" s="119"/>
      <c r="K296" s="64"/>
      <c r="L296" s="52"/>
      <c r="M296" s="52"/>
      <c r="N296" s="52"/>
      <c r="O296" s="52"/>
      <c r="P296" s="52"/>
      <c r="Q296" s="66"/>
      <c r="R296" s="39"/>
      <c r="S296" s="76"/>
      <c r="T296" s="81" t="e">
        <f t="shared" si="145"/>
        <v>#DIV/0!</v>
      </c>
      <c r="U296" s="81" t="e">
        <f t="shared" si="146"/>
        <v>#DIV/0!</v>
      </c>
      <c r="V296" s="228"/>
      <c r="W296" s="52"/>
      <c r="X296" s="52" t="s">
        <v>102</v>
      </c>
      <c r="Y296" s="52"/>
      <c r="Z296" s="52" t="s">
        <v>102</v>
      </c>
      <c r="AA296" s="52" t="s">
        <v>102</v>
      </c>
      <c r="AB296" s="52" t="s">
        <v>102</v>
      </c>
      <c r="AC296" s="144" t="s">
        <v>263</v>
      </c>
      <c r="AD296" s="144" t="s">
        <v>263</v>
      </c>
      <c r="AE296" s="52" t="s">
        <v>102</v>
      </c>
      <c r="AF296" s="52" t="s">
        <v>263</v>
      </c>
      <c r="AG296" s="52" t="s">
        <v>102</v>
      </c>
      <c r="AH296" s="53"/>
      <c r="AI296" s="53"/>
      <c r="AJ296" s="53"/>
      <c r="AK296" s="52"/>
      <c r="AL296" s="89"/>
      <c r="AM296" s="52"/>
      <c r="AN296" s="52"/>
      <c r="AO296" s="53"/>
      <c r="AP296" s="53"/>
      <c r="AQ296" s="53"/>
      <c r="AR296" s="53"/>
      <c r="AS296" s="52"/>
      <c r="AT296" s="52"/>
      <c r="AU296" s="52"/>
      <c r="AV296" s="52"/>
      <c r="AW296" s="177"/>
      <c r="AX296" s="178"/>
      <c r="AY296" s="179"/>
      <c r="AZ296" s="179"/>
      <c r="BA296" s="179"/>
      <c r="BB296" s="179"/>
      <c r="BC296" s="179"/>
      <c r="BD296" s="179"/>
      <c r="BE296" s="179"/>
      <c r="BF296" s="179"/>
      <c r="BG296" s="179"/>
      <c r="BH296" s="179"/>
      <c r="BI296" s="179"/>
      <c r="BJ296" s="179"/>
      <c r="BK296" s="179"/>
      <c r="BL296" s="179"/>
      <c r="BM296" s="179"/>
      <c r="BN296" s="179"/>
      <c r="BO296" s="179"/>
      <c r="BP296" s="179"/>
      <c r="BQ296" s="179"/>
      <c r="BR296" s="179"/>
      <c r="BS296" s="179"/>
      <c r="BT296" s="179"/>
      <c r="BU296" s="179"/>
      <c r="BV296" s="179"/>
      <c r="BW296" s="179"/>
      <c r="BX296" s="179"/>
      <c r="BY296" s="179"/>
      <c r="BZ296" s="179"/>
      <c r="CA296" s="179"/>
      <c r="CB296" s="179"/>
      <c r="CC296" s="179"/>
      <c r="CD296" s="179"/>
      <c r="CE296" s="179"/>
      <c r="CF296" s="179"/>
      <c r="CG296" s="179"/>
      <c r="CH296" s="179"/>
      <c r="CI296" s="179"/>
      <c r="CJ296" s="179"/>
      <c r="CK296" s="179"/>
      <c r="CL296" s="179"/>
      <c r="CM296" s="179"/>
      <c r="CN296" s="209"/>
      <c r="CO296" s="209"/>
      <c r="CP296" s="209"/>
      <c r="CQ296" s="8">
        <f t="shared" si="147"/>
        <v>0</v>
      </c>
      <c r="CR296" s="8">
        <f t="shared" si="148"/>
        <v>0</v>
      </c>
      <c r="CS296" s="8" t="e">
        <f t="shared" si="149"/>
        <v>#DIV/0!</v>
      </c>
      <c r="CT296" t="e">
        <f t="shared" si="150"/>
        <v>#NUM!</v>
      </c>
      <c r="CU296" s="143" t="e">
        <f t="shared" si="151"/>
        <v>#DIV/0!</v>
      </c>
      <c r="CV296" s="143" t="e">
        <f t="shared" si="152"/>
        <v>#DIV/0!</v>
      </c>
      <c r="CX296" s="7" t="e">
        <f t="shared" si="153"/>
        <v>#NUM!</v>
      </c>
      <c r="CY296" s="7" t="e">
        <f t="shared" si="154"/>
        <v>#NUM!</v>
      </c>
      <c r="CZ296" s="7" t="e">
        <f t="shared" si="155"/>
        <v>#NUM!</v>
      </c>
      <c r="DA296" s="7" t="e">
        <f t="shared" si="156"/>
        <v>#NUM!</v>
      </c>
      <c r="DB296" s="7" t="e">
        <f t="shared" si="157"/>
        <v>#NUM!</v>
      </c>
      <c r="DC296" s="7" t="e">
        <f t="shared" si="158"/>
        <v>#NUM!</v>
      </c>
      <c r="DD296" s="7" t="e">
        <f t="shared" si="159"/>
        <v>#NUM!</v>
      </c>
      <c r="DE296" s="7" t="e">
        <f t="shared" si="160"/>
        <v>#NUM!</v>
      </c>
      <c r="DF296" s="7" t="e">
        <f t="shared" si="161"/>
        <v>#NUM!</v>
      </c>
      <c r="DH296" s="7" t="e">
        <f t="shared" si="162"/>
        <v>#NUM!</v>
      </c>
      <c r="DI296" s="7" t="e">
        <f t="shared" si="163"/>
        <v>#NUM!</v>
      </c>
      <c r="DJ296" s="7" t="e">
        <f t="shared" si="164"/>
        <v>#NUM!</v>
      </c>
      <c r="DK296" s="7" t="e">
        <f t="shared" si="165"/>
        <v>#NUM!</v>
      </c>
      <c r="DL296" s="7" t="e">
        <f t="shared" si="166"/>
        <v>#NUM!</v>
      </c>
      <c r="DM296" s="7" t="e">
        <f t="shared" si="167"/>
        <v>#NUM!</v>
      </c>
      <c r="DN296" s="7" t="e">
        <f t="shared" si="168"/>
        <v>#NUM!</v>
      </c>
      <c r="DO296" s="7" t="e">
        <f t="shared" si="169"/>
        <v>#NUM!</v>
      </c>
      <c r="DP296" s="7" t="e">
        <f t="shared" si="170"/>
        <v>#NUM!</v>
      </c>
      <c r="FK296" s="190" t="s">
        <v>665</v>
      </c>
      <c r="FL296" s="191">
        <v>2017</v>
      </c>
      <c r="FM296" s="190" t="s">
        <v>656</v>
      </c>
      <c r="FN296" s="190" t="s">
        <v>188</v>
      </c>
      <c r="FO296" s="191">
        <v>4</v>
      </c>
      <c r="FP296" s="190" t="s">
        <v>501</v>
      </c>
      <c r="FQ296" s="191" t="b">
        <v>1</v>
      </c>
      <c r="FR296" s="191">
        <v>8</v>
      </c>
    </row>
    <row r="297" spans="1:174" ht="25.5" hidden="1" customHeight="1" x14ac:dyDescent="0.3">
      <c r="A297" s="92"/>
      <c r="B297" s="92"/>
      <c r="C297" s="93" t="str">
        <f t="shared" si="144"/>
        <v>PACILTH CREEK_Coho</v>
      </c>
      <c r="D297" s="128" t="s">
        <v>598</v>
      </c>
      <c r="E297" s="128" t="s">
        <v>598</v>
      </c>
      <c r="F297" s="64">
        <v>24</v>
      </c>
      <c r="G297" s="72" t="s">
        <v>638</v>
      </c>
      <c r="H297" s="65" t="s">
        <v>93</v>
      </c>
      <c r="I297" s="119"/>
      <c r="J297" s="119"/>
      <c r="K297" s="64"/>
      <c r="L297" s="52"/>
      <c r="M297" s="52"/>
      <c r="N297" s="52"/>
      <c r="O297" s="52"/>
      <c r="P297" s="52"/>
      <c r="Q297" s="66"/>
      <c r="R297" s="39"/>
      <c r="S297" s="76"/>
      <c r="T297" s="81" t="e">
        <f t="shared" si="145"/>
        <v>#DIV/0!</v>
      </c>
      <c r="U297" s="81" t="e">
        <f t="shared" si="146"/>
        <v>#DIV/0!</v>
      </c>
      <c r="V297" s="228"/>
      <c r="W297" s="52"/>
      <c r="X297" s="52" t="s">
        <v>102</v>
      </c>
      <c r="Y297" s="52"/>
      <c r="Z297" s="52" t="s">
        <v>102</v>
      </c>
      <c r="AA297" s="52" t="s">
        <v>102</v>
      </c>
      <c r="AB297" s="52" t="s">
        <v>102</v>
      </c>
      <c r="AC297" s="52" t="s">
        <v>262</v>
      </c>
      <c r="AD297" s="52" t="s">
        <v>262</v>
      </c>
      <c r="AE297" s="52" t="s">
        <v>102</v>
      </c>
      <c r="AF297" s="52" t="s">
        <v>263</v>
      </c>
      <c r="AG297" s="52" t="s">
        <v>102</v>
      </c>
      <c r="AH297" s="53"/>
      <c r="AI297" s="53"/>
      <c r="AJ297" s="53"/>
      <c r="AK297" s="52"/>
      <c r="AL297" s="89"/>
      <c r="AM297" s="52"/>
      <c r="AN297" s="52"/>
      <c r="AO297" s="53"/>
      <c r="AP297" s="53"/>
      <c r="AQ297" s="53"/>
      <c r="AR297" s="53"/>
      <c r="AS297" s="52"/>
      <c r="AT297" s="52"/>
      <c r="AU297" s="52"/>
      <c r="AV297" s="52"/>
      <c r="AW297" s="177"/>
      <c r="AX297" s="178"/>
      <c r="AY297" s="179"/>
      <c r="AZ297" s="179"/>
      <c r="BA297" s="179"/>
      <c r="BB297" s="179"/>
      <c r="BC297" s="179"/>
      <c r="BD297" s="179"/>
      <c r="BE297" s="179"/>
      <c r="BF297" s="179"/>
      <c r="BG297" s="179"/>
      <c r="BH297" s="179"/>
      <c r="BI297" s="179"/>
      <c r="BJ297" s="179"/>
      <c r="BK297" s="179"/>
      <c r="BL297" s="179"/>
      <c r="BM297" s="179"/>
      <c r="BN297" s="179"/>
      <c r="BO297" s="179"/>
      <c r="BP297" s="179"/>
      <c r="BQ297" s="179"/>
      <c r="BR297" s="179"/>
      <c r="BS297" s="179"/>
      <c r="BT297" s="179"/>
      <c r="BU297" s="179"/>
      <c r="BV297" s="179"/>
      <c r="BW297" s="179"/>
      <c r="BX297" s="179"/>
      <c r="BY297" s="179"/>
      <c r="BZ297" s="179"/>
      <c r="CA297" s="179"/>
      <c r="CB297" s="179"/>
      <c r="CC297" s="179"/>
      <c r="CD297" s="179"/>
      <c r="CE297" s="179"/>
      <c r="CF297" s="179"/>
      <c r="CG297" s="179"/>
      <c r="CH297" s="179"/>
      <c r="CI297" s="179"/>
      <c r="CJ297" s="179"/>
      <c r="CK297" s="179"/>
      <c r="CL297" s="179"/>
      <c r="CM297" s="179"/>
      <c r="CN297" s="209"/>
      <c r="CO297" s="209"/>
      <c r="CP297" s="209"/>
      <c r="CQ297" s="8">
        <f t="shared" si="147"/>
        <v>0</v>
      </c>
      <c r="CR297" s="8">
        <f t="shared" si="148"/>
        <v>0</v>
      </c>
      <c r="CS297" s="8" t="e">
        <f t="shared" si="149"/>
        <v>#DIV/0!</v>
      </c>
      <c r="CT297" t="e">
        <f t="shared" si="150"/>
        <v>#NUM!</v>
      </c>
      <c r="CU297" s="143" t="e">
        <f t="shared" si="151"/>
        <v>#DIV/0!</v>
      </c>
      <c r="CV297" s="143" t="e">
        <f t="shared" si="152"/>
        <v>#DIV/0!</v>
      </c>
      <c r="CX297" s="7" t="e">
        <f t="shared" si="153"/>
        <v>#NUM!</v>
      </c>
      <c r="CY297" s="7" t="e">
        <f t="shared" si="154"/>
        <v>#NUM!</v>
      </c>
      <c r="CZ297" s="7" t="e">
        <f t="shared" si="155"/>
        <v>#NUM!</v>
      </c>
      <c r="DA297" s="7" t="e">
        <f t="shared" si="156"/>
        <v>#NUM!</v>
      </c>
      <c r="DB297" s="7" t="e">
        <f t="shared" si="157"/>
        <v>#NUM!</v>
      </c>
      <c r="DC297" s="7" t="e">
        <f t="shared" si="158"/>
        <v>#NUM!</v>
      </c>
      <c r="DD297" s="7" t="e">
        <f t="shared" si="159"/>
        <v>#NUM!</v>
      </c>
      <c r="DE297" s="7" t="e">
        <f t="shared" si="160"/>
        <v>#NUM!</v>
      </c>
      <c r="DF297" s="7" t="e">
        <f t="shared" si="161"/>
        <v>#NUM!</v>
      </c>
      <c r="DH297" s="7" t="e">
        <f t="shared" si="162"/>
        <v>#NUM!</v>
      </c>
      <c r="DI297" s="7" t="e">
        <f t="shared" si="163"/>
        <v>#NUM!</v>
      </c>
      <c r="DJ297" s="7" t="e">
        <f t="shared" si="164"/>
        <v>#NUM!</v>
      </c>
      <c r="DK297" s="7" t="e">
        <f t="shared" si="165"/>
        <v>#NUM!</v>
      </c>
      <c r="DL297" s="7" t="e">
        <f t="shared" si="166"/>
        <v>#NUM!</v>
      </c>
      <c r="DM297" s="7" t="e">
        <f t="shared" si="167"/>
        <v>#NUM!</v>
      </c>
      <c r="DN297" s="7" t="e">
        <f t="shared" si="168"/>
        <v>#NUM!</v>
      </c>
      <c r="DO297" s="7" t="e">
        <f t="shared" si="169"/>
        <v>#NUM!</v>
      </c>
      <c r="DP297" s="7" t="e">
        <f t="shared" si="170"/>
        <v>#NUM!</v>
      </c>
      <c r="FK297" s="190" t="s">
        <v>666</v>
      </c>
      <c r="FL297" s="191">
        <v>2017</v>
      </c>
      <c r="FM297" s="190" t="s">
        <v>656</v>
      </c>
      <c r="FN297" s="190" t="s">
        <v>182</v>
      </c>
      <c r="FO297" s="191">
        <v>2</v>
      </c>
      <c r="FP297" s="190" t="s">
        <v>654</v>
      </c>
      <c r="FQ297" s="191" t="b">
        <v>1</v>
      </c>
      <c r="FR297" s="191">
        <v>-6</v>
      </c>
    </row>
    <row r="298" spans="1:174" ht="25.5" hidden="1" customHeight="1" x14ac:dyDescent="0.3">
      <c r="A298" s="92"/>
      <c r="B298" s="92"/>
      <c r="C298" s="93" t="str">
        <f t="shared" si="144"/>
        <v>PURDON CREEK_Chum</v>
      </c>
      <c r="D298" s="128" t="s">
        <v>598</v>
      </c>
      <c r="E298" s="128" t="s">
        <v>598</v>
      </c>
      <c r="F298" s="64">
        <v>24</v>
      </c>
      <c r="G298" s="72" t="s">
        <v>639</v>
      </c>
      <c r="H298" s="65" t="s">
        <v>96</v>
      </c>
      <c r="I298" s="119"/>
      <c r="J298" s="119"/>
      <c r="K298" s="64"/>
      <c r="L298" s="52"/>
      <c r="M298" s="52"/>
      <c r="N298" s="52"/>
      <c r="O298" s="52"/>
      <c r="P298" s="52"/>
      <c r="Q298" s="66"/>
      <c r="R298" s="39"/>
      <c r="S298" s="76"/>
      <c r="T298" s="81" t="e">
        <f t="shared" si="145"/>
        <v>#DIV/0!</v>
      </c>
      <c r="U298" s="81" t="e">
        <f t="shared" si="146"/>
        <v>#DIV/0!</v>
      </c>
      <c r="V298" s="228"/>
      <c r="W298" s="52"/>
      <c r="X298" s="52" t="s">
        <v>102</v>
      </c>
      <c r="Y298" s="52"/>
      <c r="Z298" s="52" t="s">
        <v>102</v>
      </c>
      <c r="AA298" s="52" t="s">
        <v>102</v>
      </c>
      <c r="AB298" s="52" t="s">
        <v>102</v>
      </c>
      <c r="AC298" s="52" t="s">
        <v>262</v>
      </c>
      <c r="AD298" s="52" t="s">
        <v>262</v>
      </c>
      <c r="AE298" s="52" t="s">
        <v>102</v>
      </c>
      <c r="AF298" s="52" t="s">
        <v>262</v>
      </c>
      <c r="AG298" s="52" t="s">
        <v>102</v>
      </c>
      <c r="AH298" s="53"/>
      <c r="AI298" s="53"/>
      <c r="AJ298" s="53"/>
      <c r="AK298" s="52"/>
      <c r="AL298" s="89"/>
      <c r="AM298" s="52"/>
      <c r="AN298" s="52"/>
      <c r="AO298" s="53"/>
      <c r="AP298" s="53"/>
      <c r="AQ298" s="53"/>
      <c r="AR298" s="53"/>
      <c r="AS298" s="52"/>
      <c r="AT298" s="52"/>
      <c r="AU298" s="52"/>
      <c r="AV298" s="52"/>
      <c r="AW298" s="177"/>
      <c r="AX298" s="178"/>
      <c r="AY298" s="179"/>
      <c r="AZ298" s="179"/>
      <c r="BA298" s="179"/>
      <c r="BB298" s="179"/>
      <c r="BC298" s="179"/>
      <c r="BD298" s="179"/>
      <c r="BE298" s="179"/>
      <c r="BF298" s="179"/>
      <c r="BG298" s="179"/>
      <c r="BH298" s="179"/>
      <c r="BI298" s="179"/>
      <c r="BJ298" s="179"/>
      <c r="BK298" s="179"/>
      <c r="BL298" s="179"/>
      <c r="BM298" s="179"/>
      <c r="BN298" s="179"/>
      <c r="BO298" s="179"/>
      <c r="BP298" s="179"/>
      <c r="BQ298" s="179"/>
      <c r="BR298" s="179"/>
      <c r="BS298" s="179"/>
      <c r="BT298" s="179"/>
      <c r="BU298" s="179"/>
      <c r="BV298" s="179"/>
      <c r="BW298" s="179"/>
      <c r="BX298" s="179"/>
      <c r="BY298" s="179"/>
      <c r="BZ298" s="179"/>
      <c r="CA298" s="179"/>
      <c r="CB298" s="179"/>
      <c r="CC298" s="179"/>
      <c r="CD298" s="179"/>
      <c r="CE298" s="179"/>
      <c r="CF298" s="179"/>
      <c r="CG298" s="179"/>
      <c r="CH298" s="179"/>
      <c r="CI298" s="179"/>
      <c r="CJ298" s="179"/>
      <c r="CK298" s="179"/>
      <c r="CL298" s="179"/>
      <c r="CM298" s="179"/>
      <c r="CN298" s="209"/>
      <c r="CO298" s="209"/>
      <c r="CP298" s="209"/>
      <c r="CQ298" s="8">
        <f t="shared" si="147"/>
        <v>0</v>
      </c>
      <c r="CR298" s="8">
        <f t="shared" si="148"/>
        <v>0</v>
      </c>
      <c r="CS298" s="8" t="e">
        <f t="shared" si="149"/>
        <v>#DIV/0!</v>
      </c>
      <c r="CT298" t="e">
        <f t="shared" si="150"/>
        <v>#NUM!</v>
      </c>
      <c r="CU298" s="143" t="e">
        <f t="shared" si="151"/>
        <v>#DIV/0!</v>
      </c>
      <c r="CV298" s="143" t="e">
        <f t="shared" si="152"/>
        <v>#DIV/0!</v>
      </c>
      <c r="CX298" s="7" t="e">
        <f t="shared" si="153"/>
        <v>#NUM!</v>
      </c>
      <c r="CY298" s="7" t="e">
        <f t="shared" si="154"/>
        <v>#NUM!</v>
      </c>
      <c r="CZ298" s="7" t="e">
        <f t="shared" si="155"/>
        <v>#NUM!</v>
      </c>
      <c r="DA298" s="7" t="e">
        <f t="shared" si="156"/>
        <v>#NUM!</v>
      </c>
      <c r="DB298" s="7" t="e">
        <f t="shared" si="157"/>
        <v>#NUM!</v>
      </c>
      <c r="DC298" s="7" t="e">
        <f t="shared" si="158"/>
        <v>#NUM!</v>
      </c>
      <c r="DD298" s="7" t="e">
        <f t="shared" si="159"/>
        <v>#NUM!</v>
      </c>
      <c r="DE298" s="7" t="e">
        <f t="shared" si="160"/>
        <v>#NUM!</v>
      </c>
      <c r="DF298" s="7" t="e">
        <f t="shared" si="161"/>
        <v>#NUM!</v>
      </c>
      <c r="DH298" s="7" t="e">
        <f t="shared" si="162"/>
        <v>#NUM!</v>
      </c>
      <c r="DI298" s="7" t="e">
        <f t="shared" si="163"/>
        <v>#NUM!</v>
      </c>
      <c r="DJ298" s="7" t="e">
        <f t="shared" si="164"/>
        <v>#NUM!</v>
      </c>
      <c r="DK298" s="7" t="e">
        <f t="shared" si="165"/>
        <v>#NUM!</v>
      </c>
      <c r="DL298" s="7" t="e">
        <f t="shared" si="166"/>
        <v>#NUM!</v>
      </c>
      <c r="DM298" s="7" t="e">
        <f t="shared" si="167"/>
        <v>#NUM!</v>
      </c>
      <c r="DN298" s="7" t="e">
        <f t="shared" si="168"/>
        <v>#NUM!</v>
      </c>
      <c r="DO298" s="7" t="e">
        <f t="shared" si="169"/>
        <v>#NUM!</v>
      </c>
      <c r="DP298" s="7" t="e">
        <f t="shared" si="170"/>
        <v>#NUM!</v>
      </c>
      <c r="FK298" s="190" t="s">
        <v>666</v>
      </c>
      <c r="FL298" s="191">
        <v>2017</v>
      </c>
      <c r="FM298" s="190" t="s">
        <v>656</v>
      </c>
      <c r="FN298" s="190" t="s">
        <v>182</v>
      </c>
      <c r="FO298" s="191">
        <v>4</v>
      </c>
      <c r="FP298" s="190" t="s">
        <v>501</v>
      </c>
      <c r="FQ298" s="191" t="b">
        <v>1</v>
      </c>
      <c r="FR298" s="191">
        <v>-6</v>
      </c>
    </row>
    <row r="299" spans="1:174" ht="25.5" hidden="1" customHeight="1" x14ac:dyDescent="0.3">
      <c r="A299" s="92"/>
      <c r="B299" s="92"/>
      <c r="C299" s="93" t="str">
        <f t="shared" si="144"/>
        <v>PURDON CREEK_Coho</v>
      </c>
      <c r="D299" s="128" t="s">
        <v>598</v>
      </c>
      <c r="E299" s="128" t="s">
        <v>598</v>
      </c>
      <c r="F299" s="64">
        <v>24</v>
      </c>
      <c r="G299" s="72" t="s">
        <v>639</v>
      </c>
      <c r="H299" s="65" t="s">
        <v>93</v>
      </c>
      <c r="I299" s="119"/>
      <c r="J299" s="119"/>
      <c r="K299" s="64"/>
      <c r="L299" s="52"/>
      <c r="M299" s="52"/>
      <c r="N299" s="52"/>
      <c r="O299" s="52"/>
      <c r="P299" s="52"/>
      <c r="Q299" s="66"/>
      <c r="R299" s="39"/>
      <c r="S299" s="76"/>
      <c r="T299" s="81" t="e">
        <f t="shared" si="145"/>
        <v>#DIV/0!</v>
      </c>
      <c r="U299" s="81" t="e">
        <f t="shared" si="146"/>
        <v>#DIV/0!</v>
      </c>
      <c r="V299" s="228"/>
      <c r="W299" s="52"/>
      <c r="X299" s="52" t="s">
        <v>102</v>
      </c>
      <c r="Y299" s="52"/>
      <c r="Z299" s="52" t="s">
        <v>102</v>
      </c>
      <c r="AA299" s="52" t="s">
        <v>102</v>
      </c>
      <c r="AB299" s="52" t="s">
        <v>102</v>
      </c>
      <c r="AC299" s="144" t="s">
        <v>263</v>
      </c>
      <c r="AD299" s="144" t="s">
        <v>263</v>
      </c>
      <c r="AE299" s="52" t="s">
        <v>102</v>
      </c>
      <c r="AF299" s="52" t="s">
        <v>263</v>
      </c>
      <c r="AG299" s="52" t="s">
        <v>102</v>
      </c>
      <c r="AH299" s="53"/>
      <c r="AI299" s="53"/>
      <c r="AJ299" s="53"/>
      <c r="AK299" s="52"/>
      <c r="AL299" s="89"/>
      <c r="AM299" s="52"/>
      <c r="AN299" s="52"/>
      <c r="AO299" s="53"/>
      <c r="AP299" s="53"/>
      <c r="AQ299" s="53"/>
      <c r="AR299" s="53"/>
      <c r="AS299" s="52"/>
      <c r="AT299" s="52"/>
      <c r="AU299" s="52"/>
      <c r="AV299" s="52"/>
      <c r="AW299" s="177"/>
      <c r="AX299" s="178"/>
      <c r="AY299" s="179"/>
      <c r="AZ299" s="179"/>
      <c r="BA299" s="179"/>
      <c r="BB299" s="179"/>
      <c r="BC299" s="179"/>
      <c r="BD299" s="179"/>
      <c r="BE299" s="179"/>
      <c r="BF299" s="179"/>
      <c r="BG299" s="179"/>
      <c r="BH299" s="179"/>
      <c r="BI299" s="179"/>
      <c r="BJ299" s="179"/>
      <c r="BK299" s="179"/>
      <c r="BL299" s="179"/>
      <c r="BM299" s="179"/>
      <c r="BN299" s="179"/>
      <c r="BO299" s="179"/>
      <c r="BP299" s="179"/>
      <c r="BQ299" s="179"/>
      <c r="BR299" s="179"/>
      <c r="BS299" s="179"/>
      <c r="BT299" s="179"/>
      <c r="BU299" s="179"/>
      <c r="BV299" s="179"/>
      <c r="BW299" s="179"/>
      <c r="BX299" s="179"/>
      <c r="BY299" s="179"/>
      <c r="BZ299" s="179"/>
      <c r="CA299" s="179"/>
      <c r="CB299" s="179"/>
      <c r="CC299" s="179"/>
      <c r="CD299" s="179"/>
      <c r="CE299" s="179"/>
      <c r="CF299" s="179"/>
      <c r="CG299" s="179"/>
      <c r="CH299" s="179"/>
      <c r="CI299" s="179"/>
      <c r="CJ299" s="179"/>
      <c r="CK299" s="179"/>
      <c r="CL299" s="179"/>
      <c r="CM299" s="179"/>
      <c r="CN299" s="209"/>
      <c r="CO299" s="209"/>
      <c r="CP299" s="209"/>
      <c r="CQ299" s="8">
        <f t="shared" si="147"/>
        <v>0</v>
      </c>
      <c r="CR299" s="8">
        <f t="shared" si="148"/>
        <v>0</v>
      </c>
      <c r="CS299" s="8" t="e">
        <f t="shared" si="149"/>
        <v>#DIV/0!</v>
      </c>
      <c r="CT299" t="e">
        <f t="shared" si="150"/>
        <v>#NUM!</v>
      </c>
      <c r="CU299" s="143" t="e">
        <f t="shared" si="151"/>
        <v>#DIV/0!</v>
      </c>
      <c r="CV299" s="143" t="e">
        <f t="shared" si="152"/>
        <v>#DIV/0!</v>
      </c>
      <c r="CX299" s="7" t="e">
        <f t="shared" si="153"/>
        <v>#NUM!</v>
      </c>
      <c r="CY299" s="7" t="e">
        <f t="shared" si="154"/>
        <v>#NUM!</v>
      </c>
      <c r="CZ299" s="7" t="e">
        <f t="shared" si="155"/>
        <v>#NUM!</v>
      </c>
      <c r="DA299" s="7" t="e">
        <f t="shared" si="156"/>
        <v>#NUM!</v>
      </c>
      <c r="DB299" s="7" t="e">
        <f t="shared" si="157"/>
        <v>#NUM!</v>
      </c>
      <c r="DC299" s="7" t="e">
        <f t="shared" si="158"/>
        <v>#NUM!</v>
      </c>
      <c r="DD299" s="7" t="e">
        <f t="shared" si="159"/>
        <v>#NUM!</v>
      </c>
      <c r="DE299" s="7" t="e">
        <f t="shared" si="160"/>
        <v>#NUM!</v>
      </c>
      <c r="DF299" s="7" t="e">
        <f t="shared" si="161"/>
        <v>#NUM!</v>
      </c>
      <c r="DH299" s="7" t="e">
        <f t="shared" si="162"/>
        <v>#NUM!</v>
      </c>
      <c r="DI299" s="7" t="e">
        <f t="shared" si="163"/>
        <v>#NUM!</v>
      </c>
      <c r="DJ299" s="7" t="e">
        <f t="shared" si="164"/>
        <v>#NUM!</v>
      </c>
      <c r="DK299" s="7" t="e">
        <f t="shared" si="165"/>
        <v>#NUM!</v>
      </c>
      <c r="DL299" s="7" t="e">
        <f t="shared" si="166"/>
        <v>#NUM!</v>
      </c>
      <c r="DM299" s="7" t="e">
        <f t="shared" si="167"/>
        <v>#NUM!</v>
      </c>
      <c r="DN299" s="7" t="e">
        <f t="shared" si="168"/>
        <v>#NUM!</v>
      </c>
      <c r="DO299" s="7" t="e">
        <f t="shared" si="169"/>
        <v>#NUM!</v>
      </c>
      <c r="DP299" s="7" t="e">
        <f t="shared" si="170"/>
        <v>#NUM!</v>
      </c>
      <c r="FK299" s="190" t="s">
        <v>666</v>
      </c>
      <c r="FL299" s="191">
        <v>2017</v>
      </c>
      <c r="FM299" s="190" t="s">
        <v>656</v>
      </c>
      <c r="FN299" s="190" t="s">
        <v>182</v>
      </c>
      <c r="FO299" s="191">
        <v>5</v>
      </c>
      <c r="FP299" s="190" t="s">
        <v>499</v>
      </c>
      <c r="FQ299" s="191" t="b">
        <v>1</v>
      </c>
      <c r="FR299" s="191">
        <v>-1</v>
      </c>
    </row>
    <row r="300" spans="1:174" ht="25.5" hidden="1" customHeight="1" x14ac:dyDescent="0.3">
      <c r="A300" s="92" t="str">
        <f t="shared" ref="A300:A307" si="176">VLOOKUP(C300,CU,6,FALSE)</f>
        <v>CM-SWVI [10]</v>
      </c>
      <c r="B300" s="92" t="str">
        <f t="shared" ref="B300:B307" si="177">VLOOKUP(C300,CU,7,FALSE)</f>
        <v>Southwest Vancouver Island</v>
      </c>
      <c r="C300" s="93" t="str">
        <f t="shared" si="144"/>
        <v>RILEY CREEK_Chum</v>
      </c>
      <c r="D300" s="128" t="s">
        <v>598</v>
      </c>
      <c r="E300" s="128" t="s">
        <v>598</v>
      </c>
      <c r="F300" s="64">
        <v>24</v>
      </c>
      <c r="G300" s="72" t="s">
        <v>198</v>
      </c>
      <c r="H300" s="65" t="s">
        <v>96</v>
      </c>
      <c r="I300" s="119"/>
      <c r="J300" s="119"/>
      <c r="K300" s="64">
        <v>4</v>
      </c>
      <c r="L300" s="52">
        <v>5</v>
      </c>
      <c r="M300" s="52">
        <v>2</v>
      </c>
      <c r="N300" s="52">
        <f t="shared" ref="N300:N307" si="178">GEOMEAN(AJ300:AW300)</f>
        <v>2</v>
      </c>
      <c r="O300" s="52">
        <f t="shared" ref="O300:O307" si="179">MAX(AJ300:CM300)</f>
        <v>1500</v>
      </c>
      <c r="P300" s="52">
        <f t="shared" ref="P300:P307" si="180">GEOMEAN(AJ300:CM300)</f>
        <v>102.16674447660652</v>
      </c>
      <c r="Q300" s="66"/>
      <c r="R300" s="39"/>
      <c r="S300" s="76" t="s">
        <v>401</v>
      </c>
      <c r="T300" s="81" t="e">
        <f t="shared" si="145"/>
        <v>#DIV/0!</v>
      </c>
      <c r="U300" s="81" t="e">
        <f t="shared" si="146"/>
        <v>#DIV/0!</v>
      </c>
      <c r="V300" s="228"/>
      <c r="W300" s="52" t="s">
        <v>102</v>
      </c>
      <c r="X300" s="52" t="s">
        <v>102</v>
      </c>
      <c r="Y300" s="52" t="s">
        <v>102</v>
      </c>
      <c r="Z300" s="52" t="s">
        <v>102</v>
      </c>
      <c r="AA300" s="52" t="s">
        <v>102</v>
      </c>
      <c r="AB300" s="52" t="s">
        <v>102</v>
      </c>
      <c r="AC300" s="52" t="s">
        <v>102</v>
      </c>
      <c r="AD300" s="52" t="s">
        <v>262</v>
      </c>
      <c r="AE300" s="52" t="s">
        <v>102</v>
      </c>
      <c r="AF300" s="52" t="s">
        <v>102</v>
      </c>
      <c r="AG300" s="52" t="s">
        <v>102</v>
      </c>
      <c r="AH300" s="52" t="s">
        <v>102</v>
      </c>
      <c r="AI300" s="52" t="s">
        <v>102</v>
      </c>
      <c r="AJ300" s="52" t="s">
        <v>102</v>
      </c>
      <c r="AK300" s="52" t="s">
        <v>102</v>
      </c>
      <c r="AL300" s="52" t="s">
        <v>102</v>
      </c>
      <c r="AM300" s="52" t="s">
        <v>102</v>
      </c>
      <c r="AN300" s="52" t="s">
        <v>102</v>
      </c>
      <c r="AO300" s="52" t="s">
        <v>102</v>
      </c>
      <c r="AP300" s="53" t="s">
        <v>102</v>
      </c>
      <c r="AQ300" s="52" t="s">
        <v>262</v>
      </c>
      <c r="AR300" s="53" t="s">
        <v>102</v>
      </c>
      <c r="AS300" s="52" t="s">
        <v>102</v>
      </c>
      <c r="AT300" s="52" t="s">
        <v>263</v>
      </c>
      <c r="AU300" s="52" t="s">
        <v>262</v>
      </c>
      <c r="AV300" s="52" t="s">
        <v>262</v>
      </c>
      <c r="AW300" s="52">
        <v>2</v>
      </c>
      <c r="AX300" s="51" t="s">
        <v>264</v>
      </c>
      <c r="AY300" s="53" t="s">
        <v>262</v>
      </c>
      <c r="AZ300" s="53" t="s">
        <v>102</v>
      </c>
      <c r="BA300" s="53" t="s">
        <v>102</v>
      </c>
      <c r="BB300" s="53" t="s">
        <v>102</v>
      </c>
      <c r="BC300" s="53" t="s">
        <v>102</v>
      </c>
      <c r="BD300" s="53" t="s">
        <v>102</v>
      </c>
      <c r="BE300" s="53" t="s">
        <v>102</v>
      </c>
      <c r="BF300" s="53" t="s">
        <v>102</v>
      </c>
      <c r="BG300" s="53" t="s">
        <v>264</v>
      </c>
      <c r="BH300" s="53" t="s">
        <v>102</v>
      </c>
      <c r="BI300" s="53" t="s">
        <v>264</v>
      </c>
      <c r="BJ300" s="53" t="s">
        <v>264</v>
      </c>
      <c r="BK300" s="53" t="s">
        <v>102</v>
      </c>
      <c r="BL300" s="53" t="s">
        <v>264</v>
      </c>
      <c r="BM300" s="53" t="s">
        <v>102</v>
      </c>
      <c r="BN300" s="53" t="s">
        <v>102</v>
      </c>
      <c r="BO300" s="53" t="s">
        <v>102</v>
      </c>
      <c r="BP300" s="53" t="s">
        <v>262</v>
      </c>
      <c r="BQ300" s="53" t="s">
        <v>262</v>
      </c>
      <c r="BR300" s="53" t="s">
        <v>262</v>
      </c>
      <c r="BS300" s="53" t="s">
        <v>264</v>
      </c>
      <c r="BT300" s="53" t="s">
        <v>102</v>
      </c>
      <c r="BU300" s="53" t="s">
        <v>262</v>
      </c>
      <c r="BV300" s="53" t="s">
        <v>262</v>
      </c>
      <c r="BW300" s="53" t="s">
        <v>262</v>
      </c>
      <c r="BX300" s="53" t="s">
        <v>262</v>
      </c>
      <c r="BY300" s="53" t="s">
        <v>262</v>
      </c>
      <c r="BZ300" s="53" t="s">
        <v>264</v>
      </c>
      <c r="CA300" s="53">
        <v>25</v>
      </c>
      <c r="CB300" s="53">
        <v>100</v>
      </c>
      <c r="CC300" s="53">
        <v>25</v>
      </c>
      <c r="CD300" s="53">
        <v>200</v>
      </c>
      <c r="CE300" s="53">
        <v>75</v>
      </c>
      <c r="CF300" s="53">
        <v>200</v>
      </c>
      <c r="CG300" s="53">
        <v>200</v>
      </c>
      <c r="CH300" s="53">
        <v>200</v>
      </c>
      <c r="CI300" s="53">
        <v>200</v>
      </c>
      <c r="CJ300" s="53">
        <v>75</v>
      </c>
      <c r="CK300" s="53">
        <v>200</v>
      </c>
      <c r="CL300" s="53">
        <v>1500</v>
      </c>
      <c r="CM300" s="53">
        <v>200</v>
      </c>
      <c r="CN300" s="206"/>
      <c r="CO300" s="206"/>
      <c r="CP300" s="206"/>
      <c r="CQ300" s="8">
        <f t="shared" si="147"/>
        <v>2</v>
      </c>
      <c r="CR300" s="8">
        <f t="shared" si="148"/>
        <v>1500</v>
      </c>
      <c r="CS300" s="8">
        <f t="shared" si="149"/>
        <v>228.71428571428572</v>
      </c>
      <c r="CT300">
        <f t="shared" si="150"/>
        <v>102.16674447660652</v>
      </c>
      <c r="CU300" s="143" t="e">
        <f t="shared" si="151"/>
        <v>#DIV/0!</v>
      </c>
      <c r="CV300" s="143" t="e">
        <f t="shared" si="152"/>
        <v>#DIV/0!</v>
      </c>
      <c r="CX300" s="7">
        <f t="shared" si="153"/>
        <v>16.949999999999996</v>
      </c>
      <c r="CY300" s="7">
        <f t="shared" si="154"/>
        <v>25</v>
      </c>
      <c r="CZ300" s="7">
        <f t="shared" si="155"/>
        <v>55</v>
      </c>
      <c r="DA300" s="7">
        <f t="shared" si="156"/>
        <v>75</v>
      </c>
      <c r="DB300" s="7">
        <f t="shared" si="157"/>
        <v>200</v>
      </c>
      <c r="DC300" s="7">
        <f t="shared" si="158"/>
        <v>200</v>
      </c>
      <c r="DD300" s="7">
        <f t="shared" si="159"/>
        <v>200</v>
      </c>
      <c r="DE300" s="7">
        <f t="shared" si="160"/>
        <v>200</v>
      </c>
      <c r="DF300" s="7">
        <f t="shared" si="161"/>
        <v>200</v>
      </c>
      <c r="DH300" s="7">
        <f t="shared" si="162"/>
        <v>2</v>
      </c>
      <c r="DI300" s="7">
        <f t="shared" si="163"/>
        <v>2</v>
      </c>
      <c r="DJ300" s="7">
        <f t="shared" si="164"/>
        <v>2</v>
      </c>
      <c r="DK300" s="7">
        <f t="shared" si="165"/>
        <v>2</v>
      </c>
      <c r="DL300" s="7">
        <f t="shared" si="166"/>
        <v>2</v>
      </c>
      <c r="DM300" s="7">
        <f t="shared" si="167"/>
        <v>2</v>
      </c>
      <c r="DN300" s="7">
        <f t="shared" si="168"/>
        <v>2</v>
      </c>
      <c r="DO300" s="7">
        <f t="shared" si="169"/>
        <v>2</v>
      </c>
      <c r="DP300" s="7">
        <f t="shared" si="170"/>
        <v>2</v>
      </c>
      <c r="FK300" s="190" t="s">
        <v>667</v>
      </c>
      <c r="FL300" s="191">
        <v>2017</v>
      </c>
      <c r="FM300" s="190" t="s">
        <v>656</v>
      </c>
      <c r="FN300" s="190" t="s">
        <v>183</v>
      </c>
      <c r="FO300" s="191">
        <v>1</v>
      </c>
      <c r="FP300" s="190" t="s">
        <v>653</v>
      </c>
      <c r="FQ300" s="191" t="b">
        <v>1</v>
      </c>
      <c r="FR300" s="191">
        <v>57</v>
      </c>
    </row>
    <row r="301" spans="1:174" ht="25.5" hidden="1" customHeight="1" x14ac:dyDescent="0.3">
      <c r="A301" s="92" t="str">
        <f t="shared" si="176"/>
        <v>CO-CLAY [18]</v>
      </c>
      <c r="B301" s="92" t="str">
        <f t="shared" si="177"/>
        <v>Clayoquot</v>
      </c>
      <c r="C301" s="93" t="str">
        <f t="shared" si="144"/>
        <v>RILEY CREEK_Coho</v>
      </c>
      <c r="D301" s="128" t="s">
        <v>598</v>
      </c>
      <c r="E301" s="128" t="s">
        <v>598</v>
      </c>
      <c r="F301" s="64">
        <v>24</v>
      </c>
      <c r="G301" s="72" t="s">
        <v>198</v>
      </c>
      <c r="H301" s="65" t="s">
        <v>93</v>
      </c>
      <c r="I301" s="119"/>
      <c r="J301" s="119"/>
      <c r="K301" s="64">
        <v>4</v>
      </c>
      <c r="L301" s="52">
        <v>5</v>
      </c>
      <c r="M301" s="52">
        <v>1</v>
      </c>
      <c r="N301" s="52">
        <f t="shared" si="178"/>
        <v>20</v>
      </c>
      <c r="O301" s="52">
        <f t="shared" si="179"/>
        <v>100</v>
      </c>
      <c r="P301" s="52">
        <f t="shared" si="180"/>
        <v>35.739929263256613</v>
      </c>
      <c r="Q301" s="66"/>
      <c r="R301" s="39"/>
      <c r="S301" s="76" t="s">
        <v>402</v>
      </c>
      <c r="T301" s="81" t="e">
        <f t="shared" si="145"/>
        <v>#DIV/0!</v>
      </c>
      <c r="U301" s="81" t="e">
        <f t="shared" si="146"/>
        <v>#DIV/0!</v>
      </c>
      <c r="V301" s="228"/>
      <c r="W301" s="52" t="s">
        <v>102</v>
      </c>
      <c r="X301" s="52" t="s">
        <v>102</v>
      </c>
      <c r="Y301" s="52" t="s">
        <v>102</v>
      </c>
      <c r="Z301" s="52" t="s">
        <v>102</v>
      </c>
      <c r="AA301" s="52" t="s">
        <v>102</v>
      </c>
      <c r="AB301" s="52" t="s">
        <v>102</v>
      </c>
      <c r="AC301" s="52" t="s">
        <v>102</v>
      </c>
      <c r="AD301" s="52" t="s">
        <v>262</v>
      </c>
      <c r="AE301" s="52" t="s">
        <v>102</v>
      </c>
      <c r="AF301" s="52" t="s">
        <v>102</v>
      </c>
      <c r="AG301" s="52" t="s">
        <v>102</v>
      </c>
      <c r="AH301" s="52" t="s">
        <v>102</v>
      </c>
      <c r="AI301" s="52" t="s">
        <v>102</v>
      </c>
      <c r="AJ301" s="52" t="s">
        <v>102</v>
      </c>
      <c r="AK301" s="52" t="s">
        <v>102</v>
      </c>
      <c r="AL301" s="52" t="s">
        <v>102</v>
      </c>
      <c r="AM301" s="52" t="s">
        <v>102</v>
      </c>
      <c r="AN301" s="52" t="s">
        <v>102</v>
      </c>
      <c r="AO301" s="52" t="s">
        <v>102</v>
      </c>
      <c r="AP301" s="53" t="s">
        <v>102</v>
      </c>
      <c r="AQ301" s="52" t="s">
        <v>262</v>
      </c>
      <c r="AR301" s="53" t="s">
        <v>102</v>
      </c>
      <c r="AS301" s="52" t="s">
        <v>102</v>
      </c>
      <c r="AT301" s="52" t="s">
        <v>262</v>
      </c>
      <c r="AU301" s="52" t="s">
        <v>262</v>
      </c>
      <c r="AV301" s="52" t="s">
        <v>262</v>
      </c>
      <c r="AW301" s="52">
        <v>20</v>
      </c>
      <c r="AX301" s="51" t="s">
        <v>264</v>
      </c>
      <c r="AY301" s="53" t="s">
        <v>262</v>
      </c>
      <c r="AZ301" s="53" t="s">
        <v>102</v>
      </c>
      <c r="BA301" s="53" t="s">
        <v>102</v>
      </c>
      <c r="BB301" s="53" t="s">
        <v>102</v>
      </c>
      <c r="BC301" s="53" t="s">
        <v>102</v>
      </c>
      <c r="BD301" s="53" t="s">
        <v>102</v>
      </c>
      <c r="BE301" s="53" t="s">
        <v>102</v>
      </c>
      <c r="BF301" s="53" t="s">
        <v>102</v>
      </c>
      <c r="BG301" s="53" t="s">
        <v>264</v>
      </c>
      <c r="BH301" s="53" t="s">
        <v>102</v>
      </c>
      <c r="BI301" s="53" t="s">
        <v>264</v>
      </c>
      <c r="BJ301" s="53" t="s">
        <v>264</v>
      </c>
      <c r="BK301" s="53" t="s">
        <v>102</v>
      </c>
      <c r="BL301" s="53" t="s">
        <v>262</v>
      </c>
      <c r="BM301" s="53" t="s">
        <v>102</v>
      </c>
      <c r="BN301" s="53" t="s">
        <v>102</v>
      </c>
      <c r="BO301" s="53" t="s">
        <v>102</v>
      </c>
      <c r="BP301" s="53" t="s">
        <v>262</v>
      </c>
      <c r="BQ301" s="53" t="s">
        <v>262</v>
      </c>
      <c r="BR301" s="53" t="s">
        <v>262</v>
      </c>
      <c r="BS301" s="53" t="s">
        <v>262</v>
      </c>
      <c r="BT301" s="53" t="s">
        <v>102</v>
      </c>
      <c r="BU301" s="53" t="s">
        <v>262</v>
      </c>
      <c r="BV301" s="53" t="s">
        <v>262</v>
      </c>
      <c r="BW301" s="53">
        <v>25</v>
      </c>
      <c r="BX301" s="53">
        <v>30</v>
      </c>
      <c r="BY301" s="53">
        <v>25</v>
      </c>
      <c r="BZ301" s="53">
        <v>25</v>
      </c>
      <c r="CA301" s="53">
        <v>50</v>
      </c>
      <c r="CB301" s="53">
        <v>100</v>
      </c>
      <c r="CC301" s="53">
        <v>25</v>
      </c>
      <c r="CD301" s="53">
        <v>25</v>
      </c>
      <c r="CE301" s="53">
        <v>25</v>
      </c>
      <c r="CF301" s="53">
        <v>25</v>
      </c>
      <c r="CG301" s="53">
        <v>75</v>
      </c>
      <c r="CH301" s="53">
        <v>75</v>
      </c>
      <c r="CI301" s="53">
        <v>75</v>
      </c>
      <c r="CJ301" s="53">
        <v>75</v>
      </c>
      <c r="CK301" s="53">
        <v>25</v>
      </c>
      <c r="CL301" s="53">
        <v>25</v>
      </c>
      <c r="CM301" s="53">
        <v>25</v>
      </c>
      <c r="CN301" s="206"/>
      <c r="CO301" s="206"/>
      <c r="CP301" s="206"/>
      <c r="CQ301" s="8">
        <f t="shared" si="147"/>
        <v>20</v>
      </c>
      <c r="CR301" s="8">
        <f t="shared" si="148"/>
        <v>100</v>
      </c>
      <c r="CS301" s="8">
        <f t="shared" si="149"/>
        <v>41.666666666666664</v>
      </c>
      <c r="CT301">
        <f t="shared" si="150"/>
        <v>35.739929263256613</v>
      </c>
      <c r="CU301" s="143" t="e">
        <f t="shared" si="151"/>
        <v>#DIV/0!</v>
      </c>
      <c r="CV301" s="143" t="e">
        <f t="shared" si="152"/>
        <v>#DIV/0!</v>
      </c>
      <c r="CX301" s="7">
        <f t="shared" si="153"/>
        <v>24.25</v>
      </c>
      <c r="CY301" s="7">
        <f t="shared" si="154"/>
        <v>25</v>
      </c>
      <c r="CZ301" s="7">
        <f t="shared" si="155"/>
        <v>25</v>
      </c>
      <c r="DA301" s="7">
        <f t="shared" si="156"/>
        <v>25</v>
      </c>
      <c r="DB301" s="7">
        <f t="shared" si="157"/>
        <v>25</v>
      </c>
      <c r="DC301" s="7">
        <f t="shared" si="158"/>
        <v>25.999999999999996</v>
      </c>
      <c r="DD301" s="7">
        <f t="shared" si="159"/>
        <v>31.000000000000014</v>
      </c>
      <c r="DE301" s="7">
        <f t="shared" si="160"/>
        <v>68.75</v>
      </c>
      <c r="DF301" s="7">
        <f t="shared" si="161"/>
        <v>75</v>
      </c>
      <c r="DH301" s="7">
        <f t="shared" si="162"/>
        <v>20</v>
      </c>
      <c r="DI301" s="7">
        <f t="shared" si="163"/>
        <v>20</v>
      </c>
      <c r="DJ301" s="7">
        <f t="shared" si="164"/>
        <v>20</v>
      </c>
      <c r="DK301" s="7">
        <f t="shared" si="165"/>
        <v>20</v>
      </c>
      <c r="DL301" s="7">
        <f t="shared" si="166"/>
        <v>20</v>
      </c>
      <c r="DM301" s="7">
        <f t="shared" si="167"/>
        <v>20</v>
      </c>
      <c r="DN301" s="7">
        <f t="shared" si="168"/>
        <v>20</v>
      </c>
      <c r="DO301" s="7">
        <f t="shared" si="169"/>
        <v>20</v>
      </c>
      <c r="DP301" s="7">
        <f t="shared" si="170"/>
        <v>20</v>
      </c>
      <c r="FK301" s="190" t="s">
        <v>667</v>
      </c>
      <c r="FL301" s="191">
        <v>2017</v>
      </c>
      <c r="FM301" s="190" t="s">
        <v>656</v>
      </c>
      <c r="FN301" s="190" t="s">
        <v>183</v>
      </c>
      <c r="FO301" s="191">
        <v>2</v>
      </c>
      <c r="FP301" s="190" t="s">
        <v>654</v>
      </c>
      <c r="FQ301" s="191" t="b">
        <v>1</v>
      </c>
      <c r="FR301" s="191">
        <v>451</v>
      </c>
    </row>
    <row r="302" spans="1:174" ht="25.5" customHeight="1" x14ac:dyDescent="0.3">
      <c r="A302" s="92" t="str">
        <f t="shared" si="176"/>
        <v>CK-SWVI [31]</v>
      </c>
      <c r="B302" s="92" t="str">
        <f t="shared" si="177"/>
        <v>Southwest Vancouver Island</v>
      </c>
      <c r="C302" s="93" t="str">
        <f t="shared" si="144"/>
        <v>SAND RIVER_Chinook</v>
      </c>
      <c r="D302" s="128" t="s">
        <v>598</v>
      </c>
      <c r="E302" s="128" t="s">
        <v>598</v>
      </c>
      <c r="F302" s="64">
        <v>24</v>
      </c>
      <c r="G302" s="72" t="s">
        <v>179</v>
      </c>
      <c r="H302" s="65" t="s">
        <v>97</v>
      </c>
      <c r="I302" s="119"/>
      <c r="J302" s="119"/>
      <c r="K302" s="64">
        <v>4</v>
      </c>
      <c r="L302" s="52">
        <v>5</v>
      </c>
      <c r="M302" s="52">
        <v>4</v>
      </c>
      <c r="N302" s="52">
        <f t="shared" si="178"/>
        <v>9.9330217782693371</v>
      </c>
      <c r="O302" s="52">
        <f t="shared" si="179"/>
        <v>58</v>
      </c>
      <c r="P302" s="52">
        <f t="shared" si="180"/>
        <v>9.9330217782693371</v>
      </c>
      <c r="Q302" s="66"/>
      <c r="R302" s="39"/>
      <c r="S302" s="76" t="s">
        <v>403</v>
      </c>
      <c r="T302" s="81">
        <f t="shared" si="145"/>
        <v>1</v>
      </c>
      <c r="U302" s="81">
        <f t="shared" si="146"/>
        <v>1</v>
      </c>
      <c r="V302" s="232" t="s">
        <v>262</v>
      </c>
      <c r="W302" s="52" t="s">
        <v>102</v>
      </c>
      <c r="X302" s="52">
        <v>1</v>
      </c>
      <c r="Y302" s="52" t="s">
        <v>263</v>
      </c>
      <c r="Z302" s="52" t="s">
        <v>262</v>
      </c>
      <c r="AA302" s="52" t="s">
        <v>102</v>
      </c>
      <c r="AB302" s="52" t="s">
        <v>102</v>
      </c>
      <c r="AC302" s="52" t="s">
        <v>263</v>
      </c>
      <c r="AD302" s="52" t="s">
        <v>102</v>
      </c>
      <c r="AE302" s="52" t="s">
        <v>102</v>
      </c>
      <c r="AF302" s="52" t="s">
        <v>102</v>
      </c>
      <c r="AG302" s="144">
        <v>1</v>
      </c>
      <c r="AH302" s="53">
        <v>7</v>
      </c>
      <c r="AI302" s="52" t="s">
        <v>262</v>
      </c>
      <c r="AJ302" s="53">
        <v>3</v>
      </c>
      <c r="AK302" s="52" t="s">
        <v>102</v>
      </c>
      <c r="AL302" s="52" t="s">
        <v>102</v>
      </c>
      <c r="AM302" s="52" t="s">
        <v>102</v>
      </c>
      <c r="AN302" s="52">
        <v>1</v>
      </c>
      <c r="AO302" s="52" t="s">
        <v>102</v>
      </c>
      <c r="AP302" s="53">
        <v>12</v>
      </c>
      <c r="AQ302" s="52">
        <v>58</v>
      </c>
      <c r="AR302" s="123">
        <v>20</v>
      </c>
      <c r="AS302" s="52" t="s">
        <v>262</v>
      </c>
      <c r="AT302" s="54"/>
      <c r="AU302" s="54"/>
      <c r="AV302" s="52">
        <v>23</v>
      </c>
      <c r="AW302" s="54"/>
      <c r="AX302" s="56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206"/>
      <c r="CO302" s="206"/>
      <c r="CP302" s="206"/>
      <c r="CQ302" s="8">
        <f t="shared" si="147"/>
        <v>1</v>
      </c>
      <c r="CR302" s="8">
        <f t="shared" si="148"/>
        <v>58</v>
      </c>
      <c r="CS302" s="8">
        <f t="shared" si="149"/>
        <v>14</v>
      </c>
      <c r="CT302">
        <f t="shared" si="150"/>
        <v>5.7361527439797042</v>
      </c>
      <c r="CU302" s="143">
        <f t="shared" si="151"/>
        <v>1</v>
      </c>
      <c r="CV302" s="143">
        <f t="shared" si="152"/>
        <v>1</v>
      </c>
      <c r="CX302" s="7">
        <f t="shared" si="153"/>
        <v>1</v>
      </c>
      <c r="CY302" s="7">
        <f t="shared" si="154"/>
        <v>1</v>
      </c>
      <c r="CZ302" s="7">
        <f t="shared" si="155"/>
        <v>1</v>
      </c>
      <c r="DA302" s="7">
        <f t="shared" si="156"/>
        <v>1</v>
      </c>
      <c r="DB302" s="7">
        <f t="shared" si="157"/>
        <v>7</v>
      </c>
      <c r="DC302" s="7">
        <f t="shared" si="158"/>
        <v>11</v>
      </c>
      <c r="DD302" s="7">
        <f t="shared" si="159"/>
        <v>13.600000000000001</v>
      </c>
      <c r="DE302" s="7">
        <f t="shared" si="160"/>
        <v>20</v>
      </c>
      <c r="DF302" s="7">
        <f t="shared" si="161"/>
        <v>22.4</v>
      </c>
      <c r="DH302" s="7">
        <f t="shared" si="162"/>
        <v>1</v>
      </c>
      <c r="DI302" s="7">
        <f t="shared" si="163"/>
        <v>1</v>
      </c>
      <c r="DJ302" s="7">
        <f t="shared" si="164"/>
        <v>1</v>
      </c>
      <c r="DK302" s="7">
        <f t="shared" si="165"/>
        <v>1</v>
      </c>
      <c r="DL302" s="7">
        <f t="shared" si="166"/>
        <v>7</v>
      </c>
      <c r="DM302" s="7">
        <f t="shared" si="167"/>
        <v>11</v>
      </c>
      <c r="DN302" s="7">
        <f t="shared" si="168"/>
        <v>13.600000000000001</v>
      </c>
      <c r="DO302" s="7">
        <f t="shared" si="169"/>
        <v>20</v>
      </c>
      <c r="DP302" s="7">
        <f t="shared" si="170"/>
        <v>22.4</v>
      </c>
      <c r="FK302" s="190" t="s">
        <v>667</v>
      </c>
      <c r="FL302" s="191">
        <v>2017</v>
      </c>
      <c r="FM302" s="190" t="s">
        <v>656</v>
      </c>
      <c r="FN302" s="190" t="s">
        <v>183</v>
      </c>
      <c r="FO302" s="191">
        <v>3</v>
      </c>
      <c r="FP302" s="190" t="s">
        <v>655</v>
      </c>
      <c r="FQ302" s="191" t="b">
        <v>1</v>
      </c>
      <c r="FR302" s="191">
        <v>-6</v>
      </c>
    </row>
    <row r="303" spans="1:174" ht="25.5" hidden="1" customHeight="1" x14ac:dyDescent="0.3">
      <c r="A303" s="92" t="str">
        <f t="shared" si="176"/>
        <v>CM-SWVI [10]</v>
      </c>
      <c r="B303" s="92" t="str">
        <f t="shared" si="177"/>
        <v>Southwest Vancouver Island</v>
      </c>
      <c r="C303" s="93" t="str">
        <f t="shared" si="144"/>
        <v>SAND RIVER_Chum</v>
      </c>
      <c r="D303" s="128" t="s">
        <v>598</v>
      </c>
      <c r="E303" s="128" t="s">
        <v>598</v>
      </c>
      <c r="F303" s="64">
        <v>24</v>
      </c>
      <c r="G303" s="72" t="s">
        <v>179</v>
      </c>
      <c r="H303" s="65" t="s">
        <v>96</v>
      </c>
      <c r="I303" s="119"/>
      <c r="J303" s="119"/>
      <c r="K303" s="64">
        <v>4</v>
      </c>
      <c r="L303" s="52">
        <v>5</v>
      </c>
      <c r="M303" s="52">
        <v>2</v>
      </c>
      <c r="N303" s="52">
        <f t="shared" si="178"/>
        <v>2</v>
      </c>
      <c r="O303" s="52">
        <f t="shared" si="179"/>
        <v>2</v>
      </c>
      <c r="P303" s="52">
        <f t="shared" si="180"/>
        <v>2</v>
      </c>
      <c r="Q303" s="66"/>
      <c r="R303" s="39"/>
      <c r="S303" s="76" t="s">
        <v>404</v>
      </c>
      <c r="T303" s="81" t="e">
        <f t="shared" si="145"/>
        <v>#DIV/0!</v>
      </c>
      <c r="U303" s="81" t="e">
        <f t="shared" si="146"/>
        <v>#DIV/0!</v>
      </c>
      <c r="V303" s="232" t="s">
        <v>263</v>
      </c>
      <c r="W303" s="52" t="s">
        <v>102</v>
      </c>
      <c r="X303" s="52" t="s">
        <v>262</v>
      </c>
      <c r="Y303" s="52" t="s">
        <v>262</v>
      </c>
      <c r="Z303" s="52" t="s">
        <v>262</v>
      </c>
      <c r="AA303" s="52" t="s">
        <v>102</v>
      </c>
      <c r="AB303" s="52" t="s">
        <v>102</v>
      </c>
      <c r="AC303" s="52" t="s">
        <v>262</v>
      </c>
      <c r="AD303" s="52" t="s">
        <v>102</v>
      </c>
      <c r="AE303" s="52" t="s">
        <v>102</v>
      </c>
      <c r="AF303" s="52" t="s">
        <v>102</v>
      </c>
      <c r="AG303" s="144" t="s">
        <v>262</v>
      </c>
      <c r="AH303" s="52" t="s">
        <v>262</v>
      </c>
      <c r="AI303" s="52" t="s">
        <v>262</v>
      </c>
      <c r="AJ303" s="53" t="s">
        <v>262</v>
      </c>
      <c r="AK303" s="52" t="s">
        <v>102</v>
      </c>
      <c r="AL303" s="52" t="s">
        <v>102</v>
      </c>
      <c r="AM303" s="52" t="s">
        <v>102</v>
      </c>
      <c r="AN303" s="52" t="s">
        <v>262</v>
      </c>
      <c r="AO303" s="52" t="s">
        <v>102</v>
      </c>
      <c r="AP303" s="53" t="s">
        <v>263</v>
      </c>
      <c r="AQ303" s="52">
        <v>2</v>
      </c>
      <c r="AR303" s="123" t="s">
        <v>262</v>
      </c>
      <c r="AS303" s="52" t="s">
        <v>262</v>
      </c>
      <c r="AT303" s="54"/>
      <c r="AU303" s="54"/>
      <c r="AV303" s="52" t="s">
        <v>262</v>
      </c>
      <c r="AW303" s="54"/>
      <c r="AX303" s="51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206"/>
      <c r="CO303" s="206"/>
      <c r="CP303" s="206"/>
      <c r="CQ303" s="8">
        <f t="shared" si="147"/>
        <v>2</v>
      </c>
      <c r="CR303" s="8">
        <f t="shared" si="148"/>
        <v>2</v>
      </c>
      <c r="CS303" s="8">
        <f t="shared" si="149"/>
        <v>2</v>
      </c>
      <c r="CT303">
        <f t="shared" si="150"/>
        <v>2</v>
      </c>
      <c r="CU303" s="143" t="e">
        <f t="shared" si="151"/>
        <v>#DIV/0!</v>
      </c>
      <c r="CV303" s="143" t="e">
        <f t="shared" si="152"/>
        <v>#DIV/0!</v>
      </c>
      <c r="CX303" s="7">
        <f t="shared" si="153"/>
        <v>2</v>
      </c>
      <c r="CY303" s="7">
        <f t="shared" si="154"/>
        <v>2</v>
      </c>
      <c r="CZ303" s="7">
        <f t="shared" si="155"/>
        <v>2</v>
      </c>
      <c r="DA303" s="7">
        <f t="shared" si="156"/>
        <v>2</v>
      </c>
      <c r="DB303" s="7">
        <f t="shared" si="157"/>
        <v>2</v>
      </c>
      <c r="DC303" s="7">
        <f t="shared" si="158"/>
        <v>2</v>
      </c>
      <c r="DD303" s="7">
        <f t="shared" si="159"/>
        <v>2</v>
      </c>
      <c r="DE303" s="7">
        <f t="shared" si="160"/>
        <v>2</v>
      </c>
      <c r="DF303" s="7">
        <f t="shared" si="161"/>
        <v>2</v>
      </c>
      <c r="DH303" s="7">
        <f t="shared" si="162"/>
        <v>2</v>
      </c>
      <c r="DI303" s="7">
        <f t="shared" si="163"/>
        <v>2</v>
      </c>
      <c r="DJ303" s="7">
        <f t="shared" si="164"/>
        <v>2</v>
      </c>
      <c r="DK303" s="7">
        <f t="shared" si="165"/>
        <v>2</v>
      </c>
      <c r="DL303" s="7">
        <f t="shared" si="166"/>
        <v>2</v>
      </c>
      <c r="DM303" s="7">
        <f t="shared" si="167"/>
        <v>2</v>
      </c>
      <c r="DN303" s="7">
        <f t="shared" si="168"/>
        <v>2</v>
      </c>
      <c r="DO303" s="7">
        <f t="shared" si="169"/>
        <v>2</v>
      </c>
      <c r="DP303" s="7">
        <f t="shared" si="170"/>
        <v>2</v>
      </c>
      <c r="FK303" s="190" t="s">
        <v>667</v>
      </c>
      <c r="FL303" s="191">
        <v>2017</v>
      </c>
      <c r="FM303" s="190" t="s">
        <v>656</v>
      </c>
      <c r="FN303" s="190" t="s">
        <v>183</v>
      </c>
      <c r="FO303" s="191">
        <v>4</v>
      </c>
      <c r="FP303" s="190" t="s">
        <v>501</v>
      </c>
      <c r="FQ303" s="191" t="b">
        <v>0</v>
      </c>
      <c r="FR303" s="191">
        <v>6233</v>
      </c>
    </row>
    <row r="304" spans="1:174" ht="25.5" hidden="1" customHeight="1" x14ac:dyDescent="0.3">
      <c r="A304" s="92" t="str">
        <f t="shared" si="176"/>
        <v>CO-CLAY [18]</v>
      </c>
      <c r="B304" s="92" t="str">
        <f t="shared" si="177"/>
        <v>Clayoquot</v>
      </c>
      <c r="C304" s="93" t="str">
        <f t="shared" si="144"/>
        <v>SAND RIVER_Coho</v>
      </c>
      <c r="D304" s="128" t="s">
        <v>598</v>
      </c>
      <c r="E304" s="128" t="s">
        <v>598</v>
      </c>
      <c r="F304" s="64">
        <v>24</v>
      </c>
      <c r="G304" s="72" t="s">
        <v>179</v>
      </c>
      <c r="H304" s="65" t="s">
        <v>93</v>
      </c>
      <c r="I304" s="119"/>
      <c r="J304" s="119"/>
      <c r="K304" s="64">
        <v>4</v>
      </c>
      <c r="L304" s="52">
        <v>5</v>
      </c>
      <c r="M304" s="52">
        <v>5</v>
      </c>
      <c r="N304" s="52">
        <f t="shared" si="178"/>
        <v>28.274457524759629</v>
      </c>
      <c r="O304" s="52">
        <f t="shared" si="179"/>
        <v>64</v>
      </c>
      <c r="P304" s="52">
        <f t="shared" si="180"/>
        <v>28.274457524759629</v>
      </c>
      <c r="Q304" s="66"/>
      <c r="R304" s="39"/>
      <c r="S304" s="76" t="s">
        <v>403</v>
      </c>
      <c r="T304" s="81">
        <f t="shared" si="145"/>
        <v>11</v>
      </c>
      <c r="U304" s="81">
        <f t="shared" si="146"/>
        <v>7.666666666666667</v>
      </c>
      <c r="V304" s="233">
        <v>18</v>
      </c>
      <c r="W304" s="52" t="s">
        <v>102</v>
      </c>
      <c r="X304" s="52">
        <v>4</v>
      </c>
      <c r="Y304" s="52" t="s">
        <v>263</v>
      </c>
      <c r="Z304" s="52" t="s">
        <v>262</v>
      </c>
      <c r="AA304" s="52" t="s">
        <v>102</v>
      </c>
      <c r="AB304" s="52" t="s">
        <v>102</v>
      </c>
      <c r="AC304" s="52" t="s">
        <v>263</v>
      </c>
      <c r="AD304" s="52" t="s">
        <v>102</v>
      </c>
      <c r="AE304" s="52" t="s">
        <v>102</v>
      </c>
      <c r="AF304" s="52" t="s">
        <v>102</v>
      </c>
      <c r="AG304" s="144">
        <v>1</v>
      </c>
      <c r="AH304" s="53">
        <v>62</v>
      </c>
      <c r="AI304" s="52">
        <v>14</v>
      </c>
      <c r="AJ304" s="53" t="s">
        <v>262</v>
      </c>
      <c r="AK304" s="52" t="s">
        <v>102</v>
      </c>
      <c r="AL304" s="52" t="s">
        <v>102</v>
      </c>
      <c r="AM304" s="52" t="s">
        <v>102</v>
      </c>
      <c r="AN304" s="52">
        <v>22</v>
      </c>
      <c r="AO304" s="52" t="s">
        <v>102</v>
      </c>
      <c r="AP304" s="53">
        <v>64</v>
      </c>
      <c r="AQ304" s="52">
        <v>27</v>
      </c>
      <c r="AR304" s="123">
        <v>32</v>
      </c>
      <c r="AS304" s="52">
        <v>35</v>
      </c>
      <c r="AT304" s="54"/>
      <c r="AU304" s="54"/>
      <c r="AV304" s="52">
        <v>12</v>
      </c>
      <c r="AW304" s="54"/>
      <c r="AX304" s="51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206"/>
      <c r="CO304" s="206"/>
      <c r="CP304" s="206"/>
      <c r="CQ304" s="8">
        <f t="shared" si="147"/>
        <v>1</v>
      </c>
      <c r="CR304" s="8">
        <f t="shared" si="148"/>
        <v>64</v>
      </c>
      <c r="CS304" s="8">
        <f t="shared" si="149"/>
        <v>26.454545454545453</v>
      </c>
      <c r="CT304">
        <f t="shared" si="150"/>
        <v>16.891031567459049</v>
      </c>
      <c r="CU304" s="143">
        <f t="shared" si="151"/>
        <v>11</v>
      </c>
      <c r="CV304" s="143">
        <f t="shared" si="152"/>
        <v>7.666666666666667</v>
      </c>
      <c r="CX304" s="7">
        <f t="shared" si="153"/>
        <v>2.5</v>
      </c>
      <c r="CY304" s="7">
        <f t="shared" si="154"/>
        <v>8</v>
      </c>
      <c r="CZ304" s="7">
        <f t="shared" si="155"/>
        <v>12</v>
      </c>
      <c r="DA304" s="7">
        <f t="shared" si="156"/>
        <v>13</v>
      </c>
      <c r="DB304" s="7">
        <f t="shared" si="157"/>
        <v>22</v>
      </c>
      <c r="DC304" s="7">
        <f t="shared" si="158"/>
        <v>27</v>
      </c>
      <c r="DD304" s="7">
        <f t="shared" si="159"/>
        <v>29.5</v>
      </c>
      <c r="DE304" s="7">
        <f t="shared" si="160"/>
        <v>33.5</v>
      </c>
      <c r="DF304" s="7">
        <f t="shared" si="161"/>
        <v>48.5</v>
      </c>
      <c r="DH304" s="7">
        <f t="shared" si="162"/>
        <v>2.5</v>
      </c>
      <c r="DI304" s="7">
        <f t="shared" si="163"/>
        <v>8</v>
      </c>
      <c r="DJ304" s="7">
        <f t="shared" si="164"/>
        <v>12</v>
      </c>
      <c r="DK304" s="7">
        <f t="shared" si="165"/>
        <v>13</v>
      </c>
      <c r="DL304" s="7">
        <f t="shared" si="166"/>
        <v>22</v>
      </c>
      <c r="DM304" s="7">
        <f t="shared" si="167"/>
        <v>27</v>
      </c>
      <c r="DN304" s="7">
        <f t="shared" si="168"/>
        <v>29.5</v>
      </c>
      <c r="DO304" s="7">
        <f t="shared" si="169"/>
        <v>33.5</v>
      </c>
      <c r="DP304" s="7">
        <f t="shared" si="170"/>
        <v>48.5</v>
      </c>
      <c r="FK304" s="190" t="s">
        <v>667</v>
      </c>
      <c r="FL304" s="191">
        <v>2017</v>
      </c>
      <c r="FM304" s="190" t="s">
        <v>656</v>
      </c>
      <c r="FN304" s="190" t="s">
        <v>183</v>
      </c>
      <c r="FO304" s="191">
        <v>5</v>
      </c>
      <c r="FP304" s="190" t="s">
        <v>499</v>
      </c>
      <c r="FQ304" s="191" t="b">
        <v>0</v>
      </c>
      <c r="FR304" s="191">
        <v>119</v>
      </c>
    </row>
    <row r="305" spans="1:174" ht="25.5" hidden="1" customHeight="1" x14ac:dyDescent="0.3">
      <c r="A305" s="92" t="str">
        <f t="shared" si="176"/>
        <v>SK-WVI [R10]</v>
      </c>
      <c r="B305" s="92" t="str">
        <f t="shared" si="177"/>
        <v>West Vancouver Island</v>
      </c>
      <c r="C305" s="93" t="str">
        <f t="shared" si="144"/>
        <v>SAND RIVER_Sockeye</v>
      </c>
      <c r="D305" s="128" t="s">
        <v>598</v>
      </c>
      <c r="E305" s="128" t="s">
        <v>598</v>
      </c>
      <c r="F305" s="64">
        <v>24</v>
      </c>
      <c r="G305" s="72" t="s">
        <v>179</v>
      </c>
      <c r="H305" s="65" t="s">
        <v>91</v>
      </c>
      <c r="I305" s="119"/>
      <c r="J305" s="119"/>
      <c r="K305" s="64">
        <v>4</v>
      </c>
      <c r="L305" s="52">
        <v>5</v>
      </c>
      <c r="M305" s="52">
        <v>4</v>
      </c>
      <c r="N305" s="52">
        <f t="shared" si="178"/>
        <v>50.447804292278043</v>
      </c>
      <c r="O305" s="52">
        <f t="shared" si="179"/>
        <v>562</v>
      </c>
      <c r="P305" s="52">
        <f t="shared" si="180"/>
        <v>50.447804292278043</v>
      </c>
      <c r="Q305" s="66"/>
      <c r="R305" s="39"/>
      <c r="S305" s="76" t="s">
        <v>403</v>
      </c>
      <c r="T305" s="81" t="e">
        <f t="shared" si="145"/>
        <v>#DIV/0!</v>
      </c>
      <c r="U305" s="81">
        <f t="shared" si="146"/>
        <v>34</v>
      </c>
      <c r="V305" s="232" t="s">
        <v>262</v>
      </c>
      <c r="W305" s="52" t="s">
        <v>102</v>
      </c>
      <c r="X305" s="52" t="s">
        <v>262</v>
      </c>
      <c r="Y305" s="52" t="s">
        <v>262</v>
      </c>
      <c r="Z305" s="52" t="s">
        <v>262</v>
      </c>
      <c r="AA305" s="52" t="s">
        <v>102</v>
      </c>
      <c r="AB305" s="52" t="s">
        <v>102</v>
      </c>
      <c r="AC305" s="52" t="s">
        <v>262</v>
      </c>
      <c r="AD305" s="52" t="s">
        <v>102</v>
      </c>
      <c r="AE305" s="52" t="s">
        <v>102</v>
      </c>
      <c r="AF305" s="52" t="s">
        <v>102</v>
      </c>
      <c r="AG305" s="144">
        <v>34</v>
      </c>
      <c r="AH305" s="52" t="s">
        <v>263</v>
      </c>
      <c r="AI305" s="52" t="s">
        <v>262</v>
      </c>
      <c r="AJ305" s="53" t="s">
        <v>262</v>
      </c>
      <c r="AK305" s="52" t="s">
        <v>102</v>
      </c>
      <c r="AL305" s="52" t="s">
        <v>102</v>
      </c>
      <c r="AM305" s="52" t="s">
        <v>102</v>
      </c>
      <c r="AN305" s="52">
        <v>85</v>
      </c>
      <c r="AO305" s="52" t="s">
        <v>102</v>
      </c>
      <c r="AP305" s="53" t="s">
        <v>262</v>
      </c>
      <c r="AQ305" s="52">
        <v>562</v>
      </c>
      <c r="AR305" s="123">
        <v>76</v>
      </c>
      <c r="AS305" s="52">
        <v>3</v>
      </c>
      <c r="AT305" s="54"/>
      <c r="AU305" s="54"/>
      <c r="AV305" s="52">
        <v>30</v>
      </c>
      <c r="AW305" s="54"/>
      <c r="AX305" s="51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210"/>
      <c r="CO305" s="210"/>
      <c r="CP305" s="210"/>
      <c r="CQ305" s="8">
        <f t="shared" si="147"/>
        <v>3</v>
      </c>
      <c r="CR305" s="8">
        <f t="shared" si="148"/>
        <v>562</v>
      </c>
      <c r="CS305" s="8">
        <f t="shared" si="149"/>
        <v>131.66666666666666</v>
      </c>
      <c r="CT305">
        <f t="shared" si="150"/>
        <v>47.236934960710755</v>
      </c>
      <c r="CU305" s="143" t="e">
        <f t="shared" si="151"/>
        <v>#DIV/0!</v>
      </c>
      <c r="CV305" s="143">
        <f t="shared" si="152"/>
        <v>34</v>
      </c>
      <c r="CX305" s="7">
        <f t="shared" si="153"/>
        <v>9.75</v>
      </c>
      <c r="CY305" s="7">
        <f t="shared" si="154"/>
        <v>23.25</v>
      </c>
      <c r="CZ305" s="7">
        <f t="shared" si="155"/>
        <v>30</v>
      </c>
      <c r="DA305" s="7">
        <f t="shared" si="156"/>
        <v>31</v>
      </c>
      <c r="DB305" s="7">
        <f t="shared" si="157"/>
        <v>55</v>
      </c>
      <c r="DC305" s="7">
        <f t="shared" si="158"/>
        <v>76</v>
      </c>
      <c r="DD305" s="7">
        <f t="shared" si="159"/>
        <v>78.25</v>
      </c>
      <c r="DE305" s="7">
        <f t="shared" si="160"/>
        <v>82.75</v>
      </c>
      <c r="DF305" s="7">
        <f t="shared" si="161"/>
        <v>204.25</v>
      </c>
      <c r="DH305" s="7">
        <f t="shared" si="162"/>
        <v>9.75</v>
      </c>
      <c r="DI305" s="7">
        <f t="shared" si="163"/>
        <v>23.25</v>
      </c>
      <c r="DJ305" s="7">
        <f t="shared" si="164"/>
        <v>30</v>
      </c>
      <c r="DK305" s="7">
        <f t="shared" si="165"/>
        <v>31</v>
      </c>
      <c r="DL305" s="7">
        <f t="shared" si="166"/>
        <v>55</v>
      </c>
      <c r="DM305" s="7">
        <f t="shared" si="167"/>
        <v>76</v>
      </c>
      <c r="DN305" s="7">
        <f t="shared" si="168"/>
        <v>78.25</v>
      </c>
      <c r="DO305" s="7">
        <f t="shared" si="169"/>
        <v>82.75</v>
      </c>
      <c r="DP305" s="7">
        <f t="shared" si="170"/>
        <v>204.25</v>
      </c>
      <c r="FK305" s="190" t="s">
        <v>668</v>
      </c>
      <c r="FL305" s="191">
        <v>2017</v>
      </c>
      <c r="FM305" s="190" t="s">
        <v>656</v>
      </c>
      <c r="FN305" s="190" t="s">
        <v>669</v>
      </c>
      <c r="FO305" s="191">
        <v>1</v>
      </c>
      <c r="FP305" s="190" t="s">
        <v>653</v>
      </c>
      <c r="FQ305" s="191" t="b">
        <v>1</v>
      </c>
    </row>
    <row r="306" spans="1:174" ht="25.5" hidden="1" customHeight="1" x14ac:dyDescent="0.3">
      <c r="A306" s="92" t="str">
        <f t="shared" si="176"/>
        <v>CM-SWVI [10]</v>
      </c>
      <c r="B306" s="92" t="str">
        <f t="shared" si="177"/>
        <v>Southwest Vancouver Island</v>
      </c>
      <c r="C306" s="93" t="str">
        <f t="shared" si="144"/>
        <v>SANDHILL CREEK_Chum</v>
      </c>
      <c r="D306" s="128" t="s">
        <v>598</v>
      </c>
      <c r="E306" s="128" t="s">
        <v>598</v>
      </c>
      <c r="F306" s="64">
        <v>24</v>
      </c>
      <c r="G306" s="72" t="s">
        <v>174</v>
      </c>
      <c r="H306" s="65" t="s">
        <v>96</v>
      </c>
      <c r="I306" s="119"/>
      <c r="J306" s="119"/>
      <c r="K306" s="64">
        <v>5</v>
      </c>
      <c r="L306" s="52">
        <v>2</v>
      </c>
      <c r="M306" s="52">
        <v>0</v>
      </c>
      <c r="N306" s="52" t="e">
        <f t="shared" si="178"/>
        <v>#NUM!</v>
      </c>
      <c r="O306" s="52">
        <f t="shared" si="179"/>
        <v>100</v>
      </c>
      <c r="P306" s="52">
        <f t="shared" si="180"/>
        <v>38.729833462074168</v>
      </c>
      <c r="Q306" s="66"/>
      <c r="R306" s="37"/>
      <c r="S306" s="76" t="s">
        <v>405</v>
      </c>
      <c r="T306" s="81" t="e">
        <f t="shared" si="145"/>
        <v>#DIV/0!</v>
      </c>
      <c r="U306" s="81">
        <f t="shared" si="146"/>
        <v>32</v>
      </c>
      <c r="V306" s="228"/>
      <c r="W306" s="52" t="s">
        <v>102</v>
      </c>
      <c r="X306" s="52" t="s">
        <v>102</v>
      </c>
      <c r="Y306" s="52" t="s">
        <v>102</v>
      </c>
      <c r="Z306" s="52" t="s">
        <v>102</v>
      </c>
      <c r="AA306" s="52" t="s">
        <v>102</v>
      </c>
      <c r="AB306" s="52">
        <v>32</v>
      </c>
      <c r="AC306" s="52" t="s">
        <v>102</v>
      </c>
      <c r="AD306" s="52" t="s">
        <v>102</v>
      </c>
      <c r="AE306" s="52" t="s">
        <v>102</v>
      </c>
      <c r="AF306" s="52" t="s">
        <v>102</v>
      </c>
      <c r="AG306" s="52" t="s">
        <v>102</v>
      </c>
      <c r="AH306" s="52" t="s">
        <v>102</v>
      </c>
      <c r="AI306" s="52" t="s">
        <v>102</v>
      </c>
      <c r="AJ306" s="52" t="s">
        <v>102</v>
      </c>
      <c r="AK306" s="52" t="s">
        <v>102</v>
      </c>
      <c r="AL306" s="52" t="s">
        <v>102</v>
      </c>
      <c r="AM306" s="52" t="s">
        <v>102</v>
      </c>
      <c r="AN306" s="52" t="s">
        <v>102</v>
      </c>
      <c r="AO306" s="52" t="s">
        <v>102</v>
      </c>
      <c r="AP306" s="53" t="s">
        <v>102</v>
      </c>
      <c r="AQ306" s="53" t="s">
        <v>102</v>
      </c>
      <c r="AR306" s="54"/>
      <c r="AS306" s="54"/>
      <c r="AT306" s="54"/>
      <c r="AU306" s="52" t="s">
        <v>262</v>
      </c>
      <c r="AV306" s="52" t="s">
        <v>262</v>
      </c>
      <c r="AW306" s="54"/>
      <c r="AX306" s="51" t="s">
        <v>102</v>
      </c>
      <c r="AY306" s="53" t="s">
        <v>102</v>
      </c>
      <c r="AZ306" s="53" t="s">
        <v>102</v>
      </c>
      <c r="BA306" s="53" t="s">
        <v>102</v>
      </c>
      <c r="BB306" s="53" t="s">
        <v>102</v>
      </c>
      <c r="BC306" s="53" t="s">
        <v>102</v>
      </c>
      <c r="BD306" s="53" t="s">
        <v>102</v>
      </c>
      <c r="BE306" s="53" t="s">
        <v>262</v>
      </c>
      <c r="BF306" s="53" t="s">
        <v>262</v>
      </c>
      <c r="BG306" s="53" t="s">
        <v>262</v>
      </c>
      <c r="BH306" s="53" t="s">
        <v>262</v>
      </c>
      <c r="BI306" s="53" t="s">
        <v>264</v>
      </c>
      <c r="BJ306" s="53" t="s">
        <v>264</v>
      </c>
      <c r="BK306" s="53">
        <v>100</v>
      </c>
      <c r="BL306" s="53">
        <v>15</v>
      </c>
      <c r="BM306" s="53" t="s">
        <v>102</v>
      </c>
      <c r="BN306" s="53" t="s">
        <v>264</v>
      </c>
      <c r="BO306" s="53" t="s">
        <v>264</v>
      </c>
      <c r="BP306" s="53" t="s">
        <v>264</v>
      </c>
      <c r="BQ306" s="53" t="s">
        <v>264</v>
      </c>
      <c r="BR306" s="53" t="s">
        <v>264</v>
      </c>
      <c r="BS306" s="53" t="s">
        <v>102</v>
      </c>
      <c r="BT306" s="53" t="s">
        <v>102</v>
      </c>
      <c r="BU306" s="53" t="s">
        <v>102</v>
      </c>
      <c r="BV306" s="53" t="s">
        <v>102</v>
      </c>
      <c r="BW306" s="53" t="s">
        <v>102</v>
      </c>
      <c r="BX306" s="53" t="s">
        <v>102</v>
      </c>
      <c r="BY306" s="53" t="s">
        <v>102</v>
      </c>
      <c r="BZ306" s="53" t="s">
        <v>102</v>
      </c>
      <c r="CA306" s="53" t="s">
        <v>264</v>
      </c>
      <c r="CB306" s="53" t="s">
        <v>264</v>
      </c>
      <c r="CC306" s="53" t="s">
        <v>102</v>
      </c>
      <c r="CD306" s="53" t="s">
        <v>102</v>
      </c>
      <c r="CE306" s="53" t="s">
        <v>102</v>
      </c>
      <c r="CF306" s="53" t="s">
        <v>102</v>
      </c>
      <c r="CG306" s="53" t="s">
        <v>102</v>
      </c>
      <c r="CH306" s="53" t="s">
        <v>102</v>
      </c>
      <c r="CI306" s="53" t="s">
        <v>102</v>
      </c>
      <c r="CJ306" s="53" t="s">
        <v>102</v>
      </c>
      <c r="CK306" s="53" t="s">
        <v>102</v>
      </c>
      <c r="CL306" s="53" t="s">
        <v>102</v>
      </c>
      <c r="CM306" s="53" t="s">
        <v>102</v>
      </c>
      <c r="CN306" s="206"/>
      <c r="CO306" s="206"/>
      <c r="CP306" s="206"/>
      <c r="CQ306" s="8">
        <f t="shared" si="147"/>
        <v>15</v>
      </c>
      <c r="CR306" s="8">
        <f t="shared" si="148"/>
        <v>100</v>
      </c>
      <c r="CS306" s="8">
        <f t="shared" si="149"/>
        <v>49</v>
      </c>
      <c r="CT306">
        <f t="shared" si="150"/>
        <v>36.342411856642791</v>
      </c>
      <c r="CU306" s="143" t="e">
        <f t="shared" si="151"/>
        <v>#DIV/0!</v>
      </c>
      <c r="CV306" s="143">
        <f t="shared" si="152"/>
        <v>32</v>
      </c>
      <c r="CX306" s="7">
        <f t="shared" si="153"/>
        <v>16.700000000000003</v>
      </c>
      <c r="CY306" s="7">
        <f t="shared" si="154"/>
        <v>20.100000000000001</v>
      </c>
      <c r="CZ306" s="7">
        <f t="shared" si="155"/>
        <v>21.799999999999997</v>
      </c>
      <c r="DA306" s="7">
        <f t="shared" si="156"/>
        <v>23.5</v>
      </c>
      <c r="DB306" s="7">
        <f t="shared" si="157"/>
        <v>32</v>
      </c>
      <c r="DC306" s="7">
        <f t="shared" si="158"/>
        <v>45.600000000000009</v>
      </c>
      <c r="DD306" s="7">
        <f t="shared" si="159"/>
        <v>52.399999999999991</v>
      </c>
      <c r="DE306" s="7">
        <f t="shared" si="160"/>
        <v>66</v>
      </c>
      <c r="DF306" s="7">
        <f t="shared" si="161"/>
        <v>79.600000000000009</v>
      </c>
      <c r="DH306" s="7">
        <f t="shared" si="162"/>
        <v>32</v>
      </c>
      <c r="DI306" s="7">
        <f t="shared" si="163"/>
        <v>32</v>
      </c>
      <c r="DJ306" s="7">
        <f t="shared" si="164"/>
        <v>32</v>
      </c>
      <c r="DK306" s="7">
        <f t="shared" si="165"/>
        <v>32</v>
      </c>
      <c r="DL306" s="7">
        <f t="shared" si="166"/>
        <v>32</v>
      </c>
      <c r="DM306" s="7">
        <f t="shared" si="167"/>
        <v>32</v>
      </c>
      <c r="DN306" s="7">
        <f t="shared" si="168"/>
        <v>32</v>
      </c>
      <c r="DO306" s="7">
        <f t="shared" si="169"/>
        <v>32</v>
      </c>
      <c r="DP306" s="7">
        <f t="shared" si="170"/>
        <v>32</v>
      </c>
      <c r="FK306" s="190" t="s">
        <v>668</v>
      </c>
      <c r="FL306" s="191">
        <v>2017</v>
      </c>
      <c r="FM306" s="190" t="s">
        <v>656</v>
      </c>
      <c r="FN306" s="190" t="s">
        <v>669</v>
      </c>
      <c r="FO306" s="191">
        <v>2</v>
      </c>
      <c r="FP306" s="190" t="s">
        <v>654</v>
      </c>
      <c r="FQ306" s="191" t="b">
        <v>1</v>
      </c>
    </row>
    <row r="307" spans="1:174" ht="25.5" hidden="1" customHeight="1" x14ac:dyDescent="0.3">
      <c r="A307" s="92" t="str">
        <f t="shared" si="176"/>
        <v>CO-CLAY [18]</v>
      </c>
      <c r="B307" s="92" t="str">
        <f t="shared" si="177"/>
        <v>Clayoquot</v>
      </c>
      <c r="C307" s="93" t="str">
        <f t="shared" si="144"/>
        <v>SANDHILL CREEK_Coho</v>
      </c>
      <c r="D307" s="128" t="s">
        <v>598</v>
      </c>
      <c r="E307" s="128" t="s">
        <v>598</v>
      </c>
      <c r="F307" s="64">
        <v>24</v>
      </c>
      <c r="G307" s="72" t="s">
        <v>174</v>
      </c>
      <c r="H307" s="65" t="s">
        <v>93</v>
      </c>
      <c r="I307" s="119"/>
      <c r="J307" s="119"/>
      <c r="K307" s="64">
        <v>5</v>
      </c>
      <c r="L307" s="52">
        <v>2</v>
      </c>
      <c r="M307" s="52">
        <v>2</v>
      </c>
      <c r="N307" s="52">
        <f t="shared" si="178"/>
        <v>109.54451150103323</v>
      </c>
      <c r="O307" s="52">
        <f t="shared" si="179"/>
        <v>200</v>
      </c>
      <c r="P307" s="52">
        <f t="shared" si="180"/>
        <v>62.296852362194997</v>
      </c>
      <c r="Q307" s="66"/>
      <c r="R307" s="37"/>
      <c r="S307" s="76" t="s">
        <v>405</v>
      </c>
      <c r="T307" s="81" t="e">
        <f t="shared" si="145"/>
        <v>#DIV/0!</v>
      </c>
      <c r="U307" s="81">
        <f t="shared" si="146"/>
        <v>4</v>
      </c>
      <c r="V307" s="228"/>
      <c r="W307" s="52" t="s">
        <v>102</v>
      </c>
      <c r="X307" s="52" t="s">
        <v>102</v>
      </c>
      <c r="Y307" s="52" t="s">
        <v>102</v>
      </c>
      <c r="Z307" s="52" t="s">
        <v>102</v>
      </c>
      <c r="AA307" s="52" t="s">
        <v>102</v>
      </c>
      <c r="AB307" s="52">
        <v>4</v>
      </c>
      <c r="AC307" s="52" t="s">
        <v>102</v>
      </c>
      <c r="AD307" s="52" t="s">
        <v>102</v>
      </c>
      <c r="AE307" s="52" t="s">
        <v>102</v>
      </c>
      <c r="AF307" s="52" t="s">
        <v>102</v>
      </c>
      <c r="AG307" s="52" t="s">
        <v>102</v>
      </c>
      <c r="AH307" s="52" t="s">
        <v>102</v>
      </c>
      <c r="AI307" s="52" t="s">
        <v>102</v>
      </c>
      <c r="AJ307" s="52" t="s">
        <v>102</v>
      </c>
      <c r="AK307" s="52" t="s">
        <v>102</v>
      </c>
      <c r="AL307" s="52" t="s">
        <v>102</v>
      </c>
      <c r="AM307" s="52" t="s">
        <v>102</v>
      </c>
      <c r="AN307" s="52" t="s">
        <v>102</v>
      </c>
      <c r="AO307" s="52" t="s">
        <v>102</v>
      </c>
      <c r="AP307" s="53" t="s">
        <v>102</v>
      </c>
      <c r="AQ307" s="53" t="s">
        <v>102</v>
      </c>
      <c r="AR307" s="54"/>
      <c r="AS307" s="54"/>
      <c r="AT307" s="54"/>
      <c r="AU307" s="52">
        <v>200</v>
      </c>
      <c r="AV307" s="52">
        <v>60</v>
      </c>
      <c r="AW307" s="54"/>
      <c r="AX307" s="51" t="s">
        <v>102</v>
      </c>
      <c r="AY307" s="53" t="s">
        <v>102</v>
      </c>
      <c r="AZ307" s="53" t="s">
        <v>102</v>
      </c>
      <c r="BA307" s="53" t="s">
        <v>102</v>
      </c>
      <c r="BB307" s="53" t="s">
        <v>102</v>
      </c>
      <c r="BC307" s="53" t="s">
        <v>102</v>
      </c>
      <c r="BD307" s="53" t="s">
        <v>102</v>
      </c>
      <c r="BE307" s="53">
        <v>65</v>
      </c>
      <c r="BF307" s="53">
        <v>100</v>
      </c>
      <c r="BG307" s="53">
        <v>40</v>
      </c>
      <c r="BH307" s="53" t="s">
        <v>264</v>
      </c>
      <c r="BI307" s="53" t="s">
        <v>264</v>
      </c>
      <c r="BJ307" s="53" t="s">
        <v>264</v>
      </c>
      <c r="BK307" s="53" t="s">
        <v>264</v>
      </c>
      <c r="BL307" s="53" t="s">
        <v>264</v>
      </c>
      <c r="BM307" s="53" t="s">
        <v>102</v>
      </c>
      <c r="BN307" s="53" t="s">
        <v>262</v>
      </c>
      <c r="BO307" s="53">
        <v>50</v>
      </c>
      <c r="BP307" s="53">
        <v>50</v>
      </c>
      <c r="BQ307" s="53">
        <v>75</v>
      </c>
      <c r="BR307" s="53">
        <v>75</v>
      </c>
      <c r="BS307" s="53" t="s">
        <v>102</v>
      </c>
      <c r="BT307" s="53" t="s">
        <v>102</v>
      </c>
      <c r="BU307" s="53" t="s">
        <v>102</v>
      </c>
      <c r="BV307" s="53" t="s">
        <v>102</v>
      </c>
      <c r="BW307" s="53" t="s">
        <v>102</v>
      </c>
      <c r="BX307" s="53" t="s">
        <v>102</v>
      </c>
      <c r="BY307" s="53" t="s">
        <v>102</v>
      </c>
      <c r="BZ307" s="53" t="s">
        <v>102</v>
      </c>
      <c r="CA307" s="53">
        <v>25</v>
      </c>
      <c r="CB307" s="53">
        <v>50</v>
      </c>
      <c r="CC307" s="53" t="s">
        <v>102</v>
      </c>
      <c r="CD307" s="53" t="s">
        <v>102</v>
      </c>
      <c r="CE307" s="53" t="s">
        <v>102</v>
      </c>
      <c r="CF307" s="53" t="s">
        <v>102</v>
      </c>
      <c r="CG307" s="53" t="s">
        <v>102</v>
      </c>
      <c r="CH307" s="53" t="s">
        <v>102</v>
      </c>
      <c r="CI307" s="53" t="s">
        <v>102</v>
      </c>
      <c r="CJ307" s="53" t="s">
        <v>102</v>
      </c>
      <c r="CK307" s="53" t="s">
        <v>102</v>
      </c>
      <c r="CL307" s="53" t="s">
        <v>102</v>
      </c>
      <c r="CM307" s="53" t="s">
        <v>102</v>
      </c>
      <c r="CN307" s="206"/>
      <c r="CO307" s="206"/>
      <c r="CP307" s="206"/>
      <c r="CQ307" s="8">
        <f t="shared" si="147"/>
        <v>4</v>
      </c>
      <c r="CR307" s="8">
        <f t="shared" si="148"/>
        <v>200</v>
      </c>
      <c r="CS307" s="8">
        <f t="shared" si="149"/>
        <v>66.166666666666671</v>
      </c>
      <c r="CT307">
        <f t="shared" si="150"/>
        <v>49.556306211893109</v>
      </c>
      <c r="CU307" s="143" t="e">
        <f t="shared" si="151"/>
        <v>#DIV/0!</v>
      </c>
      <c r="CV307" s="143">
        <f t="shared" si="152"/>
        <v>4</v>
      </c>
      <c r="CX307" s="7">
        <f t="shared" si="153"/>
        <v>15.55</v>
      </c>
      <c r="CY307" s="7">
        <f t="shared" si="154"/>
        <v>34.75</v>
      </c>
      <c r="CZ307" s="7">
        <f t="shared" si="155"/>
        <v>42</v>
      </c>
      <c r="DA307" s="7">
        <f t="shared" si="156"/>
        <v>47.5</v>
      </c>
      <c r="DB307" s="7">
        <f t="shared" si="157"/>
        <v>55</v>
      </c>
      <c r="DC307" s="7">
        <f t="shared" si="158"/>
        <v>63</v>
      </c>
      <c r="DD307" s="7">
        <f t="shared" si="159"/>
        <v>66.5</v>
      </c>
      <c r="DE307" s="7">
        <f t="shared" si="160"/>
        <v>75</v>
      </c>
      <c r="DF307" s="7">
        <f t="shared" si="161"/>
        <v>83.749999999999986</v>
      </c>
      <c r="DH307" s="7">
        <f t="shared" si="162"/>
        <v>9.600000000000005</v>
      </c>
      <c r="DI307" s="7">
        <f t="shared" si="163"/>
        <v>20.800000000000004</v>
      </c>
      <c r="DJ307" s="7">
        <f t="shared" si="164"/>
        <v>26.399999999999995</v>
      </c>
      <c r="DK307" s="7">
        <f t="shared" si="165"/>
        <v>32</v>
      </c>
      <c r="DL307" s="7">
        <f t="shared" si="166"/>
        <v>60</v>
      </c>
      <c r="DM307" s="7">
        <f t="shared" si="167"/>
        <v>88.000000000000028</v>
      </c>
      <c r="DN307" s="7">
        <f t="shared" si="168"/>
        <v>101.99999999999997</v>
      </c>
      <c r="DO307" s="7">
        <f t="shared" si="169"/>
        <v>130</v>
      </c>
      <c r="DP307" s="7">
        <f t="shared" si="170"/>
        <v>158.00000000000003</v>
      </c>
      <c r="FK307" s="190" t="s">
        <v>668</v>
      </c>
      <c r="FL307" s="191">
        <v>2017</v>
      </c>
      <c r="FM307" s="190" t="s">
        <v>656</v>
      </c>
      <c r="FN307" s="190" t="s">
        <v>669</v>
      </c>
      <c r="FO307" s="191">
        <v>3</v>
      </c>
      <c r="FP307" s="190" t="s">
        <v>655</v>
      </c>
      <c r="FQ307" s="191" t="b">
        <v>1</v>
      </c>
    </row>
    <row r="308" spans="1:174" ht="25.5" hidden="1" customHeight="1" x14ac:dyDescent="0.3">
      <c r="A308" s="92" t="s">
        <v>551</v>
      </c>
      <c r="B308" s="92" t="s">
        <v>537</v>
      </c>
      <c r="C308" s="93" t="str">
        <f t="shared" si="144"/>
        <v>SATCHIE CREEK_Chum</v>
      </c>
      <c r="D308" s="128" t="s">
        <v>598</v>
      </c>
      <c r="E308" s="128" t="s">
        <v>598</v>
      </c>
      <c r="F308" s="64">
        <v>24</v>
      </c>
      <c r="G308" s="72" t="s">
        <v>678</v>
      </c>
      <c r="H308" s="65" t="s">
        <v>96</v>
      </c>
      <c r="I308" s="119"/>
      <c r="J308" s="119"/>
      <c r="K308" s="64"/>
      <c r="L308" s="52"/>
      <c r="M308" s="52"/>
      <c r="N308" s="52"/>
      <c r="O308" s="52"/>
      <c r="P308" s="52"/>
      <c r="Q308" s="66"/>
      <c r="R308" s="39"/>
      <c r="S308" s="76"/>
      <c r="T308" s="81" t="e">
        <f t="shared" si="145"/>
        <v>#DIV/0!</v>
      </c>
      <c r="U308" s="81">
        <f t="shared" si="146"/>
        <v>0</v>
      </c>
      <c r="V308" s="228"/>
      <c r="W308" s="52" t="s">
        <v>102</v>
      </c>
      <c r="X308" s="52" t="s">
        <v>102</v>
      </c>
      <c r="Y308" s="52"/>
      <c r="Z308" s="52" t="s">
        <v>263</v>
      </c>
      <c r="AA308" s="52"/>
      <c r="AB308" s="52"/>
      <c r="AC308" s="52"/>
      <c r="AD308" s="52">
        <v>0</v>
      </c>
      <c r="AE308" s="52"/>
      <c r="AF308" s="52"/>
      <c r="AG308" s="52"/>
      <c r="AH308" s="52"/>
      <c r="AI308" s="52"/>
      <c r="AJ308" s="52"/>
      <c r="AK308" s="52"/>
      <c r="AL308" s="89"/>
      <c r="AM308" s="52"/>
      <c r="AN308" s="52"/>
      <c r="AO308" s="52"/>
      <c r="AP308" s="53"/>
      <c r="AQ308" s="53"/>
      <c r="AR308" s="54" t="s">
        <v>262</v>
      </c>
      <c r="AS308" s="54"/>
      <c r="AT308" s="54"/>
      <c r="AU308" s="52"/>
      <c r="AV308" s="52"/>
      <c r="AW308" s="54"/>
      <c r="AX308" s="51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206"/>
      <c r="CO308" s="206"/>
      <c r="CP308" s="206"/>
      <c r="CQ308" s="8">
        <f t="shared" si="147"/>
        <v>0</v>
      </c>
      <c r="CR308" s="8">
        <f t="shared" si="148"/>
        <v>0</v>
      </c>
      <c r="CS308" s="8">
        <f t="shared" si="149"/>
        <v>0</v>
      </c>
      <c r="CT308" t="e">
        <f t="shared" si="150"/>
        <v>#NUM!</v>
      </c>
      <c r="CU308" s="143" t="e">
        <f t="shared" si="151"/>
        <v>#DIV/0!</v>
      </c>
      <c r="CV308" s="143">
        <f t="shared" si="152"/>
        <v>0</v>
      </c>
      <c r="CX308" s="7">
        <f t="shared" si="153"/>
        <v>0</v>
      </c>
      <c r="CY308" s="7">
        <f t="shared" si="154"/>
        <v>0</v>
      </c>
      <c r="CZ308" s="7">
        <f t="shared" si="155"/>
        <v>0</v>
      </c>
      <c r="DA308" s="7">
        <f t="shared" si="156"/>
        <v>0</v>
      </c>
      <c r="DB308" s="7">
        <f t="shared" si="157"/>
        <v>0</v>
      </c>
      <c r="DC308" s="7">
        <f t="shared" si="158"/>
        <v>0</v>
      </c>
      <c r="DD308" s="7">
        <f t="shared" si="159"/>
        <v>0</v>
      </c>
      <c r="DE308" s="7">
        <f t="shared" si="160"/>
        <v>0</v>
      </c>
      <c r="DF308" s="7">
        <f t="shared" si="161"/>
        <v>0</v>
      </c>
      <c r="DH308" s="7">
        <f t="shared" si="162"/>
        <v>0</v>
      </c>
      <c r="DI308" s="7">
        <f t="shared" si="163"/>
        <v>0</v>
      </c>
      <c r="DJ308" s="7">
        <f t="shared" si="164"/>
        <v>0</v>
      </c>
      <c r="DK308" s="7">
        <f t="shared" si="165"/>
        <v>0</v>
      </c>
      <c r="DL308" s="7">
        <f t="shared" si="166"/>
        <v>0</v>
      </c>
      <c r="DM308" s="7">
        <f t="shared" si="167"/>
        <v>0</v>
      </c>
      <c r="DN308" s="7">
        <f t="shared" si="168"/>
        <v>0</v>
      </c>
      <c r="DO308" s="7">
        <f t="shared" si="169"/>
        <v>0</v>
      </c>
      <c r="DP308" s="7">
        <f t="shared" si="170"/>
        <v>0</v>
      </c>
      <c r="FK308" s="190"/>
      <c r="FL308" s="191"/>
      <c r="FM308" s="190"/>
      <c r="FN308" s="190"/>
      <c r="FO308" s="191"/>
      <c r="FP308" s="190"/>
      <c r="FQ308" s="191"/>
    </row>
    <row r="309" spans="1:174" ht="25.5" hidden="1" customHeight="1" x14ac:dyDescent="0.3">
      <c r="A309" s="92" t="s">
        <v>530</v>
      </c>
      <c r="B309" s="92" t="s">
        <v>531</v>
      </c>
      <c r="C309" s="93" t="str">
        <f t="shared" si="144"/>
        <v>SATCHIE CREEK_Coho</v>
      </c>
      <c r="D309" s="128" t="s">
        <v>598</v>
      </c>
      <c r="E309" s="128" t="s">
        <v>598</v>
      </c>
      <c r="F309" s="64">
        <v>24</v>
      </c>
      <c r="G309" s="72" t="s">
        <v>678</v>
      </c>
      <c r="H309" s="65" t="s">
        <v>93</v>
      </c>
      <c r="I309" s="119"/>
      <c r="J309" s="119"/>
      <c r="K309" s="64"/>
      <c r="L309" s="52"/>
      <c r="M309" s="52"/>
      <c r="N309" s="52"/>
      <c r="O309" s="52"/>
      <c r="P309" s="52"/>
      <c r="Q309" s="66"/>
      <c r="R309" s="39"/>
      <c r="S309" s="76"/>
      <c r="T309" s="81" t="e">
        <f t="shared" si="145"/>
        <v>#DIV/0!</v>
      </c>
      <c r="U309" s="81">
        <f t="shared" si="146"/>
        <v>101.5</v>
      </c>
      <c r="V309" s="228"/>
      <c r="W309" s="52" t="s">
        <v>102</v>
      </c>
      <c r="X309" s="52" t="s">
        <v>102</v>
      </c>
      <c r="Y309" s="52"/>
      <c r="Z309" s="52">
        <v>203</v>
      </c>
      <c r="AA309" s="52"/>
      <c r="AB309" s="52"/>
      <c r="AC309" s="52"/>
      <c r="AD309" s="52">
        <v>0</v>
      </c>
      <c r="AE309" s="52"/>
      <c r="AF309" s="52"/>
      <c r="AG309" s="52"/>
      <c r="AH309" s="52"/>
      <c r="AI309" s="52"/>
      <c r="AJ309" s="52"/>
      <c r="AK309" s="52"/>
      <c r="AL309" s="89"/>
      <c r="AM309" s="52"/>
      <c r="AN309" s="52"/>
      <c r="AO309" s="52"/>
      <c r="AP309" s="53"/>
      <c r="AQ309" s="53"/>
      <c r="AR309" s="54" t="s">
        <v>263</v>
      </c>
      <c r="AS309" s="54"/>
      <c r="AT309" s="54"/>
      <c r="AU309" s="52"/>
      <c r="AV309" s="52"/>
      <c r="AW309" s="54">
        <v>30</v>
      </c>
      <c r="AX309" s="51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 t="s">
        <v>102</v>
      </c>
      <c r="BO309" s="53"/>
      <c r="BP309" s="53" t="s">
        <v>262</v>
      </c>
      <c r="BQ309" s="53"/>
      <c r="BR309" s="53" t="s">
        <v>102</v>
      </c>
      <c r="BS309" s="53" t="s">
        <v>102</v>
      </c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 t="s">
        <v>102</v>
      </c>
      <c r="CK309" s="53" t="s">
        <v>102</v>
      </c>
      <c r="CL309" s="53"/>
      <c r="CM309" s="53"/>
      <c r="CN309" s="206"/>
      <c r="CO309" s="206"/>
      <c r="CP309" s="206"/>
      <c r="CQ309" s="8">
        <f t="shared" si="147"/>
        <v>0</v>
      </c>
      <c r="CR309" s="8">
        <f t="shared" si="148"/>
        <v>203</v>
      </c>
      <c r="CS309" s="8">
        <f t="shared" si="149"/>
        <v>77.666666666666671</v>
      </c>
      <c r="CT309" t="e">
        <f t="shared" si="150"/>
        <v>#NUM!</v>
      </c>
      <c r="CU309" s="143">
        <f t="shared" si="151"/>
        <v>203</v>
      </c>
      <c r="CV309" s="143">
        <f t="shared" si="152"/>
        <v>101.5</v>
      </c>
      <c r="CX309" s="7">
        <f t="shared" si="153"/>
        <v>3.0000000000000027</v>
      </c>
      <c r="CY309" s="7">
        <f t="shared" si="154"/>
        <v>9.0000000000000018</v>
      </c>
      <c r="CZ309" s="7">
        <f t="shared" si="155"/>
        <v>11.999999999999996</v>
      </c>
      <c r="DA309" s="7">
        <f t="shared" si="156"/>
        <v>15</v>
      </c>
      <c r="DB309" s="7">
        <f t="shared" si="157"/>
        <v>30</v>
      </c>
      <c r="DC309" s="7">
        <f t="shared" si="158"/>
        <v>64.600000000000023</v>
      </c>
      <c r="DD309" s="7">
        <f t="shared" si="159"/>
        <v>81.899999999999977</v>
      </c>
      <c r="DE309" s="7">
        <f t="shared" si="160"/>
        <v>116.5</v>
      </c>
      <c r="DF309" s="7">
        <f t="shared" si="161"/>
        <v>151.10000000000002</v>
      </c>
      <c r="DH309" s="7">
        <f t="shared" si="162"/>
        <v>3.0000000000000027</v>
      </c>
      <c r="DI309" s="7">
        <f t="shared" si="163"/>
        <v>9.0000000000000018</v>
      </c>
      <c r="DJ309" s="7">
        <f t="shared" si="164"/>
        <v>11.999999999999996</v>
      </c>
      <c r="DK309" s="7">
        <f t="shared" si="165"/>
        <v>15</v>
      </c>
      <c r="DL309" s="7">
        <f t="shared" si="166"/>
        <v>30</v>
      </c>
      <c r="DM309" s="7">
        <f t="shared" si="167"/>
        <v>64.600000000000023</v>
      </c>
      <c r="DN309" s="7">
        <f t="shared" si="168"/>
        <v>81.899999999999977</v>
      </c>
      <c r="DO309" s="7">
        <f t="shared" si="169"/>
        <v>116.5</v>
      </c>
      <c r="DP309" s="7">
        <f t="shared" si="170"/>
        <v>151.10000000000002</v>
      </c>
      <c r="FK309" s="190"/>
      <c r="FL309" s="191"/>
      <c r="FM309" s="190"/>
      <c r="FN309" s="190"/>
      <c r="FO309" s="191"/>
      <c r="FP309" s="190"/>
      <c r="FQ309" s="191"/>
    </row>
    <row r="310" spans="1:174" ht="25.5" hidden="1" customHeight="1" x14ac:dyDescent="0.3">
      <c r="A310" s="92"/>
      <c r="B310" s="92"/>
      <c r="C310" s="93" t="str">
        <f t="shared" si="144"/>
        <v>SHARP CREEK_Chum</v>
      </c>
      <c r="D310" s="128" t="s">
        <v>598</v>
      </c>
      <c r="E310" s="128" t="s">
        <v>598</v>
      </c>
      <c r="F310" s="64">
        <v>24</v>
      </c>
      <c r="G310" s="72" t="s">
        <v>640</v>
      </c>
      <c r="H310" s="65" t="s">
        <v>96</v>
      </c>
      <c r="I310" s="119"/>
      <c r="J310" s="119"/>
      <c r="K310" s="64"/>
      <c r="L310" s="52"/>
      <c r="M310" s="52"/>
      <c r="N310" s="52"/>
      <c r="O310" s="52"/>
      <c r="P310" s="52"/>
      <c r="Q310" s="66"/>
      <c r="R310" s="39"/>
      <c r="S310" s="76"/>
      <c r="T310" s="81">
        <f t="shared" si="145"/>
        <v>575</v>
      </c>
      <c r="U310" s="81">
        <f t="shared" si="146"/>
        <v>250.4</v>
      </c>
      <c r="V310" s="228">
        <v>127</v>
      </c>
      <c r="W310" s="52"/>
      <c r="X310" s="52">
        <v>1023</v>
      </c>
      <c r="Y310" s="52"/>
      <c r="Z310" s="52" t="s">
        <v>102</v>
      </c>
      <c r="AA310" s="52">
        <v>34</v>
      </c>
      <c r="AB310" s="52">
        <v>37</v>
      </c>
      <c r="AC310" s="52" t="s">
        <v>102</v>
      </c>
      <c r="AD310" s="52">
        <v>31</v>
      </c>
      <c r="AE310" s="52" t="s">
        <v>102</v>
      </c>
      <c r="AF310" s="52" t="s">
        <v>102</v>
      </c>
      <c r="AG310" s="52" t="s">
        <v>102</v>
      </c>
      <c r="AH310" s="53"/>
      <c r="AI310" s="53"/>
      <c r="AJ310" s="53"/>
      <c r="AK310" s="52"/>
      <c r="AL310" s="89"/>
      <c r="AM310" s="52"/>
      <c r="AN310" s="52"/>
      <c r="AO310" s="53"/>
      <c r="AP310" s="53"/>
      <c r="AQ310" s="53"/>
      <c r="AR310" s="53"/>
      <c r="AS310" s="52"/>
      <c r="AT310" s="52"/>
      <c r="AU310" s="52"/>
      <c r="AV310" s="52"/>
      <c r="AW310" s="177"/>
      <c r="AX310" s="178"/>
      <c r="AY310" s="179"/>
      <c r="AZ310" s="179"/>
      <c r="BA310" s="179"/>
      <c r="BB310" s="179"/>
      <c r="BC310" s="179"/>
      <c r="BD310" s="179"/>
      <c r="BE310" s="179"/>
      <c r="BF310" s="179"/>
      <c r="BG310" s="179"/>
      <c r="BH310" s="179"/>
      <c r="BI310" s="179"/>
      <c r="BJ310" s="179"/>
      <c r="BK310" s="179"/>
      <c r="BL310" s="179"/>
      <c r="BM310" s="179"/>
      <c r="BN310" s="179"/>
      <c r="BO310" s="179"/>
      <c r="BP310" s="179"/>
      <c r="BQ310" s="179"/>
      <c r="BR310" s="179"/>
      <c r="BS310" s="179"/>
      <c r="BT310" s="179"/>
      <c r="BU310" s="179"/>
      <c r="BV310" s="179"/>
      <c r="BW310" s="179"/>
      <c r="BX310" s="179"/>
      <c r="BY310" s="179"/>
      <c r="BZ310" s="179"/>
      <c r="CA310" s="179"/>
      <c r="CB310" s="179"/>
      <c r="CC310" s="179"/>
      <c r="CD310" s="179"/>
      <c r="CE310" s="179"/>
      <c r="CF310" s="179"/>
      <c r="CG310" s="179"/>
      <c r="CH310" s="179"/>
      <c r="CI310" s="179"/>
      <c r="CJ310" s="179"/>
      <c r="CK310" s="179"/>
      <c r="CL310" s="179"/>
      <c r="CM310" s="179"/>
      <c r="CN310" s="209"/>
      <c r="CO310" s="209"/>
      <c r="CP310" s="209"/>
      <c r="CQ310" s="8">
        <f t="shared" si="147"/>
        <v>31</v>
      </c>
      <c r="CR310" s="8">
        <f t="shared" si="148"/>
        <v>1023</v>
      </c>
      <c r="CS310" s="8">
        <f t="shared" si="149"/>
        <v>250.4</v>
      </c>
      <c r="CT310">
        <f t="shared" si="150"/>
        <v>87.285948972427548</v>
      </c>
      <c r="CU310" s="143">
        <f t="shared" si="151"/>
        <v>575</v>
      </c>
      <c r="CV310" s="143">
        <f t="shared" si="152"/>
        <v>250.4</v>
      </c>
      <c r="CX310" s="7">
        <f t="shared" si="153"/>
        <v>31.6</v>
      </c>
      <c r="CY310" s="7">
        <f t="shared" si="154"/>
        <v>32.799999999999997</v>
      </c>
      <c r="CZ310" s="7">
        <f t="shared" si="155"/>
        <v>33.4</v>
      </c>
      <c r="DA310" s="7">
        <f t="shared" si="156"/>
        <v>34</v>
      </c>
      <c r="DB310" s="7">
        <f t="shared" si="157"/>
        <v>37</v>
      </c>
      <c r="DC310" s="7">
        <f t="shared" si="158"/>
        <v>73</v>
      </c>
      <c r="DD310" s="7">
        <f t="shared" si="159"/>
        <v>91</v>
      </c>
      <c r="DE310" s="7">
        <f t="shared" si="160"/>
        <v>127</v>
      </c>
      <c r="DF310" s="7">
        <f t="shared" si="161"/>
        <v>485.40000000000032</v>
      </c>
      <c r="DH310" s="7">
        <f t="shared" si="162"/>
        <v>31.6</v>
      </c>
      <c r="DI310" s="7">
        <f t="shared" si="163"/>
        <v>32.799999999999997</v>
      </c>
      <c r="DJ310" s="7">
        <f t="shared" si="164"/>
        <v>33.4</v>
      </c>
      <c r="DK310" s="7">
        <f t="shared" si="165"/>
        <v>34</v>
      </c>
      <c r="DL310" s="7">
        <f t="shared" si="166"/>
        <v>37</v>
      </c>
      <c r="DM310" s="7">
        <f t="shared" si="167"/>
        <v>73</v>
      </c>
      <c r="DN310" s="7">
        <f t="shared" si="168"/>
        <v>91</v>
      </c>
      <c r="DO310" s="7">
        <f t="shared" si="169"/>
        <v>127</v>
      </c>
      <c r="DP310" s="7">
        <f t="shared" si="170"/>
        <v>485.40000000000032</v>
      </c>
      <c r="FK310" s="190" t="s">
        <v>668</v>
      </c>
      <c r="FL310" s="191">
        <v>2017</v>
      </c>
      <c r="FM310" s="190" t="s">
        <v>656</v>
      </c>
      <c r="FN310" s="190" t="s">
        <v>669</v>
      </c>
      <c r="FO310" s="191">
        <v>4</v>
      </c>
      <c r="FP310" s="190" t="s">
        <v>501</v>
      </c>
      <c r="FQ310" s="191" t="b">
        <v>1</v>
      </c>
    </row>
    <row r="311" spans="1:174" ht="25.5" hidden="1" customHeight="1" x14ac:dyDescent="0.3">
      <c r="A311" s="92"/>
      <c r="B311" s="92"/>
      <c r="C311" s="93" t="str">
        <f t="shared" si="144"/>
        <v>SHARP CREEK_Coho</v>
      </c>
      <c r="D311" s="128" t="s">
        <v>598</v>
      </c>
      <c r="E311" s="128" t="s">
        <v>598</v>
      </c>
      <c r="F311" s="64">
        <v>24</v>
      </c>
      <c r="G311" s="72" t="s">
        <v>640</v>
      </c>
      <c r="H311" s="65" t="s">
        <v>93</v>
      </c>
      <c r="I311" s="119"/>
      <c r="J311" s="119"/>
      <c r="K311" s="64"/>
      <c r="L311" s="52"/>
      <c r="M311" s="52"/>
      <c r="N311" s="52"/>
      <c r="O311" s="52"/>
      <c r="P311" s="52"/>
      <c r="Q311" s="66"/>
      <c r="R311" s="39"/>
      <c r="S311" s="76"/>
      <c r="T311" s="81" t="e">
        <f t="shared" si="145"/>
        <v>#DIV/0!</v>
      </c>
      <c r="U311" s="81" t="e">
        <f t="shared" si="146"/>
        <v>#DIV/0!</v>
      </c>
      <c r="V311" s="231" t="s">
        <v>262</v>
      </c>
      <c r="W311" s="52"/>
      <c r="X311" s="52" t="s">
        <v>262</v>
      </c>
      <c r="Y311" s="52"/>
      <c r="Z311" s="52" t="s">
        <v>102</v>
      </c>
      <c r="AA311" s="52" t="s">
        <v>263</v>
      </c>
      <c r="AB311" s="52" t="s">
        <v>262</v>
      </c>
      <c r="AC311" s="52" t="s">
        <v>102</v>
      </c>
      <c r="AD311" s="123"/>
      <c r="AE311" s="52" t="s">
        <v>102</v>
      </c>
      <c r="AF311" s="52" t="s">
        <v>102</v>
      </c>
      <c r="AG311" s="52" t="s">
        <v>102</v>
      </c>
      <c r="AH311" s="53"/>
      <c r="AI311" s="53"/>
      <c r="AJ311" s="53"/>
      <c r="AK311" s="52"/>
      <c r="AL311" s="89"/>
      <c r="AM311" s="52"/>
      <c r="AN311" s="52"/>
      <c r="AO311" s="53"/>
      <c r="AP311" s="53"/>
      <c r="AQ311" s="53"/>
      <c r="AR311" s="53"/>
      <c r="AS311" s="52"/>
      <c r="AT311" s="52"/>
      <c r="AU311" s="52"/>
      <c r="AV311" s="52"/>
      <c r="AW311" s="177"/>
      <c r="AX311" s="178"/>
      <c r="AY311" s="179"/>
      <c r="AZ311" s="179"/>
      <c r="BA311" s="179"/>
      <c r="BB311" s="179"/>
      <c r="BC311" s="179"/>
      <c r="BD311" s="179"/>
      <c r="BE311" s="179"/>
      <c r="BF311" s="179"/>
      <c r="BG311" s="179"/>
      <c r="BH311" s="179"/>
      <c r="BI311" s="179"/>
      <c r="BJ311" s="179"/>
      <c r="BK311" s="179"/>
      <c r="BL311" s="179"/>
      <c r="BM311" s="179"/>
      <c r="BN311" s="179"/>
      <c r="BO311" s="179"/>
      <c r="BP311" s="179"/>
      <c r="BQ311" s="179"/>
      <c r="BR311" s="179"/>
      <c r="BS311" s="179"/>
      <c r="BT311" s="179"/>
      <c r="BU311" s="179"/>
      <c r="BV311" s="179"/>
      <c r="BW311" s="179"/>
      <c r="BX311" s="179"/>
      <c r="BY311" s="179"/>
      <c r="BZ311" s="179"/>
      <c r="CA311" s="179"/>
      <c r="CB311" s="179"/>
      <c r="CC311" s="179"/>
      <c r="CD311" s="179"/>
      <c r="CE311" s="179"/>
      <c r="CF311" s="179"/>
      <c r="CG311" s="179"/>
      <c r="CH311" s="179"/>
      <c r="CI311" s="179"/>
      <c r="CJ311" s="179"/>
      <c r="CK311" s="179"/>
      <c r="CL311" s="179"/>
      <c r="CM311" s="179"/>
      <c r="CN311" s="209"/>
      <c r="CO311" s="209"/>
      <c r="CP311" s="209"/>
      <c r="CQ311" s="8">
        <f t="shared" si="147"/>
        <v>0</v>
      </c>
      <c r="CR311" s="8">
        <f t="shared" si="148"/>
        <v>0</v>
      </c>
      <c r="CS311" s="8" t="e">
        <f t="shared" si="149"/>
        <v>#DIV/0!</v>
      </c>
      <c r="CT311" t="e">
        <f t="shared" si="150"/>
        <v>#NUM!</v>
      </c>
      <c r="CU311" s="143" t="e">
        <f t="shared" si="151"/>
        <v>#DIV/0!</v>
      </c>
      <c r="CV311" s="143" t="e">
        <f t="shared" si="152"/>
        <v>#DIV/0!</v>
      </c>
      <c r="CX311" s="7" t="e">
        <f t="shared" si="153"/>
        <v>#NUM!</v>
      </c>
      <c r="CY311" s="7" t="e">
        <f t="shared" si="154"/>
        <v>#NUM!</v>
      </c>
      <c r="CZ311" s="7" t="e">
        <f t="shared" si="155"/>
        <v>#NUM!</v>
      </c>
      <c r="DA311" s="7" t="e">
        <f t="shared" si="156"/>
        <v>#NUM!</v>
      </c>
      <c r="DB311" s="7" t="e">
        <f t="shared" si="157"/>
        <v>#NUM!</v>
      </c>
      <c r="DC311" s="7" t="e">
        <f t="shared" si="158"/>
        <v>#NUM!</v>
      </c>
      <c r="DD311" s="7" t="e">
        <f t="shared" si="159"/>
        <v>#NUM!</v>
      </c>
      <c r="DE311" s="7" t="e">
        <f t="shared" si="160"/>
        <v>#NUM!</v>
      </c>
      <c r="DF311" s="7" t="e">
        <f t="shared" si="161"/>
        <v>#NUM!</v>
      </c>
      <c r="DH311" s="7" t="e">
        <f t="shared" si="162"/>
        <v>#NUM!</v>
      </c>
      <c r="DI311" s="7" t="e">
        <f t="shared" si="163"/>
        <v>#NUM!</v>
      </c>
      <c r="DJ311" s="7" t="e">
        <f t="shared" si="164"/>
        <v>#NUM!</v>
      </c>
      <c r="DK311" s="7" t="e">
        <f t="shared" si="165"/>
        <v>#NUM!</v>
      </c>
      <c r="DL311" s="7" t="e">
        <f t="shared" si="166"/>
        <v>#NUM!</v>
      </c>
      <c r="DM311" s="7" t="e">
        <f t="shared" si="167"/>
        <v>#NUM!</v>
      </c>
      <c r="DN311" s="7" t="e">
        <f t="shared" si="168"/>
        <v>#NUM!</v>
      </c>
      <c r="DO311" s="7" t="e">
        <f t="shared" si="169"/>
        <v>#NUM!</v>
      </c>
      <c r="DP311" s="7" t="e">
        <f t="shared" si="170"/>
        <v>#NUM!</v>
      </c>
      <c r="FK311" s="190" t="s">
        <v>668</v>
      </c>
      <c r="FL311" s="191">
        <v>2017</v>
      </c>
      <c r="FM311" s="190" t="s">
        <v>656</v>
      </c>
      <c r="FN311" s="190" t="s">
        <v>669</v>
      </c>
      <c r="FO311" s="191">
        <v>5</v>
      </c>
      <c r="FP311" s="190" t="s">
        <v>499</v>
      </c>
      <c r="FQ311" s="191" t="b">
        <v>0</v>
      </c>
    </row>
    <row r="312" spans="1:174" ht="25.5" hidden="1" customHeight="1" x14ac:dyDescent="0.3">
      <c r="A312" s="92" t="str">
        <f t="shared" ref="A312:A343" si="181">VLOOKUP(C312,CU,6,FALSE)</f>
        <v>CM-SWVI [10]</v>
      </c>
      <c r="B312" s="92" t="str">
        <f t="shared" ref="B312:B343" si="182">VLOOKUP(C312,CU,7,FALSE)</f>
        <v>Southwest Vancouver Island</v>
      </c>
      <c r="C312" s="93" t="str">
        <f t="shared" si="144"/>
        <v>SUTTON MILL CREEK_Chum</v>
      </c>
      <c r="D312" s="128" t="s">
        <v>598</v>
      </c>
      <c r="E312" s="128" t="s">
        <v>598</v>
      </c>
      <c r="F312" s="64">
        <v>24</v>
      </c>
      <c r="G312" s="72" t="s">
        <v>188</v>
      </c>
      <c r="H312" s="65" t="s">
        <v>96</v>
      </c>
      <c r="I312" s="119"/>
      <c r="J312" s="119"/>
      <c r="K312" s="64">
        <v>4</v>
      </c>
      <c r="L312" s="52">
        <v>8</v>
      </c>
      <c r="M312" s="52">
        <v>8</v>
      </c>
      <c r="N312" s="52">
        <f t="shared" ref="N312:N343" si="183">GEOMEAN(AJ312:AW312)</f>
        <v>167.66980770854423</v>
      </c>
      <c r="O312" s="52">
        <f t="shared" ref="O312:O343" si="184">MAX(AJ312:CM312)</f>
        <v>3500</v>
      </c>
      <c r="P312" s="52">
        <f t="shared" ref="P312:P343" si="185">GEOMEAN(AJ312:CM312)</f>
        <v>366.467715903022</v>
      </c>
      <c r="Q312" s="66"/>
      <c r="R312" s="39"/>
      <c r="S312" s="74" t="s">
        <v>407</v>
      </c>
      <c r="T312" s="81">
        <f t="shared" si="145"/>
        <v>27.333333333333332</v>
      </c>
      <c r="U312" s="81">
        <f t="shared" si="146"/>
        <v>50.625</v>
      </c>
      <c r="V312" s="233">
        <v>40</v>
      </c>
      <c r="W312" s="52">
        <v>33</v>
      </c>
      <c r="X312" s="52">
        <v>9</v>
      </c>
      <c r="Y312" s="52"/>
      <c r="Z312" s="52" t="s">
        <v>102</v>
      </c>
      <c r="AA312" s="52">
        <v>8</v>
      </c>
      <c r="AB312" s="52">
        <v>62</v>
      </c>
      <c r="AC312" s="52">
        <v>39</v>
      </c>
      <c r="AD312" s="52">
        <v>30</v>
      </c>
      <c r="AE312" s="52" t="s">
        <v>263</v>
      </c>
      <c r="AF312" s="52" t="s">
        <v>102</v>
      </c>
      <c r="AG312" s="144">
        <v>184</v>
      </c>
      <c r="AH312" s="52">
        <v>31</v>
      </c>
      <c r="AI312" s="52">
        <v>78</v>
      </c>
      <c r="AJ312" s="52" t="s">
        <v>263</v>
      </c>
      <c r="AK312" s="52">
        <v>29</v>
      </c>
      <c r="AL312" s="89">
        <v>207</v>
      </c>
      <c r="AM312" s="52">
        <v>516</v>
      </c>
      <c r="AN312" s="52">
        <v>59</v>
      </c>
      <c r="AO312" s="52">
        <v>134</v>
      </c>
      <c r="AP312" s="52">
        <v>660</v>
      </c>
      <c r="AQ312" s="52">
        <v>900</v>
      </c>
      <c r="AR312" s="53" t="s">
        <v>102</v>
      </c>
      <c r="AS312" s="54"/>
      <c r="AT312" s="52" t="s">
        <v>263</v>
      </c>
      <c r="AU312" s="54"/>
      <c r="AV312" s="52">
        <v>150</v>
      </c>
      <c r="AW312" s="52">
        <v>48</v>
      </c>
      <c r="AX312" s="51">
        <v>400</v>
      </c>
      <c r="AY312" s="53">
        <v>250</v>
      </c>
      <c r="AZ312" s="53">
        <v>300</v>
      </c>
      <c r="BA312" s="53">
        <v>10</v>
      </c>
      <c r="BB312" s="53" t="s">
        <v>264</v>
      </c>
      <c r="BC312" s="53">
        <v>50</v>
      </c>
      <c r="BD312" s="53">
        <v>50</v>
      </c>
      <c r="BE312" s="53">
        <v>20</v>
      </c>
      <c r="BF312" s="53">
        <v>225</v>
      </c>
      <c r="BG312" s="53" t="s">
        <v>102</v>
      </c>
      <c r="BH312" s="53">
        <v>400</v>
      </c>
      <c r="BI312" s="53">
        <v>500</v>
      </c>
      <c r="BJ312" s="53">
        <v>300</v>
      </c>
      <c r="BK312" s="53">
        <v>400</v>
      </c>
      <c r="BL312" s="53">
        <v>2150</v>
      </c>
      <c r="BM312" s="53">
        <v>960</v>
      </c>
      <c r="BN312" s="53">
        <v>1200</v>
      </c>
      <c r="BO312" s="53">
        <v>200</v>
      </c>
      <c r="BP312" s="53">
        <v>25</v>
      </c>
      <c r="BQ312" s="53">
        <v>800</v>
      </c>
      <c r="BR312" s="53">
        <v>2000</v>
      </c>
      <c r="BS312" s="53">
        <v>750</v>
      </c>
      <c r="BT312" s="53">
        <v>200</v>
      </c>
      <c r="BU312" s="53">
        <v>200</v>
      </c>
      <c r="BV312" s="53">
        <v>3500</v>
      </c>
      <c r="BW312" s="53">
        <v>1500</v>
      </c>
      <c r="BX312" s="53">
        <v>2500</v>
      </c>
      <c r="BY312" s="53">
        <v>1500</v>
      </c>
      <c r="BZ312" s="53">
        <v>1500</v>
      </c>
      <c r="CA312" s="53">
        <v>200</v>
      </c>
      <c r="CB312" s="53">
        <v>2000</v>
      </c>
      <c r="CC312" s="53">
        <v>400</v>
      </c>
      <c r="CD312" s="53">
        <v>750</v>
      </c>
      <c r="CE312" s="53">
        <v>400</v>
      </c>
      <c r="CF312" s="53">
        <v>1500</v>
      </c>
      <c r="CG312" s="53">
        <v>750</v>
      </c>
      <c r="CH312" s="53">
        <v>1500</v>
      </c>
      <c r="CI312" s="53">
        <v>750</v>
      </c>
      <c r="CJ312" s="53">
        <v>400</v>
      </c>
      <c r="CK312" s="53">
        <v>200</v>
      </c>
      <c r="CL312" s="53">
        <v>1500</v>
      </c>
      <c r="CM312" s="53">
        <v>400</v>
      </c>
      <c r="CN312" s="206"/>
      <c r="CO312" s="206"/>
      <c r="CP312" s="206"/>
      <c r="CQ312" s="8">
        <f t="shared" si="147"/>
        <v>8</v>
      </c>
      <c r="CR312" s="8">
        <f t="shared" si="148"/>
        <v>3500</v>
      </c>
      <c r="CS312" s="8">
        <f t="shared" si="149"/>
        <v>607.74576271186436</v>
      </c>
      <c r="CT312">
        <f t="shared" si="150"/>
        <v>246.57033265638756</v>
      </c>
      <c r="CU312" s="143">
        <f t="shared" si="151"/>
        <v>27.333333333333332</v>
      </c>
      <c r="CV312" s="143">
        <f t="shared" si="152"/>
        <v>50.625</v>
      </c>
      <c r="CX312" s="7">
        <f t="shared" si="153"/>
        <v>19.000000000000004</v>
      </c>
      <c r="CY312" s="7">
        <f t="shared" si="154"/>
        <v>37.199999999999996</v>
      </c>
      <c r="CZ312" s="7">
        <f t="shared" si="155"/>
        <v>49.2</v>
      </c>
      <c r="DA312" s="7">
        <f t="shared" si="156"/>
        <v>60.5</v>
      </c>
      <c r="DB312" s="7">
        <f t="shared" si="157"/>
        <v>300</v>
      </c>
      <c r="DC312" s="7">
        <f t="shared" si="158"/>
        <v>400</v>
      </c>
      <c r="DD312" s="7">
        <f t="shared" si="159"/>
        <v>511.20000000000005</v>
      </c>
      <c r="DE312" s="7">
        <f t="shared" si="160"/>
        <v>775</v>
      </c>
      <c r="DF312" s="7">
        <f t="shared" si="161"/>
        <v>1500</v>
      </c>
      <c r="DH312" s="7">
        <f t="shared" si="162"/>
        <v>8.9</v>
      </c>
      <c r="DI312" s="7">
        <f t="shared" si="163"/>
        <v>29.7</v>
      </c>
      <c r="DJ312" s="7">
        <f t="shared" si="164"/>
        <v>30.6</v>
      </c>
      <c r="DK312" s="7">
        <f t="shared" si="165"/>
        <v>32</v>
      </c>
      <c r="DL312" s="7">
        <f t="shared" si="166"/>
        <v>59</v>
      </c>
      <c r="DM312" s="7">
        <f t="shared" si="167"/>
        <v>74.799999999999983</v>
      </c>
      <c r="DN312" s="7">
        <f t="shared" si="168"/>
        <v>117.20000000000006</v>
      </c>
      <c r="DO312" s="7">
        <f t="shared" si="169"/>
        <v>167</v>
      </c>
      <c r="DP312" s="7">
        <f t="shared" si="170"/>
        <v>299.69999999999914</v>
      </c>
      <c r="FK312" s="190" t="s">
        <v>670</v>
      </c>
      <c r="FL312" s="191">
        <v>2017</v>
      </c>
      <c r="FM312" s="190" t="s">
        <v>656</v>
      </c>
      <c r="FN312" s="190" t="s">
        <v>184</v>
      </c>
      <c r="FO312" s="191">
        <v>2</v>
      </c>
      <c r="FP312" s="190" t="s">
        <v>654</v>
      </c>
      <c r="FQ312" s="191" t="b">
        <v>0</v>
      </c>
      <c r="FR312" s="191">
        <v>41</v>
      </c>
    </row>
    <row r="313" spans="1:174" ht="27" hidden="1" customHeight="1" x14ac:dyDescent="0.3">
      <c r="A313" s="92" t="str">
        <f t="shared" si="181"/>
        <v>CO-CLAY [18]</v>
      </c>
      <c r="B313" s="92" t="str">
        <f t="shared" si="182"/>
        <v>Clayoquot</v>
      </c>
      <c r="C313" s="93" t="str">
        <f t="shared" si="144"/>
        <v>SUTTON MILL CREEK_Coho</v>
      </c>
      <c r="D313" s="128" t="s">
        <v>598</v>
      </c>
      <c r="E313" s="128" t="s">
        <v>598</v>
      </c>
      <c r="F313" s="64">
        <v>24</v>
      </c>
      <c r="G313" s="72" t="s">
        <v>188</v>
      </c>
      <c r="H313" s="65" t="s">
        <v>93</v>
      </c>
      <c r="I313" s="119"/>
      <c r="J313" s="119"/>
      <c r="K313" s="64">
        <v>4</v>
      </c>
      <c r="L313" s="52">
        <v>8</v>
      </c>
      <c r="M313" s="52">
        <v>1</v>
      </c>
      <c r="N313" s="52" t="e">
        <f t="shared" si="183"/>
        <v>#NUM!</v>
      </c>
      <c r="O313" s="52">
        <f t="shared" si="184"/>
        <v>100</v>
      </c>
      <c r="P313" s="52">
        <f t="shared" si="185"/>
        <v>31.317975743392665</v>
      </c>
      <c r="Q313" s="66"/>
      <c r="R313" s="39"/>
      <c r="S313" s="74" t="s">
        <v>406</v>
      </c>
      <c r="T313" s="81" t="e">
        <f t="shared" si="145"/>
        <v>#DIV/0!</v>
      </c>
      <c r="U313" s="81" t="e">
        <f t="shared" si="146"/>
        <v>#DIV/0!</v>
      </c>
      <c r="V313" s="232" t="s">
        <v>262</v>
      </c>
      <c r="W313" s="52" t="s">
        <v>262</v>
      </c>
      <c r="X313" s="52" t="s">
        <v>262</v>
      </c>
      <c r="Y313" s="52"/>
      <c r="Z313" s="52" t="s">
        <v>102</v>
      </c>
      <c r="AA313" s="144" t="s">
        <v>262</v>
      </c>
      <c r="AB313" s="144" t="s">
        <v>262</v>
      </c>
      <c r="AC313" s="144" t="s">
        <v>262</v>
      </c>
      <c r="AD313" s="144" t="s">
        <v>262</v>
      </c>
      <c r="AE313" s="52" t="s">
        <v>262</v>
      </c>
      <c r="AF313" s="52" t="s">
        <v>102</v>
      </c>
      <c r="AG313" s="144" t="s">
        <v>262</v>
      </c>
      <c r="AH313" s="52" t="s">
        <v>262</v>
      </c>
      <c r="AI313" s="52" t="s">
        <v>262</v>
      </c>
      <c r="AJ313" s="52" t="s">
        <v>262</v>
      </c>
      <c r="AK313" s="52" t="s">
        <v>262</v>
      </c>
      <c r="AL313" s="89" t="s">
        <v>262</v>
      </c>
      <c r="AM313" s="52" t="s">
        <v>262</v>
      </c>
      <c r="AN313" s="52" t="s">
        <v>262</v>
      </c>
      <c r="AO313" s="52" t="s">
        <v>262</v>
      </c>
      <c r="AP313" s="52" t="s">
        <v>262</v>
      </c>
      <c r="AQ313" s="52" t="s">
        <v>263</v>
      </c>
      <c r="AR313" s="53" t="s">
        <v>102</v>
      </c>
      <c r="AS313" s="54"/>
      <c r="AT313" s="52" t="s">
        <v>262</v>
      </c>
      <c r="AU313" s="54"/>
      <c r="AV313" s="52" t="s">
        <v>262</v>
      </c>
      <c r="AW313" s="52" t="s">
        <v>262</v>
      </c>
      <c r="AX313" s="51" t="s">
        <v>264</v>
      </c>
      <c r="AY313" s="53" t="s">
        <v>264</v>
      </c>
      <c r="AZ313" s="53" t="s">
        <v>264</v>
      </c>
      <c r="BA313" s="53" t="s">
        <v>264</v>
      </c>
      <c r="BB313" s="53" t="s">
        <v>264</v>
      </c>
      <c r="BC313" s="53" t="s">
        <v>262</v>
      </c>
      <c r="BD313" s="53" t="s">
        <v>262</v>
      </c>
      <c r="BE313" s="53" t="s">
        <v>262</v>
      </c>
      <c r="BF313" s="53" t="s">
        <v>262</v>
      </c>
      <c r="BG313" s="53" t="s">
        <v>102</v>
      </c>
      <c r="BH313" s="53" t="s">
        <v>262</v>
      </c>
      <c r="BI313" s="53" t="s">
        <v>264</v>
      </c>
      <c r="BJ313" s="53" t="s">
        <v>264</v>
      </c>
      <c r="BK313" s="53" t="s">
        <v>264</v>
      </c>
      <c r="BL313" s="53" t="s">
        <v>264</v>
      </c>
      <c r="BM313" s="53" t="s">
        <v>264</v>
      </c>
      <c r="BN313" s="53" t="s">
        <v>264</v>
      </c>
      <c r="BO313" s="53" t="s">
        <v>264</v>
      </c>
      <c r="BP313" s="53" t="s">
        <v>264</v>
      </c>
      <c r="BQ313" s="53" t="s">
        <v>262</v>
      </c>
      <c r="BR313" s="53" t="s">
        <v>264</v>
      </c>
      <c r="BS313" s="53" t="s">
        <v>262</v>
      </c>
      <c r="BT313" s="53" t="s">
        <v>264</v>
      </c>
      <c r="BU313" s="53" t="s">
        <v>264</v>
      </c>
      <c r="BV313" s="53" t="s">
        <v>264</v>
      </c>
      <c r="BW313" s="53">
        <v>25</v>
      </c>
      <c r="BX313" s="53">
        <v>20</v>
      </c>
      <c r="BY313" s="53">
        <v>25</v>
      </c>
      <c r="BZ313" s="53">
        <v>75</v>
      </c>
      <c r="CA313" s="53">
        <v>50</v>
      </c>
      <c r="CB313" s="53">
        <v>100</v>
      </c>
      <c r="CC313" s="53">
        <v>20</v>
      </c>
      <c r="CD313" s="53">
        <v>25</v>
      </c>
      <c r="CE313" s="53">
        <v>25</v>
      </c>
      <c r="CF313" s="53">
        <v>25</v>
      </c>
      <c r="CG313" s="53">
        <v>25</v>
      </c>
      <c r="CH313" s="53">
        <v>25</v>
      </c>
      <c r="CI313" s="53">
        <v>25</v>
      </c>
      <c r="CJ313" s="53">
        <v>75</v>
      </c>
      <c r="CK313" s="53">
        <v>25</v>
      </c>
      <c r="CL313" s="53">
        <v>25</v>
      </c>
      <c r="CM313" s="53">
        <v>25</v>
      </c>
      <c r="CN313" s="206"/>
      <c r="CO313" s="206"/>
      <c r="CP313" s="206"/>
      <c r="CQ313" s="8">
        <f t="shared" si="147"/>
        <v>20</v>
      </c>
      <c r="CR313" s="8">
        <f t="shared" si="148"/>
        <v>100</v>
      </c>
      <c r="CS313" s="8">
        <f t="shared" si="149"/>
        <v>36.176470588235297</v>
      </c>
      <c r="CT313">
        <f t="shared" si="150"/>
        <v>31.317975743392665</v>
      </c>
      <c r="CU313" s="143" t="e">
        <f t="shared" si="151"/>
        <v>#DIV/0!</v>
      </c>
      <c r="CV313" s="143" t="e">
        <f t="shared" si="152"/>
        <v>#DIV/0!</v>
      </c>
      <c r="CX313" s="7">
        <f t="shared" si="153"/>
        <v>20</v>
      </c>
      <c r="CY313" s="7">
        <f t="shared" si="154"/>
        <v>25</v>
      </c>
      <c r="CZ313" s="7">
        <f t="shared" si="155"/>
        <v>25</v>
      </c>
      <c r="DA313" s="7">
        <f t="shared" si="156"/>
        <v>25</v>
      </c>
      <c r="DB313" s="7">
        <f t="shared" si="157"/>
        <v>25</v>
      </c>
      <c r="DC313" s="7">
        <f t="shared" si="158"/>
        <v>25</v>
      </c>
      <c r="DD313" s="7">
        <f t="shared" si="159"/>
        <v>25</v>
      </c>
      <c r="DE313" s="7">
        <f t="shared" si="160"/>
        <v>25</v>
      </c>
      <c r="DF313" s="7">
        <f t="shared" si="161"/>
        <v>64.999999999999986</v>
      </c>
      <c r="DH313" s="7" t="e">
        <f t="shared" si="162"/>
        <v>#NUM!</v>
      </c>
      <c r="DI313" s="7" t="e">
        <f t="shared" si="163"/>
        <v>#NUM!</v>
      </c>
      <c r="DJ313" s="7" t="e">
        <f t="shared" si="164"/>
        <v>#NUM!</v>
      </c>
      <c r="DK313" s="7" t="e">
        <f t="shared" si="165"/>
        <v>#NUM!</v>
      </c>
      <c r="DL313" s="7" t="e">
        <f t="shared" si="166"/>
        <v>#NUM!</v>
      </c>
      <c r="DM313" s="7" t="e">
        <f t="shared" si="167"/>
        <v>#NUM!</v>
      </c>
      <c r="DN313" s="7" t="e">
        <f t="shared" si="168"/>
        <v>#NUM!</v>
      </c>
      <c r="DO313" s="7" t="e">
        <f t="shared" si="169"/>
        <v>#NUM!</v>
      </c>
      <c r="DP313" s="7" t="e">
        <f t="shared" si="170"/>
        <v>#NUM!</v>
      </c>
      <c r="FK313" s="190" t="s">
        <v>670</v>
      </c>
      <c r="FL313" s="191">
        <v>2017</v>
      </c>
      <c r="FM313" s="190" t="s">
        <v>656</v>
      </c>
      <c r="FN313" s="190" t="s">
        <v>184</v>
      </c>
      <c r="FO313" s="191">
        <v>4</v>
      </c>
      <c r="FP313" s="190" t="s">
        <v>501</v>
      </c>
      <c r="FQ313" s="191" t="b">
        <v>0</v>
      </c>
      <c r="FR313" s="191">
        <v>2424</v>
      </c>
    </row>
    <row r="314" spans="1:174" ht="25.5" customHeight="1" x14ac:dyDescent="0.3">
      <c r="A314" s="92" t="str">
        <f t="shared" si="181"/>
        <v>CK-SWVI [31]</v>
      </c>
      <c r="B314" s="92" t="str">
        <f t="shared" si="182"/>
        <v>Southwest Vancouver Island</v>
      </c>
      <c r="C314" s="93" t="str">
        <f t="shared" si="144"/>
        <v>SYDNEY RIVER_Chinook</v>
      </c>
      <c r="D314" s="128" t="s">
        <v>598</v>
      </c>
      <c r="E314" s="128" t="s">
        <v>598</v>
      </c>
      <c r="F314" s="64">
        <v>24</v>
      </c>
      <c r="G314" s="72" t="s">
        <v>203</v>
      </c>
      <c r="H314" s="65" t="s">
        <v>97</v>
      </c>
      <c r="I314" s="119"/>
      <c r="J314" s="119"/>
      <c r="K314" s="64">
        <v>4</v>
      </c>
      <c r="L314" s="52">
        <v>7</v>
      </c>
      <c r="M314" s="52">
        <v>3</v>
      </c>
      <c r="N314" s="52">
        <f t="shared" si="183"/>
        <v>17.602234735867867</v>
      </c>
      <c r="O314" s="52">
        <f t="shared" si="184"/>
        <v>750</v>
      </c>
      <c r="P314" s="52">
        <f t="shared" si="185"/>
        <v>36.904397385637239</v>
      </c>
      <c r="Q314" s="66"/>
      <c r="R314" s="39"/>
      <c r="S314" s="74" t="s">
        <v>387</v>
      </c>
      <c r="T314" s="81" t="e">
        <f t="shared" si="145"/>
        <v>#DIV/0!</v>
      </c>
      <c r="U314" s="81" t="e">
        <f t="shared" si="146"/>
        <v>#DIV/0!</v>
      </c>
      <c r="V314" s="228"/>
      <c r="W314" s="52" t="s">
        <v>102</v>
      </c>
      <c r="X314" s="52" t="s">
        <v>102</v>
      </c>
      <c r="Y314" s="52" t="s">
        <v>102</v>
      </c>
      <c r="Z314" s="52" t="s">
        <v>262</v>
      </c>
      <c r="AA314" s="52" t="s">
        <v>102</v>
      </c>
      <c r="AB314" s="123"/>
      <c r="AC314" s="52" t="s">
        <v>262</v>
      </c>
      <c r="AD314" s="52" t="s">
        <v>102</v>
      </c>
      <c r="AE314" s="52" t="s">
        <v>262</v>
      </c>
      <c r="AF314" s="52" t="s">
        <v>102</v>
      </c>
      <c r="AG314" s="52" t="s">
        <v>102</v>
      </c>
      <c r="AH314" s="53">
        <v>6</v>
      </c>
      <c r="AI314" s="53">
        <v>6</v>
      </c>
      <c r="AJ314" s="53">
        <v>2</v>
      </c>
      <c r="AK314" s="52" t="s">
        <v>102</v>
      </c>
      <c r="AL314" s="52" t="s">
        <v>102</v>
      </c>
      <c r="AM314" s="52" t="s">
        <v>102</v>
      </c>
      <c r="AN314" s="52" t="s">
        <v>102</v>
      </c>
      <c r="AO314" s="52" t="s">
        <v>102</v>
      </c>
      <c r="AP314" s="52" t="s">
        <v>262</v>
      </c>
      <c r="AQ314" s="53">
        <v>80</v>
      </c>
      <c r="AR314" s="53" t="s">
        <v>262</v>
      </c>
      <c r="AS314" s="52" t="s">
        <v>102</v>
      </c>
      <c r="AT314" s="52" t="s">
        <v>262</v>
      </c>
      <c r="AU314" s="52" t="s">
        <v>262</v>
      </c>
      <c r="AV314" s="52">
        <v>30</v>
      </c>
      <c r="AW314" s="52">
        <v>20</v>
      </c>
      <c r="AX314" s="51" t="s">
        <v>264</v>
      </c>
      <c r="AY314" s="53">
        <v>1</v>
      </c>
      <c r="AZ314" s="53" t="s">
        <v>264</v>
      </c>
      <c r="BA314" s="53">
        <v>10</v>
      </c>
      <c r="BB314" s="53" t="s">
        <v>102</v>
      </c>
      <c r="BC314" s="53" t="s">
        <v>264</v>
      </c>
      <c r="BD314" s="53" t="s">
        <v>262</v>
      </c>
      <c r="BE314" s="53">
        <v>14</v>
      </c>
      <c r="BF314" s="53" t="s">
        <v>262</v>
      </c>
      <c r="BG314" s="53">
        <v>1</v>
      </c>
      <c r="BH314" s="53" t="s">
        <v>262</v>
      </c>
      <c r="BI314" s="53" t="s">
        <v>262</v>
      </c>
      <c r="BJ314" s="53" t="s">
        <v>264</v>
      </c>
      <c r="BK314" s="53">
        <v>6</v>
      </c>
      <c r="BL314" s="53" t="s">
        <v>262</v>
      </c>
      <c r="BM314" s="53">
        <v>10</v>
      </c>
      <c r="BN314" s="53">
        <v>19</v>
      </c>
      <c r="BO314" s="53" t="s">
        <v>262</v>
      </c>
      <c r="BP314" s="53">
        <v>8</v>
      </c>
      <c r="BQ314" s="53">
        <v>25</v>
      </c>
      <c r="BR314" s="53">
        <v>25</v>
      </c>
      <c r="BS314" s="53">
        <v>75</v>
      </c>
      <c r="BT314" s="53">
        <v>25</v>
      </c>
      <c r="BU314" s="53">
        <v>75</v>
      </c>
      <c r="BV314" s="53" t="s">
        <v>262</v>
      </c>
      <c r="BW314" s="53">
        <v>25</v>
      </c>
      <c r="BX314" s="53">
        <v>40</v>
      </c>
      <c r="BY314" s="53">
        <v>25</v>
      </c>
      <c r="BZ314" s="53" t="s">
        <v>262</v>
      </c>
      <c r="CA314" s="53">
        <v>25</v>
      </c>
      <c r="CB314" s="53">
        <v>25</v>
      </c>
      <c r="CC314" s="53">
        <v>10</v>
      </c>
      <c r="CD314" s="53">
        <v>200</v>
      </c>
      <c r="CE314" s="53">
        <v>200</v>
      </c>
      <c r="CF314" s="53">
        <v>200</v>
      </c>
      <c r="CG314" s="53">
        <v>750</v>
      </c>
      <c r="CH314" s="53">
        <v>400</v>
      </c>
      <c r="CI314" s="53">
        <v>200</v>
      </c>
      <c r="CJ314" s="53">
        <v>200</v>
      </c>
      <c r="CK314" s="53">
        <v>200</v>
      </c>
      <c r="CL314" s="53">
        <v>400</v>
      </c>
      <c r="CM314" s="53">
        <v>400</v>
      </c>
      <c r="CN314" s="206"/>
      <c r="CO314" s="206"/>
      <c r="CP314" s="206"/>
      <c r="CQ314" s="8">
        <f t="shared" si="147"/>
        <v>1</v>
      </c>
      <c r="CR314" s="8">
        <f t="shared" si="148"/>
        <v>750</v>
      </c>
      <c r="CS314" s="8">
        <f t="shared" si="149"/>
        <v>106.8</v>
      </c>
      <c r="CT314">
        <f t="shared" si="150"/>
        <v>33.265693580769302</v>
      </c>
      <c r="CU314" s="143" t="e">
        <f t="shared" si="151"/>
        <v>#DIV/0!</v>
      </c>
      <c r="CV314" s="143" t="e">
        <f t="shared" si="152"/>
        <v>#DIV/0!</v>
      </c>
      <c r="CX314" s="7">
        <f t="shared" si="153"/>
        <v>1.7000000000000002</v>
      </c>
      <c r="CY314" s="7">
        <f t="shared" si="154"/>
        <v>6.1999999999999993</v>
      </c>
      <c r="CZ314" s="7">
        <f t="shared" si="155"/>
        <v>9.6000000000000014</v>
      </c>
      <c r="DA314" s="7">
        <f t="shared" si="156"/>
        <v>10</v>
      </c>
      <c r="DB314" s="7">
        <f t="shared" si="157"/>
        <v>25</v>
      </c>
      <c r="DC314" s="7">
        <f t="shared" si="158"/>
        <v>33.999999999999986</v>
      </c>
      <c r="DD314" s="7">
        <f t="shared" si="159"/>
        <v>75</v>
      </c>
      <c r="DE314" s="7">
        <f t="shared" si="160"/>
        <v>200</v>
      </c>
      <c r="DF314" s="7">
        <f t="shared" si="161"/>
        <v>200</v>
      </c>
      <c r="DH314" s="7">
        <f t="shared" si="162"/>
        <v>3</v>
      </c>
      <c r="DI314" s="7">
        <f t="shared" si="163"/>
        <v>5</v>
      </c>
      <c r="DJ314" s="7">
        <f t="shared" si="164"/>
        <v>6</v>
      </c>
      <c r="DK314" s="7">
        <f t="shared" si="165"/>
        <v>6</v>
      </c>
      <c r="DL314" s="7">
        <f t="shared" si="166"/>
        <v>13</v>
      </c>
      <c r="DM314" s="7">
        <f t="shared" si="167"/>
        <v>20</v>
      </c>
      <c r="DN314" s="7">
        <f t="shared" si="168"/>
        <v>22.5</v>
      </c>
      <c r="DO314" s="7">
        <f t="shared" si="169"/>
        <v>27.5</v>
      </c>
      <c r="DP314" s="7">
        <f t="shared" si="170"/>
        <v>42.5</v>
      </c>
      <c r="FK314" s="190" t="s">
        <v>670</v>
      </c>
      <c r="FL314" s="191">
        <v>2017</v>
      </c>
      <c r="FM314" s="190" t="s">
        <v>656</v>
      </c>
      <c r="FN314" s="190" t="s">
        <v>184</v>
      </c>
      <c r="FO314" s="191">
        <v>5</v>
      </c>
      <c r="FP314" s="190" t="s">
        <v>499</v>
      </c>
      <c r="FQ314" s="191" t="b">
        <v>0</v>
      </c>
      <c r="FR314" s="191">
        <v>17</v>
      </c>
    </row>
    <row r="315" spans="1:174" ht="25.5" hidden="1" customHeight="1" x14ac:dyDescent="0.25">
      <c r="A315" s="92" t="str">
        <f t="shared" si="181"/>
        <v>CM-SWVI [10]</v>
      </c>
      <c r="B315" s="92" t="str">
        <f t="shared" si="182"/>
        <v>Southwest Vancouver Island</v>
      </c>
      <c r="C315" s="93" t="str">
        <f t="shared" si="144"/>
        <v>SYDNEY RIVER_Chum</v>
      </c>
      <c r="D315" s="128" t="s">
        <v>598</v>
      </c>
      <c r="E315" s="128" t="s">
        <v>598</v>
      </c>
      <c r="F315" s="64">
        <v>24</v>
      </c>
      <c r="G315" s="72" t="s">
        <v>203</v>
      </c>
      <c r="H315" s="65" t="s">
        <v>96</v>
      </c>
      <c r="I315" s="119"/>
      <c r="J315" s="119"/>
      <c r="K315" s="64">
        <v>4</v>
      </c>
      <c r="L315" s="52">
        <v>7</v>
      </c>
      <c r="M315" s="52">
        <v>7</v>
      </c>
      <c r="N315" s="52">
        <f t="shared" si="183"/>
        <v>794.48109666233734</v>
      </c>
      <c r="O315" s="52">
        <f t="shared" si="184"/>
        <v>4000</v>
      </c>
      <c r="P315" s="52">
        <f t="shared" si="185"/>
        <v>553.55287355082476</v>
      </c>
      <c r="Q315" s="66"/>
      <c r="R315" s="39"/>
      <c r="S315" s="74" t="s">
        <v>387</v>
      </c>
      <c r="T315" s="81" t="e">
        <f t="shared" si="145"/>
        <v>#DIV/0!</v>
      </c>
      <c r="U315" s="81">
        <f t="shared" si="146"/>
        <v>57</v>
      </c>
      <c r="V315" s="228"/>
      <c r="W315" s="52" t="s">
        <v>102</v>
      </c>
      <c r="X315" s="52" t="s">
        <v>102</v>
      </c>
      <c r="Y315" s="52" t="s">
        <v>102</v>
      </c>
      <c r="Z315" s="52">
        <v>41</v>
      </c>
      <c r="AA315" s="52" t="s">
        <v>102</v>
      </c>
      <c r="AB315" s="123"/>
      <c r="AC315" s="52" t="s">
        <v>263</v>
      </c>
      <c r="AD315" s="52" t="s">
        <v>102</v>
      </c>
      <c r="AE315" s="52">
        <v>73</v>
      </c>
      <c r="AF315" s="52" t="s">
        <v>102</v>
      </c>
      <c r="AG315" s="52" t="s">
        <v>102</v>
      </c>
      <c r="AH315" s="53">
        <v>330</v>
      </c>
      <c r="AI315" s="53">
        <v>205</v>
      </c>
      <c r="AJ315" s="53">
        <v>260</v>
      </c>
      <c r="AK315" s="52" t="s">
        <v>102</v>
      </c>
      <c r="AL315" s="52" t="s">
        <v>102</v>
      </c>
      <c r="AM315" s="52" t="s">
        <v>102</v>
      </c>
      <c r="AN315" s="52" t="s">
        <v>102</v>
      </c>
      <c r="AO315" s="52" t="s">
        <v>102</v>
      </c>
      <c r="AP315" s="53">
        <v>2202</v>
      </c>
      <c r="AQ315" s="53">
        <v>2750</v>
      </c>
      <c r="AR315" s="53">
        <v>94</v>
      </c>
      <c r="AS315" s="52" t="s">
        <v>102</v>
      </c>
      <c r="AT315" s="52" t="s">
        <v>263</v>
      </c>
      <c r="AU315" s="52">
        <v>1800</v>
      </c>
      <c r="AV315" s="52">
        <v>1000</v>
      </c>
      <c r="AW315" s="52">
        <v>750</v>
      </c>
      <c r="AX315" s="51">
        <v>200</v>
      </c>
      <c r="AY315" s="53">
        <v>600</v>
      </c>
      <c r="AZ315" s="53">
        <v>60</v>
      </c>
      <c r="BA315" s="53">
        <v>20</v>
      </c>
      <c r="BB315" s="53" t="s">
        <v>102</v>
      </c>
      <c r="BC315" s="53" t="s">
        <v>264</v>
      </c>
      <c r="BD315" s="53">
        <v>350</v>
      </c>
      <c r="BE315" s="53">
        <v>75</v>
      </c>
      <c r="BF315" s="53">
        <v>2500</v>
      </c>
      <c r="BG315" s="53">
        <v>500</v>
      </c>
      <c r="BH315" s="53">
        <v>800</v>
      </c>
      <c r="BI315" s="53">
        <v>70</v>
      </c>
      <c r="BJ315" s="53">
        <v>600</v>
      </c>
      <c r="BK315" s="53">
        <v>1000</v>
      </c>
      <c r="BL315" s="53">
        <v>600</v>
      </c>
      <c r="BM315" s="53">
        <v>250</v>
      </c>
      <c r="BN315" s="53">
        <v>800</v>
      </c>
      <c r="BO315" s="53">
        <v>750</v>
      </c>
      <c r="BP315" s="53">
        <v>310</v>
      </c>
      <c r="BQ315" s="53">
        <v>300</v>
      </c>
      <c r="BR315" s="53">
        <v>500</v>
      </c>
      <c r="BS315" s="53">
        <v>3500</v>
      </c>
      <c r="BT315" s="53">
        <v>400</v>
      </c>
      <c r="BU315" s="53">
        <v>200</v>
      </c>
      <c r="BV315" s="53">
        <v>3500</v>
      </c>
      <c r="BW315" s="53">
        <v>3500</v>
      </c>
      <c r="BX315" s="53">
        <v>4000</v>
      </c>
      <c r="BY315" s="53">
        <v>400</v>
      </c>
      <c r="BZ315" s="53">
        <v>200</v>
      </c>
      <c r="CA315" s="53">
        <v>100</v>
      </c>
      <c r="CB315" s="53">
        <v>1100</v>
      </c>
      <c r="CC315" s="53">
        <v>1000</v>
      </c>
      <c r="CD315" s="53">
        <v>1500</v>
      </c>
      <c r="CE315" s="53">
        <v>3500</v>
      </c>
      <c r="CF315" s="53">
        <v>3500</v>
      </c>
      <c r="CG315" s="53">
        <v>750</v>
      </c>
      <c r="CH315" s="53">
        <v>750</v>
      </c>
      <c r="CI315" s="53">
        <v>400</v>
      </c>
      <c r="CJ315" s="53">
        <v>400</v>
      </c>
      <c r="CK315" s="53">
        <v>200</v>
      </c>
      <c r="CL315" s="53">
        <v>400</v>
      </c>
      <c r="CM315" s="53">
        <v>400</v>
      </c>
      <c r="CN315" s="206"/>
      <c r="CO315" s="206"/>
      <c r="CP315" s="206"/>
      <c r="CQ315" s="8">
        <f t="shared" si="147"/>
        <v>20</v>
      </c>
      <c r="CR315" s="8">
        <f t="shared" si="148"/>
        <v>4000</v>
      </c>
      <c r="CS315" s="8">
        <f t="shared" si="149"/>
        <v>970.39215686274508</v>
      </c>
      <c r="CT315">
        <f t="shared" si="150"/>
        <v>490.77164641458455</v>
      </c>
      <c r="CU315" s="143">
        <f t="shared" si="151"/>
        <v>41</v>
      </c>
      <c r="CV315" s="143">
        <f t="shared" si="152"/>
        <v>57</v>
      </c>
      <c r="CX315" s="7">
        <f t="shared" si="153"/>
        <v>65</v>
      </c>
      <c r="CY315" s="7">
        <f t="shared" si="154"/>
        <v>150</v>
      </c>
      <c r="CZ315" s="7">
        <f t="shared" si="155"/>
        <v>200</v>
      </c>
      <c r="DA315" s="7">
        <f t="shared" si="156"/>
        <v>227.5</v>
      </c>
      <c r="DB315" s="7">
        <f t="shared" si="157"/>
        <v>500</v>
      </c>
      <c r="DC315" s="7">
        <f t="shared" si="158"/>
        <v>750</v>
      </c>
      <c r="DD315" s="7">
        <f t="shared" si="159"/>
        <v>750</v>
      </c>
      <c r="DE315" s="7">
        <f t="shared" si="160"/>
        <v>1000</v>
      </c>
      <c r="DF315" s="7">
        <f t="shared" si="161"/>
        <v>2351</v>
      </c>
      <c r="DH315" s="7">
        <f t="shared" si="162"/>
        <v>57</v>
      </c>
      <c r="DI315" s="7">
        <f t="shared" si="163"/>
        <v>83.5</v>
      </c>
      <c r="DJ315" s="7">
        <f t="shared" si="164"/>
        <v>94</v>
      </c>
      <c r="DK315" s="7">
        <f t="shared" si="165"/>
        <v>149.5</v>
      </c>
      <c r="DL315" s="7">
        <f t="shared" si="166"/>
        <v>330</v>
      </c>
      <c r="DM315" s="7">
        <f t="shared" si="167"/>
        <v>750</v>
      </c>
      <c r="DN315" s="7">
        <f t="shared" si="168"/>
        <v>875</v>
      </c>
      <c r="DO315" s="7">
        <f t="shared" si="169"/>
        <v>1400</v>
      </c>
      <c r="DP315" s="7">
        <f t="shared" si="170"/>
        <v>2001</v>
      </c>
    </row>
    <row r="316" spans="1:174" ht="25.5" hidden="1" customHeight="1" x14ac:dyDescent="0.25">
      <c r="A316" s="92" t="str">
        <f t="shared" si="181"/>
        <v>CO-CLAY [18]</v>
      </c>
      <c r="B316" s="92" t="str">
        <f t="shared" si="182"/>
        <v>Clayoquot</v>
      </c>
      <c r="C316" s="93" t="str">
        <f t="shared" si="144"/>
        <v>SYDNEY RIVER_Coho</v>
      </c>
      <c r="D316" s="128" t="s">
        <v>598</v>
      </c>
      <c r="E316" s="128" t="s">
        <v>598</v>
      </c>
      <c r="F316" s="64">
        <v>24</v>
      </c>
      <c r="G316" s="72" t="s">
        <v>203</v>
      </c>
      <c r="H316" s="65" t="s">
        <v>93</v>
      </c>
      <c r="I316" s="119"/>
      <c r="J316" s="119"/>
      <c r="K316" s="64">
        <v>4</v>
      </c>
      <c r="L316" s="52">
        <v>7</v>
      </c>
      <c r="M316" s="52">
        <v>5</v>
      </c>
      <c r="N316" s="52">
        <f t="shared" si="183"/>
        <v>276.58899214195191</v>
      </c>
      <c r="O316" s="52">
        <f t="shared" si="184"/>
        <v>1500</v>
      </c>
      <c r="P316" s="52">
        <f t="shared" si="185"/>
        <v>177.07705545150165</v>
      </c>
      <c r="Q316" s="66"/>
      <c r="R316" s="39"/>
      <c r="S316" s="74" t="s">
        <v>387</v>
      </c>
      <c r="T316" s="81" t="e">
        <f t="shared" si="145"/>
        <v>#DIV/0!</v>
      </c>
      <c r="U316" s="81">
        <f t="shared" si="146"/>
        <v>401</v>
      </c>
      <c r="V316" s="228"/>
      <c r="W316" s="52" t="s">
        <v>102</v>
      </c>
      <c r="X316" s="52" t="s">
        <v>102</v>
      </c>
      <c r="Y316" s="52" t="s">
        <v>102</v>
      </c>
      <c r="Z316" s="52">
        <v>144</v>
      </c>
      <c r="AA316" s="52" t="s">
        <v>102</v>
      </c>
      <c r="AB316" s="123"/>
      <c r="AC316" s="52" t="s">
        <v>262</v>
      </c>
      <c r="AD316" s="52" t="s">
        <v>102</v>
      </c>
      <c r="AE316" s="52">
        <v>658</v>
      </c>
      <c r="AF316" s="52" t="s">
        <v>102</v>
      </c>
      <c r="AG316" s="52" t="s">
        <v>102</v>
      </c>
      <c r="AH316" s="53">
        <v>129</v>
      </c>
      <c r="AI316" s="53">
        <v>300</v>
      </c>
      <c r="AJ316" s="53">
        <v>333</v>
      </c>
      <c r="AK316" s="52" t="s">
        <v>102</v>
      </c>
      <c r="AL316" s="52" t="s">
        <v>102</v>
      </c>
      <c r="AM316" s="52" t="s">
        <v>102</v>
      </c>
      <c r="AN316" s="52" t="s">
        <v>102</v>
      </c>
      <c r="AO316" s="52" t="s">
        <v>102</v>
      </c>
      <c r="AP316" s="52" t="s">
        <v>262</v>
      </c>
      <c r="AQ316" s="53">
        <v>380</v>
      </c>
      <c r="AR316" s="53" t="s">
        <v>263</v>
      </c>
      <c r="AS316" s="52" t="s">
        <v>102</v>
      </c>
      <c r="AT316" s="52" t="s">
        <v>263</v>
      </c>
      <c r="AU316" s="52" t="s">
        <v>262</v>
      </c>
      <c r="AV316" s="52">
        <v>185</v>
      </c>
      <c r="AW316" s="52">
        <v>250</v>
      </c>
      <c r="AX316" s="51" t="s">
        <v>262</v>
      </c>
      <c r="AY316" s="53">
        <v>110</v>
      </c>
      <c r="AZ316" s="53">
        <v>20</v>
      </c>
      <c r="BA316" s="53" t="s">
        <v>264</v>
      </c>
      <c r="BB316" s="53" t="s">
        <v>102</v>
      </c>
      <c r="BC316" s="53" t="s">
        <v>264</v>
      </c>
      <c r="BD316" s="53" t="s">
        <v>262</v>
      </c>
      <c r="BE316" s="53">
        <v>125</v>
      </c>
      <c r="BF316" s="53">
        <v>150</v>
      </c>
      <c r="BG316" s="53">
        <v>100</v>
      </c>
      <c r="BH316" s="53" t="s">
        <v>264</v>
      </c>
      <c r="BI316" s="53" t="s">
        <v>264</v>
      </c>
      <c r="BJ316" s="53">
        <v>100</v>
      </c>
      <c r="BK316" s="53">
        <v>20</v>
      </c>
      <c r="BL316" s="53" t="s">
        <v>262</v>
      </c>
      <c r="BM316" s="53">
        <v>16</v>
      </c>
      <c r="BN316" s="53">
        <v>50</v>
      </c>
      <c r="BO316" s="53" t="s">
        <v>262</v>
      </c>
      <c r="BP316" s="53">
        <v>12</v>
      </c>
      <c r="BQ316" s="53">
        <v>50</v>
      </c>
      <c r="BR316" s="53">
        <v>25</v>
      </c>
      <c r="BS316" s="53">
        <v>200</v>
      </c>
      <c r="BT316" s="53">
        <v>75</v>
      </c>
      <c r="BU316" s="53">
        <v>400</v>
      </c>
      <c r="BV316" s="53">
        <v>750</v>
      </c>
      <c r="BW316" s="53">
        <v>200</v>
      </c>
      <c r="BX316" s="53">
        <v>50</v>
      </c>
      <c r="BY316" s="53">
        <v>400</v>
      </c>
      <c r="BZ316" s="53">
        <v>200</v>
      </c>
      <c r="CA316" s="53">
        <v>500</v>
      </c>
      <c r="CB316" s="53">
        <v>1200</v>
      </c>
      <c r="CC316" s="53">
        <v>50</v>
      </c>
      <c r="CD316" s="53">
        <v>750</v>
      </c>
      <c r="CE316" s="53">
        <v>1500</v>
      </c>
      <c r="CF316" s="53">
        <v>400</v>
      </c>
      <c r="CG316" s="53">
        <v>750</v>
      </c>
      <c r="CH316" s="53">
        <v>750</v>
      </c>
      <c r="CI316" s="53">
        <v>400</v>
      </c>
      <c r="CJ316" s="53">
        <v>400</v>
      </c>
      <c r="CK316" s="53">
        <v>200</v>
      </c>
      <c r="CL316" s="53">
        <v>400</v>
      </c>
      <c r="CM316" s="53">
        <v>750</v>
      </c>
      <c r="CN316" s="206"/>
      <c r="CO316" s="206"/>
      <c r="CP316" s="206"/>
      <c r="CQ316" s="8">
        <f t="shared" si="147"/>
        <v>12</v>
      </c>
      <c r="CR316" s="8">
        <f t="shared" si="148"/>
        <v>1500</v>
      </c>
      <c r="CS316" s="8">
        <f t="shared" si="149"/>
        <v>328.82926829268291</v>
      </c>
      <c r="CT316">
        <f t="shared" si="150"/>
        <v>182.85421638386401</v>
      </c>
      <c r="CU316" s="143">
        <f t="shared" si="151"/>
        <v>144</v>
      </c>
      <c r="CV316" s="143">
        <f t="shared" si="152"/>
        <v>401</v>
      </c>
      <c r="CX316" s="7">
        <f t="shared" si="153"/>
        <v>20</v>
      </c>
      <c r="CY316" s="7">
        <f t="shared" si="154"/>
        <v>50</v>
      </c>
      <c r="CZ316" s="7">
        <f t="shared" si="155"/>
        <v>50</v>
      </c>
      <c r="DA316" s="7">
        <f t="shared" si="156"/>
        <v>100</v>
      </c>
      <c r="DB316" s="7">
        <f t="shared" si="157"/>
        <v>200</v>
      </c>
      <c r="DC316" s="7">
        <f t="shared" si="158"/>
        <v>333</v>
      </c>
      <c r="DD316" s="7">
        <f t="shared" si="159"/>
        <v>400</v>
      </c>
      <c r="DE316" s="7">
        <f t="shared" si="160"/>
        <v>400</v>
      </c>
      <c r="DF316" s="7">
        <f t="shared" si="161"/>
        <v>750</v>
      </c>
      <c r="DH316" s="7">
        <f t="shared" si="162"/>
        <v>134.25</v>
      </c>
      <c r="DI316" s="7">
        <f t="shared" si="163"/>
        <v>146.04999999999998</v>
      </c>
      <c r="DJ316" s="7">
        <f t="shared" si="164"/>
        <v>160.4</v>
      </c>
      <c r="DK316" s="7">
        <f t="shared" si="165"/>
        <v>174.75</v>
      </c>
      <c r="DL316" s="7">
        <f t="shared" si="166"/>
        <v>275</v>
      </c>
      <c r="DM316" s="7">
        <f t="shared" si="167"/>
        <v>306.60000000000002</v>
      </c>
      <c r="DN316" s="7">
        <f t="shared" si="168"/>
        <v>318.14999999999998</v>
      </c>
      <c r="DO316" s="7">
        <f t="shared" si="169"/>
        <v>344.75</v>
      </c>
      <c r="DP316" s="7">
        <f t="shared" si="170"/>
        <v>377.65</v>
      </c>
    </row>
    <row r="317" spans="1:174" ht="25.5" hidden="1" customHeight="1" x14ac:dyDescent="0.25">
      <c r="A317" s="92" t="str">
        <f t="shared" si="181"/>
        <v>SK-WVI [R10]</v>
      </c>
      <c r="B317" s="92" t="str">
        <f t="shared" si="182"/>
        <v>West Vancouver Island</v>
      </c>
      <c r="C317" s="93" t="str">
        <f t="shared" si="144"/>
        <v>SYDNEY RIVER_Sockeye</v>
      </c>
      <c r="D317" s="128" t="s">
        <v>598</v>
      </c>
      <c r="E317" s="128" t="s">
        <v>598</v>
      </c>
      <c r="F317" s="64">
        <v>24</v>
      </c>
      <c r="G317" s="72" t="s">
        <v>203</v>
      </c>
      <c r="H317" s="65" t="s">
        <v>91</v>
      </c>
      <c r="I317" s="119"/>
      <c r="J317" s="119"/>
      <c r="K317" s="64">
        <v>4</v>
      </c>
      <c r="L317" s="52">
        <v>7</v>
      </c>
      <c r="M317" s="52">
        <v>4</v>
      </c>
      <c r="N317" s="52">
        <f t="shared" si="183"/>
        <v>32.582243049968447</v>
      </c>
      <c r="O317" s="52">
        <f t="shared" si="184"/>
        <v>100</v>
      </c>
      <c r="P317" s="52">
        <f t="shared" si="185"/>
        <v>15.655725305592764</v>
      </c>
      <c r="Q317" s="66"/>
      <c r="R317" s="39"/>
      <c r="S317" s="74" t="s">
        <v>387</v>
      </c>
      <c r="T317" s="81" t="e">
        <f t="shared" si="145"/>
        <v>#DIV/0!</v>
      </c>
      <c r="U317" s="81">
        <f t="shared" si="146"/>
        <v>25</v>
      </c>
      <c r="V317" s="228"/>
      <c r="W317" s="52" t="s">
        <v>102</v>
      </c>
      <c r="X317" s="52" t="s">
        <v>102</v>
      </c>
      <c r="Y317" s="52" t="s">
        <v>102</v>
      </c>
      <c r="Z317" s="52">
        <v>25</v>
      </c>
      <c r="AA317" s="52" t="s">
        <v>102</v>
      </c>
      <c r="AB317" s="123"/>
      <c r="AC317" s="52" t="s">
        <v>262</v>
      </c>
      <c r="AD317" s="52" t="s">
        <v>102</v>
      </c>
      <c r="AE317" s="52" t="s">
        <v>262</v>
      </c>
      <c r="AF317" s="52" t="s">
        <v>102</v>
      </c>
      <c r="AG317" s="52" t="s">
        <v>102</v>
      </c>
      <c r="AH317" s="53">
        <v>4</v>
      </c>
      <c r="AI317" s="53">
        <v>20</v>
      </c>
      <c r="AJ317" s="53" t="s">
        <v>262</v>
      </c>
      <c r="AK317" s="52" t="s">
        <v>102</v>
      </c>
      <c r="AL317" s="52" t="s">
        <v>102</v>
      </c>
      <c r="AM317" s="52" t="s">
        <v>102</v>
      </c>
      <c r="AN317" s="52" t="s">
        <v>102</v>
      </c>
      <c r="AO317" s="52" t="s">
        <v>102</v>
      </c>
      <c r="AP317" s="52" t="s">
        <v>262</v>
      </c>
      <c r="AQ317" s="53">
        <v>20</v>
      </c>
      <c r="AR317" s="53" t="s">
        <v>262</v>
      </c>
      <c r="AS317" s="52" t="s">
        <v>102</v>
      </c>
      <c r="AT317" s="52" t="s">
        <v>262</v>
      </c>
      <c r="AU317" s="52">
        <v>23</v>
      </c>
      <c r="AV317" s="52">
        <v>35</v>
      </c>
      <c r="AW317" s="52">
        <v>70</v>
      </c>
      <c r="AX317" s="51" t="s">
        <v>264</v>
      </c>
      <c r="AY317" s="53" t="s">
        <v>264</v>
      </c>
      <c r="AZ317" s="53" t="s">
        <v>264</v>
      </c>
      <c r="BA317" s="53" t="s">
        <v>264</v>
      </c>
      <c r="BB317" s="53" t="s">
        <v>102</v>
      </c>
      <c r="BC317" s="53" t="s">
        <v>264</v>
      </c>
      <c r="BD317" s="53" t="s">
        <v>262</v>
      </c>
      <c r="BE317" s="53">
        <v>8</v>
      </c>
      <c r="BF317" s="53" t="s">
        <v>264</v>
      </c>
      <c r="BG317" s="53" t="s">
        <v>264</v>
      </c>
      <c r="BH317" s="53" t="s">
        <v>264</v>
      </c>
      <c r="BI317" s="53">
        <v>100</v>
      </c>
      <c r="BJ317" s="53">
        <v>10</v>
      </c>
      <c r="BK317" s="53" t="s">
        <v>264</v>
      </c>
      <c r="BL317" s="53">
        <v>4</v>
      </c>
      <c r="BM317" s="53">
        <v>6</v>
      </c>
      <c r="BN317" s="53">
        <v>16</v>
      </c>
      <c r="BO317" s="53" t="s">
        <v>264</v>
      </c>
      <c r="BP317" s="53">
        <v>4</v>
      </c>
      <c r="BQ317" s="53" t="s">
        <v>264</v>
      </c>
      <c r="BR317" s="53" t="s">
        <v>264</v>
      </c>
      <c r="BS317" s="53" t="s">
        <v>264</v>
      </c>
      <c r="BT317" s="53" t="s">
        <v>264</v>
      </c>
      <c r="BU317" s="53" t="s">
        <v>264</v>
      </c>
      <c r="BV317" s="53" t="s">
        <v>264</v>
      </c>
      <c r="BW317" s="53" t="s">
        <v>264</v>
      </c>
      <c r="BX317" s="53" t="s">
        <v>264</v>
      </c>
      <c r="BY317" s="53" t="s">
        <v>264</v>
      </c>
      <c r="BZ317" s="53" t="s">
        <v>264</v>
      </c>
      <c r="CA317" s="53" t="s">
        <v>264</v>
      </c>
      <c r="CB317" s="53" t="s">
        <v>264</v>
      </c>
      <c r="CC317" s="53" t="s">
        <v>264</v>
      </c>
      <c r="CD317" s="53" t="s">
        <v>264</v>
      </c>
      <c r="CE317" s="53" t="s">
        <v>264</v>
      </c>
      <c r="CF317" s="53" t="s">
        <v>264</v>
      </c>
      <c r="CG317" s="53" t="s">
        <v>264</v>
      </c>
      <c r="CH317" s="53" t="s">
        <v>264</v>
      </c>
      <c r="CI317" s="53" t="s">
        <v>264</v>
      </c>
      <c r="CJ317" s="53" t="s">
        <v>264</v>
      </c>
      <c r="CK317" s="53" t="s">
        <v>264</v>
      </c>
      <c r="CL317" s="53" t="s">
        <v>264</v>
      </c>
      <c r="CM317" s="53" t="s">
        <v>264</v>
      </c>
      <c r="CN317" s="206"/>
      <c r="CO317" s="206"/>
      <c r="CP317" s="206"/>
      <c r="CQ317" s="8">
        <f t="shared" si="147"/>
        <v>4</v>
      </c>
      <c r="CR317" s="8">
        <f t="shared" si="148"/>
        <v>100</v>
      </c>
      <c r="CS317" s="8">
        <f t="shared" si="149"/>
        <v>24.642857142857142</v>
      </c>
      <c r="CT317">
        <f t="shared" si="150"/>
        <v>14.943751980890918</v>
      </c>
      <c r="CU317" s="143">
        <f t="shared" si="151"/>
        <v>25</v>
      </c>
      <c r="CV317" s="143">
        <f t="shared" si="152"/>
        <v>25</v>
      </c>
      <c r="CX317" s="7">
        <f t="shared" si="153"/>
        <v>4</v>
      </c>
      <c r="CY317" s="7">
        <f t="shared" si="154"/>
        <v>4</v>
      </c>
      <c r="CZ317" s="7">
        <f t="shared" si="155"/>
        <v>5.2</v>
      </c>
      <c r="DA317" s="7">
        <f t="shared" si="156"/>
        <v>6.5</v>
      </c>
      <c r="DB317" s="7">
        <f t="shared" si="157"/>
        <v>18</v>
      </c>
      <c r="DC317" s="7">
        <f t="shared" si="158"/>
        <v>20</v>
      </c>
      <c r="DD317" s="7">
        <f t="shared" si="159"/>
        <v>21.35</v>
      </c>
      <c r="DE317" s="7">
        <f t="shared" si="160"/>
        <v>24.5</v>
      </c>
      <c r="DF317" s="7">
        <f t="shared" si="161"/>
        <v>36.749999999999964</v>
      </c>
      <c r="DH317" s="7">
        <f t="shared" si="162"/>
        <v>8.8000000000000007</v>
      </c>
      <c r="DI317" s="7">
        <f t="shared" si="163"/>
        <v>18.399999999999999</v>
      </c>
      <c r="DJ317" s="7">
        <f t="shared" si="164"/>
        <v>20</v>
      </c>
      <c r="DK317" s="7">
        <f t="shared" si="165"/>
        <v>20</v>
      </c>
      <c r="DL317" s="7">
        <f t="shared" si="166"/>
        <v>23</v>
      </c>
      <c r="DM317" s="7">
        <f t="shared" si="167"/>
        <v>24.2</v>
      </c>
      <c r="DN317" s="7">
        <f t="shared" si="168"/>
        <v>24.8</v>
      </c>
      <c r="DO317" s="7">
        <f t="shared" si="169"/>
        <v>30</v>
      </c>
      <c r="DP317" s="7">
        <f t="shared" si="170"/>
        <v>38.499999999999986</v>
      </c>
    </row>
    <row r="318" spans="1:174" ht="25.5" customHeight="1" x14ac:dyDescent="0.25">
      <c r="A318" s="92" t="str">
        <f t="shared" si="181"/>
        <v>CK-SWVI [31]</v>
      </c>
      <c r="B318" s="92" t="str">
        <f t="shared" si="182"/>
        <v>Southwest Vancouver Island</v>
      </c>
      <c r="C318" s="93" t="str">
        <f t="shared" si="144"/>
        <v>TOFINO CREEK_Chinook</v>
      </c>
      <c r="D318" s="128" t="s">
        <v>598</v>
      </c>
      <c r="E318" s="128" t="s">
        <v>598</v>
      </c>
      <c r="F318" s="64">
        <v>24</v>
      </c>
      <c r="G318" s="196" t="s">
        <v>182</v>
      </c>
      <c r="H318" s="65" t="s">
        <v>97</v>
      </c>
      <c r="I318" s="119"/>
      <c r="J318" s="119"/>
      <c r="K318" s="64">
        <v>4</v>
      </c>
      <c r="L318" s="52">
        <v>6</v>
      </c>
      <c r="M318" s="52">
        <v>2</v>
      </c>
      <c r="N318" s="52">
        <f t="shared" si="183"/>
        <v>8</v>
      </c>
      <c r="O318" s="52">
        <f t="shared" si="184"/>
        <v>400</v>
      </c>
      <c r="P318" s="52">
        <f t="shared" si="185"/>
        <v>55.532451385546494</v>
      </c>
      <c r="Q318" s="66"/>
      <c r="R318" s="39"/>
      <c r="S318" s="76" t="s">
        <v>409</v>
      </c>
      <c r="T318" s="81">
        <f t="shared" si="145"/>
        <v>2</v>
      </c>
      <c r="U318" s="81">
        <f t="shared" si="146"/>
        <v>1.6666666666666667</v>
      </c>
      <c r="V318" s="228"/>
      <c r="W318" s="52" t="s">
        <v>102</v>
      </c>
      <c r="X318" s="52" t="s">
        <v>102</v>
      </c>
      <c r="Y318" s="144">
        <v>2</v>
      </c>
      <c r="Z318" s="144">
        <v>1</v>
      </c>
      <c r="AA318" s="144" t="s">
        <v>262</v>
      </c>
      <c r="AB318" s="52" t="s">
        <v>102</v>
      </c>
      <c r="AC318" s="52" t="s">
        <v>102</v>
      </c>
      <c r="AD318" s="52" t="s">
        <v>102</v>
      </c>
      <c r="AE318" s="53">
        <v>2</v>
      </c>
      <c r="AF318" s="52" t="s">
        <v>102</v>
      </c>
      <c r="AG318" s="52" t="s">
        <v>102</v>
      </c>
      <c r="AH318" s="52" t="s">
        <v>102</v>
      </c>
      <c r="AI318" s="53">
        <v>5</v>
      </c>
      <c r="AJ318" s="52" t="s">
        <v>102</v>
      </c>
      <c r="AK318" s="52" t="s">
        <v>102</v>
      </c>
      <c r="AL318" s="52" t="s">
        <v>102</v>
      </c>
      <c r="AM318" s="52" t="s">
        <v>102</v>
      </c>
      <c r="AN318" s="52" t="s">
        <v>102</v>
      </c>
      <c r="AO318" s="52" t="s">
        <v>262</v>
      </c>
      <c r="AP318" s="52" t="s">
        <v>262</v>
      </c>
      <c r="AQ318" s="52" t="s">
        <v>263</v>
      </c>
      <c r="AR318" s="54"/>
      <c r="AS318" s="54"/>
      <c r="AT318" s="52" t="s">
        <v>262</v>
      </c>
      <c r="AU318" s="52" t="s">
        <v>262</v>
      </c>
      <c r="AV318" s="52">
        <v>8</v>
      </c>
      <c r="AW318" s="52" t="s">
        <v>102</v>
      </c>
      <c r="AX318" s="51">
        <v>10</v>
      </c>
      <c r="AY318" s="53">
        <v>60</v>
      </c>
      <c r="AZ318" s="53" t="s">
        <v>264</v>
      </c>
      <c r="BA318" s="53" t="s">
        <v>264</v>
      </c>
      <c r="BB318" s="53" t="s">
        <v>264</v>
      </c>
      <c r="BC318" s="53" t="s">
        <v>264</v>
      </c>
      <c r="BD318" s="53" t="s">
        <v>262</v>
      </c>
      <c r="BE318" s="53" t="s">
        <v>262</v>
      </c>
      <c r="BF318" s="53" t="s">
        <v>262</v>
      </c>
      <c r="BG318" s="53" t="s">
        <v>262</v>
      </c>
      <c r="BH318" s="53" t="s">
        <v>262</v>
      </c>
      <c r="BI318" s="53" t="s">
        <v>264</v>
      </c>
      <c r="BJ318" s="53" t="s">
        <v>264</v>
      </c>
      <c r="BK318" s="53" t="s">
        <v>264</v>
      </c>
      <c r="BL318" s="53" t="s">
        <v>262</v>
      </c>
      <c r="BM318" s="53" t="s">
        <v>264</v>
      </c>
      <c r="BN318" s="53" t="s">
        <v>264</v>
      </c>
      <c r="BO318" s="53" t="s">
        <v>262</v>
      </c>
      <c r="BP318" s="53">
        <v>10</v>
      </c>
      <c r="BQ318" s="53">
        <v>25</v>
      </c>
      <c r="BR318" s="53" t="s">
        <v>262</v>
      </c>
      <c r="BS318" s="53" t="s">
        <v>262</v>
      </c>
      <c r="BT318" s="53" t="s">
        <v>264</v>
      </c>
      <c r="BU318" s="53" t="s">
        <v>262</v>
      </c>
      <c r="BV318" s="53">
        <v>25</v>
      </c>
      <c r="BW318" s="53">
        <v>25</v>
      </c>
      <c r="BX318" s="53">
        <v>8</v>
      </c>
      <c r="BY318" s="53">
        <v>25</v>
      </c>
      <c r="BZ318" s="53" t="s">
        <v>262</v>
      </c>
      <c r="CA318" s="53">
        <v>20</v>
      </c>
      <c r="CB318" s="53">
        <v>50</v>
      </c>
      <c r="CC318" s="53" t="s">
        <v>262</v>
      </c>
      <c r="CD318" s="53">
        <v>75</v>
      </c>
      <c r="CE318" s="53">
        <v>75</v>
      </c>
      <c r="CF318" s="53">
        <v>200</v>
      </c>
      <c r="CG318" s="53">
        <v>200</v>
      </c>
      <c r="CH318" s="53">
        <v>200</v>
      </c>
      <c r="CI318" s="53">
        <v>200</v>
      </c>
      <c r="CJ318" s="53">
        <v>200</v>
      </c>
      <c r="CK318" s="53">
        <v>200</v>
      </c>
      <c r="CL318" s="53">
        <v>200</v>
      </c>
      <c r="CM318" s="53">
        <v>400</v>
      </c>
      <c r="CN318" s="206"/>
      <c r="CO318" s="206"/>
      <c r="CP318" s="206"/>
      <c r="CQ318" s="8">
        <f t="shared" si="147"/>
        <v>1</v>
      </c>
      <c r="CR318" s="8">
        <f t="shared" si="148"/>
        <v>400</v>
      </c>
      <c r="CS318" s="8">
        <f t="shared" si="149"/>
        <v>89.04</v>
      </c>
      <c r="CT318">
        <f t="shared" si="150"/>
        <v>32.920054816288427</v>
      </c>
      <c r="CU318" s="143">
        <f t="shared" si="151"/>
        <v>1.5</v>
      </c>
      <c r="CV318" s="143">
        <f t="shared" si="152"/>
        <v>1.6666666666666667</v>
      </c>
      <c r="CX318" s="7">
        <f t="shared" si="153"/>
        <v>2</v>
      </c>
      <c r="CY318" s="7">
        <f t="shared" si="154"/>
        <v>6.7999999999999989</v>
      </c>
      <c r="CZ318" s="7">
        <f t="shared" si="155"/>
        <v>8</v>
      </c>
      <c r="DA318" s="7">
        <f t="shared" si="156"/>
        <v>10</v>
      </c>
      <c r="DB318" s="7">
        <f t="shared" si="157"/>
        <v>25</v>
      </c>
      <c r="DC318" s="7">
        <f t="shared" si="158"/>
        <v>65.999999999999972</v>
      </c>
      <c r="DD318" s="7">
        <f t="shared" si="159"/>
        <v>75</v>
      </c>
      <c r="DE318" s="7">
        <f t="shared" si="160"/>
        <v>200</v>
      </c>
      <c r="DF318" s="7">
        <f t="shared" si="161"/>
        <v>200</v>
      </c>
      <c r="DH318" s="7">
        <f t="shared" si="162"/>
        <v>1.2</v>
      </c>
      <c r="DI318" s="7">
        <f t="shared" si="163"/>
        <v>1.6</v>
      </c>
      <c r="DJ318" s="7">
        <f t="shared" si="164"/>
        <v>1.8</v>
      </c>
      <c r="DK318" s="7">
        <f t="shared" si="165"/>
        <v>2</v>
      </c>
      <c r="DL318" s="7">
        <f t="shared" si="166"/>
        <v>2</v>
      </c>
      <c r="DM318" s="7">
        <f t="shared" si="167"/>
        <v>3.1999999999999997</v>
      </c>
      <c r="DN318" s="7">
        <f t="shared" si="168"/>
        <v>3.8000000000000003</v>
      </c>
      <c r="DO318" s="7">
        <f t="shared" si="169"/>
        <v>5</v>
      </c>
      <c r="DP318" s="7">
        <f t="shared" si="170"/>
        <v>6.2000000000000011</v>
      </c>
    </row>
    <row r="319" spans="1:174" ht="25.5" hidden="1" customHeight="1" x14ac:dyDescent="0.25">
      <c r="A319" s="92" t="str">
        <f t="shared" si="181"/>
        <v>CM-SWVI [10]</v>
      </c>
      <c r="B319" s="92" t="str">
        <f t="shared" si="182"/>
        <v>Southwest Vancouver Island</v>
      </c>
      <c r="C319" s="93" t="str">
        <f t="shared" si="144"/>
        <v>TOFINO CREEK_Chum</v>
      </c>
      <c r="D319" s="128" t="s">
        <v>598</v>
      </c>
      <c r="E319" s="128" t="s">
        <v>598</v>
      </c>
      <c r="F319" s="64">
        <v>24</v>
      </c>
      <c r="G319" s="196" t="s">
        <v>182</v>
      </c>
      <c r="H319" s="65" t="s">
        <v>96</v>
      </c>
      <c r="I319" s="119"/>
      <c r="J319" s="119"/>
      <c r="K319" s="64">
        <v>4</v>
      </c>
      <c r="L319" s="52">
        <v>6</v>
      </c>
      <c r="M319" s="52">
        <v>5</v>
      </c>
      <c r="N319" s="52">
        <f t="shared" si="183"/>
        <v>246.36488123195437</v>
      </c>
      <c r="O319" s="52">
        <f t="shared" si="184"/>
        <v>3500</v>
      </c>
      <c r="P319" s="52">
        <f t="shared" si="185"/>
        <v>190.49661838020921</v>
      </c>
      <c r="Q319" s="66"/>
      <c r="R319" s="39"/>
      <c r="S319" s="76" t="s">
        <v>408</v>
      </c>
      <c r="T319" s="81">
        <f t="shared" si="145"/>
        <v>17</v>
      </c>
      <c r="U319" s="81">
        <f t="shared" si="146"/>
        <v>334</v>
      </c>
      <c r="V319" s="228"/>
      <c r="W319" s="52" t="s">
        <v>102</v>
      </c>
      <c r="X319" s="52" t="s">
        <v>102</v>
      </c>
      <c r="Y319" s="52">
        <v>17</v>
      </c>
      <c r="Z319" s="52">
        <v>99</v>
      </c>
      <c r="AA319" s="52" t="s">
        <v>263</v>
      </c>
      <c r="AB319" s="52" t="s">
        <v>102</v>
      </c>
      <c r="AC319" s="52" t="s">
        <v>102</v>
      </c>
      <c r="AD319" s="52" t="s">
        <v>102</v>
      </c>
      <c r="AE319" s="53">
        <v>886</v>
      </c>
      <c r="AF319" s="52" t="s">
        <v>102</v>
      </c>
      <c r="AG319" s="52" t="s">
        <v>102</v>
      </c>
      <c r="AH319" s="52" t="s">
        <v>102</v>
      </c>
      <c r="AI319" s="53">
        <v>210</v>
      </c>
      <c r="AJ319" s="52" t="s">
        <v>102</v>
      </c>
      <c r="AK319" s="52" t="s">
        <v>102</v>
      </c>
      <c r="AL319" s="52" t="s">
        <v>102</v>
      </c>
      <c r="AM319" s="52" t="s">
        <v>102</v>
      </c>
      <c r="AN319" s="52" t="s">
        <v>102</v>
      </c>
      <c r="AO319" s="53">
        <v>31</v>
      </c>
      <c r="AP319" s="53">
        <v>3169</v>
      </c>
      <c r="AQ319" s="52">
        <v>750</v>
      </c>
      <c r="AR319" s="54"/>
      <c r="AS319" s="54"/>
      <c r="AT319" s="52" t="s">
        <v>263</v>
      </c>
      <c r="AU319" s="52" t="s">
        <v>262</v>
      </c>
      <c r="AV319" s="52">
        <v>50</v>
      </c>
      <c r="AW319" s="52" t="s">
        <v>102</v>
      </c>
      <c r="AX319" s="51">
        <v>40</v>
      </c>
      <c r="AY319" s="53">
        <v>300</v>
      </c>
      <c r="AZ319" s="53" t="s">
        <v>264</v>
      </c>
      <c r="BA319" s="53">
        <v>50</v>
      </c>
      <c r="BB319" s="53" t="s">
        <v>262</v>
      </c>
      <c r="BC319" s="53">
        <v>50</v>
      </c>
      <c r="BD319" s="53">
        <v>200</v>
      </c>
      <c r="BE319" s="53">
        <v>250</v>
      </c>
      <c r="BF319" s="53">
        <v>50</v>
      </c>
      <c r="BG319" s="53">
        <v>50</v>
      </c>
      <c r="BH319" s="53">
        <v>80</v>
      </c>
      <c r="BI319" s="53">
        <v>100</v>
      </c>
      <c r="BJ319" s="53">
        <v>100</v>
      </c>
      <c r="BK319" s="53">
        <v>100</v>
      </c>
      <c r="BL319" s="53">
        <v>50</v>
      </c>
      <c r="BM319" s="53">
        <v>25</v>
      </c>
      <c r="BN319" s="53">
        <v>75</v>
      </c>
      <c r="BO319" s="53">
        <v>250</v>
      </c>
      <c r="BP319" s="53">
        <v>300</v>
      </c>
      <c r="BQ319" s="53">
        <v>250</v>
      </c>
      <c r="BR319" s="53">
        <v>2500</v>
      </c>
      <c r="BS319" s="53">
        <v>750</v>
      </c>
      <c r="BT319" s="53">
        <v>400</v>
      </c>
      <c r="BU319" s="53">
        <v>750</v>
      </c>
      <c r="BV319" s="53">
        <v>200</v>
      </c>
      <c r="BW319" s="53">
        <v>200</v>
      </c>
      <c r="BX319" s="53">
        <v>35</v>
      </c>
      <c r="BY319" s="53">
        <v>25</v>
      </c>
      <c r="BZ319" s="53" t="s">
        <v>262</v>
      </c>
      <c r="CA319" s="53">
        <v>50</v>
      </c>
      <c r="CB319" s="53">
        <v>200</v>
      </c>
      <c r="CC319" s="53">
        <v>100</v>
      </c>
      <c r="CD319" s="53">
        <v>200</v>
      </c>
      <c r="CE319" s="53">
        <v>200</v>
      </c>
      <c r="CF319" s="53">
        <v>750</v>
      </c>
      <c r="CG319" s="53">
        <v>400</v>
      </c>
      <c r="CH319" s="53">
        <v>1500</v>
      </c>
      <c r="CI319" s="53">
        <v>200</v>
      </c>
      <c r="CJ319" s="53">
        <v>200</v>
      </c>
      <c r="CK319" s="53">
        <v>750</v>
      </c>
      <c r="CL319" s="53">
        <v>3500</v>
      </c>
      <c r="CM319" s="53">
        <v>1500</v>
      </c>
      <c r="CN319" s="206"/>
      <c r="CO319" s="206"/>
      <c r="CP319" s="206"/>
      <c r="CQ319" s="8">
        <f t="shared" si="147"/>
        <v>17</v>
      </c>
      <c r="CR319" s="8">
        <f t="shared" si="148"/>
        <v>3500</v>
      </c>
      <c r="CS319" s="8">
        <f t="shared" si="149"/>
        <v>466.85106382978722</v>
      </c>
      <c r="CT319">
        <f t="shared" si="150"/>
        <v>184.76285990417495</v>
      </c>
      <c r="CU319" s="143">
        <f t="shared" si="151"/>
        <v>58</v>
      </c>
      <c r="CV319" s="143">
        <f t="shared" si="152"/>
        <v>334</v>
      </c>
      <c r="CX319" s="7">
        <f t="shared" si="153"/>
        <v>26.8</v>
      </c>
      <c r="CY319" s="7">
        <f t="shared" si="154"/>
        <v>50</v>
      </c>
      <c r="CZ319" s="7">
        <f t="shared" si="155"/>
        <v>50</v>
      </c>
      <c r="DA319" s="7">
        <f t="shared" si="156"/>
        <v>50</v>
      </c>
      <c r="DB319" s="7">
        <f t="shared" si="157"/>
        <v>200</v>
      </c>
      <c r="DC319" s="7">
        <f t="shared" si="158"/>
        <v>205.99999999999997</v>
      </c>
      <c r="DD319" s="7">
        <f t="shared" si="159"/>
        <v>250</v>
      </c>
      <c r="DE319" s="7">
        <f t="shared" si="160"/>
        <v>400</v>
      </c>
      <c r="DF319" s="7">
        <f t="shared" si="161"/>
        <v>750</v>
      </c>
      <c r="DH319" s="7">
        <f t="shared" si="162"/>
        <v>21.900000000000002</v>
      </c>
      <c r="DI319" s="7">
        <f t="shared" si="163"/>
        <v>31.949999999999996</v>
      </c>
      <c r="DJ319" s="7">
        <f t="shared" si="164"/>
        <v>38.600000000000009</v>
      </c>
      <c r="DK319" s="7">
        <f t="shared" si="165"/>
        <v>45.25</v>
      </c>
      <c r="DL319" s="7">
        <f t="shared" si="166"/>
        <v>154.5</v>
      </c>
      <c r="DM319" s="7">
        <f t="shared" si="167"/>
        <v>318.00000000000011</v>
      </c>
      <c r="DN319" s="7">
        <f t="shared" si="168"/>
        <v>506.99999999999989</v>
      </c>
      <c r="DO319" s="7">
        <f t="shared" si="169"/>
        <v>784</v>
      </c>
      <c r="DP319" s="7">
        <f t="shared" si="170"/>
        <v>879.2</v>
      </c>
    </row>
    <row r="320" spans="1:174" ht="25.5" hidden="1" customHeight="1" x14ac:dyDescent="0.25">
      <c r="A320" s="92" t="str">
        <f t="shared" si="181"/>
        <v>CO-CLAY [18]</v>
      </c>
      <c r="B320" s="92" t="str">
        <f t="shared" si="182"/>
        <v>Clayoquot</v>
      </c>
      <c r="C320" s="93" t="str">
        <f t="shared" si="144"/>
        <v>TOFINO CREEK_Coho</v>
      </c>
      <c r="D320" s="128" t="s">
        <v>598</v>
      </c>
      <c r="E320" s="128" t="s">
        <v>598</v>
      </c>
      <c r="F320" s="64">
        <v>24</v>
      </c>
      <c r="G320" s="196" t="s">
        <v>182</v>
      </c>
      <c r="H320" s="65" t="s">
        <v>93</v>
      </c>
      <c r="I320" s="119"/>
      <c r="J320" s="119"/>
      <c r="K320" s="64">
        <v>4</v>
      </c>
      <c r="L320" s="52">
        <v>6</v>
      </c>
      <c r="M320" s="52">
        <v>1</v>
      </c>
      <c r="N320" s="52">
        <f t="shared" si="183"/>
        <v>35</v>
      </c>
      <c r="O320" s="52">
        <f t="shared" si="184"/>
        <v>750</v>
      </c>
      <c r="P320" s="52">
        <f t="shared" si="185"/>
        <v>127.94847864444844</v>
      </c>
      <c r="Q320" s="66"/>
      <c r="R320" s="39"/>
      <c r="S320" s="76" t="s">
        <v>408</v>
      </c>
      <c r="T320" s="81">
        <f t="shared" si="145"/>
        <v>4</v>
      </c>
      <c r="U320" s="81">
        <f t="shared" si="146"/>
        <v>8.3333333333333339</v>
      </c>
      <c r="V320" s="228"/>
      <c r="W320" s="52" t="s">
        <v>102</v>
      </c>
      <c r="X320" s="52" t="s">
        <v>102</v>
      </c>
      <c r="Y320" s="52">
        <v>4</v>
      </c>
      <c r="Z320" s="52">
        <v>6</v>
      </c>
      <c r="AA320" s="52" t="s">
        <v>263</v>
      </c>
      <c r="AB320" s="52" t="s">
        <v>102</v>
      </c>
      <c r="AC320" s="52" t="s">
        <v>102</v>
      </c>
      <c r="AD320" s="52" t="s">
        <v>102</v>
      </c>
      <c r="AE320" s="52">
        <v>15</v>
      </c>
      <c r="AF320" s="52" t="s">
        <v>102</v>
      </c>
      <c r="AG320" s="52" t="s">
        <v>102</v>
      </c>
      <c r="AH320" s="52" t="s">
        <v>102</v>
      </c>
      <c r="AI320" s="52" t="s">
        <v>263</v>
      </c>
      <c r="AJ320" s="52" t="s">
        <v>102</v>
      </c>
      <c r="AK320" s="52" t="s">
        <v>102</v>
      </c>
      <c r="AL320" s="52" t="s">
        <v>102</v>
      </c>
      <c r="AM320" s="52" t="s">
        <v>102</v>
      </c>
      <c r="AN320" s="52" t="s">
        <v>102</v>
      </c>
      <c r="AO320" s="52" t="s">
        <v>262</v>
      </c>
      <c r="AP320" s="52" t="s">
        <v>262</v>
      </c>
      <c r="AQ320" s="52">
        <v>35</v>
      </c>
      <c r="AR320" s="54"/>
      <c r="AS320" s="54"/>
      <c r="AT320" s="52" t="s">
        <v>262</v>
      </c>
      <c r="AU320" s="52" t="s">
        <v>262</v>
      </c>
      <c r="AV320" s="52" t="s">
        <v>262</v>
      </c>
      <c r="AW320" s="52" t="s">
        <v>102</v>
      </c>
      <c r="AX320" s="51">
        <v>45</v>
      </c>
      <c r="AY320" s="53">
        <v>130</v>
      </c>
      <c r="AZ320" s="53" t="s">
        <v>264</v>
      </c>
      <c r="BA320" s="53" t="s">
        <v>264</v>
      </c>
      <c r="BB320" s="53" t="s">
        <v>264</v>
      </c>
      <c r="BC320" s="53" t="s">
        <v>262</v>
      </c>
      <c r="BD320" s="53" t="s">
        <v>262</v>
      </c>
      <c r="BE320" s="53" t="s">
        <v>262</v>
      </c>
      <c r="BF320" s="53">
        <v>15</v>
      </c>
      <c r="BG320" s="53" t="s">
        <v>262</v>
      </c>
      <c r="BH320" s="53" t="s">
        <v>264</v>
      </c>
      <c r="BI320" s="53" t="s">
        <v>264</v>
      </c>
      <c r="BJ320" s="53" t="s">
        <v>264</v>
      </c>
      <c r="BK320" s="53" t="s">
        <v>264</v>
      </c>
      <c r="BL320" s="53" t="s">
        <v>262</v>
      </c>
      <c r="BM320" s="53" t="s">
        <v>264</v>
      </c>
      <c r="BN320" s="53" t="s">
        <v>264</v>
      </c>
      <c r="BO320" s="53" t="s">
        <v>262</v>
      </c>
      <c r="BP320" s="53" t="s">
        <v>262</v>
      </c>
      <c r="BQ320" s="53" t="s">
        <v>262</v>
      </c>
      <c r="BR320" s="53" t="s">
        <v>262</v>
      </c>
      <c r="BS320" s="53" t="s">
        <v>262</v>
      </c>
      <c r="BT320" s="53" t="s">
        <v>264</v>
      </c>
      <c r="BU320" s="53" t="s">
        <v>262</v>
      </c>
      <c r="BV320" s="53">
        <v>25</v>
      </c>
      <c r="BW320" s="53" t="s">
        <v>262</v>
      </c>
      <c r="BX320" s="53">
        <v>20</v>
      </c>
      <c r="BY320" s="53">
        <v>25</v>
      </c>
      <c r="BZ320" s="53">
        <v>200</v>
      </c>
      <c r="CA320" s="53">
        <v>100</v>
      </c>
      <c r="CB320" s="53">
        <v>100</v>
      </c>
      <c r="CC320" s="53">
        <v>50</v>
      </c>
      <c r="CD320" s="53">
        <v>200</v>
      </c>
      <c r="CE320" s="53">
        <v>400</v>
      </c>
      <c r="CF320" s="53">
        <v>400</v>
      </c>
      <c r="CG320" s="53">
        <v>400</v>
      </c>
      <c r="CH320" s="53">
        <v>400</v>
      </c>
      <c r="CI320" s="53">
        <v>200</v>
      </c>
      <c r="CJ320" s="53">
        <v>200</v>
      </c>
      <c r="CK320" s="53">
        <v>400</v>
      </c>
      <c r="CL320" s="53">
        <v>750</v>
      </c>
      <c r="CM320" s="53">
        <v>750</v>
      </c>
      <c r="CN320" s="206"/>
      <c r="CO320" s="206"/>
      <c r="CP320" s="206"/>
      <c r="CQ320" s="8">
        <f t="shared" si="147"/>
        <v>4</v>
      </c>
      <c r="CR320" s="8">
        <f t="shared" si="148"/>
        <v>750</v>
      </c>
      <c r="CS320" s="8">
        <f t="shared" si="149"/>
        <v>202.91666666666666</v>
      </c>
      <c r="CT320">
        <f t="shared" si="150"/>
        <v>89.159646872604469</v>
      </c>
      <c r="CU320" s="143">
        <f t="shared" si="151"/>
        <v>5</v>
      </c>
      <c r="CV320" s="143">
        <f t="shared" si="152"/>
        <v>8.3333333333333339</v>
      </c>
      <c r="CX320" s="7">
        <f t="shared" si="153"/>
        <v>7.3500000000000032</v>
      </c>
      <c r="CY320" s="7">
        <f t="shared" si="154"/>
        <v>17.249999999999996</v>
      </c>
      <c r="CZ320" s="7">
        <f t="shared" si="155"/>
        <v>23.000000000000004</v>
      </c>
      <c r="DA320" s="7">
        <f t="shared" si="156"/>
        <v>25</v>
      </c>
      <c r="DB320" s="7">
        <f t="shared" si="157"/>
        <v>115</v>
      </c>
      <c r="DC320" s="7">
        <f t="shared" si="158"/>
        <v>200</v>
      </c>
      <c r="DD320" s="7">
        <f t="shared" si="159"/>
        <v>200</v>
      </c>
      <c r="DE320" s="7">
        <f t="shared" si="160"/>
        <v>400</v>
      </c>
      <c r="DF320" s="7">
        <f t="shared" si="161"/>
        <v>400</v>
      </c>
      <c r="DH320" s="7">
        <f t="shared" si="162"/>
        <v>4.3</v>
      </c>
      <c r="DI320" s="7">
        <f t="shared" si="163"/>
        <v>4.9000000000000004</v>
      </c>
      <c r="DJ320" s="7">
        <f t="shared" si="164"/>
        <v>5.2</v>
      </c>
      <c r="DK320" s="7">
        <f t="shared" si="165"/>
        <v>5.5</v>
      </c>
      <c r="DL320" s="7">
        <f t="shared" si="166"/>
        <v>10.5</v>
      </c>
      <c r="DM320" s="7">
        <f t="shared" si="167"/>
        <v>13.2</v>
      </c>
      <c r="DN320" s="7">
        <f t="shared" si="168"/>
        <v>14.55</v>
      </c>
      <c r="DO320" s="7">
        <f t="shared" si="169"/>
        <v>20</v>
      </c>
      <c r="DP320" s="7">
        <f t="shared" si="170"/>
        <v>25.999999999999996</v>
      </c>
    </row>
    <row r="321" spans="1:130" ht="25.5" customHeight="1" x14ac:dyDescent="0.25">
      <c r="A321" s="92" t="str">
        <f t="shared" si="181"/>
        <v>CK-SWVI [31]</v>
      </c>
      <c r="B321" s="92" t="str">
        <f t="shared" si="182"/>
        <v>Southwest Vancouver Island</v>
      </c>
      <c r="C321" s="93" t="str">
        <f t="shared" si="144"/>
        <v>TRANQUIL CREEK_Chinook</v>
      </c>
      <c r="D321" s="128" t="s">
        <v>598</v>
      </c>
      <c r="E321" s="128" t="s">
        <v>598</v>
      </c>
      <c r="F321" s="64">
        <v>24</v>
      </c>
      <c r="G321" s="197" t="s">
        <v>183</v>
      </c>
      <c r="H321" s="65" t="s">
        <v>97</v>
      </c>
      <c r="I321" s="119"/>
      <c r="J321" s="119"/>
      <c r="K321" s="64">
        <v>1</v>
      </c>
      <c r="L321" s="52">
        <v>11</v>
      </c>
      <c r="M321" s="52">
        <v>11</v>
      </c>
      <c r="N321" s="52">
        <f t="shared" si="183"/>
        <v>659.09214697702726</v>
      </c>
      <c r="O321" s="52">
        <f t="shared" si="184"/>
        <v>2080</v>
      </c>
      <c r="P321" s="52">
        <f t="shared" si="185"/>
        <v>144.80827441891998</v>
      </c>
      <c r="Q321" s="66" t="s">
        <v>272</v>
      </c>
      <c r="R321" s="37"/>
      <c r="S321" s="74" t="s">
        <v>6</v>
      </c>
      <c r="T321" s="81">
        <f t="shared" si="145"/>
        <v>174</v>
      </c>
      <c r="U321" s="81">
        <f t="shared" si="146"/>
        <v>233.08333333333334</v>
      </c>
      <c r="V321" s="228">
        <v>53</v>
      </c>
      <c r="W321" s="52">
        <v>425</v>
      </c>
      <c r="X321" s="52">
        <v>147</v>
      </c>
      <c r="Y321" s="52">
        <v>71</v>
      </c>
      <c r="Z321" s="52">
        <v>88</v>
      </c>
      <c r="AA321" s="52">
        <v>119</v>
      </c>
      <c r="AB321" s="52">
        <v>309</v>
      </c>
      <c r="AC321" s="52">
        <v>199</v>
      </c>
      <c r="AD321" s="52">
        <v>219</v>
      </c>
      <c r="AE321" s="144">
        <v>684</v>
      </c>
      <c r="AF321" s="144">
        <v>262</v>
      </c>
      <c r="AG321" s="144">
        <v>221</v>
      </c>
      <c r="AH321" s="53">
        <v>225</v>
      </c>
      <c r="AI321" s="179">
        <v>206</v>
      </c>
      <c r="AJ321" s="53">
        <v>215</v>
      </c>
      <c r="AK321" s="52">
        <v>253</v>
      </c>
      <c r="AL321" s="89">
        <v>414</v>
      </c>
      <c r="AM321" s="52">
        <v>635</v>
      </c>
      <c r="AN321" s="53">
        <v>1127</v>
      </c>
      <c r="AO321" s="53">
        <v>1775</v>
      </c>
      <c r="AP321" s="53">
        <v>190</v>
      </c>
      <c r="AQ321" s="53">
        <v>2080</v>
      </c>
      <c r="AR321" s="123">
        <v>1781</v>
      </c>
      <c r="AS321" s="52">
        <v>751</v>
      </c>
      <c r="AT321" s="52">
        <v>800</v>
      </c>
      <c r="AU321" s="52">
        <v>825</v>
      </c>
      <c r="AV321" s="177">
        <v>650</v>
      </c>
      <c r="AW321" s="177">
        <v>450</v>
      </c>
      <c r="AX321" s="178">
        <v>400</v>
      </c>
      <c r="AY321" s="179">
        <v>145</v>
      </c>
      <c r="AZ321" s="179" t="s">
        <v>264</v>
      </c>
      <c r="BA321" s="179">
        <v>23</v>
      </c>
      <c r="BB321" s="179">
        <v>45</v>
      </c>
      <c r="BC321" s="179">
        <v>28</v>
      </c>
      <c r="BD321" s="179" t="s">
        <v>262</v>
      </c>
      <c r="BE321" s="179">
        <v>7</v>
      </c>
      <c r="BF321" s="179">
        <v>14</v>
      </c>
      <c r="BG321" s="179">
        <v>1</v>
      </c>
      <c r="BH321" s="179" t="s">
        <v>262</v>
      </c>
      <c r="BI321" s="179">
        <v>20</v>
      </c>
      <c r="BJ321" s="179" t="s">
        <v>264</v>
      </c>
      <c r="BK321" s="179">
        <v>25</v>
      </c>
      <c r="BL321" s="179">
        <v>50</v>
      </c>
      <c r="BM321" s="179">
        <v>4</v>
      </c>
      <c r="BN321" s="179" t="s">
        <v>262</v>
      </c>
      <c r="BO321" s="179">
        <v>25</v>
      </c>
      <c r="BP321" s="179">
        <v>25</v>
      </c>
      <c r="BQ321" s="179">
        <v>25</v>
      </c>
      <c r="BR321" s="179">
        <v>25</v>
      </c>
      <c r="BS321" s="179">
        <v>200</v>
      </c>
      <c r="BT321" s="179">
        <v>25</v>
      </c>
      <c r="BU321" s="179">
        <v>75</v>
      </c>
      <c r="BV321" s="179">
        <v>25</v>
      </c>
      <c r="BW321" s="179">
        <v>25</v>
      </c>
      <c r="BX321" s="179">
        <v>45</v>
      </c>
      <c r="BY321" s="179">
        <v>200</v>
      </c>
      <c r="BZ321" s="179">
        <v>200</v>
      </c>
      <c r="CA321" s="179">
        <v>100</v>
      </c>
      <c r="CB321" s="179">
        <v>250</v>
      </c>
      <c r="CC321" s="179">
        <v>50</v>
      </c>
      <c r="CD321" s="179">
        <v>400</v>
      </c>
      <c r="CE321" s="179">
        <v>400</v>
      </c>
      <c r="CF321" s="179">
        <v>750</v>
      </c>
      <c r="CG321" s="179">
        <v>750</v>
      </c>
      <c r="CH321" s="179">
        <v>750</v>
      </c>
      <c r="CI321" s="179">
        <v>750</v>
      </c>
      <c r="CJ321" s="179">
        <v>750</v>
      </c>
      <c r="CK321" s="179">
        <v>750</v>
      </c>
      <c r="CL321" s="179">
        <v>750</v>
      </c>
      <c r="CM321" s="179">
        <v>750</v>
      </c>
      <c r="CN321" s="206"/>
      <c r="CO321" s="206"/>
      <c r="CP321" s="206"/>
      <c r="CQ321" s="8">
        <f t="shared" si="147"/>
        <v>1</v>
      </c>
      <c r="CR321" s="8">
        <f t="shared" si="148"/>
        <v>2080</v>
      </c>
      <c r="CS321" s="8">
        <f t="shared" si="149"/>
        <v>369.7076923076923</v>
      </c>
      <c r="CT321">
        <f t="shared" si="150"/>
        <v>152.89079749726531</v>
      </c>
      <c r="CU321" s="143">
        <f t="shared" si="151"/>
        <v>156.80000000000001</v>
      </c>
      <c r="CV321" s="143">
        <f t="shared" si="152"/>
        <v>233.08333333333334</v>
      </c>
      <c r="CX321" s="7">
        <f t="shared" si="153"/>
        <v>15.200000000000001</v>
      </c>
      <c r="CY321" s="7">
        <f t="shared" si="154"/>
        <v>25</v>
      </c>
      <c r="CZ321" s="7">
        <f t="shared" si="155"/>
        <v>25</v>
      </c>
      <c r="DA321" s="7">
        <f t="shared" si="156"/>
        <v>45</v>
      </c>
      <c r="DB321" s="7">
        <f t="shared" si="157"/>
        <v>206</v>
      </c>
      <c r="DC321" s="7">
        <f t="shared" si="158"/>
        <v>256.59999999999997</v>
      </c>
      <c r="DD321" s="7">
        <f t="shared" si="159"/>
        <v>400</v>
      </c>
      <c r="DE321" s="7">
        <f t="shared" si="160"/>
        <v>650</v>
      </c>
      <c r="DF321" s="7">
        <f t="shared" si="161"/>
        <v>750</v>
      </c>
      <c r="DH321" s="7">
        <f t="shared" si="162"/>
        <v>76.95</v>
      </c>
      <c r="DI321" s="7">
        <f t="shared" si="163"/>
        <v>149.15</v>
      </c>
      <c r="DJ321" s="7">
        <f t="shared" si="164"/>
        <v>193.6</v>
      </c>
      <c r="DK321" s="7">
        <f t="shared" si="165"/>
        <v>204.25</v>
      </c>
      <c r="DL321" s="7">
        <f t="shared" si="166"/>
        <v>285.5</v>
      </c>
      <c r="DM321" s="7">
        <f t="shared" si="167"/>
        <v>430</v>
      </c>
      <c r="DN321" s="7">
        <f t="shared" si="168"/>
        <v>551.75000000000011</v>
      </c>
      <c r="DO321" s="7">
        <f t="shared" si="169"/>
        <v>700.75</v>
      </c>
      <c r="DP321" s="7">
        <f t="shared" si="170"/>
        <v>823.75</v>
      </c>
    </row>
    <row r="322" spans="1:130" ht="25.5" hidden="1" customHeight="1" x14ac:dyDescent="0.25">
      <c r="A322" s="92" t="str">
        <f t="shared" si="181"/>
        <v>CM-SWVI [10]</v>
      </c>
      <c r="B322" s="92" t="str">
        <f t="shared" si="182"/>
        <v>Southwest Vancouver Island</v>
      </c>
      <c r="C322" s="93" t="str">
        <f t="shared" si="144"/>
        <v>TRANQUIL CREEK_Chum</v>
      </c>
      <c r="D322" s="128" t="s">
        <v>598</v>
      </c>
      <c r="E322" s="128" t="s">
        <v>598</v>
      </c>
      <c r="F322" s="64">
        <v>24</v>
      </c>
      <c r="G322" s="197" t="s">
        <v>183</v>
      </c>
      <c r="H322" s="65" t="s">
        <v>96</v>
      </c>
      <c r="I322" s="119"/>
      <c r="J322" s="119"/>
      <c r="K322" s="64">
        <v>1</v>
      </c>
      <c r="L322" s="52">
        <v>11</v>
      </c>
      <c r="M322" s="52">
        <v>11</v>
      </c>
      <c r="N322" s="52">
        <f t="shared" si="183"/>
        <v>5467.6963713892128</v>
      </c>
      <c r="O322" s="52">
        <f t="shared" si="184"/>
        <v>35000</v>
      </c>
      <c r="P322" s="52">
        <f t="shared" si="185"/>
        <v>3852.4410626083923</v>
      </c>
      <c r="Q322" s="66" t="s">
        <v>272</v>
      </c>
      <c r="R322" s="37"/>
      <c r="S322" s="74" t="s">
        <v>6</v>
      </c>
      <c r="T322" s="81">
        <f t="shared" si="145"/>
        <v>3711</v>
      </c>
      <c r="U322" s="81">
        <f t="shared" si="146"/>
        <v>6418.333333333333</v>
      </c>
      <c r="V322" s="228">
        <v>1666</v>
      </c>
      <c r="W322" s="52">
        <v>3845</v>
      </c>
      <c r="X322" s="52">
        <v>5391</v>
      </c>
      <c r="Y322" s="52">
        <v>3942</v>
      </c>
      <c r="Z322" s="52">
        <v>6799</v>
      </c>
      <c r="AA322" s="52">
        <v>6094</v>
      </c>
      <c r="AB322" s="52">
        <v>4512</v>
      </c>
      <c r="AC322" s="52">
        <v>4495</v>
      </c>
      <c r="AD322" s="53">
        <v>7911</v>
      </c>
      <c r="AE322" s="144">
        <v>12062</v>
      </c>
      <c r="AF322" s="144">
        <v>4823</v>
      </c>
      <c r="AG322" s="144">
        <v>15480</v>
      </c>
      <c r="AH322" s="53">
        <v>8675</v>
      </c>
      <c r="AI322" s="53">
        <v>5100</v>
      </c>
      <c r="AJ322" s="53">
        <v>2631</v>
      </c>
      <c r="AK322" s="52">
        <v>6928</v>
      </c>
      <c r="AL322" s="89">
        <v>10695</v>
      </c>
      <c r="AM322" s="52">
        <v>11197</v>
      </c>
      <c r="AN322" s="53">
        <v>22368</v>
      </c>
      <c r="AO322" s="53">
        <v>8449</v>
      </c>
      <c r="AP322" s="53">
        <v>13856</v>
      </c>
      <c r="AQ322" s="53">
        <v>6141</v>
      </c>
      <c r="AR322" s="123">
        <v>3956</v>
      </c>
      <c r="AS322" s="52">
        <v>3951</v>
      </c>
      <c r="AT322" s="52">
        <v>6500</v>
      </c>
      <c r="AU322" s="52">
        <v>4500</v>
      </c>
      <c r="AV322" s="52">
        <v>3500</v>
      </c>
      <c r="AW322" s="52">
        <v>380</v>
      </c>
      <c r="AX322" s="51">
        <v>700</v>
      </c>
      <c r="AY322" s="53">
        <v>1100</v>
      </c>
      <c r="AZ322" s="53" t="s">
        <v>264</v>
      </c>
      <c r="BA322" s="53">
        <v>3000</v>
      </c>
      <c r="BB322" s="53">
        <v>500</v>
      </c>
      <c r="BC322" s="53">
        <v>300</v>
      </c>
      <c r="BD322" s="53">
        <v>4400</v>
      </c>
      <c r="BE322" s="53">
        <v>500</v>
      </c>
      <c r="BF322" s="53">
        <v>1500</v>
      </c>
      <c r="BG322" s="53">
        <v>1500</v>
      </c>
      <c r="BH322" s="53">
        <v>3500</v>
      </c>
      <c r="BI322" s="53">
        <v>1700</v>
      </c>
      <c r="BJ322" s="53">
        <v>6000</v>
      </c>
      <c r="BK322" s="53">
        <v>3000</v>
      </c>
      <c r="BL322" s="53">
        <v>7800</v>
      </c>
      <c r="BM322" s="53">
        <v>1850</v>
      </c>
      <c r="BN322" s="53">
        <v>5000</v>
      </c>
      <c r="BO322" s="53">
        <v>4000</v>
      </c>
      <c r="BP322" s="53">
        <v>2550</v>
      </c>
      <c r="BQ322" s="53">
        <v>4500</v>
      </c>
      <c r="BR322" s="53">
        <v>7000</v>
      </c>
      <c r="BS322" s="53">
        <v>1500</v>
      </c>
      <c r="BT322" s="53">
        <v>3500</v>
      </c>
      <c r="BU322" s="53">
        <v>1500</v>
      </c>
      <c r="BV322" s="53">
        <v>1500</v>
      </c>
      <c r="BW322" s="53">
        <v>3500</v>
      </c>
      <c r="BX322" s="53">
        <v>5500</v>
      </c>
      <c r="BY322" s="53">
        <v>7500</v>
      </c>
      <c r="BZ322" s="53">
        <v>1500</v>
      </c>
      <c r="CA322" s="53">
        <v>600</v>
      </c>
      <c r="CB322" s="53">
        <v>3000</v>
      </c>
      <c r="CC322" s="53">
        <v>2000</v>
      </c>
      <c r="CD322" s="53">
        <v>7500</v>
      </c>
      <c r="CE322" s="53">
        <v>7500</v>
      </c>
      <c r="CF322" s="53">
        <v>7500</v>
      </c>
      <c r="CG322" s="53">
        <v>7500</v>
      </c>
      <c r="CH322" s="53">
        <v>15000</v>
      </c>
      <c r="CI322" s="53">
        <v>15000</v>
      </c>
      <c r="CJ322" s="53">
        <v>15000</v>
      </c>
      <c r="CK322" s="53">
        <v>15000</v>
      </c>
      <c r="CL322" s="53">
        <v>35000</v>
      </c>
      <c r="CM322" s="53">
        <v>35000</v>
      </c>
      <c r="CN322" s="206"/>
      <c r="CO322" s="206"/>
      <c r="CP322" s="206"/>
      <c r="CQ322" s="8">
        <f t="shared" si="147"/>
        <v>300</v>
      </c>
      <c r="CR322" s="8">
        <f t="shared" si="148"/>
        <v>35000</v>
      </c>
      <c r="CS322" s="8">
        <f t="shared" si="149"/>
        <v>6490.536231884058</v>
      </c>
      <c r="CT322">
        <f t="shared" si="150"/>
        <v>4167.6453826037459</v>
      </c>
      <c r="CU322" s="143">
        <f t="shared" si="151"/>
        <v>4328.6000000000004</v>
      </c>
      <c r="CV322" s="143">
        <f t="shared" si="152"/>
        <v>6418.333333333333</v>
      </c>
      <c r="CX322" s="7">
        <f t="shared" si="153"/>
        <v>540</v>
      </c>
      <c r="CY322" s="7">
        <f t="shared" si="154"/>
        <v>1500</v>
      </c>
      <c r="CZ322" s="7">
        <f t="shared" si="155"/>
        <v>1686.4</v>
      </c>
      <c r="DA322" s="7">
        <f t="shared" si="156"/>
        <v>2550</v>
      </c>
      <c r="DB322" s="7">
        <f t="shared" si="157"/>
        <v>4500</v>
      </c>
      <c r="DC322" s="7">
        <f t="shared" si="158"/>
        <v>5899.9999999999982</v>
      </c>
      <c r="DD322" s="7">
        <f t="shared" si="159"/>
        <v>6559.8000000000011</v>
      </c>
      <c r="DE322" s="7">
        <f t="shared" si="160"/>
        <v>7500</v>
      </c>
      <c r="DF322" s="7">
        <f t="shared" si="161"/>
        <v>11096.599999999999</v>
      </c>
      <c r="DH322" s="7">
        <f t="shared" si="162"/>
        <v>2003.75</v>
      </c>
      <c r="DI322" s="7">
        <f t="shared" si="163"/>
        <v>3849.85</v>
      </c>
      <c r="DJ322" s="7">
        <f t="shared" si="164"/>
        <v>3945.6</v>
      </c>
      <c r="DK322" s="7">
        <f t="shared" si="165"/>
        <v>3954.75</v>
      </c>
      <c r="DL322" s="7">
        <f t="shared" si="166"/>
        <v>5742.5</v>
      </c>
      <c r="DM322" s="7">
        <f t="shared" si="167"/>
        <v>6559.8</v>
      </c>
      <c r="DN322" s="7">
        <f t="shared" si="168"/>
        <v>6869.95</v>
      </c>
      <c r="DO322" s="7">
        <f t="shared" si="169"/>
        <v>8505.5</v>
      </c>
      <c r="DP322" s="7">
        <f t="shared" si="170"/>
        <v>11171.9</v>
      </c>
    </row>
    <row r="323" spans="1:130" ht="25.5" hidden="1" customHeight="1" x14ac:dyDescent="0.25">
      <c r="A323" s="92" t="str">
        <f t="shared" si="181"/>
        <v>CO-CLAY [18]</v>
      </c>
      <c r="B323" s="92" t="str">
        <f t="shared" si="182"/>
        <v>Clayoquot</v>
      </c>
      <c r="C323" s="93" t="str">
        <f t="shared" si="144"/>
        <v>TRANQUIL CREEK_Coho</v>
      </c>
      <c r="D323" s="128" t="s">
        <v>598</v>
      </c>
      <c r="E323" s="128" t="s">
        <v>598</v>
      </c>
      <c r="F323" s="64">
        <v>24</v>
      </c>
      <c r="G323" s="197" t="s">
        <v>183</v>
      </c>
      <c r="H323" s="65" t="s">
        <v>93</v>
      </c>
      <c r="I323" s="119"/>
      <c r="J323" s="119"/>
      <c r="K323" s="64">
        <v>1</v>
      </c>
      <c r="L323" s="52">
        <v>11</v>
      </c>
      <c r="M323" s="52">
        <v>11</v>
      </c>
      <c r="N323" s="52">
        <f t="shared" si="183"/>
        <v>477.66432157906405</v>
      </c>
      <c r="O323" s="52">
        <f t="shared" si="184"/>
        <v>3500</v>
      </c>
      <c r="P323" s="52">
        <f t="shared" si="185"/>
        <v>317.21143145112575</v>
      </c>
      <c r="Q323" s="66" t="s">
        <v>272</v>
      </c>
      <c r="R323" s="37"/>
      <c r="S323" s="74" t="s">
        <v>6</v>
      </c>
      <c r="T323" s="81">
        <f t="shared" si="145"/>
        <v>682.75</v>
      </c>
      <c r="U323" s="81">
        <f t="shared" si="146"/>
        <v>833.91666666666663</v>
      </c>
      <c r="V323" s="228">
        <v>509</v>
      </c>
      <c r="W323" s="52">
        <v>1131</v>
      </c>
      <c r="X323" s="52">
        <v>519</v>
      </c>
      <c r="Y323" s="52">
        <v>572</v>
      </c>
      <c r="Z323" s="52">
        <v>506</v>
      </c>
      <c r="AA323" s="52">
        <v>451</v>
      </c>
      <c r="AB323" s="52">
        <v>1520</v>
      </c>
      <c r="AC323" s="52">
        <v>660</v>
      </c>
      <c r="AD323" s="53">
        <v>1180</v>
      </c>
      <c r="AE323" s="144">
        <v>1304</v>
      </c>
      <c r="AF323" s="144">
        <v>671</v>
      </c>
      <c r="AG323" s="144">
        <v>984</v>
      </c>
      <c r="AH323" s="53">
        <v>955</v>
      </c>
      <c r="AI323" s="53">
        <v>1210</v>
      </c>
      <c r="AJ323" s="53">
        <v>427</v>
      </c>
      <c r="AK323" s="52">
        <v>250</v>
      </c>
      <c r="AL323" s="89">
        <v>381</v>
      </c>
      <c r="AM323" s="52">
        <v>543</v>
      </c>
      <c r="AN323" s="53">
        <v>800</v>
      </c>
      <c r="AO323" s="53">
        <v>1114</v>
      </c>
      <c r="AP323" s="53">
        <v>786</v>
      </c>
      <c r="AQ323" s="53">
        <v>978</v>
      </c>
      <c r="AR323" s="123">
        <v>985</v>
      </c>
      <c r="AS323" s="52">
        <v>450</v>
      </c>
      <c r="AT323" s="52">
        <v>800</v>
      </c>
      <c r="AU323" s="52">
        <v>240</v>
      </c>
      <c r="AV323" s="52">
        <v>125</v>
      </c>
      <c r="AW323" s="52">
        <v>200</v>
      </c>
      <c r="AX323" s="51">
        <v>200</v>
      </c>
      <c r="AY323" s="53">
        <v>70</v>
      </c>
      <c r="AZ323" s="53" t="s">
        <v>264</v>
      </c>
      <c r="BA323" s="53">
        <v>70</v>
      </c>
      <c r="BB323" s="53">
        <v>90</v>
      </c>
      <c r="BC323" s="53">
        <v>5</v>
      </c>
      <c r="BD323" s="53">
        <v>55</v>
      </c>
      <c r="BE323" s="53">
        <v>350</v>
      </c>
      <c r="BF323" s="53">
        <v>110</v>
      </c>
      <c r="BG323" s="53">
        <v>130</v>
      </c>
      <c r="BH323" s="53" t="s">
        <v>264</v>
      </c>
      <c r="BI323" s="53" t="s">
        <v>264</v>
      </c>
      <c r="BJ323" s="53">
        <v>150</v>
      </c>
      <c r="BK323" s="53">
        <v>75</v>
      </c>
      <c r="BL323" s="53">
        <v>25</v>
      </c>
      <c r="BM323" s="53">
        <v>10</v>
      </c>
      <c r="BN323" s="53">
        <v>100</v>
      </c>
      <c r="BO323" s="53">
        <v>200</v>
      </c>
      <c r="BP323" s="53">
        <v>225</v>
      </c>
      <c r="BQ323" s="53">
        <v>75</v>
      </c>
      <c r="BR323" s="53">
        <v>200</v>
      </c>
      <c r="BS323" s="53">
        <v>75</v>
      </c>
      <c r="BT323" s="53">
        <v>400</v>
      </c>
      <c r="BU323" s="53">
        <v>200</v>
      </c>
      <c r="BV323" s="53">
        <v>400</v>
      </c>
      <c r="BW323" s="53">
        <v>75</v>
      </c>
      <c r="BX323" s="53">
        <v>200</v>
      </c>
      <c r="BY323" s="53">
        <v>400</v>
      </c>
      <c r="BZ323" s="53">
        <v>750</v>
      </c>
      <c r="CA323" s="53">
        <v>200</v>
      </c>
      <c r="CB323" s="53">
        <v>2000</v>
      </c>
      <c r="CC323" s="53">
        <v>250</v>
      </c>
      <c r="CD323" s="53">
        <v>3500</v>
      </c>
      <c r="CE323" s="53">
        <v>3500</v>
      </c>
      <c r="CF323" s="53">
        <v>750</v>
      </c>
      <c r="CG323" s="53">
        <v>3500</v>
      </c>
      <c r="CH323" s="53">
        <v>3500</v>
      </c>
      <c r="CI323" s="53">
        <v>3500</v>
      </c>
      <c r="CJ323" s="53">
        <v>3500</v>
      </c>
      <c r="CK323" s="53">
        <v>1500</v>
      </c>
      <c r="CL323" s="53">
        <v>1500</v>
      </c>
      <c r="CM323" s="53">
        <v>1500</v>
      </c>
      <c r="CN323" s="206"/>
      <c r="CO323" s="206"/>
      <c r="CP323" s="206"/>
      <c r="CQ323" s="8">
        <f t="shared" si="147"/>
        <v>5</v>
      </c>
      <c r="CR323" s="8">
        <f t="shared" si="148"/>
        <v>3500</v>
      </c>
      <c r="CS323" s="8">
        <f t="shared" si="149"/>
        <v>799.8656716417911</v>
      </c>
      <c r="CT323">
        <f t="shared" si="150"/>
        <v>385.10246885993649</v>
      </c>
      <c r="CU323" s="143">
        <f t="shared" si="151"/>
        <v>647.4</v>
      </c>
      <c r="CV323" s="143">
        <f t="shared" si="152"/>
        <v>833.91666666666663</v>
      </c>
      <c r="CX323" s="7">
        <f t="shared" si="153"/>
        <v>59.500000000000014</v>
      </c>
      <c r="CY323" s="7">
        <f t="shared" si="154"/>
        <v>88.5</v>
      </c>
      <c r="CZ323" s="7">
        <f t="shared" si="155"/>
        <v>126</v>
      </c>
      <c r="DA323" s="7">
        <f t="shared" si="156"/>
        <v>200</v>
      </c>
      <c r="DB323" s="7">
        <f t="shared" si="157"/>
        <v>450</v>
      </c>
      <c r="DC323" s="7">
        <f t="shared" si="158"/>
        <v>624.80000000000018</v>
      </c>
      <c r="DD323" s="7">
        <f t="shared" si="159"/>
        <v>750</v>
      </c>
      <c r="DE323" s="7">
        <f t="shared" si="160"/>
        <v>984.5</v>
      </c>
      <c r="DF323" s="7">
        <f t="shared" si="161"/>
        <v>1500</v>
      </c>
      <c r="DH323" s="7">
        <f t="shared" si="162"/>
        <v>214</v>
      </c>
      <c r="DI323" s="7">
        <f t="shared" si="163"/>
        <v>383.3</v>
      </c>
      <c r="DJ323" s="7">
        <f t="shared" si="164"/>
        <v>436.2</v>
      </c>
      <c r="DK323" s="7">
        <f t="shared" si="165"/>
        <v>450.75</v>
      </c>
      <c r="DL323" s="7">
        <f t="shared" si="166"/>
        <v>665.5</v>
      </c>
      <c r="DM323" s="7">
        <f t="shared" si="167"/>
        <v>800</v>
      </c>
      <c r="DN323" s="7">
        <f t="shared" si="168"/>
        <v>885.25000000000011</v>
      </c>
      <c r="DO323" s="7">
        <f t="shared" si="169"/>
        <v>984.25</v>
      </c>
      <c r="DP323" s="7">
        <f t="shared" si="170"/>
        <v>1130.1500000000001</v>
      </c>
    </row>
    <row r="324" spans="1:130" ht="25.5" hidden="1" customHeight="1" x14ac:dyDescent="0.25">
      <c r="A324" s="92" t="str">
        <f t="shared" si="181"/>
        <v>SK-WVI [R10]</v>
      </c>
      <c r="B324" s="92" t="str">
        <f t="shared" si="182"/>
        <v>West Vancouver Island</v>
      </c>
      <c r="C324" s="93" t="str">
        <f t="shared" si="144"/>
        <v>TRANQUIL CREEK_Sockeye</v>
      </c>
      <c r="D324" s="128" t="s">
        <v>598</v>
      </c>
      <c r="E324" s="128" t="s">
        <v>598</v>
      </c>
      <c r="F324" s="64">
        <v>24</v>
      </c>
      <c r="G324" s="197" t="s">
        <v>183</v>
      </c>
      <c r="H324" s="65" t="s">
        <v>91</v>
      </c>
      <c r="I324" s="119"/>
      <c r="J324" s="119"/>
      <c r="K324" s="64">
        <v>1</v>
      </c>
      <c r="L324" s="52">
        <v>11</v>
      </c>
      <c r="M324" s="52">
        <v>9</v>
      </c>
      <c r="N324" s="52">
        <f t="shared" si="183"/>
        <v>19.277725461816122</v>
      </c>
      <c r="O324" s="52">
        <f t="shared" si="184"/>
        <v>150</v>
      </c>
      <c r="P324" s="52">
        <f t="shared" si="185"/>
        <v>11.675171334624395</v>
      </c>
      <c r="Q324" s="66" t="s">
        <v>272</v>
      </c>
      <c r="R324" s="37"/>
      <c r="S324" s="74" t="s">
        <v>391</v>
      </c>
      <c r="T324" s="81">
        <f t="shared" si="145"/>
        <v>29.25</v>
      </c>
      <c r="U324" s="81">
        <f t="shared" si="146"/>
        <v>276.66666666666669</v>
      </c>
      <c r="V324" s="228">
        <v>23</v>
      </c>
      <c r="W324" s="52">
        <v>47</v>
      </c>
      <c r="X324" s="52">
        <v>25</v>
      </c>
      <c r="Y324" s="52">
        <v>22</v>
      </c>
      <c r="Z324" s="52">
        <v>31</v>
      </c>
      <c r="AA324" s="52">
        <v>57</v>
      </c>
      <c r="AB324" s="52">
        <v>295</v>
      </c>
      <c r="AC324" s="52">
        <v>2455</v>
      </c>
      <c r="AD324" s="52">
        <v>273</v>
      </c>
      <c r="AE324" s="144">
        <v>40</v>
      </c>
      <c r="AF324" s="52">
        <v>37</v>
      </c>
      <c r="AG324" s="144">
        <v>15</v>
      </c>
      <c r="AH324" s="53">
        <v>122</v>
      </c>
      <c r="AI324" s="53" t="s">
        <v>263</v>
      </c>
      <c r="AJ324" s="53">
        <v>5</v>
      </c>
      <c r="AK324" s="52">
        <v>7</v>
      </c>
      <c r="AL324" s="89">
        <v>22</v>
      </c>
      <c r="AM324" s="52">
        <v>45</v>
      </c>
      <c r="AN324" s="53">
        <v>121</v>
      </c>
      <c r="AO324" s="53">
        <v>55</v>
      </c>
      <c r="AP324" s="53">
        <v>17</v>
      </c>
      <c r="AQ324" s="53">
        <v>4</v>
      </c>
      <c r="AR324" s="123">
        <v>4</v>
      </c>
      <c r="AS324" s="52" t="s">
        <v>262</v>
      </c>
      <c r="AT324" s="52">
        <v>70</v>
      </c>
      <c r="AU324" s="52">
        <v>150</v>
      </c>
      <c r="AV324" s="52">
        <v>4</v>
      </c>
      <c r="AW324" s="52" t="s">
        <v>262</v>
      </c>
      <c r="AX324" s="51">
        <v>2</v>
      </c>
      <c r="AY324" s="53">
        <v>30</v>
      </c>
      <c r="AZ324" s="53" t="s">
        <v>264</v>
      </c>
      <c r="BA324" s="53">
        <v>5</v>
      </c>
      <c r="BB324" s="53">
        <v>3</v>
      </c>
      <c r="BC324" s="53" t="s">
        <v>264</v>
      </c>
      <c r="BD324" s="53" t="s">
        <v>264</v>
      </c>
      <c r="BE324" s="53" t="s">
        <v>264</v>
      </c>
      <c r="BF324" s="53" t="s">
        <v>262</v>
      </c>
      <c r="BG324" s="53">
        <v>8</v>
      </c>
      <c r="BH324" s="53" t="s">
        <v>262</v>
      </c>
      <c r="BI324" s="53">
        <v>5</v>
      </c>
      <c r="BJ324" s="53" t="s">
        <v>264</v>
      </c>
      <c r="BK324" s="53" t="s">
        <v>264</v>
      </c>
      <c r="BL324" s="53" t="s">
        <v>264</v>
      </c>
      <c r="BM324" s="53" t="s">
        <v>264</v>
      </c>
      <c r="BN324" s="53">
        <v>2</v>
      </c>
      <c r="BO324" s="53" t="s">
        <v>264</v>
      </c>
      <c r="BP324" s="53" t="s">
        <v>264</v>
      </c>
      <c r="BQ324" s="53" t="s">
        <v>264</v>
      </c>
      <c r="BR324" s="53" t="s">
        <v>264</v>
      </c>
      <c r="BS324" s="53" t="s">
        <v>264</v>
      </c>
      <c r="BT324" s="53" t="s">
        <v>264</v>
      </c>
      <c r="BU324" s="53" t="s">
        <v>264</v>
      </c>
      <c r="BV324" s="53" t="s">
        <v>264</v>
      </c>
      <c r="BW324" s="53" t="s">
        <v>264</v>
      </c>
      <c r="BX324" s="53" t="s">
        <v>264</v>
      </c>
      <c r="BY324" s="53" t="s">
        <v>264</v>
      </c>
      <c r="BZ324" s="53" t="s">
        <v>264</v>
      </c>
      <c r="CA324" s="53" t="s">
        <v>264</v>
      </c>
      <c r="CB324" s="53" t="s">
        <v>264</v>
      </c>
      <c r="CC324" s="53" t="s">
        <v>264</v>
      </c>
      <c r="CD324" s="53" t="s">
        <v>264</v>
      </c>
      <c r="CE324" s="53" t="s">
        <v>264</v>
      </c>
      <c r="CF324" s="53" t="s">
        <v>264</v>
      </c>
      <c r="CG324" s="53" t="s">
        <v>264</v>
      </c>
      <c r="CH324" s="53" t="s">
        <v>264</v>
      </c>
      <c r="CI324" s="53" t="s">
        <v>264</v>
      </c>
      <c r="CJ324" s="53" t="s">
        <v>264</v>
      </c>
      <c r="CK324" s="53" t="s">
        <v>264</v>
      </c>
      <c r="CL324" s="53" t="s">
        <v>264</v>
      </c>
      <c r="CM324" s="53" t="s">
        <v>264</v>
      </c>
      <c r="CN324" s="209"/>
      <c r="CO324" s="209"/>
      <c r="CP324" s="209"/>
      <c r="CQ324" s="8">
        <f t="shared" si="147"/>
        <v>2</v>
      </c>
      <c r="CR324" s="8">
        <f t="shared" si="148"/>
        <v>2455</v>
      </c>
      <c r="CS324" s="8">
        <f t="shared" si="149"/>
        <v>125.03125</v>
      </c>
      <c r="CT324">
        <f t="shared" si="150"/>
        <v>23.761863485017297</v>
      </c>
      <c r="CU324" s="143">
        <f t="shared" si="151"/>
        <v>29.6</v>
      </c>
      <c r="CV324" s="143">
        <f t="shared" si="152"/>
        <v>276.66666666666669</v>
      </c>
      <c r="CX324" s="7">
        <f t="shared" si="153"/>
        <v>2.5499999999999998</v>
      </c>
      <c r="CY324" s="7">
        <f t="shared" si="154"/>
        <v>4</v>
      </c>
      <c r="CZ324" s="7">
        <f t="shared" si="155"/>
        <v>5</v>
      </c>
      <c r="DA324" s="7">
        <f t="shared" si="156"/>
        <v>5</v>
      </c>
      <c r="DB324" s="7">
        <f t="shared" si="157"/>
        <v>24</v>
      </c>
      <c r="DC324" s="7">
        <f t="shared" si="158"/>
        <v>34.599999999999987</v>
      </c>
      <c r="DD324" s="7">
        <f t="shared" si="159"/>
        <v>40.750000000000014</v>
      </c>
      <c r="DE324" s="7">
        <f t="shared" si="160"/>
        <v>55.5</v>
      </c>
      <c r="DF324" s="7">
        <f t="shared" si="161"/>
        <v>121.35</v>
      </c>
      <c r="DH324" s="7">
        <f t="shared" si="162"/>
        <v>4</v>
      </c>
      <c r="DI324" s="7">
        <f t="shared" si="163"/>
        <v>6.1999999999999993</v>
      </c>
      <c r="DJ324" s="7">
        <f t="shared" si="164"/>
        <v>13.400000000000006</v>
      </c>
      <c r="DK324" s="7">
        <f t="shared" si="165"/>
        <v>17</v>
      </c>
      <c r="DL324" s="7">
        <f t="shared" si="166"/>
        <v>37</v>
      </c>
      <c r="DM324" s="7">
        <f t="shared" si="167"/>
        <v>45.8</v>
      </c>
      <c r="DN324" s="7">
        <f t="shared" si="168"/>
        <v>51.800000000000011</v>
      </c>
      <c r="DO324" s="7">
        <f t="shared" si="169"/>
        <v>70</v>
      </c>
      <c r="DP324" s="7">
        <f t="shared" si="170"/>
        <v>133.19999999999996</v>
      </c>
      <c r="DR324" s="7">
        <f>_xlfn.PERCENTILE.INC((Y324:AH324,AJ324:AU324),0.05)</f>
        <v>4</v>
      </c>
      <c r="DS324" s="7">
        <f>_xlfn.PERCENTILE.INC((Y324:AH324,AJ324:AU324),0.15)</f>
        <v>7</v>
      </c>
      <c r="DT324" s="7">
        <f>_xlfn.PERCENTILE.INC((Y324:AH324,AJ324:AU324),0.2)</f>
        <v>15</v>
      </c>
      <c r="DU324" s="7">
        <f>_xlfn.PERCENTILE.INC((Y324:AH324,AJ324:AU324),0.25)</f>
        <v>17</v>
      </c>
      <c r="DV324" s="7">
        <f>_xlfn.PERCENTILE.INC((Y324:AH324,AJ324:AU324),0.5)</f>
        <v>40</v>
      </c>
      <c r="DW324" s="7">
        <f>_xlfn.PERCENTILE.INC((Y324:AH324,AJ324:AU324),0.6)</f>
        <v>55</v>
      </c>
      <c r="DX324" s="7">
        <f>_xlfn.PERCENTILE.INC((Y324:AH324,AJ324:AU324),0.65)</f>
        <v>57</v>
      </c>
      <c r="DY324" s="7">
        <f>_xlfn.PERCENTILE.INC((Y324:AH324,AJ324:AU324),0.75)</f>
        <v>121</v>
      </c>
      <c r="DZ324" s="7">
        <f>_xlfn.PERCENTILE.INC((Y324:AH324,AJ324:AU324),0.85)</f>
        <v>150</v>
      </c>
    </row>
    <row r="325" spans="1:130" ht="27" customHeight="1" x14ac:dyDescent="0.25">
      <c r="A325" s="92" t="str">
        <f t="shared" si="181"/>
        <v>CK-SWVI [31]</v>
      </c>
      <c r="B325" s="92" t="str">
        <f t="shared" si="182"/>
        <v>Southwest Vancouver Island</v>
      </c>
      <c r="C325" s="93" t="str">
        <f t="shared" ref="C325:C388" si="186">CONCATENATE(G325,"_",H325)</f>
        <v>WARN BAY CREEK_Chinook</v>
      </c>
      <c r="D325" s="128" t="s">
        <v>598</v>
      </c>
      <c r="E325" s="128" t="s">
        <v>598</v>
      </c>
      <c r="F325" s="64">
        <v>24</v>
      </c>
      <c r="G325" s="196" t="s">
        <v>184</v>
      </c>
      <c r="H325" s="65" t="s">
        <v>97</v>
      </c>
      <c r="I325" s="119"/>
      <c r="J325" s="119"/>
      <c r="K325" s="64">
        <v>4</v>
      </c>
      <c r="L325" s="52">
        <v>9</v>
      </c>
      <c r="M325" s="52">
        <v>5</v>
      </c>
      <c r="N325" s="52">
        <f t="shared" si="183"/>
        <v>6.9135924239888027</v>
      </c>
      <c r="O325" s="52">
        <f t="shared" si="184"/>
        <v>20</v>
      </c>
      <c r="P325" s="52">
        <f t="shared" si="185"/>
        <v>5.4376980101880275</v>
      </c>
      <c r="Q325" s="66"/>
      <c r="R325" s="39"/>
      <c r="S325" s="76" t="s">
        <v>390</v>
      </c>
      <c r="T325" s="81">
        <f t="shared" si="145"/>
        <v>7</v>
      </c>
      <c r="U325" s="81">
        <f t="shared" si="146"/>
        <v>22.375</v>
      </c>
      <c r="V325" s="231" t="s">
        <v>262</v>
      </c>
      <c r="W325" s="52" t="s">
        <v>262</v>
      </c>
      <c r="X325" s="52">
        <v>10</v>
      </c>
      <c r="Y325" s="52">
        <v>4</v>
      </c>
      <c r="Z325" s="52">
        <v>7</v>
      </c>
      <c r="AA325" s="52">
        <v>17</v>
      </c>
      <c r="AB325" s="52">
        <v>26</v>
      </c>
      <c r="AC325" s="52">
        <v>57</v>
      </c>
      <c r="AD325" s="52" t="s">
        <v>263</v>
      </c>
      <c r="AE325" s="144">
        <v>16</v>
      </c>
      <c r="AF325" s="52" t="s">
        <v>102</v>
      </c>
      <c r="AG325" s="144">
        <v>42</v>
      </c>
      <c r="AH325" s="53">
        <v>26</v>
      </c>
      <c r="AI325" s="53">
        <v>6</v>
      </c>
      <c r="AJ325" s="53">
        <v>3</v>
      </c>
      <c r="AK325" s="52">
        <v>13</v>
      </c>
      <c r="AL325" s="89" t="s">
        <v>262</v>
      </c>
      <c r="AM325" s="52" t="s">
        <v>102</v>
      </c>
      <c r="AN325" s="52">
        <v>7</v>
      </c>
      <c r="AO325" s="53">
        <v>20</v>
      </c>
      <c r="AP325" s="52" t="s">
        <v>262</v>
      </c>
      <c r="AQ325" s="52" t="s">
        <v>263</v>
      </c>
      <c r="AR325" s="53" t="s">
        <v>262</v>
      </c>
      <c r="AS325" s="54"/>
      <c r="AT325" s="52" t="s">
        <v>262</v>
      </c>
      <c r="AU325" s="53" t="s">
        <v>262</v>
      </c>
      <c r="AV325" s="52">
        <v>2</v>
      </c>
      <c r="AW325" s="52">
        <v>10</v>
      </c>
      <c r="AX325" s="51">
        <v>1</v>
      </c>
      <c r="AY325" s="53" t="s">
        <v>264</v>
      </c>
      <c r="AZ325" s="53" t="s">
        <v>264</v>
      </c>
      <c r="BA325" s="53" t="s">
        <v>264</v>
      </c>
      <c r="BB325" s="53" t="s">
        <v>264</v>
      </c>
      <c r="BC325" s="53" t="s">
        <v>264</v>
      </c>
      <c r="BD325" s="53" t="s">
        <v>264</v>
      </c>
      <c r="BE325" s="53" t="s">
        <v>264</v>
      </c>
      <c r="BF325" s="53" t="s">
        <v>264</v>
      </c>
      <c r="BG325" s="53" t="s">
        <v>264</v>
      </c>
      <c r="BH325" s="53" t="s">
        <v>262</v>
      </c>
      <c r="BI325" s="53">
        <v>7</v>
      </c>
      <c r="BJ325" s="53" t="s">
        <v>264</v>
      </c>
      <c r="BK325" s="53" t="s">
        <v>264</v>
      </c>
      <c r="BL325" s="53" t="s">
        <v>264</v>
      </c>
      <c r="BM325" s="53" t="s">
        <v>264</v>
      </c>
      <c r="BN325" s="53" t="s">
        <v>264</v>
      </c>
      <c r="BO325" s="53" t="s">
        <v>264</v>
      </c>
      <c r="BP325" s="53" t="s">
        <v>264</v>
      </c>
      <c r="BQ325" s="53" t="s">
        <v>264</v>
      </c>
      <c r="BR325" s="53" t="s">
        <v>264</v>
      </c>
      <c r="BS325" s="53" t="s">
        <v>264</v>
      </c>
      <c r="BT325" s="53" t="s">
        <v>264</v>
      </c>
      <c r="BU325" s="53" t="s">
        <v>264</v>
      </c>
      <c r="BV325" s="53" t="s">
        <v>264</v>
      </c>
      <c r="BW325" s="53" t="s">
        <v>264</v>
      </c>
      <c r="BX325" s="53" t="s">
        <v>264</v>
      </c>
      <c r="BY325" s="53" t="s">
        <v>264</v>
      </c>
      <c r="BZ325" s="53" t="s">
        <v>264</v>
      </c>
      <c r="CA325" s="53" t="s">
        <v>264</v>
      </c>
      <c r="CB325" s="53" t="s">
        <v>264</v>
      </c>
      <c r="CC325" s="53" t="s">
        <v>264</v>
      </c>
      <c r="CD325" s="53" t="s">
        <v>264</v>
      </c>
      <c r="CE325" s="53" t="s">
        <v>264</v>
      </c>
      <c r="CF325" s="53" t="s">
        <v>264</v>
      </c>
      <c r="CG325" s="53" t="s">
        <v>264</v>
      </c>
      <c r="CH325" s="53" t="s">
        <v>264</v>
      </c>
      <c r="CI325" s="53" t="s">
        <v>264</v>
      </c>
      <c r="CJ325" s="53" t="s">
        <v>264</v>
      </c>
      <c r="CK325" s="53" t="s">
        <v>264</v>
      </c>
      <c r="CL325" s="53" t="s">
        <v>264</v>
      </c>
      <c r="CM325" s="53" t="s">
        <v>264</v>
      </c>
      <c r="CN325" s="206"/>
      <c r="CO325" s="206"/>
      <c r="CP325" s="206"/>
      <c r="CQ325" s="8">
        <f t="shared" si="147"/>
        <v>1</v>
      </c>
      <c r="CR325" s="8">
        <f t="shared" si="148"/>
        <v>57</v>
      </c>
      <c r="CS325" s="8">
        <f t="shared" si="149"/>
        <v>15.222222222222221</v>
      </c>
      <c r="CT325">
        <f t="shared" si="150"/>
        <v>9.6880686126440345</v>
      </c>
      <c r="CU325" s="143">
        <f t="shared" si="151"/>
        <v>7</v>
      </c>
      <c r="CV325" s="143">
        <f t="shared" si="152"/>
        <v>22.375</v>
      </c>
      <c r="CX325" s="7">
        <f t="shared" si="153"/>
        <v>1.85</v>
      </c>
      <c r="CY325" s="7">
        <f t="shared" si="154"/>
        <v>3.55</v>
      </c>
      <c r="CZ325" s="7">
        <f t="shared" si="155"/>
        <v>4.8000000000000007</v>
      </c>
      <c r="DA325" s="7">
        <f t="shared" si="156"/>
        <v>6.25</v>
      </c>
      <c r="DB325" s="7">
        <f t="shared" si="157"/>
        <v>10</v>
      </c>
      <c r="DC325" s="7">
        <f t="shared" si="158"/>
        <v>13.599999999999998</v>
      </c>
      <c r="DD325" s="7">
        <f t="shared" si="159"/>
        <v>16.05</v>
      </c>
      <c r="DE325" s="7">
        <f t="shared" si="160"/>
        <v>19.25</v>
      </c>
      <c r="DF325" s="7">
        <f t="shared" si="161"/>
        <v>26</v>
      </c>
      <c r="DH325" s="7">
        <f t="shared" si="162"/>
        <v>2.75</v>
      </c>
      <c r="DI325" s="7">
        <f t="shared" si="163"/>
        <v>4.5</v>
      </c>
      <c r="DJ325" s="7">
        <f t="shared" si="164"/>
        <v>6</v>
      </c>
      <c r="DK325" s="7">
        <f t="shared" si="165"/>
        <v>6.75</v>
      </c>
      <c r="DL325" s="7">
        <f t="shared" si="166"/>
        <v>11.5</v>
      </c>
      <c r="DM325" s="7">
        <f t="shared" si="167"/>
        <v>16</v>
      </c>
      <c r="DN325" s="7">
        <f t="shared" si="168"/>
        <v>16.75</v>
      </c>
      <c r="DO325" s="7">
        <f t="shared" si="169"/>
        <v>21.5</v>
      </c>
      <c r="DP325" s="7">
        <f t="shared" si="170"/>
        <v>26</v>
      </c>
    </row>
    <row r="326" spans="1:130" ht="27" hidden="1" customHeight="1" x14ac:dyDescent="0.25">
      <c r="A326" s="92" t="str">
        <f t="shared" si="181"/>
        <v>CM-SWVI [10]</v>
      </c>
      <c r="B326" s="92" t="str">
        <f t="shared" si="182"/>
        <v>Southwest Vancouver Island</v>
      </c>
      <c r="C326" s="93" t="str">
        <f t="shared" si="186"/>
        <v>WARN BAY CREEK_Chum</v>
      </c>
      <c r="D326" s="128" t="s">
        <v>598</v>
      </c>
      <c r="E326" s="128" t="s">
        <v>598</v>
      </c>
      <c r="F326" s="64">
        <v>24</v>
      </c>
      <c r="G326" s="196" t="s">
        <v>184</v>
      </c>
      <c r="H326" s="65" t="s">
        <v>96</v>
      </c>
      <c r="I326" s="119"/>
      <c r="J326" s="119"/>
      <c r="K326" s="64">
        <v>4</v>
      </c>
      <c r="L326" s="52">
        <v>9</v>
      </c>
      <c r="M326" s="52">
        <v>9</v>
      </c>
      <c r="N326" s="52">
        <f t="shared" si="183"/>
        <v>5579.5706897893724</v>
      </c>
      <c r="O326" s="52">
        <f t="shared" si="184"/>
        <v>24867</v>
      </c>
      <c r="P326" s="52">
        <f t="shared" si="185"/>
        <v>2614.3931354860615</v>
      </c>
      <c r="Q326" s="66"/>
      <c r="R326" s="39"/>
      <c r="S326" s="76" t="s">
        <v>390</v>
      </c>
      <c r="T326" s="81">
        <f t="shared" ref="T326:T389" si="187">AVERAGE(V326:Y326)</f>
        <v>294.5</v>
      </c>
      <c r="U326" s="81">
        <f t="shared" ref="U326:U389" si="188">AVERAGE(V326:AG326)</f>
        <v>1276.5454545454545</v>
      </c>
      <c r="V326" s="228">
        <v>162</v>
      </c>
      <c r="W326" s="52">
        <v>372</v>
      </c>
      <c r="X326" s="52">
        <v>467</v>
      </c>
      <c r="Y326" s="52">
        <v>177</v>
      </c>
      <c r="Z326" s="52">
        <v>13</v>
      </c>
      <c r="AA326" s="52">
        <v>2424</v>
      </c>
      <c r="AB326" s="52">
        <v>4082</v>
      </c>
      <c r="AC326" s="52">
        <v>418</v>
      </c>
      <c r="AD326" s="53">
        <v>1288</v>
      </c>
      <c r="AE326" s="144">
        <v>196</v>
      </c>
      <c r="AF326" s="52" t="s">
        <v>102</v>
      </c>
      <c r="AG326" s="144">
        <v>4443</v>
      </c>
      <c r="AH326" s="53">
        <v>1400</v>
      </c>
      <c r="AI326" s="53">
        <v>2075</v>
      </c>
      <c r="AJ326" s="53">
        <v>197</v>
      </c>
      <c r="AK326" s="52">
        <v>2542</v>
      </c>
      <c r="AL326" s="89">
        <v>8546</v>
      </c>
      <c r="AM326" s="52" t="s">
        <v>102</v>
      </c>
      <c r="AN326" s="52">
        <v>12654</v>
      </c>
      <c r="AO326" s="53">
        <v>9414</v>
      </c>
      <c r="AP326" s="52">
        <v>24867</v>
      </c>
      <c r="AQ326" s="53">
        <v>16000</v>
      </c>
      <c r="AR326" s="53">
        <v>5000</v>
      </c>
      <c r="AS326" s="54"/>
      <c r="AT326" s="52" t="s">
        <v>263</v>
      </c>
      <c r="AU326" s="52">
        <v>7500</v>
      </c>
      <c r="AV326" s="52">
        <v>6500</v>
      </c>
      <c r="AW326" s="52">
        <v>3300</v>
      </c>
      <c r="AX326" s="51">
        <v>7000</v>
      </c>
      <c r="AY326" s="53">
        <v>6000</v>
      </c>
      <c r="AZ326" s="53" t="s">
        <v>264</v>
      </c>
      <c r="BA326" s="53">
        <v>1800</v>
      </c>
      <c r="BB326" s="53">
        <v>1250</v>
      </c>
      <c r="BC326" s="53">
        <v>500</v>
      </c>
      <c r="BD326" s="53">
        <v>2500</v>
      </c>
      <c r="BE326" s="53">
        <v>4500</v>
      </c>
      <c r="BF326" s="53">
        <v>5000</v>
      </c>
      <c r="BG326" s="53">
        <v>6000</v>
      </c>
      <c r="BH326" s="53">
        <v>5500</v>
      </c>
      <c r="BI326" s="53">
        <v>2000</v>
      </c>
      <c r="BJ326" s="53">
        <v>4000</v>
      </c>
      <c r="BK326" s="53">
        <v>750</v>
      </c>
      <c r="BL326" s="53">
        <v>7650</v>
      </c>
      <c r="BM326" s="53">
        <v>1800</v>
      </c>
      <c r="BN326" s="53">
        <v>5000</v>
      </c>
      <c r="BO326" s="53">
        <v>2000</v>
      </c>
      <c r="BP326" s="53">
        <v>1300</v>
      </c>
      <c r="BQ326" s="53">
        <v>2500</v>
      </c>
      <c r="BR326" s="53">
        <v>4500</v>
      </c>
      <c r="BS326" s="53">
        <v>3500</v>
      </c>
      <c r="BT326" s="53">
        <v>3500</v>
      </c>
      <c r="BU326" s="53">
        <v>750</v>
      </c>
      <c r="BV326" s="53">
        <v>3500</v>
      </c>
      <c r="BW326" s="53">
        <v>1500</v>
      </c>
      <c r="BX326" s="53">
        <v>2500</v>
      </c>
      <c r="BY326" s="53">
        <v>1500</v>
      </c>
      <c r="BZ326" s="53">
        <v>1500</v>
      </c>
      <c r="CA326" s="53">
        <v>400</v>
      </c>
      <c r="CB326" s="53">
        <v>3000</v>
      </c>
      <c r="CC326" s="53">
        <v>1000</v>
      </c>
      <c r="CD326" s="53">
        <v>1500</v>
      </c>
      <c r="CE326" s="53">
        <v>400</v>
      </c>
      <c r="CF326" s="53">
        <v>3500</v>
      </c>
      <c r="CG326" s="53">
        <v>1500</v>
      </c>
      <c r="CH326" s="53">
        <v>1500</v>
      </c>
      <c r="CI326" s="53">
        <v>1500</v>
      </c>
      <c r="CJ326" s="53">
        <v>1500</v>
      </c>
      <c r="CK326" s="53">
        <v>750</v>
      </c>
      <c r="CL326" s="53">
        <v>7500</v>
      </c>
      <c r="CM326" s="53">
        <v>1500</v>
      </c>
      <c r="CN326" s="206"/>
      <c r="CO326" s="206"/>
      <c r="CP326" s="206"/>
      <c r="CQ326" s="8">
        <f t="shared" ref="CQ326:CQ389" si="189">MIN(V326:CM326)</f>
        <v>13</v>
      </c>
      <c r="CR326" s="8">
        <f t="shared" ref="CR326:CR389" si="190">MAX(V326:CM326)</f>
        <v>24867</v>
      </c>
      <c r="CS326" s="8">
        <f t="shared" ref="CS326:CS389" si="191">AVERAGE(V326:CM326)</f>
        <v>3529.0307692307692</v>
      </c>
      <c r="CT326">
        <f t="shared" ref="CT326:CT389" si="192">GEOMEAN(V326:CM326)</f>
        <v>1935.6781258467356</v>
      </c>
      <c r="CU326" s="143">
        <f t="shared" ref="CU326:CU389" si="193">AVERAGE(V326:Z326)</f>
        <v>238.2</v>
      </c>
      <c r="CV326" s="143">
        <f t="shared" ref="CV326:CV389" si="194">AVERAGE(V326:AG326)</f>
        <v>1276.5454545454545</v>
      </c>
      <c r="CX326" s="7">
        <f t="shared" ref="CX326:CX389" si="195">_xlfn.PERCENTILE.INC(V326:CM326,0.05)</f>
        <v>196.2</v>
      </c>
      <c r="CY326" s="7">
        <f t="shared" ref="CY326:CY389" si="196">_xlfn.PERCENTILE.INC(V326:CM326,0.15)</f>
        <v>486.8</v>
      </c>
      <c r="CZ326" s="7">
        <f t="shared" ref="CZ326:CZ389" si="197">_xlfn.PERCENTILE.INC(V326:CM326,0.2)</f>
        <v>750</v>
      </c>
      <c r="DA326" s="7">
        <f t="shared" ref="DA326:DA389" si="198">_xlfn.PERCENTILE.INC(V326:CM326,0.25)</f>
        <v>1288</v>
      </c>
      <c r="DB326" s="7">
        <f t="shared" ref="DB326:DB389" si="199">_xlfn.PERCENTILE.INC(V326:CM326,0.5)</f>
        <v>2075</v>
      </c>
      <c r="DC326" s="7">
        <f t="shared" ref="DC326:DC389" si="200">_xlfn.PERCENTILE.INC(V326:CM326,0.6)</f>
        <v>3119.9999999999995</v>
      </c>
      <c r="DD326" s="7">
        <f t="shared" ref="DD326:DD389" si="201">_xlfn.PERCENTILE.INC(V326:CM326,0.65)</f>
        <v>3500</v>
      </c>
      <c r="DE326" s="7">
        <f t="shared" ref="DE326:DE389" si="202">_xlfn.PERCENTILE.INC(V326:CM326,0.75)</f>
        <v>4500</v>
      </c>
      <c r="DF326" s="7">
        <f t="shared" ref="DF326:DF389" si="203">_xlfn.PERCENTILE.INC(V326:CM326,0.85)</f>
        <v>6199.9999999999991</v>
      </c>
      <c r="DH326" s="7">
        <f t="shared" ref="DH326:DH389" si="204">_xlfn.PERCENTILE.INC(V326:AW326,0.05)</f>
        <v>164.25</v>
      </c>
      <c r="DI326" s="7">
        <f t="shared" ref="DI326:DI389" si="205">_xlfn.PERCENTILE.INC(V326:AW326,0.15)</f>
        <v>196.45</v>
      </c>
      <c r="DJ326" s="7">
        <f t="shared" ref="DJ326:DJ389" si="206">_xlfn.PERCENTILE.INC(V326:AW326,0.2)</f>
        <v>302.00000000000011</v>
      </c>
      <c r="DK326" s="7">
        <f t="shared" ref="DK326:DK389" si="207">_xlfn.PERCENTILE.INC(V326:AW326,0.25)</f>
        <v>406.5</v>
      </c>
      <c r="DL326" s="7">
        <f t="shared" ref="DL326:DL389" si="208">_xlfn.PERCENTILE.INC(V326:AW326,0.5)</f>
        <v>2483</v>
      </c>
      <c r="DM326" s="7">
        <f t="shared" ref="DM326:DM389" si="209">_xlfn.PERCENTILE.INC(V326:AW326,0.6)</f>
        <v>3925.599999999999</v>
      </c>
      <c r="DN326" s="7">
        <f t="shared" ref="DN326:DN389" si="210">_xlfn.PERCENTILE.INC(V326:AW326,0.65)</f>
        <v>4424.9500000000007</v>
      </c>
      <c r="DO326" s="7">
        <f t="shared" ref="DO326:DO389" si="211">_xlfn.PERCENTILE.INC(V326:AW326,0.75)</f>
        <v>6750</v>
      </c>
      <c r="DP326" s="7">
        <f t="shared" ref="DP326:DP389" si="212">_xlfn.PERCENTILE.INC(V326:AW326,0.85)</f>
        <v>9023.4000000000015</v>
      </c>
    </row>
    <row r="327" spans="1:130" ht="27" hidden="1" customHeight="1" x14ac:dyDescent="0.25">
      <c r="A327" s="92" t="str">
        <f t="shared" si="181"/>
        <v>CO-CLAY [18]</v>
      </c>
      <c r="B327" s="92" t="str">
        <f t="shared" si="182"/>
        <v>Clayoquot</v>
      </c>
      <c r="C327" s="93" t="str">
        <f t="shared" si="186"/>
        <v>WARN BAY CREEK_Coho</v>
      </c>
      <c r="D327" s="128" t="s">
        <v>598</v>
      </c>
      <c r="E327" s="128" t="s">
        <v>598</v>
      </c>
      <c r="F327" s="64">
        <v>24</v>
      </c>
      <c r="G327" s="196" t="s">
        <v>184</v>
      </c>
      <c r="H327" s="65" t="s">
        <v>93</v>
      </c>
      <c r="I327" s="119"/>
      <c r="J327" s="119"/>
      <c r="K327" s="64">
        <v>4</v>
      </c>
      <c r="L327" s="52">
        <v>9</v>
      </c>
      <c r="M327" s="52">
        <v>5</v>
      </c>
      <c r="N327" s="52">
        <f t="shared" si="183"/>
        <v>35.394279909029294</v>
      </c>
      <c r="O327" s="52">
        <f t="shared" si="184"/>
        <v>1500</v>
      </c>
      <c r="P327" s="52">
        <f t="shared" si="185"/>
        <v>64.429553005524767</v>
      </c>
      <c r="Q327" s="66"/>
      <c r="R327" s="39"/>
      <c r="S327" s="76" t="s">
        <v>390</v>
      </c>
      <c r="T327" s="81">
        <f t="shared" si="187"/>
        <v>28.25</v>
      </c>
      <c r="U327" s="81">
        <f t="shared" si="188"/>
        <v>46.81818181818182</v>
      </c>
      <c r="V327" s="228">
        <v>13</v>
      </c>
      <c r="W327" s="52">
        <v>58</v>
      </c>
      <c r="X327" s="52">
        <v>33</v>
      </c>
      <c r="Y327" s="52">
        <v>9</v>
      </c>
      <c r="Z327" s="52">
        <v>34</v>
      </c>
      <c r="AA327" s="52">
        <v>41</v>
      </c>
      <c r="AB327" s="52">
        <v>52</v>
      </c>
      <c r="AC327" s="52">
        <v>63</v>
      </c>
      <c r="AD327" s="53">
        <v>52</v>
      </c>
      <c r="AE327" s="144">
        <v>79</v>
      </c>
      <c r="AF327" s="52" t="s">
        <v>102</v>
      </c>
      <c r="AG327" s="144">
        <v>81</v>
      </c>
      <c r="AH327" s="53">
        <v>55</v>
      </c>
      <c r="AI327" s="53">
        <v>147</v>
      </c>
      <c r="AJ327" s="53">
        <v>34</v>
      </c>
      <c r="AK327" s="52">
        <v>137</v>
      </c>
      <c r="AL327" s="89">
        <v>9</v>
      </c>
      <c r="AM327" s="52" t="s">
        <v>102</v>
      </c>
      <c r="AN327" s="52">
        <v>3</v>
      </c>
      <c r="AO327" s="53">
        <v>20</v>
      </c>
      <c r="AP327" s="52" t="s">
        <v>262</v>
      </c>
      <c r="AQ327" s="53">
        <v>136</v>
      </c>
      <c r="AR327" s="53" t="s">
        <v>262</v>
      </c>
      <c r="AS327" s="54"/>
      <c r="AT327" s="52" t="s">
        <v>262</v>
      </c>
      <c r="AU327" s="53" t="s">
        <v>262</v>
      </c>
      <c r="AV327" s="52">
        <v>60</v>
      </c>
      <c r="AW327" s="52">
        <v>120</v>
      </c>
      <c r="AX327" s="51">
        <v>130</v>
      </c>
      <c r="AY327" s="53">
        <v>50</v>
      </c>
      <c r="AZ327" s="53" t="s">
        <v>264</v>
      </c>
      <c r="BA327" s="53">
        <v>10</v>
      </c>
      <c r="BB327" s="53">
        <v>100</v>
      </c>
      <c r="BC327" s="53">
        <v>60</v>
      </c>
      <c r="BD327" s="53">
        <v>40</v>
      </c>
      <c r="BE327" s="53">
        <v>35</v>
      </c>
      <c r="BF327" s="53">
        <v>25</v>
      </c>
      <c r="BG327" s="53">
        <v>100</v>
      </c>
      <c r="BH327" s="53" t="s">
        <v>264</v>
      </c>
      <c r="BI327" s="53" t="s">
        <v>264</v>
      </c>
      <c r="BJ327" s="53" t="s">
        <v>264</v>
      </c>
      <c r="BK327" s="53">
        <v>50</v>
      </c>
      <c r="BL327" s="53">
        <v>25</v>
      </c>
      <c r="BM327" s="53" t="s">
        <v>264</v>
      </c>
      <c r="BN327" s="53" t="s">
        <v>262</v>
      </c>
      <c r="BO327" s="53">
        <v>150</v>
      </c>
      <c r="BP327" s="53">
        <v>24</v>
      </c>
      <c r="BQ327" s="53">
        <v>75</v>
      </c>
      <c r="BR327" s="53">
        <v>75</v>
      </c>
      <c r="BS327" s="53" t="s">
        <v>262</v>
      </c>
      <c r="BT327" s="53">
        <v>75</v>
      </c>
      <c r="BU327" s="53">
        <v>200</v>
      </c>
      <c r="BV327" s="53">
        <v>25</v>
      </c>
      <c r="BW327" s="53">
        <v>25</v>
      </c>
      <c r="BX327" s="53" t="s">
        <v>262</v>
      </c>
      <c r="BY327" s="53">
        <v>25</v>
      </c>
      <c r="BZ327" s="53">
        <v>1500</v>
      </c>
      <c r="CA327" s="53">
        <v>100</v>
      </c>
      <c r="CB327" s="53">
        <v>300</v>
      </c>
      <c r="CC327" s="53">
        <v>50</v>
      </c>
      <c r="CD327" s="53">
        <v>75</v>
      </c>
      <c r="CE327" s="53">
        <v>75</v>
      </c>
      <c r="CF327" s="53">
        <v>200</v>
      </c>
      <c r="CG327" s="53">
        <v>75</v>
      </c>
      <c r="CH327" s="53">
        <v>75</v>
      </c>
      <c r="CI327" s="53">
        <v>75</v>
      </c>
      <c r="CJ327" s="53">
        <v>75</v>
      </c>
      <c r="CK327" s="53">
        <v>75</v>
      </c>
      <c r="CL327" s="53">
        <v>400</v>
      </c>
      <c r="CM327" s="53">
        <v>200</v>
      </c>
      <c r="CN327" s="206"/>
      <c r="CO327" s="206"/>
      <c r="CP327" s="206"/>
      <c r="CQ327" s="8">
        <f t="shared" si="189"/>
        <v>3</v>
      </c>
      <c r="CR327" s="8">
        <f t="shared" si="190"/>
        <v>1500</v>
      </c>
      <c r="CS327" s="8">
        <f t="shared" si="191"/>
        <v>105.63636363636364</v>
      </c>
      <c r="CT327">
        <f t="shared" si="192"/>
        <v>59.059914859575528</v>
      </c>
      <c r="CU327" s="143">
        <f t="shared" si="193"/>
        <v>29.4</v>
      </c>
      <c r="CV327" s="143">
        <f t="shared" si="194"/>
        <v>46.81818181818182</v>
      </c>
      <c r="CX327" s="7">
        <f t="shared" si="195"/>
        <v>9.6999999999999993</v>
      </c>
      <c r="CY327" s="7">
        <f t="shared" si="196"/>
        <v>25</v>
      </c>
      <c r="CZ327" s="7">
        <f t="shared" si="197"/>
        <v>25</v>
      </c>
      <c r="DA327" s="7">
        <f t="shared" si="198"/>
        <v>34</v>
      </c>
      <c r="DB327" s="7">
        <f t="shared" si="199"/>
        <v>63</v>
      </c>
      <c r="DC327" s="7">
        <f t="shared" si="200"/>
        <v>75</v>
      </c>
      <c r="DD327" s="7">
        <f t="shared" si="201"/>
        <v>75</v>
      </c>
      <c r="DE327" s="7">
        <f t="shared" si="202"/>
        <v>100</v>
      </c>
      <c r="DF327" s="7">
        <f t="shared" si="203"/>
        <v>136.9</v>
      </c>
      <c r="DH327" s="7">
        <f t="shared" si="204"/>
        <v>9</v>
      </c>
      <c r="DI327" s="7">
        <f t="shared" si="205"/>
        <v>13</v>
      </c>
      <c r="DJ327" s="7">
        <f t="shared" si="206"/>
        <v>20</v>
      </c>
      <c r="DK327" s="7">
        <f t="shared" si="207"/>
        <v>33</v>
      </c>
      <c r="DL327" s="7">
        <f t="shared" si="208"/>
        <v>52</v>
      </c>
      <c r="DM327" s="7">
        <f t="shared" si="209"/>
        <v>58</v>
      </c>
      <c r="DN327" s="7">
        <f t="shared" si="210"/>
        <v>60</v>
      </c>
      <c r="DO327" s="7">
        <f t="shared" si="211"/>
        <v>79</v>
      </c>
      <c r="DP327" s="7">
        <f t="shared" si="212"/>
        <v>120</v>
      </c>
    </row>
    <row r="328" spans="1:130" ht="25.5" customHeight="1" x14ac:dyDescent="0.25">
      <c r="A328" s="92" t="str">
        <f t="shared" si="181"/>
        <v>CK-SWVI [31]</v>
      </c>
      <c r="B328" s="92" t="str">
        <f t="shared" si="182"/>
        <v>Southwest Vancouver Island</v>
      </c>
      <c r="C328" s="93" t="str">
        <f t="shared" si="186"/>
        <v>WATTA CREEK_Chinook</v>
      </c>
      <c r="D328" s="128" t="s">
        <v>598</v>
      </c>
      <c r="E328" s="128" t="s">
        <v>598</v>
      </c>
      <c r="F328" s="64">
        <v>24</v>
      </c>
      <c r="G328" s="196" t="s">
        <v>199</v>
      </c>
      <c r="H328" s="65" t="s">
        <v>97</v>
      </c>
      <c r="I328" s="119"/>
      <c r="J328" s="119"/>
      <c r="K328" s="64">
        <v>4</v>
      </c>
      <c r="L328" s="52">
        <v>7</v>
      </c>
      <c r="M328" s="52">
        <v>2</v>
      </c>
      <c r="N328" s="52">
        <f t="shared" si="183"/>
        <v>9.2051640825158891</v>
      </c>
      <c r="O328" s="52">
        <f t="shared" si="184"/>
        <v>200</v>
      </c>
      <c r="P328" s="52">
        <f t="shared" si="185"/>
        <v>27.649735949578556</v>
      </c>
      <c r="Q328" s="66"/>
      <c r="R328" s="39"/>
      <c r="S328" s="76" t="s">
        <v>389</v>
      </c>
      <c r="T328" s="81" t="e">
        <f t="shared" si="187"/>
        <v>#DIV/0!</v>
      </c>
      <c r="U328" s="81" t="e">
        <f t="shared" si="188"/>
        <v>#DIV/0!</v>
      </c>
      <c r="V328" s="228"/>
      <c r="W328" s="52" t="s">
        <v>102</v>
      </c>
      <c r="X328" s="52" t="s">
        <v>262</v>
      </c>
      <c r="Y328" s="52" t="s">
        <v>102</v>
      </c>
      <c r="Z328" s="52" t="s">
        <v>102</v>
      </c>
      <c r="AA328" s="52" t="s">
        <v>102</v>
      </c>
      <c r="AB328" s="52" t="s">
        <v>102</v>
      </c>
      <c r="AC328" s="52" t="s">
        <v>102</v>
      </c>
      <c r="AD328" s="52" t="s">
        <v>102</v>
      </c>
      <c r="AE328" s="52" t="s">
        <v>102</v>
      </c>
      <c r="AF328" s="52" t="s">
        <v>102</v>
      </c>
      <c r="AG328" s="52" t="s">
        <v>102</v>
      </c>
      <c r="AH328" s="53">
        <v>6</v>
      </c>
      <c r="AI328" s="53">
        <v>8</v>
      </c>
      <c r="AJ328" s="53">
        <v>3</v>
      </c>
      <c r="AK328" s="52" t="s">
        <v>102</v>
      </c>
      <c r="AL328" s="52" t="s">
        <v>102</v>
      </c>
      <c r="AM328" s="52" t="s">
        <v>102</v>
      </c>
      <c r="AN328" s="52" t="s">
        <v>102</v>
      </c>
      <c r="AO328" s="52" t="s">
        <v>102</v>
      </c>
      <c r="AP328" s="52" t="s">
        <v>262</v>
      </c>
      <c r="AQ328" s="53" t="s">
        <v>262</v>
      </c>
      <c r="AR328" s="53" t="s">
        <v>262</v>
      </c>
      <c r="AS328" s="54"/>
      <c r="AT328" s="52" t="s">
        <v>262</v>
      </c>
      <c r="AU328" s="52" t="s">
        <v>262</v>
      </c>
      <c r="AV328" s="52">
        <v>13</v>
      </c>
      <c r="AW328" s="52">
        <v>20</v>
      </c>
      <c r="AX328" s="51" t="s">
        <v>264</v>
      </c>
      <c r="AY328" s="53" t="s">
        <v>264</v>
      </c>
      <c r="AZ328" s="53" t="s">
        <v>264</v>
      </c>
      <c r="BA328" s="53">
        <v>4</v>
      </c>
      <c r="BB328" s="53" t="s">
        <v>264</v>
      </c>
      <c r="BC328" s="53" t="s">
        <v>262</v>
      </c>
      <c r="BD328" s="53">
        <v>10</v>
      </c>
      <c r="BE328" s="53" t="s">
        <v>262</v>
      </c>
      <c r="BF328" s="53">
        <v>40</v>
      </c>
      <c r="BG328" s="53">
        <v>3</v>
      </c>
      <c r="BH328" s="53" t="s">
        <v>264</v>
      </c>
      <c r="BI328" s="53" t="s">
        <v>264</v>
      </c>
      <c r="BJ328" s="53" t="s">
        <v>262</v>
      </c>
      <c r="BK328" s="53">
        <v>10</v>
      </c>
      <c r="BL328" s="53" t="s">
        <v>262</v>
      </c>
      <c r="BM328" s="53">
        <v>55</v>
      </c>
      <c r="BN328" s="53">
        <v>15</v>
      </c>
      <c r="BO328" s="53">
        <v>25</v>
      </c>
      <c r="BP328" s="53">
        <v>40</v>
      </c>
      <c r="BQ328" s="53">
        <v>25</v>
      </c>
      <c r="BR328" s="53">
        <v>25</v>
      </c>
      <c r="BS328" s="53">
        <v>25</v>
      </c>
      <c r="BT328" s="53">
        <v>75</v>
      </c>
      <c r="BU328" s="53">
        <v>75</v>
      </c>
      <c r="BV328" s="53">
        <v>75</v>
      </c>
      <c r="BW328" s="53">
        <v>25</v>
      </c>
      <c r="BX328" s="53">
        <v>40</v>
      </c>
      <c r="BY328" s="53">
        <v>25</v>
      </c>
      <c r="BZ328" s="53" t="s">
        <v>264</v>
      </c>
      <c r="CA328" s="53">
        <v>10</v>
      </c>
      <c r="CB328" s="53">
        <v>80</v>
      </c>
      <c r="CC328" s="53">
        <v>25</v>
      </c>
      <c r="CD328" s="53">
        <v>75</v>
      </c>
      <c r="CE328" s="53">
        <v>75</v>
      </c>
      <c r="CF328" s="53">
        <v>75</v>
      </c>
      <c r="CG328" s="53">
        <v>200</v>
      </c>
      <c r="CH328" s="53">
        <v>75</v>
      </c>
      <c r="CI328" s="53" t="s">
        <v>264</v>
      </c>
      <c r="CJ328" s="53" t="s">
        <v>264</v>
      </c>
      <c r="CK328" s="53" t="s">
        <v>264</v>
      </c>
      <c r="CL328" s="53" t="s">
        <v>264</v>
      </c>
      <c r="CM328" s="53" t="s">
        <v>264</v>
      </c>
      <c r="CN328" s="206"/>
      <c r="CO328" s="206"/>
      <c r="CP328" s="206"/>
      <c r="CQ328" s="8">
        <f t="shared" si="189"/>
        <v>3</v>
      </c>
      <c r="CR328" s="8">
        <f t="shared" si="190"/>
        <v>200</v>
      </c>
      <c r="CS328" s="8">
        <f t="shared" si="191"/>
        <v>40.548387096774192</v>
      </c>
      <c r="CT328">
        <f t="shared" si="192"/>
        <v>25.28787026129201</v>
      </c>
      <c r="CU328" s="143" t="e">
        <f t="shared" si="193"/>
        <v>#DIV/0!</v>
      </c>
      <c r="CV328" s="143" t="e">
        <f t="shared" si="194"/>
        <v>#DIV/0!</v>
      </c>
      <c r="CX328" s="7">
        <f t="shared" si="195"/>
        <v>3.5</v>
      </c>
      <c r="CY328" s="7">
        <f t="shared" si="196"/>
        <v>9</v>
      </c>
      <c r="CZ328" s="7">
        <f t="shared" si="197"/>
        <v>10</v>
      </c>
      <c r="DA328" s="7">
        <f t="shared" si="198"/>
        <v>11.5</v>
      </c>
      <c r="DB328" s="7">
        <f t="shared" si="199"/>
        <v>25</v>
      </c>
      <c r="DC328" s="7">
        <f t="shared" si="200"/>
        <v>40</v>
      </c>
      <c r="DD328" s="7">
        <f t="shared" si="201"/>
        <v>40</v>
      </c>
      <c r="DE328" s="7">
        <f t="shared" si="202"/>
        <v>75</v>
      </c>
      <c r="DF328" s="7">
        <f t="shared" si="203"/>
        <v>75</v>
      </c>
      <c r="DH328" s="7">
        <f t="shared" si="204"/>
        <v>3.5999999999999996</v>
      </c>
      <c r="DI328" s="7">
        <f t="shared" si="205"/>
        <v>4.8000000000000007</v>
      </c>
      <c r="DJ328" s="7">
        <f t="shared" si="206"/>
        <v>5.4</v>
      </c>
      <c r="DK328" s="7">
        <f t="shared" si="207"/>
        <v>6</v>
      </c>
      <c r="DL328" s="7">
        <f t="shared" si="208"/>
        <v>8</v>
      </c>
      <c r="DM328" s="7">
        <f t="shared" si="209"/>
        <v>10</v>
      </c>
      <c r="DN328" s="7">
        <f t="shared" si="210"/>
        <v>11</v>
      </c>
      <c r="DO328" s="7">
        <f t="shared" si="211"/>
        <v>13</v>
      </c>
      <c r="DP328" s="7">
        <f t="shared" si="212"/>
        <v>15.800000000000002</v>
      </c>
    </row>
    <row r="329" spans="1:130" ht="25.5" hidden="1" customHeight="1" x14ac:dyDescent="0.25">
      <c r="A329" s="92" t="str">
        <f t="shared" si="181"/>
        <v>CM-SWVI [10]</v>
      </c>
      <c r="B329" s="92" t="str">
        <f t="shared" si="182"/>
        <v>Southwest Vancouver Island</v>
      </c>
      <c r="C329" s="93" t="str">
        <f t="shared" si="186"/>
        <v>WATTA CREEK_Chum</v>
      </c>
      <c r="D329" s="128" t="s">
        <v>598</v>
      </c>
      <c r="E329" s="128" t="s">
        <v>598</v>
      </c>
      <c r="F329" s="64">
        <v>24</v>
      </c>
      <c r="G329" s="196" t="s">
        <v>199</v>
      </c>
      <c r="H329" s="65" t="s">
        <v>96</v>
      </c>
      <c r="I329" s="119"/>
      <c r="J329" s="119"/>
      <c r="K329" s="64">
        <v>4</v>
      </c>
      <c r="L329" s="52">
        <v>7</v>
      </c>
      <c r="M329" s="52">
        <v>7</v>
      </c>
      <c r="N329" s="52">
        <f t="shared" si="183"/>
        <v>1791.3568038132385</v>
      </c>
      <c r="O329" s="52">
        <f t="shared" si="184"/>
        <v>8500</v>
      </c>
      <c r="P329" s="52">
        <f t="shared" si="185"/>
        <v>1869.7936076004955</v>
      </c>
      <c r="Q329" s="66"/>
      <c r="R329" s="39"/>
      <c r="S329" s="76" t="s">
        <v>389</v>
      </c>
      <c r="T329" s="81">
        <f t="shared" si="187"/>
        <v>376</v>
      </c>
      <c r="U329" s="81">
        <f t="shared" si="188"/>
        <v>376</v>
      </c>
      <c r="V329" s="228"/>
      <c r="W329" s="52" t="s">
        <v>102</v>
      </c>
      <c r="X329" s="52">
        <v>376</v>
      </c>
      <c r="Y329" s="52" t="s">
        <v>102</v>
      </c>
      <c r="Z329" s="52" t="s">
        <v>102</v>
      </c>
      <c r="AA329" s="52" t="s">
        <v>102</v>
      </c>
      <c r="AB329" s="52" t="s">
        <v>102</v>
      </c>
      <c r="AC329" s="52" t="s">
        <v>102</v>
      </c>
      <c r="AD329" s="52" t="s">
        <v>102</v>
      </c>
      <c r="AE329" s="52" t="s">
        <v>102</v>
      </c>
      <c r="AF329" s="52" t="s">
        <v>102</v>
      </c>
      <c r="AG329" s="52" t="s">
        <v>102</v>
      </c>
      <c r="AH329" s="53">
        <v>257</v>
      </c>
      <c r="AI329" s="53">
        <v>38</v>
      </c>
      <c r="AJ329" s="53">
        <v>679</v>
      </c>
      <c r="AK329" s="52" t="s">
        <v>102</v>
      </c>
      <c r="AL329" s="52" t="s">
        <v>102</v>
      </c>
      <c r="AM329" s="52" t="s">
        <v>102</v>
      </c>
      <c r="AN329" s="52" t="s">
        <v>102</v>
      </c>
      <c r="AO329" s="52" t="s">
        <v>102</v>
      </c>
      <c r="AP329" s="52">
        <v>2018</v>
      </c>
      <c r="AQ329" s="53">
        <v>3200</v>
      </c>
      <c r="AR329" s="53">
        <v>500</v>
      </c>
      <c r="AS329" s="54"/>
      <c r="AT329" s="52" t="s">
        <v>263</v>
      </c>
      <c r="AU329" s="52">
        <v>3000</v>
      </c>
      <c r="AV329" s="52">
        <v>6000</v>
      </c>
      <c r="AW329" s="52">
        <v>1500</v>
      </c>
      <c r="AX329" s="51">
        <v>2500</v>
      </c>
      <c r="AY329" s="53">
        <v>1650</v>
      </c>
      <c r="AZ329" s="53" t="s">
        <v>264</v>
      </c>
      <c r="BA329" s="53">
        <v>1700</v>
      </c>
      <c r="BB329" s="53">
        <v>3800</v>
      </c>
      <c r="BC329" s="53">
        <v>1600</v>
      </c>
      <c r="BD329" s="53">
        <v>1400</v>
      </c>
      <c r="BE329" s="53">
        <v>1100</v>
      </c>
      <c r="BF329" s="53">
        <v>4500</v>
      </c>
      <c r="BG329" s="53">
        <v>5500</v>
      </c>
      <c r="BH329" s="53">
        <v>1200</v>
      </c>
      <c r="BI329" s="53">
        <v>800</v>
      </c>
      <c r="BJ329" s="53">
        <v>5000</v>
      </c>
      <c r="BK329" s="53">
        <v>1500</v>
      </c>
      <c r="BL329" s="53">
        <v>5200</v>
      </c>
      <c r="BM329" s="53">
        <v>950</v>
      </c>
      <c r="BN329" s="53">
        <v>3000</v>
      </c>
      <c r="BO329" s="53">
        <v>3500</v>
      </c>
      <c r="BP329" s="53">
        <v>1900</v>
      </c>
      <c r="BQ329" s="53">
        <v>750</v>
      </c>
      <c r="BR329" s="53">
        <v>3000</v>
      </c>
      <c r="BS329" s="53">
        <v>7500</v>
      </c>
      <c r="BT329" s="53">
        <v>1500</v>
      </c>
      <c r="BU329" s="53">
        <v>1500</v>
      </c>
      <c r="BV329" s="53">
        <v>3500</v>
      </c>
      <c r="BW329" s="53">
        <v>3500</v>
      </c>
      <c r="BX329" s="53">
        <v>8500</v>
      </c>
      <c r="BY329" s="53">
        <v>3500</v>
      </c>
      <c r="BZ329" s="53">
        <v>750</v>
      </c>
      <c r="CA329" s="53">
        <v>500</v>
      </c>
      <c r="CB329" s="53">
        <v>2000</v>
      </c>
      <c r="CC329" s="53">
        <v>800</v>
      </c>
      <c r="CD329" s="53">
        <v>750</v>
      </c>
      <c r="CE329" s="53">
        <v>750</v>
      </c>
      <c r="CF329" s="53">
        <v>1500</v>
      </c>
      <c r="CG329" s="53">
        <v>3500</v>
      </c>
      <c r="CH329" s="53">
        <v>3500</v>
      </c>
      <c r="CI329" s="53">
        <v>1500</v>
      </c>
      <c r="CJ329" s="53">
        <v>750</v>
      </c>
      <c r="CK329" s="53">
        <v>750</v>
      </c>
      <c r="CL329" s="53">
        <v>1500</v>
      </c>
      <c r="CM329" s="53">
        <v>1500</v>
      </c>
      <c r="CN329" s="206"/>
      <c r="CO329" s="206"/>
      <c r="CP329" s="206"/>
      <c r="CQ329" s="8">
        <f t="shared" si="189"/>
        <v>38</v>
      </c>
      <c r="CR329" s="8">
        <f t="shared" si="190"/>
        <v>8500</v>
      </c>
      <c r="CS329" s="8">
        <f t="shared" si="191"/>
        <v>2307.2156862745096</v>
      </c>
      <c r="CT329">
        <f t="shared" si="192"/>
        <v>1614.5772856040983</v>
      </c>
      <c r="CU329" s="143">
        <f t="shared" si="193"/>
        <v>376</v>
      </c>
      <c r="CV329" s="143">
        <f t="shared" si="194"/>
        <v>376</v>
      </c>
      <c r="CX329" s="7">
        <f t="shared" si="195"/>
        <v>438</v>
      </c>
      <c r="CY329" s="7">
        <f t="shared" si="196"/>
        <v>750</v>
      </c>
      <c r="CZ329" s="7">
        <f t="shared" si="197"/>
        <v>750</v>
      </c>
      <c r="DA329" s="7">
        <f t="shared" si="198"/>
        <v>800</v>
      </c>
      <c r="DB329" s="7">
        <f t="shared" si="199"/>
        <v>1500</v>
      </c>
      <c r="DC329" s="7">
        <f t="shared" si="200"/>
        <v>2000</v>
      </c>
      <c r="DD329" s="7">
        <f t="shared" si="201"/>
        <v>2750</v>
      </c>
      <c r="DE329" s="7">
        <f t="shared" si="202"/>
        <v>3500</v>
      </c>
      <c r="DF329" s="7">
        <f t="shared" si="203"/>
        <v>3650</v>
      </c>
      <c r="DH329" s="7">
        <f t="shared" si="204"/>
        <v>136.55000000000001</v>
      </c>
      <c r="DI329" s="7">
        <f t="shared" si="205"/>
        <v>298.64999999999998</v>
      </c>
      <c r="DJ329" s="7">
        <f t="shared" si="206"/>
        <v>352.2</v>
      </c>
      <c r="DK329" s="7">
        <f t="shared" si="207"/>
        <v>407</v>
      </c>
      <c r="DL329" s="7">
        <f t="shared" si="208"/>
        <v>1089.5</v>
      </c>
      <c r="DM329" s="7">
        <f t="shared" si="209"/>
        <v>1707.1999999999998</v>
      </c>
      <c r="DN329" s="7">
        <f t="shared" si="210"/>
        <v>1940.3000000000002</v>
      </c>
      <c r="DO329" s="7">
        <f t="shared" si="211"/>
        <v>2754.5</v>
      </c>
      <c r="DP329" s="7">
        <f t="shared" si="212"/>
        <v>3129.9999999999995</v>
      </c>
    </row>
    <row r="330" spans="1:130" ht="20.25" hidden="1" customHeight="1" x14ac:dyDescent="0.25">
      <c r="A330" s="92" t="str">
        <f t="shared" si="181"/>
        <v>CO-CLAY [18]</v>
      </c>
      <c r="B330" s="92" t="str">
        <f t="shared" si="182"/>
        <v>Clayoquot</v>
      </c>
      <c r="C330" s="93" t="str">
        <f t="shared" si="186"/>
        <v>WATTA CREEK_Coho</v>
      </c>
      <c r="D330" s="128" t="s">
        <v>598</v>
      </c>
      <c r="E330" s="128" t="s">
        <v>598</v>
      </c>
      <c r="F330" s="64">
        <v>24</v>
      </c>
      <c r="G330" s="196" t="s">
        <v>199</v>
      </c>
      <c r="H330" s="65" t="s">
        <v>93</v>
      </c>
      <c r="I330" s="119"/>
      <c r="J330" s="119"/>
      <c r="K330" s="64">
        <v>4</v>
      </c>
      <c r="L330" s="52">
        <v>7</v>
      </c>
      <c r="M330" s="52">
        <v>5</v>
      </c>
      <c r="N330" s="52">
        <f t="shared" si="183"/>
        <v>247.78431817594844</v>
      </c>
      <c r="O330" s="52">
        <f t="shared" si="184"/>
        <v>400</v>
      </c>
      <c r="P330" s="52">
        <f t="shared" si="185"/>
        <v>101.66217159107697</v>
      </c>
      <c r="Q330" s="66"/>
      <c r="R330" s="39"/>
      <c r="S330" s="76" t="s">
        <v>389</v>
      </c>
      <c r="T330" s="81">
        <f t="shared" si="187"/>
        <v>5</v>
      </c>
      <c r="U330" s="81">
        <f t="shared" si="188"/>
        <v>5</v>
      </c>
      <c r="V330" s="228"/>
      <c r="W330" s="52" t="s">
        <v>102</v>
      </c>
      <c r="X330" s="52">
        <v>5</v>
      </c>
      <c r="Y330" s="52" t="s">
        <v>102</v>
      </c>
      <c r="Z330" s="52" t="s">
        <v>102</v>
      </c>
      <c r="AA330" s="52" t="s">
        <v>102</v>
      </c>
      <c r="AB330" s="52" t="s">
        <v>102</v>
      </c>
      <c r="AC330" s="52" t="s">
        <v>102</v>
      </c>
      <c r="AD330" s="52" t="s">
        <v>102</v>
      </c>
      <c r="AE330" s="52" t="s">
        <v>102</v>
      </c>
      <c r="AF330" s="52" t="s">
        <v>102</v>
      </c>
      <c r="AG330" s="52" t="s">
        <v>102</v>
      </c>
      <c r="AH330" s="53">
        <v>133</v>
      </c>
      <c r="AI330" s="53">
        <v>232</v>
      </c>
      <c r="AJ330" s="53">
        <v>256</v>
      </c>
      <c r="AK330" s="52" t="s">
        <v>102</v>
      </c>
      <c r="AL330" s="52" t="s">
        <v>102</v>
      </c>
      <c r="AM330" s="52" t="s">
        <v>102</v>
      </c>
      <c r="AN330" s="52" t="s">
        <v>102</v>
      </c>
      <c r="AO330" s="52" t="s">
        <v>102</v>
      </c>
      <c r="AP330" s="52" t="s">
        <v>262</v>
      </c>
      <c r="AQ330" s="53">
        <v>250</v>
      </c>
      <c r="AR330" s="53" t="s">
        <v>263</v>
      </c>
      <c r="AS330" s="54"/>
      <c r="AT330" s="52" t="s">
        <v>263</v>
      </c>
      <c r="AU330" s="52" t="s">
        <v>262</v>
      </c>
      <c r="AV330" s="52">
        <v>310</v>
      </c>
      <c r="AW330" s="52">
        <v>190</v>
      </c>
      <c r="AX330" s="51" t="s">
        <v>264</v>
      </c>
      <c r="AY330" s="53" t="s">
        <v>264</v>
      </c>
      <c r="AZ330" s="53" t="s">
        <v>264</v>
      </c>
      <c r="BA330" s="53">
        <v>75</v>
      </c>
      <c r="BB330" s="53">
        <v>100</v>
      </c>
      <c r="BC330" s="53">
        <v>10</v>
      </c>
      <c r="BD330" s="53">
        <v>50</v>
      </c>
      <c r="BE330" s="53" t="s">
        <v>262</v>
      </c>
      <c r="BF330" s="53">
        <v>50</v>
      </c>
      <c r="BG330" s="53">
        <v>100</v>
      </c>
      <c r="BH330" s="53" t="s">
        <v>264</v>
      </c>
      <c r="BI330" s="53" t="s">
        <v>264</v>
      </c>
      <c r="BJ330" s="53" t="s">
        <v>264</v>
      </c>
      <c r="BK330" s="53">
        <v>50</v>
      </c>
      <c r="BL330" s="53">
        <v>25</v>
      </c>
      <c r="BM330" s="53">
        <v>175</v>
      </c>
      <c r="BN330" s="53">
        <v>25</v>
      </c>
      <c r="BO330" s="53">
        <v>75</v>
      </c>
      <c r="BP330" s="53">
        <v>30</v>
      </c>
      <c r="BQ330" s="53">
        <v>75</v>
      </c>
      <c r="BR330" s="53">
        <v>25</v>
      </c>
      <c r="BS330" s="53">
        <v>75</v>
      </c>
      <c r="BT330" s="53">
        <v>25</v>
      </c>
      <c r="BU330" s="53">
        <v>200</v>
      </c>
      <c r="BV330" s="53">
        <v>200</v>
      </c>
      <c r="BW330" s="53">
        <v>75</v>
      </c>
      <c r="BX330" s="53">
        <v>40</v>
      </c>
      <c r="BY330" s="53">
        <v>25</v>
      </c>
      <c r="BZ330" s="53">
        <v>75</v>
      </c>
      <c r="CA330" s="53">
        <v>100</v>
      </c>
      <c r="CB330" s="53">
        <v>300</v>
      </c>
      <c r="CC330" s="53">
        <v>75</v>
      </c>
      <c r="CD330" s="53">
        <v>200</v>
      </c>
      <c r="CE330" s="53">
        <v>400</v>
      </c>
      <c r="CF330" s="53">
        <v>200</v>
      </c>
      <c r="CG330" s="53">
        <v>400</v>
      </c>
      <c r="CH330" s="53">
        <v>400</v>
      </c>
      <c r="CI330" s="53">
        <v>400</v>
      </c>
      <c r="CJ330" s="53">
        <v>400</v>
      </c>
      <c r="CK330" s="53">
        <v>200</v>
      </c>
      <c r="CL330" s="53">
        <v>75</v>
      </c>
      <c r="CM330" s="53">
        <v>200</v>
      </c>
      <c r="CN330" s="206"/>
      <c r="CO330" s="206"/>
      <c r="CP330" s="206"/>
      <c r="CQ330" s="8">
        <f t="shared" si="189"/>
        <v>5</v>
      </c>
      <c r="CR330" s="8">
        <f t="shared" si="190"/>
        <v>400</v>
      </c>
      <c r="CS330" s="8">
        <f t="shared" si="191"/>
        <v>150.14285714285714</v>
      </c>
      <c r="CT330">
        <f t="shared" si="192"/>
        <v>97.122988373552957</v>
      </c>
      <c r="CU330" s="143">
        <f t="shared" si="193"/>
        <v>5</v>
      </c>
      <c r="CV330" s="143">
        <f t="shared" si="194"/>
        <v>5</v>
      </c>
      <c r="CX330" s="7">
        <f t="shared" si="195"/>
        <v>25</v>
      </c>
      <c r="CY330" s="7">
        <f t="shared" si="196"/>
        <v>25.749999999999996</v>
      </c>
      <c r="CZ330" s="7">
        <f t="shared" si="197"/>
        <v>42.000000000000014</v>
      </c>
      <c r="DA330" s="7">
        <f t="shared" si="198"/>
        <v>50</v>
      </c>
      <c r="DB330" s="7">
        <f t="shared" si="199"/>
        <v>100</v>
      </c>
      <c r="DC330" s="7">
        <f t="shared" si="200"/>
        <v>183.99999999999997</v>
      </c>
      <c r="DD330" s="7">
        <f t="shared" si="201"/>
        <v>200</v>
      </c>
      <c r="DE330" s="7">
        <f t="shared" si="202"/>
        <v>200</v>
      </c>
      <c r="DF330" s="7">
        <f t="shared" si="203"/>
        <v>293.40000000000009</v>
      </c>
      <c r="DH330" s="7">
        <f t="shared" si="204"/>
        <v>43.400000000000006</v>
      </c>
      <c r="DI330" s="7">
        <f t="shared" si="205"/>
        <v>120.19999999999999</v>
      </c>
      <c r="DJ330" s="7">
        <f t="shared" si="206"/>
        <v>144.4</v>
      </c>
      <c r="DK330" s="7">
        <f t="shared" si="207"/>
        <v>161.5</v>
      </c>
      <c r="DL330" s="7">
        <f t="shared" si="208"/>
        <v>232</v>
      </c>
      <c r="DM330" s="7">
        <f t="shared" si="209"/>
        <v>242.79999999999998</v>
      </c>
      <c r="DN330" s="7">
        <f t="shared" si="210"/>
        <v>248.20000000000002</v>
      </c>
      <c r="DO330" s="7">
        <f t="shared" si="211"/>
        <v>253</v>
      </c>
      <c r="DP330" s="7">
        <f t="shared" si="212"/>
        <v>261.39999999999998</v>
      </c>
    </row>
    <row r="331" spans="1:130" ht="27" customHeight="1" x14ac:dyDescent="0.25">
      <c r="A331" s="92" t="str">
        <f t="shared" si="181"/>
        <v>CK-SWVI [31]</v>
      </c>
      <c r="B331" s="92" t="str">
        <f t="shared" si="182"/>
        <v>Southwest Vancouver Island</v>
      </c>
      <c r="C331" s="93" t="str">
        <f t="shared" si="186"/>
        <v>WHITE PINE COVE CREEK_Chinook</v>
      </c>
      <c r="D331" s="128" t="s">
        <v>598</v>
      </c>
      <c r="E331" s="128" t="s">
        <v>598</v>
      </c>
      <c r="F331" s="64">
        <v>24</v>
      </c>
      <c r="G331" s="72" t="s">
        <v>193</v>
      </c>
      <c r="H331" s="65" t="s">
        <v>97</v>
      </c>
      <c r="I331" s="119"/>
      <c r="J331" s="119"/>
      <c r="K331" s="64">
        <v>4</v>
      </c>
      <c r="L331" s="52">
        <v>6</v>
      </c>
      <c r="M331" s="52">
        <v>0</v>
      </c>
      <c r="N331" s="52" t="e">
        <f t="shared" si="183"/>
        <v>#NUM!</v>
      </c>
      <c r="O331" s="52">
        <f t="shared" si="184"/>
        <v>0</v>
      </c>
      <c r="P331" s="52" t="e">
        <f t="shared" si="185"/>
        <v>#NUM!</v>
      </c>
      <c r="Q331" s="66"/>
      <c r="R331" s="39"/>
      <c r="S331" s="74" t="s">
        <v>375</v>
      </c>
      <c r="T331" s="81" t="e">
        <f t="shared" si="187"/>
        <v>#DIV/0!</v>
      </c>
      <c r="U331" s="81" t="e">
        <f t="shared" si="188"/>
        <v>#DIV/0!</v>
      </c>
      <c r="V331" s="228"/>
      <c r="W331" s="52" t="s">
        <v>262</v>
      </c>
      <c r="X331" s="52" t="s">
        <v>262</v>
      </c>
      <c r="Y331" s="52" t="s">
        <v>102</v>
      </c>
      <c r="Z331" s="52" t="s">
        <v>102</v>
      </c>
      <c r="AA331" s="52" t="s">
        <v>102</v>
      </c>
      <c r="AB331" s="52" t="s">
        <v>102</v>
      </c>
      <c r="AC331" s="52" t="s">
        <v>102</v>
      </c>
      <c r="AD331" s="52" t="s">
        <v>262</v>
      </c>
      <c r="AE331" s="144" t="s">
        <v>262</v>
      </c>
      <c r="AF331" s="52" t="s">
        <v>102</v>
      </c>
      <c r="AG331" s="52" t="s">
        <v>102</v>
      </c>
      <c r="AH331" s="52" t="s">
        <v>102</v>
      </c>
      <c r="AI331" s="52" t="s">
        <v>102</v>
      </c>
      <c r="AJ331" s="52" t="s">
        <v>102</v>
      </c>
      <c r="AK331" s="52" t="s">
        <v>102</v>
      </c>
      <c r="AL331" s="52" t="s">
        <v>102</v>
      </c>
      <c r="AM331" s="52" t="s">
        <v>102</v>
      </c>
      <c r="AN331" s="52" t="s">
        <v>102</v>
      </c>
      <c r="AO331" s="52" t="s">
        <v>102</v>
      </c>
      <c r="AP331" s="52" t="s">
        <v>262</v>
      </c>
      <c r="AQ331" s="52" t="s">
        <v>262</v>
      </c>
      <c r="AR331" s="53" t="s">
        <v>102</v>
      </c>
      <c r="AS331" s="54"/>
      <c r="AT331" s="52" t="s">
        <v>262</v>
      </c>
      <c r="AU331" s="52" t="s">
        <v>262</v>
      </c>
      <c r="AV331" s="52" t="s">
        <v>262</v>
      </c>
      <c r="AW331" s="52" t="s">
        <v>262</v>
      </c>
      <c r="AX331" s="51" t="s">
        <v>264</v>
      </c>
      <c r="AY331" s="53" t="s">
        <v>264</v>
      </c>
      <c r="AZ331" s="53" t="s">
        <v>264</v>
      </c>
      <c r="BA331" s="53" t="s">
        <v>264</v>
      </c>
      <c r="BB331" s="53" t="s">
        <v>264</v>
      </c>
      <c r="BC331" s="53" t="s">
        <v>264</v>
      </c>
      <c r="BD331" s="53" t="s">
        <v>264</v>
      </c>
      <c r="BE331" s="53" t="s">
        <v>264</v>
      </c>
      <c r="BF331" s="53" t="s">
        <v>264</v>
      </c>
      <c r="BG331" s="53" t="s">
        <v>264</v>
      </c>
      <c r="BH331" s="53" t="s">
        <v>262</v>
      </c>
      <c r="BI331" s="53" t="s">
        <v>264</v>
      </c>
      <c r="BJ331" s="53" t="s">
        <v>264</v>
      </c>
      <c r="BK331" s="53" t="s">
        <v>264</v>
      </c>
      <c r="BL331" s="53" t="s">
        <v>264</v>
      </c>
      <c r="BM331" s="53" t="s">
        <v>264</v>
      </c>
      <c r="BN331" s="53" t="s">
        <v>264</v>
      </c>
      <c r="BO331" s="53" t="s">
        <v>264</v>
      </c>
      <c r="BP331" s="53" t="s">
        <v>264</v>
      </c>
      <c r="BQ331" s="53" t="s">
        <v>264</v>
      </c>
      <c r="BR331" s="53" t="s">
        <v>264</v>
      </c>
      <c r="BS331" s="53" t="s">
        <v>264</v>
      </c>
      <c r="BT331" s="53" t="s">
        <v>264</v>
      </c>
      <c r="BU331" s="53" t="s">
        <v>264</v>
      </c>
      <c r="BV331" s="53" t="s">
        <v>264</v>
      </c>
      <c r="BW331" s="53" t="s">
        <v>264</v>
      </c>
      <c r="BX331" s="53" t="s">
        <v>264</v>
      </c>
      <c r="BY331" s="53" t="s">
        <v>264</v>
      </c>
      <c r="BZ331" s="53" t="s">
        <v>264</v>
      </c>
      <c r="CA331" s="53" t="s">
        <v>264</v>
      </c>
      <c r="CB331" s="53" t="s">
        <v>264</v>
      </c>
      <c r="CC331" s="53" t="s">
        <v>264</v>
      </c>
      <c r="CD331" s="53" t="s">
        <v>264</v>
      </c>
      <c r="CE331" s="53" t="s">
        <v>264</v>
      </c>
      <c r="CF331" s="53" t="s">
        <v>264</v>
      </c>
      <c r="CG331" s="53" t="s">
        <v>264</v>
      </c>
      <c r="CH331" s="53" t="s">
        <v>264</v>
      </c>
      <c r="CI331" s="53" t="s">
        <v>264</v>
      </c>
      <c r="CJ331" s="53" t="s">
        <v>264</v>
      </c>
      <c r="CK331" s="53" t="s">
        <v>264</v>
      </c>
      <c r="CL331" s="53" t="s">
        <v>264</v>
      </c>
      <c r="CM331" s="53" t="s">
        <v>264</v>
      </c>
      <c r="CN331" s="206"/>
      <c r="CO331" s="206"/>
      <c r="CP331" s="206"/>
      <c r="CQ331" s="8">
        <f t="shared" si="189"/>
        <v>0</v>
      </c>
      <c r="CR331" s="8">
        <f t="shared" si="190"/>
        <v>0</v>
      </c>
      <c r="CS331" s="8" t="e">
        <f t="shared" si="191"/>
        <v>#DIV/0!</v>
      </c>
      <c r="CT331" t="e">
        <f t="shared" si="192"/>
        <v>#NUM!</v>
      </c>
      <c r="CU331" s="143" t="e">
        <f t="shared" si="193"/>
        <v>#DIV/0!</v>
      </c>
      <c r="CV331" s="143" t="e">
        <f t="shared" si="194"/>
        <v>#DIV/0!</v>
      </c>
      <c r="CX331" s="7" t="e">
        <f t="shared" si="195"/>
        <v>#NUM!</v>
      </c>
      <c r="CY331" s="7" t="e">
        <f t="shared" si="196"/>
        <v>#NUM!</v>
      </c>
      <c r="CZ331" s="7" t="e">
        <f t="shared" si="197"/>
        <v>#NUM!</v>
      </c>
      <c r="DA331" s="7" t="e">
        <f t="shared" si="198"/>
        <v>#NUM!</v>
      </c>
      <c r="DB331" s="7" t="e">
        <f t="shared" si="199"/>
        <v>#NUM!</v>
      </c>
      <c r="DC331" s="7" t="e">
        <f t="shared" si="200"/>
        <v>#NUM!</v>
      </c>
      <c r="DD331" s="7" t="e">
        <f t="shared" si="201"/>
        <v>#NUM!</v>
      </c>
      <c r="DE331" s="7" t="e">
        <f t="shared" si="202"/>
        <v>#NUM!</v>
      </c>
      <c r="DF331" s="7" t="e">
        <f t="shared" si="203"/>
        <v>#NUM!</v>
      </c>
      <c r="DH331" s="7" t="e">
        <f t="shared" si="204"/>
        <v>#NUM!</v>
      </c>
      <c r="DI331" s="7" t="e">
        <f t="shared" si="205"/>
        <v>#NUM!</v>
      </c>
      <c r="DJ331" s="7" t="e">
        <f t="shared" si="206"/>
        <v>#NUM!</v>
      </c>
      <c r="DK331" s="7" t="e">
        <f t="shared" si="207"/>
        <v>#NUM!</v>
      </c>
      <c r="DL331" s="7" t="e">
        <f t="shared" si="208"/>
        <v>#NUM!</v>
      </c>
      <c r="DM331" s="7" t="e">
        <f t="shared" si="209"/>
        <v>#NUM!</v>
      </c>
      <c r="DN331" s="7" t="e">
        <f t="shared" si="210"/>
        <v>#NUM!</v>
      </c>
      <c r="DO331" s="7" t="e">
        <f t="shared" si="211"/>
        <v>#NUM!</v>
      </c>
      <c r="DP331" s="7" t="e">
        <f t="shared" si="212"/>
        <v>#NUM!</v>
      </c>
    </row>
    <row r="332" spans="1:130" ht="27" hidden="1" customHeight="1" x14ac:dyDescent="0.25">
      <c r="A332" s="92" t="str">
        <f t="shared" si="181"/>
        <v>CM-SWVI [10]</v>
      </c>
      <c r="B332" s="92" t="str">
        <f t="shared" si="182"/>
        <v>Southwest Vancouver Island</v>
      </c>
      <c r="C332" s="93" t="str">
        <f t="shared" si="186"/>
        <v>WHITE PINE COVE CREEK_Chum</v>
      </c>
      <c r="D332" s="128" t="s">
        <v>598</v>
      </c>
      <c r="E332" s="128" t="s">
        <v>598</v>
      </c>
      <c r="F332" s="64">
        <v>24</v>
      </c>
      <c r="G332" s="72" t="s">
        <v>193</v>
      </c>
      <c r="H332" s="65" t="s">
        <v>96</v>
      </c>
      <c r="I332" s="119"/>
      <c r="J332" s="119"/>
      <c r="K332" s="64">
        <v>4</v>
      </c>
      <c r="L332" s="52">
        <v>6</v>
      </c>
      <c r="M332" s="52">
        <v>6</v>
      </c>
      <c r="N332" s="52">
        <f t="shared" si="183"/>
        <v>147.12579168128801</v>
      </c>
      <c r="O332" s="52">
        <f t="shared" si="184"/>
        <v>1500</v>
      </c>
      <c r="P332" s="52">
        <f t="shared" si="185"/>
        <v>280.41103962948068</v>
      </c>
      <c r="Q332" s="66"/>
      <c r="R332" s="39"/>
      <c r="S332" s="74" t="s">
        <v>375</v>
      </c>
      <c r="T332" s="81" t="e">
        <f t="shared" si="187"/>
        <v>#DIV/0!</v>
      </c>
      <c r="U332" s="81">
        <f t="shared" si="188"/>
        <v>44</v>
      </c>
      <c r="V332" s="228"/>
      <c r="W332" s="52" t="s">
        <v>262</v>
      </c>
      <c r="X332" s="52" t="s">
        <v>262</v>
      </c>
      <c r="Y332" s="52" t="s">
        <v>102</v>
      </c>
      <c r="Z332" s="52" t="s">
        <v>102</v>
      </c>
      <c r="AA332" s="52" t="s">
        <v>102</v>
      </c>
      <c r="AB332" s="52" t="s">
        <v>102</v>
      </c>
      <c r="AC332" s="52" t="s">
        <v>102</v>
      </c>
      <c r="AD332" s="53" t="s">
        <v>262</v>
      </c>
      <c r="AE332" s="144">
        <v>44</v>
      </c>
      <c r="AF332" s="52" t="s">
        <v>102</v>
      </c>
      <c r="AG332" s="52" t="s">
        <v>102</v>
      </c>
      <c r="AH332" s="52" t="s">
        <v>102</v>
      </c>
      <c r="AI332" s="52" t="s">
        <v>102</v>
      </c>
      <c r="AJ332" s="52" t="s">
        <v>102</v>
      </c>
      <c r="AK332" s="52" t="s">
        <v>102</v>
      </c>
      <c r="AL332" s="52" t="s">
        <v>102</v>
      </c>
      <c r="AM332" s="52" t="s">
        <v>102</v>
      </c>
      <c r="AN332" s="52" t="s">
        <v>102</v>
      </c>
      <c r="AO332" s="52" t="s">
        <v>102</v>
      </c>
      <c r="AP332" s="52">
        <v>816</v>
      </c>
      <c r="AQ332" s="52">
        <v>160</v>
      </c>
      <c r="AR332" s="53" t="s">
        <v>102</v>
      </c>
      <c r="AS332" s="54"/>
      <c r="AT332" s="52" t="s">
        <v>263</v>
      </c>
      <c r="AU332" s="52">
        <v>550</v>
      </c>
      <c r="AV332" s="52">
        <v>120</v>
      </c>
      <c r="AW332" s="52">
        <v>8</v>
      </c>
      <c r="AX332" s="51">
        <v>200</v>
      </c>
      <c r="AY332" s="53">
        <v>500</v>
      </c>
      <c r="AZ332" s="53" t="s">
        <v>264</v>
      </c>
      <c r="BA332" s="53">
        <v>125</v>
      </c>
      <c r="BB332" s="53">
        <v>10</v>
      </c>
      <c r="BC332" s="53" t="s">
        <v>264</v>
      </c>
      <c r="BD332" s="53">
        <v>100</v>
      </c>
      <c r="BE332" s="53">
        <v>100</v>
      </c>
      <c r="BF332" s="53">
        <v>700</v>
      </c>
      <c r="BG332" s="53">
        <v>600</v>
      </c>
      <c r="BH332" s="53">
        <v>110</v>
      </c>
      <c r="BI332" s="53">
        <v>350</v>
      </c>
      <c r="BJ332" s="53">
        <v>600</v>
      </c>
      <c r="BK332" s="53">
        <v>700</v>
      </c>
      <c r="BL332" s="53">
        <v>650</v>
      </c>
      <c r="BM332" s="53">
        <v>525</v>
      </c>
      <c r="BN332" s="53">
        <v>500</v>
      </c>
      <c r="BO332" s="53">
        <v>300</v>
      </c>
      <c r="BP332" s="53">
        <v>150</v>
      </c>
      <c r="BQ332" s="53">
        <v>500</v>
      </c>
      <c r="BR332" s="53">
        <v>300</v>
      </c>
      <c r="BS332" s="53">
        <v>400</v>
      </c>
      <c r="BT332" s="53">
        <v>75</v>
      </c>
      <c r="BU332" s="53">
        <v>200</v>
      </c>
      <c r="BV332" s="53">
        <v>1500</v>
      </c>
      <c r="BW332" s="53">
        <v>400</v>
      </c>
      <c r="BX332" s="53">
        <v>800</v>
      </c>
      <c r="BY332" s="53">
        <v>200</v>
      </c>
      <c r="BZ332" s="53">
        <v>75</v>
      </c>
      <c r="CA332" s="53">
        <v>150</v>
      </c>
      <c r="CB332" s="53">
        <v>100</v>
      </c>
      <c r="CC332" s="53">
        <v>250</v>
      </c>
      <c r="CD332" s="53">
        <v>400</v>
      </c>
      <c r="CE332" s="53">
        <v>400</v>
      </c>
      <c r="CF332" s="53">
        <v>1500</v>
      </c>
      <c r="CG332" s="53">
        <v>750</v>
      </c>
      <c r="CH332" s="53">
        <v>1500</v>
      </c>
      <c r="CI332" s="53">
        <v>200</v>
      </c>
      <c r="CJ332" s="53">
        <v>200</v>
      </c>
      <c r="CK332" s="53">
        <v>200</v>
      </c>
      <c r="CL332" s="53">
        <v>1500</v>
      </c>
      <c r="CM332" s="53">
        <v>400</v>
      </c>
      <c r="CN332" s="206"/>
      <c r="CO332" s="206"/>
      <c r="CP332" s="206"/>
      <c r="CQ332" s="8">
        <f t="shared" si="189"/>
        <v>8</v>
      </c>
      <c r="CR332" s="8">
        <f t="shared" si="190"/>
        <v>1500</v>
      </c>
      <c r="CS332" s="8">
        <f t="shared" si="191"/>
        <v>433</v>
      </c>
      <c r="CT332">
        <f t="shared" si="192"/>
        <v>269.34530056632536</v>
      </c>
      <c r="CU332" s="143" t="e">
        <f t="shared" si="193"/>
        <v>#DIV/0!</v>
      </c>
      <c r="CV332" s="143">
        <f t="shared" si="194"/>
        <v>44</v>
      </c>
      <c r="CX332" s="7">
        <f t="shared" si="195"/>
        <v>51.75</v>
      </c>
      <c r="CY332" s="7">
        <f t="shared" si="196"/>
        <v>100</v>
      </c>
      <c r="CZ332" s="7">
        <f t="shared" si="197"/>
        <v>120</v>
      </c>
      <c r="DA332" s="7">
        <f t="shared" si="198"/>
        <v>150</v>
      </c>
      <c r="DB332" s="7">
        <f t="shared" si="199"/>
        <v>325</v>
      </c>
      <c r="DC332" s="7">
        <f t="shared" si="200"/>
        <v>400</v>
      </c>
      <c r="DD332" s="7">
        <f t="shared" si="201"/>
        <v>500</v>
      </c>
      <c r="DE332" s="7">
        <f t="shared" si="202"/>
        <v>587.5</v>
      </c>
      <c r="DF332" s="7">
        <f t="shared" si="203"/>
        <v>712.5</v>
      </c>
      <c r="DH332" s="7">
        <f t="shared" si="204"/>
        <v>17</v>
      </c>
      <c r="DI332" s="7">
        <f t="shared" si="205"/>
        <v>35</v>
      </c>
      <c r="DJ332" s="7">
        <f t="shared" si="206"/>
        <v>44</v>
      </c>
      <c r="DK332" s="7">
        <f t="shared" si="207"/>
        <v>63</v>
      </c>
      <c r="DL332" s="7">
        <f t="shared" si="208"/>
        <v>140</v>
      </c>
      <c r="DM332" s="7">
        <f t="shared" si="209"/>
        <v>160</v>
      </c>
      <c r="DN332" s="7">
        <f t="shared" si="210"/>
        <v>257.5</v>
      </c>
      <c r="DO332" s="7">
        <f t="shared" si="211"/>
        <v>452.5</v>
      </c>
      <c r="DP332" s="7">
        <f t="shared" si="212"/>
        <v>616.5</v>
      </c>
    </row>
    <row r="333" spans="1:130" ht="27" hidden="1" customHeight="1" x14ac:dyDescent="0.25">
      <c r="A333" s="92" t="str">
        <f t="shared" si="181"/>
        <v>CO-CLAY [18]</v>
      </c>
      <c r="B333" s="92" t="str">
        <f t="shared" si="182"/>
        <v>Clayoquot</v>
      </c>
      <c r="C333" s="93" t="str">
        <f t="shared" si="186"/>
        <v>WHITE PINE COVE CREEK_Coho</v>
      </c>
      <c r="D333" s="128" t="s">
        <v>598</v>
      </c>
      <c r="E333" s="128" t="s">
        <v>598</v>
      </c>
      <c r="F333" s="64">
        <v>24</v>
      </c>
      <c r="G333" s="72" t="s">
        <v>193</v>
      </c>
      <c r="H333" s="65" t="s">
        <v>93</v>
      </c>
      <c r="I333" s="119"/>
      <c r="J333" s="119"/>
      <c r="K333" s="64">
        <v>4</v>
      </c>
      <c r="L333" s="52">
        <v>6</v>
      </c>
      <c r="M333" s="52">
        <v>0</v>
      </c>
      <c r="N333" s="52" t="e">
        <f t="shared" si="183"/>
        <v>#NUM!</v>
      </c>
      <c r="O333" s="52">
        <f t="shared" si="184"/>
        <v>100</v>
      </c>
      <c r="P333" s="52">
        <f t="shared" si="185"/>
        <v>30.998615670459476</v>
      </c>
      <c r="Q333" s="66"/>
      <c r="R333" s="39"/>
      <c r="S333" s="74" t="s">
        <v>375</v>
      </c>
      <c r="T333" s="81" t="e">
        <f t="shared" si="187"/>
        <v>#DIV/0!</v>
      </c>
      <c r="U333" s="81" t="e">
        <f t="shared" si="188"/>
        <v>#DIV/0!</v>
      </c>
      <c r="V333" s="228"/>
      <c r="W333" s="52" t="s">
        <v>262</v>
      </c>
      <c r="X333" s="52" t="s">
        <v>262</v>
      </c>
      <c r="Y333" s="52" t="s">
        <v>102</v>
      </c>
      <c r="Z333" s="52" t="s">
        <v>102</v>
      </c>
      <c r="AA333" s="52" t="s">
        <v>102</v>
      </c>
      <c r="AB333" s="52" t="s">
        <v>102</v>
      </c>
      <c r="AC333" s="52" t="s">
        <v>102</v>
      </c>
      <c r="AD333" s="53" t="s">
        <v>262</v>
      </c>
      <c r="AE333" s="144" t="s">
        <v>262</v>
      </c>
      <c r="AF333" s="52" t="s">
        <v>102</v>
      </c>
      <c r="AG333" s="52" t="s">
        <v>102</v>
      </c>
      <c r="AH333" s="52" t="s">
        <v>102</v>
      </c>
      <c r="AI333" s="52" t="s">
        <v>102</v>
      </c>
      <c r="AJ333" s="52" t="s">
        <v>102</v>
      </c>
      <c r="AK333" s="52" t="s">
        <v>102</v>
      </c>
      <c r="AL333" s="52" t="s">
        <v>102</v>
      </c>
      <c r="AM333" s="52" t="s">
        <v>102</v>
      </c>
      <c r="AN333" s="52" t="s">
        <v>102</v>
      </c>
      <c r="AO333" s="52" t="s">
        <v>102</v>
      </c>
      <c r="AP333" s="52" t="s">
        <v>262</v>
      </c>
      <c r="AQ333" s="52" t="s">
        <v>262</v>
      </c>
      <c r="AR333" s="53" t="s">
        <v>102</v>
      </c>
      <c r="AS333" s="54"/>
      <c r="AT333" s="52" t="s">
        <v>262</v>
      </c>
      <c r="AU333" s="52" t="s">
        <v>262</v>
      </c>
      <c r="AV333" s="52" t="s">
        <v>262</v>
      </c>
      <c r="AW333" s="52" t="s">
        <v>262</v>
      </c>
      <c r="AX333" s="51" t="s">
        <v>264</v>
      </c>
      <c r="AY333" s="53" t="s">
        <v>264</v>
      </c>
      <c r="AZ333" s="53" t="s">
        <v>264</v>
      </c>
      <c r="BA333" s="53" t="s">
        <v>264</v>
      </c>
      <c r="BB333" s="53" t="s">
        <v>264</v>
      </c>
      <c r="BC333" s="53" t="s">
        <v>264</v>
      </c>
      <c r="BD333" s="53" t="s">
        <v>262</v>
      </c>
      <c r="BE333" s="53" t="s">
        <v>262</v>
      </c>
      <c r="BF333" s="53" t="s">
        <v>262</v>
      </c>
      <c r="BG333" s="53" t="s">
        <v>262</v>
      </c>
      <c r="BH333" s="53" t="s">
        <v>262</v>
      </c>
      <c r="BI333" s="53" t="s">
        <v>264</v>
      </c>
      <c r="BJ333" s="53" t="s">
        <v>264</v>
      </c>
      <c r="BK333" s="53" t="s">
        <v>264</v>
      </c>
      <c r="BL333" s="53" t="s">
        <v>262</v>
      </c>
      <c r="BM333" s="53" t="s">
        <v>262</v>
      </c>
      <c r="BN333" s="53" t="s">
        <v>262</v>
      </c>
      <c r="BO333" s="53" t="s">
        <v>262</v>
      </c>
      <c r="BP333" s="53" t="s">
        <v>262</v>
      </c>
      <c r="BQ333" s="53" t="s">
        <v>262</v>
      </c>
      <c r="BR333" s="53" t="s">
        <v>262</v>
      </c>
      <c r="BS333" s="53" t="s">
        <v>262</v>
      </c>
      <c r="BT333" s="53">
        <v>25</v>
      </c>
      <c r="BU333" s="53">
        <v>75</v>
      </c>
      <c r="BV333" s="53">
        <v>25</v>
      </c>
      <c r="BW333" s="53" t="s">
        <v>264</v>
      </c>
      <c r="BX333" s="53" t="s">
        <v>264</v>
      </c>
      <c r="BY333" s="53">
        <v>25</v>
      </c>
      <c r="BZ333" s="53">
        <v>25</v>
      </c>
      <c r="CA333" s="53">
        <v>100</v>
      </c>
      <c r="CB333" s="53">
        <v>50</v>
      </c>
      <c r="CC333" s="53">
        <v>50</v>
      </c>
      <c r="CD333" s="53">
        <v>25</v>
      </c>
      <c r="CE333" s="53">
        <v>25</v>
      </c>
      <c r="CF333" s="53">
        <v>25</v>
      </c>
      <c r="CG333" s="53">
        <v>25</v>
      </c>
      <c r="CH333" s="53">
        <v>25</v>
      </c>
      <c r="CI333" s="53">
        <v>25</v>
      </c>
      <c r="CJ333" s="53">
        <v>25</v>
      </c>
      <c r="CK333" s="53">
        <v>25</v>
      </c>
      <c r="CL333" s="53">
        <v>25</v>
      </c>
      <c r="CM333" s="53">
        <v>25</v>
      </c>
      <c r="CN333" s="206"/>
      <c r="CO333" s="206"/>
      <c r="CP333" s="206"/>
      <c r="CQ333" s="8">
        <f t="shared" si="189"/>
        <v>25</v>
      </c>
      <c r="CR333" s="8">
        <f t="shared" si="190"/>
        <v>100</v>
      </c>
      <c r="CS333" s="8">
        <f t="shared" si="191"/>
        <v>34.722222222222221</v>
      </c>
      <c r="CT333">
        <f t="shared" si="192"/>
        <v>30.998615670459476</v>
      </c>
      <c r="CU333" s="143" t="e">
        <f t="shared" si="193"/>
        <v>#DIV/0!</v>
      </c>
      <c r="CV333" s="143" t="e">
        <f t="shared" si="194"/>
        <v>#DIV/0!</v>
      </c>
      <c r="CX333" s="7">
        <f t="shared" si="195"/>
        <v>25</v>
      </c>
      <c r="CY333" s="7">
        <f t="shared" si="196"/>
        <v>25</v>
      </c>
      <c r="CZ333" s="7">
        <f t="shared" si="197"/>
        <v>25</v>
      </c>
      <c r="DA333" s="7">
        <f t="shared" si="198"/>
        <v>25</v>
      </c>
      <c r="DB333" s="7">
        <f t="shared" si="199"/>
        <v>25</v>
      </c>
      <c r="DC333" s="7">
        <f t="shared" si="200"/>
        <v>25</v>
      </c>
      <c r="DD333" s="7">
        <f t="shared" si="201"/>
        <v>25</v>
      </c>
      <c r="DE333" s="7">
        <f t="shared" si="202"/>
        <v>25</v>
      </c>
      <c r="DF333" s="7">
        <f t="shared" si="203"/>
        <v>50</v>
      </c>
      <c r="DH333" s="7" t="e">
        <f t="shared" si="204"/>
        <v>#NUM!</v>
      </c>
      <c r="DI333" s="7" t="e">
        <f t="shared" si="205"/>
        <v>#NUM!</v>
      </c>
      <c r="DJ333" s="7" t="e">
        <f t="shared" si="206"/>
        <v>#NUM!</v>
      </c>
      <c r="DK333" s="7" t="e">
        <f t="shared" si="207"/>
        <v>#NUM!</v>
      </c>
      <c r="DL333" s="7" t="e">
        <f t="shared" si="208"/>
        <v>#NUM!</v>
      </c>
      <c r="DM333" s="7" t="e">
        <f t="shared" si="209"/>
        <v>#NUM!</v>
      </c>
      <c r="DN333" s="7" t="e">
        <f t="shared" si="210"/>
        <v>#NUM!</v>
      </c>
      <c r="DO333" s="7" t="e">
        <f t="shared" si="211"/>
        <v>#NUM!</v>
      </c>
      <c r="DP333" s="7" t="e">
        <f t="shared" si="212"/>
        <v>#NUM!</v>
      </c>
    </row>
    <row r="334" spans="1:130" ht="20.25" hidden="1" customHeight="1" x14ac:dyDescent="0.25">
      <c r="A334" s="92" t="str">
        <f t="shared" si="181"/>
        <v>CM-SWVI [10]</v>
      </c>
      <c r="B334" s="92" t="str">
        <f t="shared" si="182"/>
        <v>Southwest Vancouver Island</v>
      </c>
      <c r="C334" s="93" t="str">
        <f t="shared" si="186"/>
        <v>BEANO CREEK_Chum</v>
      </c>
      <c r="D334" s="128" t="s">
        <v>598</v>
      </c>
      <c r="E334" s="128" t="s">
        <v>598</v>
      </c>
      <c r="F334" s="64">
        <v>25</v>
      </c>
      <c r="G334" s="72" t="s">
        <v>234</v>
      </c>
      <c r="H334" s="65" t="s">
        <v>96</v>
      </c>
      <c r="I334" s="119"/>
      <c r="J334" s="119"/>
      <c r="K334" s="64">
        <v>5</v>
      </c>
      <c r="L334" s="52">
        <v>2</v>
      </c>
      <c r="M334" s="52">
        <v>2</v>
      </c>
      <c r="N334" s="52">
        <f t="shared" si="183"/>
        <v>144.22205101855957</v>
      </c>
      <c r="O334" s="52">
        <f t="shared" si="184"/>
        <v>260</v>
      </c>
      <c r="P334" s="52">
        <f t="shared" si="185"/>
        <v>144.22205101855957</v>
      </c>
      <c r="Q334" s="66"/>
      <c r="R334" s="37"/>
      <c r="S334" s="76" t="s">
        <v>463</v>
      </c>
      <c r="T334" s="81" t="e">
        <f t="shared" si="187"/>
        <v>#DIV/0!</v>
      </c>
      <c r="U334" s="81" t="e">
        <f t="shared" si="188"/>
        <v>#DIV/0!</v>
      </c>
      <c r="V334" s="52" t="s">
        <v>102</v>
      </c>
      <c r="W334" s="52" t="s">
        <v>102</v>
      </c>
      <c r="X334" s="52" t="s">
        <v>102</v>
      </c>
      <c r="Y334" s="52" t="s">
        <v>102</v>
      </c>
      <c r="Z334" s="52" t="s">
        <v>102</v>
      </c>
      <c r="AA334" s="52" t="s">
        <v>102</v>
      </c>
      <c r="AB334" s="52" t="s">
        <v>102</v>
      </c>
      <c r="AC334" s="52" t="s">
        <v>102</v>
      </c>
      <c r="AD334" s="52" t="s">
        <v>102</v>
      </c>
      <c r="AE334" s="52" t="s">
        <v>102</v>
      </c>
      <c r="AF334" s="52" t="s">
        <v>102</v>
      </c>
      <c r="AG334" s="52" t="s">
        <v>102</v>
      </c>
      <c r="AH334" s="52" t="s">
        <v>102</v>
      </c>
      <c r="AI334" s="52" t="s">
        <v>102</v>
      </c>
      <c r="AJ334" s="52" t="s">
        <v>102</v>
      </c>
      <c r="AK334" s="52" t="s">
        <v>102</v>
      </c>
      <c r="AL334" s="52" t="s">
        <v>102</v>
      </c>
      <c r="AM334" s="52" t="s">
        <v>102</v>
      </c>
      <c r="AN334" s="52" t="s">
        <v>102</v>
      </c>
      <c r="AO334" s="53">
        <v>80</v>
      </c>
      <c r="AP334" s="53" t="s">
        <v>102</v>
      </c>
      <c r="AQ334" s="53" t="s">
        <v>102</v>
      </c>
      <c r="AR334" s="53" t="s">
        <v>102</v>
      </c>
      <c r="AS334" s="52" t="s">
        <v>102</v>
      </c>
      <c r="AT334" s="52" t="s">
        <v>102</v>
      </c>
      <c r="AU334" s="52">
        <v>260</v>
      </c>
      <c r="AV334" s="52" t="s">
        <v>102</v>
      </c>
      <c r="AW334" s="52" t="s">
        <v>102</v>
      </c>
      <c r="AX334" s="51" t="s">
        <v>102</v>
      </c>
      <c r="AY334" s="53" t="s">
        <v>102</v>
      </c>
      <c r="AZ334" s="53" t="s">
        <v>102</v>
      </c>
      <c r="BA334" s="53" t="s">
        <v>102</v>
      </c>
      <c r="BB334" s="53" t="s">
        <v>102</v>
      </c>
      <c r="BC334" s="53" t="s">
        <v>102</v>
      </c>
      <c r="BD334" s="53" t="s">
        <v>102</v>
      </c>
      <c r="BE334" s="53" t="s">
        <v>102</v>
      </c>
      <c r="BF334" s="53" t="s">
        <v>102</v>
      </c>
      <c r="BG334" s="53" t="s">
        <v>102</v>
      </c>
      <c r="BH334" s="53" t="s">
        <v>102</v>
      </c>
      <c r="BI334" s="53" t="s">
        <v>102</v>
      </c>
      <c r="BJ334" s="53" t="s">
        <v>102</v>
      </c>
      <c r="BK334" s="53" t="s">
        <v>102</v>
      </c>
      <c r="BL334" s="53" t="s">
        <v>102</v>
      </c>
      <c r="BM334" s="53" t="s">
        <v>102</v>
      </c>
      <c r="BN334" s="53" t="s">
        <v>102</v>
      </c>
      <c r="BO334" s="53" t="s">
        <v>102</v>
      </c>
      <c r="BP334" s="53" t="s">
        <v>102</v>
      </c>
      <c r="BQ334" s="53" t="s">
        <v>102</v>
      </c>
      <c r="BR334" s="53" t="s">
        <v>102</v>
      </c>
      <c r="BS334" s="53" t="s">
        <v>102</v>
      </c>
      <c r="BT334" s="53" t="s">
        <v>102</v>
      </c>
      <c r="BU334" s="53" t="s">
        <v>102</v>
      </c>
      <c r="BV334" s="53" t="s">
        <v>102</v>
      </c>
      <c r="BW334" s="53" t="s">
        <v>102</v>
      </c>
      <c r="BX334" s="53" t="s">
        <v>102</v>
      </c>
      <c r="BY334" s="53" t="s">
        <v>102</v>
      </c>
      <c r="BZ334" s="53" t="s">
        <v>102</v>
      </c>
      <c r="CA334" s="53" t="s">
        <v>102</v>
      </c>
      <c r="CB334" s="53" t="s">
        <v>102</v>
      </c>
      <c r="CC334" s="53" t="s">
        <v>102</v>
      </c>
      <c r="CD334" s="53" t="s">
        <v>102</v>
      </c>
      <c r="CE334" s="53" t="s">
        <v>102</v>
      </c>
      <c r="CF334" s="53" t="s">
        <v>102</v>
      </c>
      <c r="CG334" s="53" t="s">
        <v>102</v>
      </c>
      <c r="CH334" s="53" t="s">
        <v>102</v>
      </c>
      <c r="CI334" s="53" t="s">
        <v>102</v>
      </c>
      <c r="CJ334" s="53" t="s">
        <v>102</v>
      </c>
      <c r="CK334" s="53" t="s">
        <v>102</v>
      </c>
      <c r="CL334" s="53" t="s">
        <v>102</v>
      </c>
      <c r="CM334" s="53" t="s">
        <v>102</v>
      </c>
      <c r="CN334" s="206"/>
      <c r="CO334" s="206"/>
      <c r="CP334" s="206"/>
      <c r="CQ334" s="8">
        <f t="shared" si="189"/>
        <v>80</v>
      </c>
      <c r="CR334" s="8">
        <f t="shared" si="190"/>
        <v>260</v>
      </c>
      <c r="CS334" s="8">
        <f t="shared" si="191"/>
        <v>170</v>
      </c>
      <c r="CT334">
        <f t="shared" si="192"/>
        <v>144.22205101855957</v>
      </c>
      <c r="CU334" s="143" t="e">
        <f t="shared" si="193"/>
        <v>#DIV/0!</v>
      </c>
      <c r="CV334" s="143" t="e">
        <f t="shared" si="194"/>
        <v>#DIV/0!</v>
      </c>
      <c r="CX334" s="7">
        <f t="shared" si="195"/>
        <v>89</v>
      </c>
      <c r="CY334" s="7">
        <f t="shared" si="196"/>
        <v>106.99999999999999</v>
      </c>
      <c r="CZ334" s="7">
        <f t="shared" si="197"/>
        <v>116</v>
      </c>
      <c r="DA334" s="7">
        <f t="shared" si="198"/>
        <v>125</v>
      </c>
      <c r="DB334" s="7">
        <f t="shared" si="199"/>
        <v>170</v>
      </c>
      <c r="DC334" s="7">
        <f t="shared" si="200"/>
        <v>188</v>
      </c>
      <c r="DD334" s="7">
        <f t="shared" si="201"/>
        <v>197</v>
      </c>
      <c r="DE334" s="7">
        <f t="shared" si="202"/>
        <v>215</v>
      </c>
      <c r="DF334" s="7">
        <f t="shared" si="203"/>
        <v>233.00000000000003</v>
      </c>
      <c r="DH334" s="7">
        <f t="shared" si="204"/>
        <v>89</v>
      </c>
      <c r="DI334" s="7">
        <f t="shared" si="205"/>
        <v>106.99999999999999</v>
      </c>
      <c r="DJ334" s="7">
        <f t="shared" si="206"/>
        <v>116</v>
      </c>
      <c r="DK334" s="7">
        <f t="shared" si="207"/>
        <v>125</v>
      </c>
      <c r="DL334" s="7">
        <f t="shared" si="208"/>
        <v>170</v>
      </c>
      <c r="DM334" s="7">
        <f t="shared" si="209"/>
        <v>188</v>
      </c>
      <c r="DN334" s="7">
        <f t="shared" si="210"/>
        <v>197</v>
      </c>
      <c r="DO334" s="7">
        <f t="shared" si="211"/>
        <v>215</v>
      </c>
      <c r="DP334" s="7">
        <f t="shared" si="212"/>
        <v>233.00000000000003</v>
      </c>
    </row>
    <row r="335" spans="1:130" ht="20.25" hidden="1" customHeight="1" x14ac:dyDescent="0.25">
      <c r="A335" s="92" t="str">
        <f t="shared" si="181"/>
        <v>CO-WVI [17]</v>
      </c>
      <c r="B335" s="92" t="str">
        <f t="shared" si="182"/>
        <v>West Vancouver Island</v>
      </c>
      <c r="C335" s="93" t="str">
        <f t="shared" si="186"/>
        <v>BEANO CREEK_Coho</v>
      </c>
      <c r="D335" s="128" t="s">
        <v>598</v>
      </c>
      <c r="E335" s="128" t="s">
        <v>598</v>
      </c>
      <c r="F335" s="64">
        <v>25</v>
      </c>
      <c r="G335" s="72" t="s">
        <v>234</v>
      </c>
      <c r="H335" s="65" t="s">
        <v>93</v>
      </c>
      <c r="I335" s="119"/>
      <c r="J335" s="119"/>
      <c r="K335" s="64">
        <v>5</v>
      </c>
      <c r="L335" s="52">
        <v>2</v>
      </c>
      <c r="M335" s="52">
        <v>1</v>
      </c>
      <c r="N335" s="52">
        <f t="shared" si="183"/>
        <v>20</v>
      </c>
      <c r="O335" s="52">
        <f t="shared" si="184"/>
        <v>20</v>
      </c>
      <c r="P335" s="52">
        <f t="shared" si="185"/>
        <v>20</v>
      </c>
      <c r="Q335" s="66"/>
      <c r="R335" s="37"/>
      <c r="S335" s="76" t="s">
        <v>463</v>
      </c>
      <c r="T335" s="81" t="e">
        <f t="shared" si="187"/>
        <v>#DIV/0!</v>
      </c>
      <c r="U335" s="81" t="e">
        <f t="shared" si="188"/>
        <v>#DIV/0!</v>
      </c>
      <c r="V335" s="52" t="s">
        <v>102</v>
      </c>
      <c r="W335" s="52" t="s">
        <v>102</v>
      </c>
      <c r="X335" s="52" t="s">
        <v>102</v>
      </c>
      <c r="Y335" s="52" t="s">
        <v>102</v>
      </c>
      <c r="Z335" s="52" t="s">
        <v>102</v>
      </c>
      <c r="AA335" s="52" t="s">
        <v>102</v>
      </c>
      <c r="AB335" s="52" t="s">
        <v>102</v>
      </c>
      <c r="AC335" s="52" t="s">
        <v>102</v>
      </c>
      <c r="AD335" s="52" t="s">
        <v>102</v>
      </c>
      <c r="AE335" s="52" t="s">
        <v>102</v>
      </c>
      <c r="AF335" s="52" t="s">
        <v>102</v>
      </c>
      <c r="AG335" s="52" t="s">
        <v>102</v>
      </c>
      <c r="AH335" s="52" t="s">
        <v>102</v>
      </c>
      <c r="AI335" s="52" t="s">
        <v>102</v>
      </c>
      <c r="AJ335" s="52" t="s">
        <v>102</v>
      </c>
      <c r="AK335" s="52" t="s">
        <v>102</v>
      </c>
      <c r="AL335" s="52" t="s">
        <v>102</v>
      </c>
      <c r="AM335" s="52" t="s">
        <v>102</v>
      </c>
      <c r="AN335" s="52" t="s">
        <v>102</v>
      </c>
      <c r="AO335" s="53">
        <v>20</v>
      </c>
      <c r="AP335" s="53" t="s">
        <v>102</v>
      </c>
      <c r="AQ335" s="53" t="s">
        <v>102</v>
      </c>
      <c r="AR335" s="53" t="s">
        <v>102</v>
      </c>
      <c r="AS335" s="52" t="s">
        <v>102</v>
      </c>
      <c r="AT335" s="52" t="s">
        <v>102</v>
      </c>
      <c r="AU335" s="52" t="s">
        <v>262</v>
      </c>
      <c r="AV335" s="52" t="s">
        <v>102</v>
      </c>
      <c r="AW335" s="52" t="s">
        <v>102</v>
      </c>
      <c r="AX335" s="51" t="s">
        <v>102</v>
      </c>
      <c r="AY335" s="53" t="s">
        <v>102</v>
      </c>
      <c r="AZ335" s="53" t="s">
        <v>102</v>
      </c>
      <c r="BA335" s="53" t="s">
        <v>102</v>
      </c>
      <c r="BB335" s="53" t="s">
        <v>102</v>
      </c>
      <c r="BC335" s="53" t="s">
        <v>102</v>
      </c>
      <c r="BD335" s="53" t="s">
        <v>102</v>
      </c>
      <c r="BE335" s="53" t="s">
        <v>102</v>
      </c>
      <c r="BF335" s="53" t="s">
        <v>102</v>
      </c>
      <c r="BG335" s="53" t="s">
        <v>102</v>
      </c>
      <c r="BH335" s="53" t="s">
        <v>102</v>
      </c>
      <c r="BI335" s="53" t="s">
        <v>102</v>
      </c>
      <c r="BJ335" s="53" t="s">
        <v>102</v>
      </c>
      <c r="BK335" s="53" t="s">
        <v>102</v>
      </c>
      <c r="BL335" s="53" t="s">
        <v>102</v>
      </c>
      <c r="BM335" s="53" t="s">
        <v>102</v>
      </c>
      <c r="BN335" s="53" t="s">
        <v>102</v>
      </c>
      <c r="BO335" s="53" t="s">
        <v>102</v>
      </c>
      <c r="BP335" s="53" t="s">
        <v>102</v>
      </c>
      <c r="BQ335" s="53" t="s">
        <v>102</v>
      </c>
      <c r="BR335" s="53" t="s">
        <v>102</v>
      </c>
      <c r="BS335" s="53" t="s">
        <v>102</v>
      </c>
      <c r="BT335" s="53" t="s">
        <v>102</v>
      </c>
      <c r="BU335" s="53" t="s">
        <v>102</v>
      </c>
      <c r="BV335" s="53" t="s">
        <v>102</v>
      </c>
      <c r="BW335" s="53" t="s">
        <v>102</v>
      </c>
      <c r="BX335" s="53" t="s">
        <v>102</v>
      </c>
      <c r="BY335" s="53" t="s">
        <v>102</v>
      </c>
      <c r="BZ335" s="53" t="s">
        <v>102</v>
      </c>
      <c r="CA335" s="53" t="s">
        <v>102</v>
      </c>
      <c r="CB335" s="53" t="s">
        <v>102</v>
      </c>
      <c r="CC335" s="53" t="s">
        <v>102</v>
      </c>
      <c r="CD335" s="53" t="s">
        <v>102</v>
      </c>
      <c r="CE335" s="53" t="s">
        <v>102</v>
      </c>
      <c r="CF335" s="53" t="s">
        <v>102</v>
      </c>
      <c r="CG335" s="53" t="s">
        <v>102</v>
      </c>
      <c r="CH335" s="53" t="s">
        <v>102</v>
      </c>
      <c r="CI335" s="53" t="s">
        <v>102</v>
      </c>
      <c r="CJ335" s="53" t="s">
        <v>102</v>
      </c>
      <c r="CK335" s="53" t="s">
        <v>102</v>
      </c>
      <c r="CL335" s="53" t="s">
        <v>102</v>
      </c>
      <c r="CM335" s="53" t="s">
        <v>102</v>
      </c>
      <c r="CN335" s="206"/>
      <c r="CO335" s="206"/>
      <c r="CP335" s="206"/>
      <c r="CQ335" s="8">
        <f t="shared" si="189"/>
        <v>20</v>
      </c>
      <c r="CR335" s="8">
        <f t="shared" si="190"/>
        <v>20</v>
      </c>
      <c r="CS335" s="8">
        <f t="shared" si="191"/>
        <v>20</v>
      </c>
      <c r="CT335">
        <f t="shared" si="192"/>
        <v>20</v>
      </c>
      <c r="CU335" s="143" t="e">
        <f t="shared" si="193"/>
        <v>#DIV/0!</v>
      </c>
      <c r="CV335" s="143" t="e">
        <f t="shared" si="194"/>
        <v>#DIV/0!</v>
      </c>
      <c r="CX335" s="7">
        <f t="shared" si="195"/>
        <v>20</v>
      </c>
      <c r="CY335" s="7">
        <f t="shared" si="196"/>
        <v>20</v>
      </c>
      <c r="CZ335" s="7">
        <f t="shared" si="197"/>
        <v>20</v>
      </c>
      <c r="DA335" s="7">
        <f t="shared" si="198"/>
        <v>20</v>
      </c>
      <c r="DB335" s="7">
        <f t="shared" si="199"/>
        <v>20</v>
      </c>
      <c r="DC335" s="7">
        <f t="shared" si="200"/>
        <v>20</v>
      </c>
      <c r="DD335" s="7">
        <f t="shared" si="201"/>
        <v>20</v>
      </c>
      <c r="DE335" s="7">
        <f t="shared" si="202"/>
        <v>20</v>
      </c>
      <c r="DF335" s="7">
        <f t="shared" si="203"/>
        <v>20</v>
      </c>
      <c r="DH335" s="7">
        <f t="shared" si="204"/>
        <v>20</v>
      </c>
      <c r="DI335" s="7">
        <f t="shared" si="205"/>
        <v>20</v>
      </c>
      <c r="DJ335" s="7">
        <f t="shared" si="206"/>
        <v>20</v>
      </c>
      <c r="DK335" s="7">
        <f t="shared" si="207"/>
        <v>20</v>
      </c>
      <c r="DL335" s="7">
        <f t="shared" si="208"/>
        <v>20</v>
      </c>
      <c r="DM335" s="7">
        <f t="shared" si="209"/>
        <v>20</v>
      </c>
      <c r="DN335" s="7">
        <f t="shared" si="210"/>
        <v>20</v>
      </c>
      <c r="DO335" s="7">
        <f t="shared" si="211"/>
        <v>20</v>
      </c>
      <c r="DP335" s="7">
        <f t="shared" si="212"/>
        <v>20</v>
      </c>
    </row>
    <row r="336" spans="1:130" ht="20.25" hidden="1" customHeight="1" x14ac:dyDescent="0.25">
      <c r="A336" s="92" t="str">
        <f t="shared" si="181"/>
        <v>SK-WVI [R10]</v>
      </c>
      <c r="B336" s="92" t="str">
        <f t="shared" si="182"/>
        <v>West Vancouver Island</v>
      </c>
      <c r="C336" s="93" t="str">
        <f t="shared" si="186"/>
        <v>BEANO CREEK_Sockeye</v>
      </c>
      <c r="D336" s="128" t="s">
        <v>598</v>
      </c>
      <c r="E336" s="128" t="s">
        <v>598</v>
      </c>
      <c r="F336" s="64">
        <v>25</v>
      </c>
      <c r="G336" s="72" t="s">
        <v>234</v>
      </c>
      <c r="H336" s="65" t="s">
        <v>91</v>
      </c>
      <c r="I336" s="119"/>
      <c r="J336" s="119"/>
      <c r="K336" s="64">
        <v>5</v>
      </c>
      <c r="L336" s="52">
        <v>2</v>
      </c>
      <c r="M336" s="52">
        <v>1</v>
      </c>
      <c r="N336" s="52">
        <f t="shared" si="183"/>
        <v>55</v>
      </c>
      <c r="O336" s="52">
        <f t="shared" si="184"/>
        <v>55</v>
      </c>
      <c r="P336" s="52">
        <f t="shared" si="185"/>
        <v>55</v>
      </c>
      <c r="Q336" s="66"/>
      <c r="R336" s="37"/>
      <c r="S336" s="76" t="s">
        <v>463</v>
      </c>
      <c r="T336" s="81" t="e">
        <f t="shared" si="187"/>
        <v>#DIV/0!</v>
      </c>
      <c r="U336" s="81" t="e">
        <f t="shared" si="188"/>
        <v>#DIV/0!</v>
      </c>
      <c r="V336" s="52" t="s">
        <v>102</v>
      </c>
      <c r="W336" s="52" t="s">
        <v>102</v>
      </c>
      <c r="X336" s="52" t="s">
        <v>102</v>
      </c>
      <c r="Y336" s="52" t="s">
        <v>102</v>
      </c>
      <c r="Z336" s="52" t="s">
        <v>102</v>
      </c>
      <c r="AA336" s="52" t="s">
        <v>102</v>
      </c>
      <c r="AB336" s="52" t="s">
        <v>102</v>
      </c>
      <c r="AC336" s="52" t="s">
        <v>102</v>
      </c>
      <c r="AD336" s="52" t="s">
        <v>102</v>
      </c>
      <c r="AE336" s="52" t="s">
        <v>102</v>
      </c>
      <c r="AF336" s="52" t="s">
        <v>102</v>
      </c>
      <c r="AG336" s="52" t="s">
        <v>102</v>
      </c>
      <c r="AH336" s="52" t="s">
        <v>102</v>
      </c>
      <c r="AI336" s="52" t="s">
        <v>102</v>
      </c>
      <c r="AJ336" s="52" t="s">
        <v>102</v>
      </c>
      <c r="AK336" s="52" t="s">
        <v>102</v>
      </c>
      <c r="AL336" s="52" t="s">
        <v>102</v>
      </c>
      <c r="AM336" s="52" t="s">
        <v>102</v>
      </c>
      <c r="AN336" s="52" t="s">
        <v>102</v>
      </c>
      <c r="AO336" s="53" t="s">
        <v>262</v>
      </c>
      <c r="AP336" s="53" t="s">
        <v>102</v>
      </c>
      <c r="AQ336" s="53" t="s">
        <v>102</v>
      </c>
      <c r="AR336" s="53" t="s">
        <v>102</v>
      </c>
      <c r="AS336" s="52" t="s">
        <v>102</v>
      </c>
      <c r="AT336" s="52" t="s">
        <v>102</v>
      </c>
      <c r="AU336" s="52">
        <v>55</v>
      </c>
      <c r="AV336" s="52" t="s">
        <v>102</v>
      </c>
      <c r="AW336" s="52" t="s">
        <v>102</v>
      </c>
      <c r="AX336" s="51" t="s">
        <v>102</v>
      </c>
      <c r="AY336" s="53" t="s">
        <v>102</v>
      </c>
      <c r="AZ336" s="53" t="s">
        <v>102</v>
      </c>
      <c r="BA336" s="53" t="s">
        <v>102</v>
      </c>
      <c r="BB336" s="53" t="s">
        <v>102</v>
      </c>
      <c r="BC336" s="53" t="s">
        <v>102</v>
      </c>
      <c r="BD336" s="53" t="s">
        <v>102</v>
      </c>
      <c r="BE336" s="53" t="s">
        <v>102</v>
      </c>
      <c r="BF336" s="53" t="s">
        <v>102</v>
      </c>
      <c r="BG336" s="53" t="s">
        <v>102</v>
      </c>
      <c r="BH336" s="53" t="s">
        <v>102</v>
      </c>
      <c r="BI336" s="53" t="s">
        <v>102</v>
      </c>
      <c r="BJ336" s="53" t="s">
        <v>102</v>
      </c>
      <c r="BK336" s="53" t="s">
        <v>102</v>
      </c>
      <c r="BL336" s="53" t="s">
        <v>102</v>
      </c>
      <c r="BM336" s="53" t="s">
        <v>102</v>
      </c>
      <c r="BN336" s="53" t="s">
        <v>102</v>
      </c>
      <c r="BO336" s="53" t="s">
        <v>102</v>
      </c>
      <c r="BP336" s="53" t="s">
        <v>102</v>
      </c>
      <c r="BQ336" s="53" t="s">
        <v>102</v>
      </c>
      <c r="BR336" s="53" t="s">
        <v>102</v>
      </c>
      <c r="BS336" s="53" t="s">
        <v>102</v>
      </c>
      <c r="BT336" s="53" t="s">
        <v>102</v>
      </c>
      <c r="BU336" s="53" t="s">
        <v>102</v>
      </c>
      <c r="BV336" s="53" t="s">
        <v>102</v>
      </c>
      <c r="BW336" s="53" t="s">
        <v>102</v>
      </c>
      <c r="BX336" s="53" t="s">
        <v>102</v>
      </c>
      <c r="BY336" s="53" t="s">
        <v>102</v>
      </c>
      <c r="BZ336" s="53" t="s">
        <v>102</v>
      </c>
      <c r="CA336" s="53" t="s">
        <v>102</v>
      </c>
      <c r="CB336" s="53" t="s">
        <v>102</v>
      </c>
      <c r="CC336" s="53" t="s">
        <v>102</v>
      </c>
      <c r="CD336" s="53" t="s">
        <v>102</v>
      </c>
      <c r="CE336" s="53" t="s">
        <v>102</v>
      </c>
      <c r="CF336" s="53" t="s">
        <v>102</v>
      </c>
      <c r="CG336" s="53" t="s">
        <v>102</v>
      </c>
      <c r="CH336" s="53" t="s">
        <v>102</v>
      </c>
      <c r="CI336" s="53" t="s">
        <v>102</v>
      </c>
      <c r="CJ336" s="53" t="s">
        <v>102</v>
      </c>
      <c r="CK336" s="53" t="s">
        <v>102</v>
      </c>
      <c r="CL336" s="53" t="s">
        <v>102</v>
      </c>
      <c r="CM336" s="53" t="s">
        <v>102</v>
      </c>
      <c r="CN336" s="206"/>
      <c r="CO336" s="206"/>
      <c r="CP336" s="206"/>
      <c r="CQ336" s="8">
        <f t="shared" si="189"/>
        <v>55</v>
      </c>
      <c r="CR336" s="8">
        <f t="shared" si="190"/>
        <v>55</v>
      </c>
      <c r="CS336" s="8">
        <f t="shared" si="191"/>
        <v>55</v>
      </c>
      <c r="CT336">
        <f t="shared" si="192"/>
        <v>55</v>
      </c>
      <c r="CU336" s="143" t="e">
        <f t="shared" si="193"/>
        <v>#DIV/0!</v>
      </c>
      <c r="CV336" s="143" t="e">
        <f t="shared" si="194"/>
        <v>#DIV/0!</v>
      </c>
      <c r="CX336" s="7">
        <f t="shared" si="195"/>
        <v>55</v>
      </c>
      <c r="CY336" s="7">
        <f t="shared" si="196"/>
        <v>55</v>
      </c>
      <c r="CZ336" s="7">
        <f t="shared" si="197"/>
        <v>55</v>
      </c>
      <c r="DA336" s="7">
        <f t="shared" si="198"/>
        <v>55</v>
      </c>
      <c r="DB336" s="7">
        <f t="shared" si="199"/>
        <v>55</v>
      </c>
      <c r="DC336" s="7">
        <f t="shared" si="200"/>
        <v>55</v>
      </c>
      <c r="DD336" s="7">
        <f t="shared" si="201"/>
        <v>55</v>
      </c>
      <c r="DE336" s="7">
        <f t="shared" si="202"/>
        <v>55</v>
      </c>
      <c r="DF336" s="7">
        <f t="shared" si="203"/>
        <v>55</v>
      </c>
      <c r="DH336" s="7">
        <f t="shared" si="204"/>
        <v>55</v>
      </c>
      <c r="DI336" s="7">
        <f t="shared" si="205"/>
        <v>55</v>
      </c>
      <c r="DJ336" s="7">
        <f t="shared" si="206"/>
        <v>55</v>
      </c>
      <c r="DK336" s="7">
        <f t="shared" si="207"/>
        <v>55</v>
      </c>
      <c r="DL336" s="7">
        <f t="shared" si="208"/>
        <v>55</v>
      </c>
      <c r="DM336" s="7">
        <f t="shared" si="209"/>
        <v>55</v>
      </c>
      <c r="DN336" s="7">
        <f t="shared" si="210"/>
        <v>55</v>
      </c>
      <c r="DO336" s="7">
        <f t="shared" si="211"/>
        <v>55</v>
      </c>
      <c r="DP336" s="7">
        <f t="shared" si="212"/>
        <v>55</v>
      </c>
    </row>
    <row r="337" spans="1:130" ht="20.25" hidden="1" customHeight="1" x14ac:dyDescent="0.25">
      <c r="A337" s="92" t="str">
        <f t="shared" si="181"/>
        <v>CM-SWVI [10]</v>
      </c>
      <c r="B337" s="92" t="str">
        <f t="shared" si="182"/>
        <v>Southwest Vancouver Island</v>
      </c>
      <c r="C337" s="93" t="str">
        <f t="shared" si="186"/>
        <v>BINGO CREEK_Chum</v>
      </c>
      <c r="D337" s="128" t="s">
        <v>598</v>
      </c>
      <c r="E337" s="128" t="s">
        <v>598</v>
      </c>
      <c r="F337" s="64">
        <v>25</v>
      </c>
      <c r="G337" s="72" t="s">
        <v>213</v>
      </c>
      <c r="H337" s="65" t="s">
        <v>96</v>
      </c>
      <c r="I337" s="119"/>
      <c r="J337" s="119"/>
      <c r="K337" s="64">
        <v>5</v>
      </c>
      <c r="L337" s="52">
        <v>3</v>
      </c>
      <c r="M337" s="52">
        <v>2</v>
      </c>
      <c r="N337" s="52">
        <f t="shared" si="183"/>
        <v>252.48762345905195</v>
      </c>
      <c r="O337" s="52">
        <f t="shared" si="184"/>
        <v>750</v>
      </c>
      <c r="P337" s="52">
        <f t="shared" si="185"/>
        <v>157.07761179092748</v>
      </c>
      <c r="Q337" s="66"/>
      <c r="R337" s="37"/>
      <c r="S337" s="76" t="s">
        <v>444</v>
      </c>
      <c r="T337" s="81" t="e">
        <f t="shared" si="187"/>
        <v>#DIV/0!</v>
      </c>
      <c r="U337" s="81" t="e">
        <f t="shared" si="188"/>
        <v>#DIV/0!</v>
      </c>
      <c r="V337" s="52" t="s">
        <v>102</v>
      </c>
      <c r="W337" s="52" t="s">
        <v>102</v>
      </c>
      <c r="X337" s="52" t="s">
        <v>102</v>
      </c>
      <c r="Y337" s="52" t="s">
        <v>102</v>
      </c>
      <c r="Z337" s="52" t="s">
        <v>102</v>
      </c>
      <c r="AA337" s="52" t="s">
        <v>102</v>
      </c>
      <c r="AB337" s="52" t="s">
        <v>102</v>
      </c>
      <c r="AC337" s="52" t="s">
        <v>102</v>
      </c>
      <c r="AD337" s="52" t="s">
        <v>102</v>
      </c>
      <c r="AE337" s="52" t="s">
        <v>102</v>
      </c>
      <c r="AF337" s="52" t="s">
        <v>102</v>
      </c>
      <c r="AG337" s="52" t="s">
        <v>102</v>
      </c>
      <c r="AH337" s="52" t="s">
        <v>102</v>
      </c>
      <c r="AI337" s="52" t="s">
        <v>102</v>
      </c>
      <c r="AJ337" s="52" t="s">
        <v>102</v>
      </c>
      <c r="AK337" s="52" t="s">
        <v>102</v>
      </c>
      <c r="AL337" s="52" t="s">
        <v>102</v>
      </c>
      <c r="AM337" s="52" t="s">
        <v>102</v>
      </c>
      <c r="AN337" s="52" t="s">
        <v>102</v>
      </c>
      <c r="AO337" s="52" t="s">
        <v>102</v>
      </c>
      <c r="AP337" s="53" t="s">
        <v>262</v>
      </c>
      <c r="AQ337" s="52">
        <v>85</v>
      </c>
      <c r="AR337" s="52" t="s">
        <v>102</v>
      </c>
      <c r="AS337" s="52">
        <v>750</v>
      </c>
      <c r="AT337" s="52" t="s">
        <v>102</v>
      </c>
      <c r="AU337" s="52" t="s">
        <v>102</v>
      </c>
      <c r="AV337" s="52" t="s">
        <v>102</v>
      </c>
      <c r="AW337" s="52" t="s">
        <v>102</v>
      </c>
      <c r="AX337" s="51" t="s">
        <v>102</v>
      </c>
      <c r="AY337" s="53" t="s">
        <v>102</v>
      </c>
      <c r="AZ337" s="53" t="s">
        <v>102</v>
      </c>
      <c r="BA337" s="53" t="s">
        <v>102</v>
      </c>
      <c r="BB337" s="53" t="s">
        <v>102</v>
      </c>
      <c r="BC337" s="53" t="s">
        <v>102</v>
      </c>
      <c r="BD337" s="53" t="s">
        <v>102</v>
      </c>
      <c r="BE337" s="53" t="s">
        <v>102</v>
      </c>
      <c r="BF337" s="53" t="s">
        <v>102</v>
      </c>
      <c r="BG337" s="53" t="s">
        <v>102</v>
      </c>
      <c r="BH337" s="53" t="s">
        <v>262</v>
      </c>
      <c r="BI337" s="53" t="s">
        <v>102</v>
      </c>
      <c r="BJ337" s="53" t="s">
        <v>102</v>
      </c>
      <c r="BK337" s="53" t="s">
        <v>102</v>
      </c>
      <c r="BL337" s="53" t="s">
        <v>102</v>
      </c>
      <c r="BM337" s="53" t="s">
        <v>102</v>
      </c>
      <c r="BN337" s="53" t="s">
        <v>102</v>
      </c>
      <c r="BO337" s="53" t="s">
        <v>102</v>
      </c>
      <c r="BP337" s="53" t="s">
        <v>102</v>
      </c>
      <c r="BQ337" s="53" t="s">
        <v>102</v>
      </c>
      <c r="BR337" s="53" t="s">
        <v>102</v>
      </c>
      <c r="BS337" s="53" t="s">
        <v>102</v>
      </c>
      <c r="BT337" s="53" t="s">
        <v>102</v>
      </c>
      <c r="BU337" s="53" t="s">
        <v>102</v>
      </c>
      <c r="BV337" s="53" t="s">
        <v>102</v>
      </c>
      <c r="BW337" s="53" t="s">
        <v>102</v>
      </c>
      <c r="BX337" s="53" t="s">
        <v>102</v>
      </c>
      <c r="BY337" s="53" t="s">
        <v>102</v>
      </c>
      <c r="BZ337" s="53" t="s">
        <v>102</v>
      </c>
      <c r="CA337" s="53" t="s">
        <v>102</v>
      </c>
      <c r="CB337" s="53" t="s">
        <v>102</v>
      </c>
      <c r="CC337" s="53" t="s">
        <v>102</v>
      </c>
      <c r="CD337" s="53" t="s">
        <v>102</v>
      </c>
      <c r="CE337" s="53" t="s">
        <v>102</v>
      </c>
      <c r="CF337" s="53" t="s">
        <v>102</v>
      </c>
      <c r="CG337" s="53" t="s">
        <v>102</v>
      </c>
      <c r="CH337" s="53" t="s">
        <v>102</v>
      </c>
      <c r="CI337" s="53" t="s">
        <v>102</v>
      </c>
      <c r="CJ337" s="53">
        <v>25</v>
      </c>
      <c r="CK337" s="53" t="s">
        <v>264</v>
      </c>
      <c r="CL337" s="53">
        <v>300</v>
      </c>
      <c r="CM337" s="53">
        <v>200</v>
      </c>
      <c r="CN337" s="206"/>
      <c r="CO337" s="206"/>
      <c r="CP337" s="206"/>
      <c r="CQ337" s="8">
        <f t="shared" si="189"/>
        <v>25</v>
      </c>
      <c r="CR337" s="8">
        <f t="shared" si="190"/>
        <v>750</v>
      </c>
      <c r="CS337" s="8">
        <f t="shared" si="191"/>
        <v>272</v>
      </c>
      <c r="CT337">
        <f t="shared" si="192"/>
        <v>157.07761179092748</v>
      </c>
      <c r="CU337" s="143" t="e">
        <f t="shared" si="193"/>
        <v>#DIV/0!</v>
      </c>
      <c r="CV337" s="143" t="e">
        <f t="shared" si="194"/>
        <v>#DIV/0!</v>
      </c>
      <c r="CX337" s="7">
        <f t="shared" si="195"/>
        <v>37</v>
      </c>
      <c r="CY337" s="7">
        <f t="shared" si="196"/>
        <v>61.000000000000007</v>
      </c>
      <c r="CZ337" s="7">
        <f t="shared" si="197"/>
        <v>73</v>
      </c>
      <c r="DA337" s="7">
        <f t="shared" si="198"/>
        <v>85</v>
      </c>
      <c r="DB337" s="7">
        <f t="shared" si="199"/>
        <v>200</v>
      </c>
      <c r="DC337" s="7">
        <f t="shared" si="200"/>
        <v>240</v>
      </c>
      <c r="DD337" s="7">
        <f t="shared" si="201"/>
        <v>260</v>
      </c>
      <c r="DE337" s="7">
        <f t="shared" si="202"/>
        <v>300</v>
      </c>
      <c r="DF337" s="7">
        <f t="shared" si="203"/>
        <v>480.00000000000017</v>
      </c>
      <c r="DH337" s="7">
        <f t="shared" si="204"/>
        <v>118.25000000000003</v>
      </c>
      <c r="DI337" s="7">
        <f t="shared" si="205"/>
        <v>184.74999999999994</v>
      </c>
      <c r="DJ337" s="7">
        <f t="shared" si="206"/>
        <v>217.99999999999997</v>
      </c>
      <c r="DK337" s="7">
        <f t="shared" si="207"/>
        <v>251.25</v>
      </c>
      <c r="DL337" s="7">
        <f t="shared" si="208"/>
        <v>417.5</v>
      </c>
      <c r="DM337" s="7">
        <f t="shared" si="209"/>
        <v>484.00000000000006</v>
      </c>
      <c r="DN337" s="7">
        <f t="shared" si="210"/>
        <v>517.25</v>
      </c>
      <c r="DO337" s="7">
        <f t="shared" si="211"/>
        <v>583.75</v>
      </c>
      <c r="DP337" s="7">
        <f t="shared" si="212"/>
        <v>650.25000000000011</v>
      </c>
    </row>
    <row r="338" spans="1:130" ht="20.25" hidden="1" customHeight="1" x14ac:dyDescent="0.25">
      <c r="A338" s="92" t="str">
        <f t="shared" si="181"/>
        <v>CO-WVI [17]</v>
      </c>
      <c r="B338" s="92" t="str">
        <f t="shared" si="182"/>
        <v>West Vancouver Island</v>
      </c>
      <c r="C338" s="93" t="str">
        <f t="shared" si="186"/>
        <v>BINGO CREEK_Coho</v>
      </c>
      <c r="D338" s="128" t="s">
        <v>598</v>
      </c>
      <c r="E338" s="128" t="s">
        <v>598</v>
      </c>
      <c r="F338" s="64">
        <v>25</v>
      </c>
      <c r="G338" s="72" t="s">
        <v>213</v>
      </c>
      <c r="H338" s="65" t="s">
        <v>93</v>
      </c>
      <c r="I338" s="119"/>
      <c r="J338" s="119"/>
      <c r="K338" s="64">
        <v>5</v>
      </c>
      <c r="L338" s="52">
        <v>3</v>
      </c>
      <c r="M338" s="52">
        <v>1</v>
      </c>
      <c r="N338" s="52">
        <f t="shared" si="183"/>
        <v>150</v>
      </c>
      <c r="O338" s="52">
        <f t="shared" si="184"/>
        <v>150</v>
      </c>
      <c r="P338" s="52">
        <f t="shared" si="185"/>
        <v>82.54818122236567</v>
      </c>
      <c r="Q338" s="66"/>
      <c r="R338" s="37"/>
      <c r="S338" s="76" t="s">
        <v>444</v>
      </c>
      <c r="T338" s="81" t="e">
        <f t="shared" si="187"/>
        <v>#DIV/0!</v>
      </c>
      <c r="U338" s="81" t="e">
        <f t="shared" si="188"/>
        <v>#DIV/0!</v>
      </c>
      <c r="V338" s="52" t="s">
        <v>102</v>
      </c>
      <c r="W338" s="52" t="s">
        <v>102</v>
      </c>
      <c r="X338" s="52" t="s">
        <v>102</v>
      </c>
      <c r="Y338" s="52" t="s">
        <v>102</v>
      </c>
      <c r="Z338" s="52" t="s">
        <v>102</v>
      </c>
      <c r="AA338" s="52" t="s">
        <v>102</v>
      </c>
      <c r="AB338" s="52" t="s">
        <v>102</v>
      </c>
      <c r="AC338" s="52" t="s">
        <v>102</v>
      </c>
      <c r="AD338" s="52" t="s">
        <v>102</v>
      </c>
      <c r="AE338" s="52" t="s">
        <v>102</v>
      </c>
      <c r="AF338" s="52" t="s">
        <v>102</v>
      </c>
      <c r="AG338" s="52" t="s">
        <v>102</v>
      </c>
      <c r="AH338" s="52" t="s">
        <v>102</v>
      </c>
      <c r="AI338" s="52" t="s">
        <v>102</v>
      </c>
      <c r="AJ338" s="52" t="s">
        <v>102</v>
      </c>
      <c r="AK338" s="52" t="s">
        <v>102</v>
      </c>
      <c r="AL338" s="52" t="s">
        <v>102</v>
      </c>
      <c r="AM338" s="52" t="s">
        <v>102</v>
      </c>
      <c r="AN338" s="52" t="s">
        <v>102</v>
      </c>
      <c r="AO338" s="52" t="s">
        <v>102</v>
      </c>
      <c r="AP338" s="53" t="s">
        <v>262</v>
      </c>
      <c r="AQ338" s="52">
        <v>150</v>
      </c>
      <c r="AR338" s="52" t="s">
        <v>102</v>
      </c>
      <c r="AS338" s="52" t="s">
        <v>262</v>
      </c>
      <c r="AT338" s="52" t="s">
        <v>102</v>
      </c>
      <c r="AU338" s="52" t="s">
        <v>102</v>
      </c>
      <c r="AV338" s="52" t="s">
        <v>102</v>
      </c>
      <c r="AW338" s="52" t="s">
        <v>102</v>
      </c>
      <c r="AX338" s="51" t="s">
        <v>102</v>
      </c>
      <c r="AY338" s="53" t="s">
        <v>102</v>
      </c>
      <c r="AZ338" s="53" t="s">
        <v>102</v>
      </c>
      <c r="BA338" s="53" t="s">
        <v>102</v>
      </c>
      <c r="BB338" s="53" t="s">
        <v>102</v>
      </c>
      <c r="BC338" s="53" t="s">
        <v>102</v>
      </c>
      <c r="BD338" s="53" t="s">
        <v>102</v>
      </c>
      <c r="BE338" s="53" t="s">
        <v>102</v>
      </c>
      <c r="BF338" s="53" t="s">
        <v>102</v>
      </c>
      <c r="BG338" s="53" t="s">
        <v>102</v>
      </c>
      <c r="BH338" s="53" t="s">
        <v>262</v>
      </c>
      <c r="BI338" s="53" t="s">
        <v>102</v>
      </c>
      <c r="BJ338" s="53" t="s">
        <v>102</v>
      </c>
      <c r="BK338" s="53" t="s">
        <v>102</v>
      </c>
      <c r="BL338" s="53" t="s">
        <v>102</v>
      </c>
      <c r="BM338" s="53" t="s">
        <v>102</v>
      </c>
      <c r="BN338" s="53" t="s">
        <v>102</v>
      </c>
      <c r="BO338" s="53" t="s">
        <v>102</v>
      </c>
      <c r="BP338" s="53" t="s">
        <v>102</v>
      </c>
      <c r="BQ338" s="53" t="s">
        <v>102</v>
      </c>
      <c r="BR338" s="53" t="s">
        <v>102</v>
      </c>
      <c r="BS338" s="53" t="s">
        <v>102</v>
      </c>
      <c r="BT338" s="53" t="s">
        <v>102</v>
      </c>
      <c r="BU338" s="53" t="s">
        <v>102</v>
      </c>
      <c r="BV338" s="53" t="s">
        <v>102</v>
      </c>
      <c r="BW338" s="53" t="s">
        <v>102</v>
      </c>
      <c r="BX338" s="53" t="s">
        <v>102</v>
      </c>
      <c r="BY338" s="53" t="s">
        <v>102</v>
      </c>
      <c r="BZ338" s="53" t="s">
        <v>102</v>
      </c>
      <c r="CA338" s="53" t="s">
        <v>102</v>
      </c>
      <c r="CB338" s="53" t="s">
        <v>102</v>
      </c>
      <c r="CC338" s="53" t="s">
        <v>102</v>
      </c>
      <c r="CD338" s="53" t="s">
        <v>102</v>
      </c>
      <c r="CE338" s="53" t="s">
        <v>102</v>
      </c>
      <c r="CF338" s="53" t="s">
        <v>102</v>
      </c>
      <c r="CG338" s="53" t="s">
        <v>102</v>
      </c>
      <c r="CH338" s="53" t="s">
        <v>102</v>
      </c>
      <c r="CI338" s="53" t="s">
        <v>102</v>
      </c>
      <c r="CJ338" s="53">
        <v>25</v>
      </c>
      <c r="CK338" s="53" t="s">
        <v>264</v>
      </c>
      <c r="CL338" s="53">
        <v>150</v>
      </c>
      <c r="CM338" s="53" t="s">
        <v>264</v>
      </c>
      <c r="CN338" s="206"/>
      <c r="CO338" s="206"/>
      <c r="CP338" s="206"/>
      <c r="CQ338" s="8">
        <f t="shared" si="189"/>
        <v>25</v>
      </c>
      <c r="CR338" s="8">
        <f t="shared" si="190"/>
        <v>150</v>
      </c>
      <c r="CS338" s="8">
        <f t="shared" si="191"/>
        <v>108.33333333333333</v>
      </c>
      <c r="CT338">
        <f t="shared" si="192"/>
        <v>82.54818122236567</v>
      </c>
      <c r="CU338" s="143" t="e">
        <f t="shared" si="193"/>
        <v>#DIV/0!</v>
      </c>
      <c r="CV338" s="143" t="e">
        <f t="shared" si="194"/>
        <v>#DIV/0!</v>
      </c>
      <c r="CX338" s="7">
        <f t="shared" si="195"/>
        <v>37.500000000000014</v>
      </c>
      <c r="CY338" s="7">
        <f t="shared" si="196"/>
        <v>62.500000000000007</v>
      </c>
      <c r="CZ338" s="7">
        <f t="shared" si="197"/>
        <v>74.999999999999986</v>
      </c>
      <c r="DA338" s="7">
        <f t="shared" si="198"/>
        <v>87.5</v>
      </c>
      <c r="DB338" s="7">
        <f t="shared" si="199"/>
        <v>150</v>
      </c>
      <c r="DC338" s="7">
        <f t="shared" si="200"/>
        <v>150</v>
      </c>
      <c r="DD338" s="7">
        <f t="shared" si="201"/>
        <v>150</v>
      </c>
      <c r="DE338" s="7">
        <f t="shared" si="202"/>
        <v>150</v>
      </c>
      <c r="DF338" s="7">
        <f t="shared" si="203"/>
        <v>150</v>
      </c>
      <c r="DH338" s="7">
        <f t="shared" si="204"/>
        <v>150</v>
      </c>
      <c r="DI338" s="7">
        <f t="shared" si="205"/>
        <v>150</v>
      </c>
      <c r="DJ338" s="7">
        <f t="shared" si="206"/>
        <v>150</v>
      </c>
      <c r="DK338" s="7">
        <f t="shared" si="207"/>
        <v>150</v>
      </c>
      <c r="DL338" s="7">
        <f t="shared" si="208"/>
        <v>150</v>
      </c>
      <c r="DM338" s="7">
        <f t="shared" si="209"/>
        <v>150</v>
      </c>
      <c r="DN338" s="7">
        <f t="shared" si="210"/>
        <v>150</v>
      </c>
      <c r="DO338" s="7">
        <f t="shared" si="211"/>
        <v>150</v>
      </c>
      <c r="DP338" s="7">
        <f t="shared" si="212"/>
        <v>150</v>
      </c>
    </row>
    <row r="339" spans="1:130" ht="22.5" hidden="1" customHeight="1" x14ac:dyDescent="0.25">
      <c r="A339" s="92" t="str">
        <f t="shared" si="181"/>
        <v>CM-SWVI [10]</v>
      </c>
      <c r="B339" s="92" t="str">
        <f t="shared" si="182"/>
        <v>Southwest Vancouver Island</v>
      </c>
      <c r="C339" s="93" t="str">
        <f t="shared" si="186"/>
        <v>BRODICK CREEK_Chum</v>
      </c>
      <c r="D339" s="128" t="s">
        <v>598</v>
      </c>
      <c r="E339" s="128" t="s">
        <v>598</v>
      </c>
      <c r="F339" s="64">
        <v>25</v>
      </c>
      <c r="G339" s="72" t="s">
        <v>238</v>
      </c>
      <c r="H339" s="65" t="s">
        <v>96</v>
      </c>
      <c r="I339" s="119"/>
      <c r="J339" s="119"/>
      <c r="K339" s="64">
        <v>5</v>
      </c>
      <c r="L339" s="52">
        <v>6</v>
      </c>
      <c r="M339" s="52">
        <v>4</v>
      </c>
      <c r="N339" s="52">
        <f t="shared" si="183"/>
        <v>145.60248383048037</v>
      </c>
      <c r="O339" s="52">
        <f t="shared" si="184"/>
        <v>4605</v>
      </c>
      <c r="P339" s="52">
        <f t="shared" si="185"/>
        <v>485.57205592658602</v>
      </c>
      <c r="Q339" s="66"/>
      <c r="R339" s="37"/>
      <c r="S339" s="74" t="s">
        <v>446</v>
      </c>
      <c r="T339" s="81" t="e">
        <f t="shared" si="187"/>
        <v>#DIV/0!</v>
      </c>
      <c r="U339" s="81">
        <f t="shared" si="188"/>
        <v>221</v>
      </c>
      <c r="V339" s="52" t="s">
        <v>102</v>
      </c>
      <c r="W339" s="52" t="s">
        <v>102</v>
      </c>
      <c r="X339" s="52" t="s">
        <v>102</v>
      </c>
      <c r="Y339" s="52" t="s">
        <v>102</v>
      </c>
      <c r="Z339" s="52" t="s">
        <v>102</v>
      </c>
      <c r="AA339" s="52" t="s">
        <v>102</v>
      </c>
      <c r="AB339" s="52" t="s">
        <v>102</v>
      </c>
      <c r="AC339" s="52" t="s">
        <v>102</v>
      </c>
      <c r="AD339" s="52" t="s">
        <v>102</v>
      </c>
      <c r="AE339" s="52" t="s">
        <v>102</v>
      </c>
      <c r="AF339" s="52" t="s">
        <v>102</v>
      </c>
      <c r="AG339" s="144">
        <v>221</v>
      </c>
      <c r="AH339" s="53">
        <v>182</v>
      </c>
      <c r="AI339" s="53">
        <v>70</v>
      </c>
      <c r="AJ339" s="53">
        <v>8</v>
      </c>
      <c r="AK339" s="52">
        <v>16</v>
      </c>
      <c r="AL339" s="200">
        <v>142</v>
      </c>
      <c r="AM339" s="52" t="s">
        <v>102</v>
      </c>
      <c r="AN339" s="52" t="s">
        <v>102</v>
      </c>
      <c r="AO339" s="52" t="s">
        <v>102</v>
      </c>
      <c r="AP339" s="53" t="s">
        <v>262</v>
      </c>
      <c r="AQ339" s="53" t="s">
        <v>102</v>
      </c>
      <c r="AR339" s="53" t="s">
        <v>262</v>
      </c>
      <c r="AS339" s="52">
        <v>60</v>
      </c>
      <c r="AT339" s="52">
        <v>4605</v>
      </c>
      <c r="AU339" s="52">
        <v>425</v>
      </c>
      <c r="AV339" s="52">
        <v>650</v>
      </c>
      <c r="AW339" s="52" t="s">
        <v>102</v>
      </c>
      <c r="AX339" s="51">
        <v>2700</v>
      </c>
      <c r="AY339" s="53">
        <v>1350</v>
      </c>
      <c r="AZ339" s="53">
        <v>3500</v>
      </c>
      <c r="BA339" s="53">
        <v>11</v>
      </c>
      <c r="BB339" s="53">
        <v>1160</v>
      </c>
      <c r="BC339" s="53" t="s">
        <v>102</v>
      </c>
      <c r="BD339" s="53">
        <v>1200</v>
      </c>
      <c r="BE339" s="53">
        <v>750</v>
      </c>
      <c r="BF339" s="53">
        <v>1400</v>
      </c>
      <c r="BG339" s="53">
        <v>1400</v>
      </c>
      <c r="BH339" s="53">
        <v>700</v>
      </c>
      <c r="BI339" s="53">
        <v>1050</v>
      </c>
      <c r="BJ339" s="53" t="s">
        <v>102</v>
      </c>
      <c r="BK339" s="53" t="s">
        <v>102</v>
      </c>
      <c r="BL339" s="53">
        <v>750</v>
      </c>
      <c r="BM339" s="53">
        <v>242</v>
      </c>
      <c r="BN339" s="53">
        <v>400</v>
      </c>
      <c r="BO339" s="53">
        <v>100</v>
      </c>
      <c r="BP339" s="53">
        <v>400</v>
      </c>
      <c r="BQ339" s="53">
        <v>200</v>
      </c>
      <c r="BR339" s="53">
        <v>750</v>
      </c>
      <c r="BS339" s="53">
        <v>1500</v>
      </c>
      <c r="BT339" s="53">
        <v>750</v>
      </c>
      <c r="BU339" s="53">
        <v>200</v>
      </c>
      <c r="BV339" s="53">
        <v>500</v>
      </c>
      <c r="BW339" s="53">
        <v>75</v>
      </c>
      <c r="BX339" s="53">
        <v>750</v>
      </c>
      <c r="BY339" s="53">
        <v>750</v>
      </c>
      <c r="BZ339" s="53">
        <v>1500</v>
      </c>
      <c r="CA339" s="53">
        <v>400</v>
      </c>
      <c r="CB339" s="53">
        <v>3500</v>
      </c>
      <c r="CC339" s="53">
        <v>400</v>
      </c>
      <c r="CD339" s="53">
        <v>750</v>
      </c>
      <c r="CE339" s="53">
        <v>25</v>
      </c>
      <c r="CF339" s="53">
        <v>3500</v>
      </c>
      <c r="CG339" s="53">
        <v>750</v>
      </c>
      <c r="CH339" s="53">
        <v>1500</v>
      </c>
      <c r="CI339" s="53">
        <v>750</v>
      </c>
      <c r="CJ339" s="53">
        <v>200</v>
      </c>
      <c r="CK339" s="53">
        <v>75</v>
      </c>
      <c r="CL339" s="53">
        <v>2500</v>
      </c>
      <c r="CM339" s="53">
        <v>3500</v>
      </c>
      <c r="CN339" s="206"/>
      <c r="CO339" s="206"/>
      <c r="CP339" s="206"/>
      <c r="CQ339" s="8">
        <f t="shared" si="189"/>
        <v>8</v>
      </c>
      <c r="CR339" s="8">
        <f t="shared" si="190"/>
        <v>4605</v>
      </c>
      <c r="CS339" s="8">
        <f t="shared" si="191"/>
        <v>986.0612244897959</v>
      </c>
      <c r="CT339">
        <f t="shared" si="192"/>
        <v>450.20766262197594</v>
      </c>
      <c r="CU339" s="143" t="e">
        <f t="shared" si="193"/>
        <v>#DIV/0!</v>
      </c>
      <c r="CV339" s="143">
        <f t="shared" si="194"/>
        <v>221</v>
      </c>
      <c r="CX339" s="7">
        <f t="shared" si="195"/>
        <v>19.600000000000001</v>
      </c>
      <c r="CY339" s="7">
        <f t="shared" si="196"/>
        <v>79.999999999999986</v>
      </c>
      <c r="CZ339" s="7">
        <f t="shared" si="197"/>
        <v>166.00000000000006</v>
      </c>
      <c r="DA339" s="7">
        <f t="shared" si="198"/>
        <v>200</v>
      </c>
      <c r="DB339" s="7">
        <f t="shared" si="199"/>
        <v>750</v>
      </c>
      <c r="DC339" s="7">
        <f t="shared" si="200"/>
        <v>750</v>
      </c>
      <c r="DD339" s="7">
        <f t="shared" si="201"/>
        <v>750</v>
      </c>
      <c r="DE339" s="7">
        <f t="shared" si="202"/>
        <v>1350</v>
      </c>
      <c r="DF339" s="7">
        <f t="shared" si="203"/>
        <v>1500</v>
      </c>
      <c r="DH339" s="7">
        <f t="shared" si="204"/>
        <v>11.6</v>
      </c>
      <c r="DI339" s="7">
        <f t="shared" si="205"/>
        <v>31.399999999999984</v>
      </c>
      <c r="DJ339" s="7">
        <f t="shared" si="206"/>
        <v>51.199999999999989</v>
      </c>
      <c r="DK339" s="7">
        <f t="shared" si="207"/>
        <v>62.5</v>
      </c>
      <c r="DL339" s="7">
        <f t="shared" si="208"/>
        <v>162</v>
      </c>
      <c r="DM339" s="7">
        <f t="shared" si="209"/>
        <v>197.59999999999997</v>
      </c>
      <c r="DN339" s="7">
        <f t="shared" si="210"/>
        <v>215.15000000000003</v>
      </c>
      <c r="DO339" s="7">
        <f t="shared" si="211"/>
        <v>374</v>
      </c>
      <c r="DP339" s="7">
        <f t="shared" si="212"/>
        <v>571.24999999999966</v>
      </c>
    </row>
    <row r="340" spans="1:130" ht="22.5" hidden="1" customHeight="1" x14ac:dyDescent="0.25">
      <c r="A340" s="92" t="str">
        <f t="shared" si="181"/>
        <v>CO-WVI [17]</v>
      </c>
      <c r="B340" s="92" t="str">
        <f t="shared" si="182"/>
        <v>West Vancouver Island</v>
      </c>
      <c r="C340" s="93" t="str">
        <f t="shared" si="186"/>
        <v>BRODICK CREEK_Coho</v>
      </c>
      <c r="D340" s="128" t="s">
        <v>598</v>
      </c>
      <c r="E340" s="128" t="s">
        <v>598</v>
      </c>
      <c r="F340" s="64">
        <v>25</v>
      </c>
      <c r="G340" s="72" t="s">
        <v>238</v>
      </c>
      <c r="H340" s="65" t="s">
        <v>93</v>
      </c>
      <c r="I340" s="119"/>
      <c r="J340" s="119"/>
      <c r="K340" s="64">
        <v>5</v>
      </c>
      <c r="L340" s="52">
        <v>6</v>
      </c>
      <c r="M340" s="52">
        <v>3</v>
      </c>
      <c r="N340" s="52">
        <f t="shared" si="183"/>
        <v>9.099906246356122</v>
      </c>
      <c r="O340" s="52">
        <f t="shared" si="184"/>
        <v>750</v>
      </c>
      <c r="P340" s="52">
        <f t="shared" si="185"/>
        <v>39.267001812268582</v>
      </c>
      <c r="Q340" s="66"/>
      <c r="R340" s="37"/>
      <c r="S340" s="74" t="s">
        <v>445</v>
      </c>
      <c r="T340" s="81" t="e">
        <f t="shared" si="187"/>
        <v>#DIV/0!</v>
      </c>
      <c r="U340" s="81" t="e">
        <f t="shared" si="188"/>
        <v>#DIV/0!</v>
      </c>
      <c r="V340" s="52" t="s">
        <v>102</v>
      </c>
      <c r="W340" s="52" t="s">
        <v>102</v>
      </c>
      <c r="X340" s="52" t="s">
        <v>102</v>
      </c>
      <c r="Y340" s="52" t="s">
        <v>102</v>
      </c>
      <c r="Z340" s="52" t="s">
        <v>102</v>
      </c>
      <c r="AA340" s="52" t="s">
        <v>102</v>
      </c>
      <c r="AB340" s="52" t="s">
        <v>102</v>
      </c>
      <c r="AC340" s="52" t="s">
        <v>102</v>
      </c>
      <c r="AD340" s="52" t="s">
        <v>102</v>
      </c>
      <c r="AE340" s="52" t="s">
        <v>102</v>
      </c>
      <c r="AF340" s="52" t="s">
        <v>102</v>
      </c>
      <c r="AG340" s="52" t="s">
        <v>262</v>
      </c>
      <c r="AH340" s="52" t="s">
        <v>262</v>
      </c>
      <c r="AI340" s="52" t="s">
        <v>262</v>
      </c>
      <c r="AJ340" s="52" t="s">
        <v>262</v>
      </c>
      <c r="AK340" s="52">
        <v>2</v>
      </c>
      <c r="AL340" s="89">
        <v>4</v>
      </c>
      <c r="AM340" s="52" t="s">
        <v>102</v>
      </c>
      <c r="AN340" s="52" t="s">
        <v>102</v>
      </c>
      <c r="AO340" s="52" t="s">
        <v>102</v>
      </c>
      <c r="AP340" s="53" t="s">
        <v>262</v>
      </c>
      <c r="AQ340" s="53" t="s">
        <v>102</v>
      </c>
      <c r="AR340" s="53" t="s">
        <v>262</v>
      </c>
      <c r="AS340" s="52">
        <v>65</v>
      </c>
      <c r="AT340" s="52">
        <v>40</v>
      </c>
      <c r="AU340" s="52">
        <v>3</v>
      </c>
      <c r="AV340" s="52" t="s">
        <v>262</v>
      </c>
      <c r="AW340" s="52" t="s">
        <v>102</v>
      </c>
      <c r="AX340" s="51" t="s">
        <v>262</v>
      </c>
      <c r="AY340" s="53" t="s">
        <v>262</v>
      </c>
      <c r="AZ340" s="53" t="s">
        <v>262</v>
      </c>
      <c r="BA340" s="53" t="s">
        <v>262</v>
      </c>
      <c r="BB340" s="53" t="s">
        <v>262</v>
      </c>
      <c r="BC340" s="53" t="s">
        <v>102</v>
      </c>
      <c r="BD340" s="53">
        <v>25</v>
      </c>
      <c r="BE340" s="53">
        <v>50</v>
      </c>
      <c r="BF340" s="53">
        <v>50</v>
      </c>
      <c r="BG340" s="53" t="s">
        <v>262</v>
      </c>
      <c r="BH340" s="53" t="s">
        <v>262</v>
      </c>
      <c r="BI340" s="53" t="s">
        <v>264</v>
      </c>
      <c r="BJ340" s="53" t="s">
        <v>102</v>
      </c>
      <c r="BK340" s="53" t="s">
        <v>102</v>
      </c>
      <c r="BL340" s="53" t="s">
        <v>264</v>
      </c>
      <c r="BM340" s="53" t="s">
        <v>264</v>
      </c>
      <c r="BN340" s="53" t="s">
        <v>264</v>
      </c>
      <c r="BO340" s="53" t="s">
        <v>264</v>
      </c>
      <c r="BP340" s="53" t="s">
        <v>264</v>
      </c>
      <c r="BQ340" s="53">
        <v>25</v>
      </c>
      <c r="BR340" s="53">
        <v>25</v>
      </c>
      <c r="BS340" s="53">
        <v>75</v>
      </c>
      <c r="BT340" s="53">
        <v>25</v>
      </c>
      <c r="BU340" s="53">
        <v>25</v>
      </c>
      <c r="BV340" s="53">
        <v>100</v>
      </c>
      <c r="BW340" s="53" t="s">
        <v>262</v>
      </c>
      <c r="BX340" s="53">
        <v>25</v>
      </c>
      <c r="BY340" s="53">
        <v>25</v>
      </c>
      <c r="BZ340" s="53">
        <v>200</v>
      </c>
      <c r="CA340" s="53">
        <v>75</v>
      </c>
      <c r="CB340" s="53">
        <v>400</v>
      </c>
      <c r="CC340" s="53">
        <v>50</v>
      </c>
      <c r="CD340" s="53">
        <v>25</v>
      </c>
      <c r="CE340" s="53">
        <v>25</v>
      </c>
      <c r="CF340" s="53">
        <v>25</v>
      </c>
      <c r="CG340" s="53">
        <v>75</v>
      </c>
      <c r="CH340" s="53">
        <v>75</v>
      </c>
      <c r="CI340" s="53">
        <v>25</v>
      </c>
      <c r="CJ340" s="53">
        <v>25</v>
      </c>
      <c r="CK340" s="53">
        <v>25</v>
      </c>
      <c r="CL340" s="53">
        <v>300</v>
      </c>
      <c r="CM340" s="53">
        <v>750</v>
      </c>
      <c r="CN340" s="206"/>
      <c r="CO340" s="206"/>
      <c r="CP340" s="206"/>
      <c r="CQ340" s="8">
        <f t="shared" si="189"/>
        <v>2</v>
      </c>
      <c r="CR340" s="8">
        <f t="shared" si="190"/>
        <v>750</v>
      </c>
      <c r="CS340" s="8">
        <f t="shared" si="191"/>
        <v>87.966666666666669</v>
      </c>
      <c r="CT340">
        <f t="shared" si="192"/>
        <v>39.267001812268582</v>
      </c>
      <c r="CU340" s="143" t="e">
        <f t="shared" si="193"/>
        <v>#DIV/0!</v>
      </c>
      <c r="CV340" s="143" t="e">
        <f t="shared" si="194"/>
        <v>#DIV/0!</v>
      </c>
      <c r="CX340" s="7">
        <f t="shared" si="195"/>
        <v>3.45</v>
      </c>
      <c r="CY340" s="7">
        <f t="shared" si="196"/>
        <v>25</v>
      </c>
      <c r="CZ340" s="7">
        <f t="shared" si="197"/>
        <v>25</v>
      </c>
      <c r="DA340" s="7">
        <f t="shared" si="198"/>
        <v>25</v>
      </c>
      <c r="DB340" s="7">
        <f t="shared" si="199"/>
        <v>25</v>
      </c>
      <c r="DC340" s="7">
        <f t="shared" si="200"/>
        <v>50</v>
      </c>
      <c r="DD340" s="7">
        <f t="shared" si="201"/>
        <v>50</v>
      </c>
      <c r="DE340" s="7">
        <f t="shared" si="202"/>
        <v>75</v>
      </c>
      <c r="DF340" s="7">
        <f t="shared" si="203"/>
        <v>91.249999999999972</v>
      </c>
      <c r="DH340" s="7">
        <f t="shared" si="204"/>
        <v>2.2000000000000002</v>
      </c>
      <c r="DI340" s="7">
        <f t="shared" si="205"/>
        <v>2.6</v>
      </c>
      <c r="DJ340" s="7">
        <f t="shared" si="206"/>
        <v>2.8</v>
      </c>
      <c r="DK340" s="7">
        <f t="shared" si="207"/>
        <v>3</v>
      </c>
      <c r="DL340" s="7">
        <f t="shared" si="208"/>
        <v>4</v>
      </c>
      <c r="DM340" s="7">
        <f t="shared" si="209"/>
        <v>18.399999999999999</v>
      </c>
      <c r="DN340" s="7">
        <f t="shared" si="210"/>
        <v>25.6</v>
      </c>
      <c r="DO340" s="7">
        <f t="shared" si="211"/>
        <v>40</v>
      </c>
      <c r="DP340" s="7">
        <f t="shared" si="212"/>
        <v>50.000000000000007</v>
      </c>
    </row>
    <row r="341" spans="1:130" ht="21.75" hidden="1" customHeight="1" x14ac:dyDescent="0.25">
      <c r="A341" s="92" t="str">
        <f t="shared" si="181"/>
        <v>SK-WVI [R10]</v>
      </c>
      <c r="B341" s="92" t="str">
        <f t="shared" si="182"/>
        <v>West Vancouver Island</v>
      </c>
      <c r="C341" s="93" t="str">
        <f t="shared" si="186"/>
        <v>BRODICK CREEK_Sockeye</v>
      </c>
      <c r="D341" s="128" t="s">
        <v>598</v>
      </c>
      <c r="E341" s="128" t="s">
        <v>598</v>
      </c>
      <c r="F341" s="64">
        <v>25</v>
      </c>
      <c r="G341" s="72" t="s">
        <v>238</v>
      </c>
      <c r="H341" s="65" t="s">
        <v>91</v>
      </c>
      <c r="I341" s="119"/>
      <c r="J341" s="119"/>
      <c r="K341" s="64">
        <v>5</v>
      </c>
      <c r="L341" s="52">
        <v>6</v>
      </c>
      <c r="M341" s="52">
        <v>1</v>
      </c>
      <c r="N341" s="52">
        <f t="shared" si="183"/>
        <v>175</v>
      </c>
      <c r="O341" s="52">
        <f t="shared" si="184"/>
        <v>175</v>
      </c>
      <c r="P341" s="52">
        <f t="shared" si="185"/>
        <v>93.541434669348533</v>
      </c>
      <c r="Q341" s="66"/>
      <c r="R341" s="37"/>
      <c r="S341" s="74" t="s">
        <v>445</v>
      </c>
      <c r="T341" s="81" t="e">
        <f t="shared" si="187"/>
        <v>#DIV/0!</v>
      </c>
      <c r="U341" s="81">
        <f t="shared" si="188"/>
        <v>5</v>
      </c>
      <c r="V341" s="52" t="s">
        <v>102</v>
      </c>
      <c r="W341" s="52" t="s">
        <v>102</v>
      </c>
      <c r="X341" s="52" t="s">
        <v>102</v>
      </c>
      <c r="Y341" s="52" t="s">
        <v>102</v>
      </c>
      <c r="Z341" s="52" t="s">
        <v>102</v>
      </c>
      <c r="AA341" s="52" t="s">
        <v>102</v>
      </c>
      <c r="AB341" s="52" t="s">
        <v>102</v>
      </c>
      <c r="AC341" s="52" t="s">
        <v>102</v>
      </c>
      <c r="AD341" s="52" t="s">
        <v>102</v>
      </c>
      <c r="AE341" s="52" t="s">
        <v>102</v>
      </c>
      <c r="AF341" s="52" t="s">
        <v>102</v>
      </c>
      <c r="AG341" s="144">
        <v>5</v>
      </c>
      <c r="AH341" s="52" t="s">
        <v>262</v>
      </c>
      <c r="AI341" s="52" t="s">
        <v>262</v>
      </c>
      <c r="AJ341" s="52" t="s">
        <v>262</v>
      </c>
      <c r="AK341" s="52" t="s">
        <v>262</v>
      </c>
      <c r="AL341" s="89" t="s">
        <v>262</v>
      </c>
      <c r="AM341" s="52" t="s">
        <v>102</v>
      </c>
      <c r="AN341" s="52" t="s">
        <v>102</v>
      </c>
      <c r="AO341" s="52" t="s">
        <v>102</v>
      </c>
      <c r="AP341" s="53" t="s">
        <v>262</v>
      </c>
      <c r="AQ341" s="53" t="s">
        <v>102</v>
      </c>
      <c r="AR341" s="53" t="s">
        <v>262</v>
      </c>
      <c r="AS341" s="52" t="s">
        <v>262</v>
      </c>
      <c r="AT341" s="52" t="s">
        <v>262</v>
      </c>
      <c r="AU341" s="52">
        <v>175</v>
      </c>
      <c r="AV341" s="52" t="s">
        <v>262</v>
      </c>
      <c r="AW341" s="52" t="s">
        <v>102</v>
      </c>
      <c r="AX341" s="51" t="s">
        <v>264</v>
      </c>
      <c r="AY341" s="53">
        <v>50</v>
      </c>
      <c r="AZ341" s="53" t="s">
        <v>102</v>
      </c>
      <c r="BA341" s="53" t="s">
        <v>264</v>
      </c>
      <c r="BB341" s="53" t="s">
        <v>264</v>
      </c>
      <c r="BC341" s="53" t="s">
        <v>102</v>
      </c>
      <c r="BD341" s="53" t="s">
        <v>264</v>
      </c>
      <c r="BE341" s="53" t="s">
        <v>264</v>
      </c>
      <c r="BF341" s="53" t="s">
        <v>264</v>
      </c>
      <c r="BG341" s="53" t="s">
        <v>262</v>
      </c>
      <c r="BH341" s="53" t="s">
        <v>262</v>
      </c>
      <c r="BI341" s="53" t="s">
        <v>264</v>
      </c>
      <c r="BJ341" s="53" t="s">
        <v>102</v>
      </c>
      <c r="BK341" s="53" t="s">
        <v>102</v>
      </c>
      <c r="BL341" s="53" t="s">
        <v>264</v>
      </c>
      <c r="BM341" s="53" t="s">
        <v>264</v>
      </c>
      <c r="BN341" s="53" t="s">
        <v>264</v>
      </c>
      <c r="BO341" s="53" t="s">
        <v>264</v>
      </c>
      <c r="BP341" s="53" t="s">
        <v>264</v>
      </c>
      <c r="BQ341" s="53" t="s">
        <v>264</v>
      </c>
      <c r="BR341" s="53" t="s">
        <v>264</v>
      </c>
      <c r="BS341" s="53" t="s">
        <v>264</v>
      </c>
      <c r="BT341" s="53" t="s">
        <v>264</v>
      </c>
      <c r="BU341" s="53" t="s">
        <v>264</v>
      </c>
      <c r="BV341" s="53" t="s">
        <v>264</v>
      </c>
      <c r="BW341" s="53" t="s">
        <v>264</v>
      </c>
      <c r="BX341" s="53" t="s">
        <v>264</v>
      </c>
      <c r="BY341" s="53" t="s">
        <v>264</v>
      </c>
      <c r="BZ341" s="53" t="s">
        <v>264</v>
      </c>
      <c r="CA341" s="53" t="s">
        <v>264</v>
      </c>
      <c r="CB341" s="53" t="s">
        <v>264</v>
      </c>
      <c r="CC341" s="53" t="s">
        <v>264</v>
      </c>
      <c r="CD341" s="53" t="s">
        <v>264</v>
      </c>
      <c r="CE341" s="53" t="s">
        <v>264</v>
      </c>
      <c r="CF341" s="53" t="s">
        <v>264</v>
      </c>
      <c r="CG341" s="53" t="s">
        <v>264</v>
      </c>
      <c r="CH341" s="53" t="s">
        <v>264</v>
      </c>
      <c r="CI341" s="53" t="s">
        <v>264</v>
      </c>
      <c r="CJ341" s="53" t="s">
        <v>264</v>
      </c>
      <c r="CK341" s="53" t="s">
        <v>264</v>
      </c>
      <c r="CL341" s="53" t="s">
        <v>264</v>
      </c>
      <c r="CM341" s="53" t="s">
        <v>264</v>
      </c>
      <c r="CN341" s="206"/>
      <c r="CO341" s="206"/>
      <c r="CP341" s="206"/>
      <c r="CQ341" s="8">
        <f t="shared" si="189"/>
        <v>5</v>
      </c>
      <c r="CR341" s="8">
        <f t="shared" si="190"/>
        <v>175</v>
      </c>
      <c r="CS341" s="8">
        <f t="shared" si="191"/>
        <v>76.666666666666671</v>
      </c>
      <c r="CT341">
        <f t="shared" si="192"/>
        <v>35.236493660324463</v>
      </c>
      <c r="CU341" s="143" t="e">
        <f t="shared" si="193"/>
        <v>#DIV/0!</v>
      </c>
      <c r="CV341" s="143">
        <f t="shared" si="194"/>
        <v>5</v>
      </c>
      <c r="CX341" s="7">
        <f t="shared" si="195"/>
        <v>9.5000000000000036</v>
      </c>
      <c r="CY341" s="7">
        <f t="shared" si="196"/>
        <v>18.5</v>
      </c>
      <c r="CZ341" s="7">
        <f t="shared" si="197"/>
        <v>22.999999999999996</v>
      </c>
      <c r="DA341" s="7">
        <f t="shared" si="198"/>
        <v>27.5</v>
      </c>
      <c r="DB341" s="7">
        <f t="shared" si="199"/>
        <v>50</v>
      </c>
      <c r="DC341" s="7">
        <f t="shared" si="200"/>
        <v>75.000000000000028</v>
      </c>
      <c r="DD341" s="7">
        <f t="shared" si="201"/>
        <v>87.499999999999972</v>
      </c>
      <c r="DE341" s="7">
        <f t="shared" si="202"/>
        <v>112.5</v>
      </c>
      <c r="DF341" s="7">
        <f t="shared" si="203"/>
        <v>137.50000000000003</v>
      </c>
      <c r="DH341" s="7">
        <f t="shared" si="204"/>
        <v>13.500000000000007</v>
      </c>
      <c r="DI341" s="7">
        <f t="shared" si="205"/>
        <v>30.499999999999986</v>
      </c>
      <c r="DJ341" s="7">
        <f t="shared" si="206"/>
        <v>38.999999999999993</v>
      </c>
      <c r="DK341" s="7">
        <f t="shared" si="207"/>
        <v>47.5</v>
      </c>
      <c r="DL341" s="7">
        <f t="shared" si="208"/>
        <v>90</v>
      </c>
      <c r="DM341" s="7">
        <f t="shared" si="209"/>
        <v>107.00000000000001</v>
      </c>
      <c r="DN341" s="7">
        <f t="shared" si="210"/>
        <v>115.49999999999999</v>
      </c>
      <c r="DO341" s="7">
        <f t="shared" si="211"/>
        <v>132.5</v>
      </c>
      <c r="DP341" s="7">
        <f t="shared" si="212"/>
        <v>149.50000000000003</v>
      </c>
    </row>
    <row r="342" spans="1:130" ht="25.5" customHeight="1" x14ac:dyDescent="0.25">
      <c r="A342" s="92" t="str">
        <f t="shared" si="181"/>
        <v>CK-NoKy [32]</v>
      </c>
      <c r="B342" s="92" t="str">
        <f t="shared" si="182"/>
        <v>Nootka and Kyuquot</v>
      </c>
      <c r="C342" s="93" t="str">
        <f t="shared" si="186"/>
        <v>BURMAN RIVER_Chinook</v>
      </c>
      <c r="D342" s="128" t="s">
        <v>599</v>
      </c>
      <c r="E342" s="128" t="s">
        <v>599</v>
      </c>
      <c r="F342" s="64">
        <v>25</v>
      </c>
      <c r="G342" s="72" t="s">
        <v>216</v>
      </c>
      <c r="H342" s="65" t="s">
        <v>97</v>
      </c>
      <c r="I342" s="119"/>
      <c r="J342" s="119"/>
      <c r="K342" s="64">
        <v>2</v>
      </c>
      <c r="L342" s="52">
        <v>11</v>
      </c>
      <c r="M342" s="52">
        <v>11</v>
      </c>
      <c r="N342" s="52">
        <f t="shared" si="183"/>
        <v>564.79750825030658</v>
      </c>
      <c r="O342" s="52">
        <f t="shared" si="184"/>
        <v>3500</v>
      </c>
      <c r="P342" s="52">
        <f t="shared" si="185"/>
        <v>710.13808097178571</v>
      </c>
      <c r="Q342" s="66" t="s">
        <v>269</v>
      </c>
      <c r="R342" s="37"/>
      <c r="S342" s="74" t="s">
        <v>1</v>
      </c>
      <c r="T342" s="81">
        <f t="shared" si="187"/>
        <v>2347</v>
      </c>
      <c r="U342" s="81">
        <f t="shared" si="188"/>
        <v>3729.25</v>
      </c>
      <c r="V342" s="233">
        <v>1131</v>
      </c>
      <c r="W342" s="52">
        <v>4177</v>
      </c>
      <c r="X342" s="52">
        <v>2249</v>
      </c>
      <c r="Y342" s="52">
        <v>1831</v>
      </c>
      <c r="Z342" s="52">
        <v>3525</v>
      </c>
      <c r="AA342" s="52">
        <v>1149</v>
      </c>
      <c r="AB342" s="52">
        <v>10534</v>
      </c>
      <c r="AC342" s="52">
        <v>6035</v>
      </c>
      <c r="AD342" s="177">
        <v>2808</v>
      </c>
      <c r="AE342" s="53">
        <v>8285</v>
      </c>
      <c r="AF342" s="52">
        <v>1003</v>
      </c>
      <c r="AG342" s="144">
        <v>2024</v>
      </c>
      <c r="AH342" s="61">
        <v>2825</v>
      </c>
      <c r="AI342" s="61">
        <v>1500</v>
      </c>
      <c r="AJ342" s="61">
        <v>328</v>
      </c>
      <c r="AK342" s="52">
        <v>158</v>
      </c>
      <c r="AL342" s="89">
        <v>404</v>
      </c>
      <c r="AM342" s="52">
        <v>521</v>
      </c>
      <c r="AN342" s="52">
        <v>2389</v>
      </c>
      <c r="AO342" s="53">
        <v>571</v>
      </c>
      <c r="AP342" s="53">
        <v>440</v>
      </c>
      <c r="AQ342" s="53">
        <v>96</v>
      </c>
      <c r="AR342" s="53">
        <v>149</v>
      </c>
      <c r="AS342" s="52">
        <v>2268</v>
      </c>
      <c r="AT342" s="52">
        <v>3065</v>
      </c>
      <c r="AU342" s="52">
        <v>2224</v>
      </c>
      <c r="AV342" s="52">
        <v>693</v>
      </c>
      <c r="AW342" s="52">
        <v>335</v>
      </c>
      <c r="AX342" s="178">
        <v>2200</v>
      </c>
      <c r="AY342" s="181">
        <v>1750</v>
      </c>
      <c r="AZ342" s="179">
        <v>2000</v>
      </c>
      <c r="BA342" s="179">
        <v>2500</v>
      </c>
      <c r="BB342" s="182">
        <v>1100</v>
      </c>
      <c r="BC342" s="179">
        <v>700</v>
      </c>
      <c r="BD342" s="179">
        <v>400</v>
      </c>
      <c r="BE342" s="179">
        <v>100</v>
      </c>
      <c r="BF342" s="179">
        <v>400</v>
      </c>
      <c r="BG342" s="179">
        <v>500</v>
      </c>
      <c r="BH342" s="179">
        <v>700</v>
      </c>
      <c r="BI342" s="179">
        <v>475</v>
      </c>
      <c r="BJ342" s="179" t="s">
        <v>264</v>
      </c>
      <c r="BK342" s="179">
        <v>300</v>
      </c>
      <c r="BL342" s="179">
        <v>345</v>
      </c>
      <c r="BM342" s="179">
        <v>650</v>
      </c>
      <c r="BN342" s="179">
        <v>1000</v>
      </c>
      <c r="BO342" s="179">
        <v>500</v>
      </c>
      <c r="BP342" s="179">
        <v>400</v>
      </c>
      <c r="BQ342" s="179">
        <v>200</v>
      </c>
      <c r="BR342" s="179">
        <v>750</v>
      </c>
      <c r="BS342" s="179">
        <v>750</v>
      </c>
      <c r="BT342" s="179">
        <v>1500</v>
      </c>
      <c r="BU342" s="179">
        <v>1000</v>
      </c>
      <c r="BV342" s="179">
        <v>900</v>
      </c>
      <c r="BW342" s="179">
        <v>1500</v>
      </c>
      <c r="BX342" s="179">
        <v>500</v>
      </c>
      <c r="BY342" s="179">
        <v>2800</v>
      </c>
      <c r="BZ342" s="179">
        <v>3000</v>
      </c>
      <c r="CA342" s="179">
        <v>3500</v>
      </c>
      <c r="CB342" s="179">
        <v>3000</v>
      </c>
      <c r="CC342" s="179">
        <v>3000</v>
      </c>
      <c r="CD342" s="179">
        <v>3500</v>
      </c>
      <c r="CE342" s="179">
        <v>750</v>
      </c>
      <c r="CF342" s="179">
        <v>1500</v>
      </c>
      <c r="CG342" s="179">
        <v>200</v>
      </c>
      <c r="CH342" s="179">
        <v>200</v>
      </c>
      <c r="CI342" s="179">
        <v>200</v>
      </c>
      <c r="CJ342" s="179">
        <v>200</v>
      </c>
      <c r="CK342" s="179">
        <v>750</v>
      </c>
      <c r="CL342" s="179">
        <v>75</v>
      </c>
      <c r="CM342" s="179">
        <v>3500</v>
      </c>
      <c r="CN342" s="206"/>
      <c r="CO342" s="206"/>
      <c r="CP342" s="206"/>
      <c r="CQ342" s="8">
        <f t="shared" si="189"/>
        <v>75</v>
      </c>
      <c r="CR342" s="8">
        <f t="shared" si="190"/>
        <v>10534</v>
      </c>
      <c r="CS342" s="8">
        <f t="shared" si="191"/>
        <v>1623.3623188405797</v>
      </c>
      <c r="CT342">
        <f t="shared" si="192"/>
        <v>929.98746380669286</v>
      </c>
      <c r="CU342" s="143">
        <f t="shared" si="193"/>
        <v>2582.6</v>
      </c>
      <c r="CV342" s="143">
        <f t="shared" si="194"/>
        <v>3729.25</v>
      </c>
      <c r="CX342" s="7">
        <f t="shared" si="195"/>
        <v>152.6</v>
      </c>
      <c r="CY342" s="7">
        <f t="shared" si="196"/>
        <v>305.59999999999997</v>
      </c>
      <c r="CZ342" s="7">
        <f t="shared" si="197"/>
        <v>378.00000000000006</v>
      </c>
      <c r="DA342" s="7">
        <f t="shared" si="198"/>
        <v>404</v>
      </c>
      <c r="DB342" s="7">
        <f t="shared" si="199"/>
        <v>1000</v>
      </c>
      <c r="DC342" s="7">
        <f t="shared" si="200"/>
        <v>1500</v>
      </c>
      <c r="DD342" s="7">
        <f t="shared" si="201"/>
        <v>1766.2000000000003</v>
      </c>
      <c r="DE342" s="7">
        <f t="shared" si="202"/>
        <v>2268</v>
      </c>
      <c r="DF342" s="7">
        <f t="shared" si="203"/>
        <v>3000</v>
      </c>
      <c r="DH342" s="7">
        <f t="shared" si="204"/>
        <v>152.15</v>
      </c>
      <c r="DI342" s="7">
        <f t="shared" si="205"/>
        <v>338.45</v>
      </c>
      <c r="DJ342" s="7">
        <f t="shared" si="206"/>
        <v>418.40000000000003</v>
      </c>
      <c r="DK342" s="7">
        <f t="shared" si="207"/>
        <v>500.75</v>
      </c>
      <c r="DL342" s="7">
        <f t="shared" si="208"/>
        <v>1665.5</v>
      </c>
      <c r="DM342" s="7">
        <f t="shared" si="209"/>
        <v>2229</v>
      </c>
      <c r="DN342" s="7">
        <f t="shared" si="210"/>
        <v>2259.4499999999998</v>
      </c>
      <c r="DO342" s="7">
        <f t="shared" si="211"/>
        <v>2812.25</v>
      </c>
      <c r="DP342" s="7">
        <f t="shared" si="212"/>
        <v>3501.9999999999995</v>
      </c>
    </row>
    <row r="343" spans="1:130" ht="25.5" hidden="1" customHeight="1" x14ac:dyDescent="0.25">
      <c r="A343" s="92" t="str">
        <f t="shared" si="181"/>
        <v>CM-SWVI [10]</v>
      </c>
      <c r="B343" s="92" t="str">
        <f t="shared" si="182"/>
        <v>Southwest Vancouver Island</v>
      </c>
      <c r="C343" s="93" t="str">
        <f t="shared" si="186"/>
        <v>BURMAN RIVER_Chum</v>
      </c>
      <c r="D343" s="128" t="s">
        <v>598</v>
      </c>
      <c r="E343" s="128" t="s">
        <v>598</v>
      </c>
      <c r="F343" s="64">
        <v>25</v>
      </c>
      <c r="G343" s="72" t="s">
        <v>216</v>
      </c>
      <c r="H343" s="65" t="s">
        <v>96</v>
      </c>
      <c r="I343" s="119"/>
      <c r="J343" s="119"/>
      <c r="K343" s="64">
        <v>2</v>
      </c>
      <c r="L343" s="52">
        <v>11</v>
      </c>
      <c r="M343" s="52">
        <v>11</v>
      </c>
      <c r="N343" s="52">
        <f t="shared" si="183"/>
        <v>5796.3819662162596</v>
      </c>
      <c r="O343" s="52">
        <f t="shared" si="184"/>
        <v>25133</v>
      </c>
      <c r="P343" s="52">
        <f t="shared" si="185"/>
        <v>4352.4765928422712</v>
      </c>
      <c r="Q343" s="66" t="s">
        <v>269</v>
      </c>
      <c r="R343" s="37"/>
      <c r="S343" s="74" t="s">
        <v>1</v>
      </c>
      <c r="T343" s="81">
        <f t="shared" si="187"/>
        <v>1521</v>
      </c>
      <c r="U343" s="81">
        <f t="shared" si="188"/>
        <v>3916.5833333333335</v>
      </c>
      <c r="V343" s="233">
        <v>3240</v>
      </c>
      <c r="W343" s="52">
        <v>549</v>
      </c>
      <c r="X343" s="52">
        <v>1340</v>
      </c>
      <c r="Y343" s="52">
        <v>955</v>
      </c>
      <c r="Z343" s="52">
        <v>695</v>
      </c>
      <c r="AA343" s="52">
        <v>550</v>
      </c>
      <c r="AB343" s="52">
        <v>13467</v>
      </c>
      <c r="AC343" s="52">
        <v>4839</v>
      </c>
      <c r="AD343" s="52">
        <v>8652</v>
      </c>
      <c r="AE343" s="53">
        <v>6172</v>
      </c>
      <c r="AF343" s="52">
        <v>5008</v>
      </c>
      <c r="AG343" s="144">
        <v>1532</v>
      </c>
      <c r="AH343" s="61">
        <v>3835</v>
      </c>
      <c r="AI343" s="61">
        <v>2300</v>
      </c>
      <c r="AJ343" s="61">
        <v>3362</v>
      </c>
      <c r="AK343" s="52">
        <v>717</v>
      </c>
      <c r="AL343" s="89">
        <v>5050</v>
      </c>
      <c r="AM343" s="52">
        <v>8289</v>
      </c>
      <c r="AN343" s="52">
        <v>7450</v>
      </c>
      <c r="AO343" s="53">
        <v>4457</v>
      </c>
      <c r="AP343" s="53">
        <v>25133</v>
      </c>
      <c r="AQ343" s="53">
        <v>12225</v>
      </c>
      <c r="AR343" s="53">
        <v>2231</v>
      </c>
      <c r="AS343" s="52">
        <v>5325</v>
      </c>
      <c r="AT343" s="52">
        <v>22236</v>
      </c>
      <c r="AU343" s="52">
        <v>10135</v>
      </c>
      <c r="AV343" s="52">
        <v>6005</v>
      </c>
      <c r="AW343" s="52">
        <v>2920</v>
      </c>
      <c r="AX343" s="51">
        <v>1000</v>
      </c>
      <c r="AY343" s="53">
        <v>14000</v>
      </c>
      <c r="AZ343" s="53">
        <v>9000</v>
      </c>
      <c r="BA343" s="53">
        <v>16000</v>
      </c>
      <c r="BB343" s="53">
        <v>750</v>
      </c>
      <c r="BC343" s="53">
        <v>700</v>
      </c>
      <c r="BD343" s="53">
        <v>1500</v>
      </c>
      <c r="BE343" s="53">
        <v>1700</v>
      </c>
      <c r="BF343" s="53">
        <v>500</v>
      </c>
      <c r="BG343" s="53">
        <v>1000</v>
      </c>
      <c r="BH343" s="53">
        <v>1000</v>
      </c>
      <c r="BI343" s="53">
        <v>3500</v>
      </c>
      <c r="BJ343" s="53">
        <v>7500</v>
      </c>
      <c r="BK343" s="53">
        <v>7600</v>
      </c>
      <c r="BL343" s="53">
        <v>3000</v>
      </c>
      <c r="BM343" s="53">
        <v>720</v>
      </c>
      <c r="BN343" s="53">
        <v>6500</v>
      </c>
      <c r="BO343" s="53">
        <v>3500</v>
      </c>
      <c r="BP343" s="53">
        <v>7500</v>
      </c>
      <c r="BQ343" s="53">
        <v>7500</v>
      </c>
      <c r="BR343" s="53">
        <v>7500</v>
      </c>
      <c r="BS343" s="53">
        <v>7500</v>
      </c>
      <c r="BT343" s="53">
        <v>1350</v>
      </c>
      <c r="BU343" s="53">
        <v>6700</v>
      </c>
      <c r="BV343" s="53">
        <v>3000</v>
      </c>
      <c r="BW343" s="53">
        <v>7500</v>
      </c>
      <c r="BX343" s="53">
        <v>7500</v>
      </c>
      <c r="BY343" s="53">
        <v>12000</v>
      </c>
      <c r="BZ343" s="53">
        <v>4000</v>
      </c>
      <c r="CA343" s="53">
        <v>3500</v>
      </c>
      <c r="CB343" s="53">
        <v>5500</v>
      </c>
      <c r="CC343" s="53">
        <v>9000</v>
      </c>
      <c r="CD343" s="53">
        <v>7500</v>
      </c>
      <c r="CE343" s="53">
        <v>3500</v>
      </c>
      <c r="CF343" s="53">
        <v>15000</v>
      </c>
      <c r="CG343" s="53">
        <v>750</v>
      </c>
      <c r="CH343" s="53">
        <v>7500</v>
      </c>
      <c r="CI343" s="53">
        <v>3500</v>
      </c>
      <c r="CJ343" s="53">
        <v>15000</v>
      </c>
      <c r="CK343" s="53">
        <v>3500</v>
      </c>
      <c r="CL343" s="53">
        <v>7500</v>
      </c>
      <c r="CM343" s="53">
        <v>7500</v>
      </c>
      <c r="CN343" s="206"/>
      <c r="CO343" s="206"/>
      <c r="CP343" s="206"/>
      <c r="CQ343" s="8">
        <f t="shared" si="189"/>
        <v>500</v>
      </c>
      <c r="CR343" s="8">
        <f t="shared" si="190"/>
        <v>25133</v>
      </c>
      <c r="CS343" s="8">
        <f t="shared" si="191"/>
        <v>5849.1285714285714</v>
      </c>
      <c r="CT343">
        <f t="shared" si="192"/>
        <v>3862.5005875088441</v>
      </c>
      <c r="CU343" s="143">
        <f t="shared" si="193"/>
        <v>1355.8</v>
      </c>
      <c r="CV343" s="143">
        <f t="shared" si="194"/>
        <v>3916.5833333333335</v>
      </c>
      <c r="CX343" s="7">
        <f t="shared" si="195"/>
        <v>697.25</v>
      </c>
      <c r="CY343" s="7">
        <f t="shared" si="196"/>
        <v>1000</v>
      </c>
      <c r="CZ343" s="7">
        <f t="shared" si="197"/>
        <v>1348</v>
      </c>
      <c r="DA343" s="7">
        <f t="shared" si="198"/>
        <v>1832.75</v>
      </c>
      <c r="DB343" s="7">
        <f t="shared" si="199"/>
        <v>4923.5</v>
      </c>
      <c r="DC343" s="7">
        <f t="shared" si="200"/>
        <v>6580</v>
      </c>
      <c r="DD343" s="7">
        <f t="shared" si="201"/>
        <v>7500</v>
      </c>
      <c r="DE343" s="7">
        <f t="shared" si="202"/>
        <v>7500</v>
      </c>
      <c r="DF343" s="7">
        <f t="shared" si="203"/>
        <v>9000</v>
      </c>
      <c r="DH343" s="7">
        <f t="shared" si="204"/>
        <v>600.75</v>
      </c>
      <c r="DI343" s="7">
        <f t="shared" si="205"/>
        <v>974.24999999999989</v>
      </c>
      <c r="DJ343" s="7">
        <f t="shared" si="206"/>
        <v>1416.8000000000002</v>
      </c>
      <c r="DK343" s="7">
        <f t="shared" si="207"/>
        <v>2056.25</v>
      </c>
      <c r="DL343" s="7">
        <f t="shared" si="208"/>
        <v>4648</v>
      </c>
      <c r="DM343" s="7">
        <f t="shared" si="209"/>
        <v>5105</v>
      </c>
      <c r="DN343" s="7">
        <f t="shared" si="210"/>
        <v>5699</v>
      </c>
      <c r="DO343" s="7">
        <f t="shared" si="211"/>
        <v>7659.75</v>
      </c>
      <c r="DP343" s="7">
        <f t="shared" si="212"/>
        <v>10060.849999999999</v>
      </c>
    </row>
    <row r="344" spans="1:130" ht="25.5" hidden="1" customHeight="1" x14ac:dyDescent="0.25">
      <c r="A344" s="92" t="str">
        <f t="shared" ref="A344:A367" si="213">VLOOKUP(C344,CU,6,FALSE)</f>
        <v>CO-WVI [17]</v>
      </c>
      <c r="B344" s="92" t="str">
        <f t="shared" ref="B344:B367" si="214">VLOOKUP(C344,CU,7,FALSE)</f>
        <v>West Vancouver Island</v>
      </c>
      <c r="C344" s="93" t="str">
        <f t="shared" si="186"/>
        <v>BURMAN RIVER_Coho</v>
      </c>
      <c r="D344" s="128" t="s">
        <v>598</v>
      </c>
      <c r="E344" s="128" t="s">
        <v>598</v>
      </c>
      <c r="F344" s="64">
        <v>25</v>
      </c>
      <c r="G344" s="72" t="s">
        <v>216</v>
      </c>
      <c r="H344" s="65" t="s">
        <v>93</v>
      </c>
      <c r="I344" s="119"/>
      <c r="J344" s="119"/>
      <c r="K344" s="64">
        <v>2</v>
      </c>
      <c r="L344" s="52">
        <v>11</v>
      </c>
      <c r="M344" s="52">
        <v>11</v>
      </c>
      <c r="N344" s="52">
        <f t="shared" ref="N344:N367" si="215">GEOMEAN(AJ344:AW344)</f>
        <v>751.23964187189085</v>
      </c>
      <c r="O344" s="52">
        <f t="shared" ref="O344:O367" si="216">MAX(AJ344:CM344)</f>
        <v>4000</v>
      </c>
      <c r="P344" s="52">
        <f t="shared" ref="P344:P367" si="217">GEOMEAN(AJ344:CM344)</f>
        <v>739.84516247736497</v>
      </c>
      <c r="Q344" s="66" t="s">
        <v>269</v>
      </c>
      <c r="R344" s="37"/>
      <c r="S344" s="74" t="s">
        <v>1</v>
      </c>
      <c r="T344" s="81">
        <f t="shared" si="187"/>
        <v>329</v>
      </c>
      <c r="U344" s="81">
        <f t="shared" si="188"/>
        <v>825.58333333333337</v>
      </c>
      <c r="V344" s="233">
        <v>166</v>
      </c>
      <c r="W344" s="52">
        <v>522</v>
      </c>
      <c r="X344" s="52">
        <v>412</v>
      </c>
      <c r="Y344" s="52">
        <v>216</v>
      </c>
      <c r="Z344" s="52">
        <v>439</v>
      </c>
      <c r="AA344" s="52">
        <v>626</v>
      </c>
      <c r="AB344" s="52">
        <v>982</v>
      </c>
      <c r="AC344" s="52">
        <v>1334</v>
      </c>
      <c r="AD344" s="52">
        <v>572</v>
      </c>
      <c r="AE344" s="53">
        <v>1542</v>
      </c>
      <c r="AF344" s="52">
        <v>1635</v>
      </c>
      <c r="AG344" s="144">
        <v>1461</v>
      </c>
      <c r="AH344" s="53">
        <v>1565</v>
      </c>
      <c r="AI344" s="53">
        <v>1520</v>
      </c>
      <c r="AJ344" s="53">
        <v>791</v>
      </c>
      <c r="AK344" s="52">
        <v>294</v>
      </c>
      <c r="AL344" s="200">
        <v>380</v>
      </c>
      <c r="AM344" s="52">
        <v>2513</v>
      </c>
      <c r="AN344" s="52">
        <v>2252</v>
      </c>
      <c r="AO344" s="53">
        <v>1719</v>
      </c>
      <c r="AP344" s="53">
        <v>326</v>
      </c>
      <c r="AQ344" s="53">
        <v>477</v>
      </c>
      <c r="AR344" s="53">
        <v>750</v>
      </c>
      <c r="AS344" s="52">
        <v>654</v>
      </c>
      <c r="AT344" s="52">
        <v>860</v>
      </c>
      <c r="AU344" s="52">
        <v>510</v>
      </c>
      <c r="AV344" s="52">
        <v>714</v>
      </c>
      <c r="AW344" s="52">
        <v>888</v>
      </c>
      <c r="AX344" s="51">
        <v>75</v>
      </c>
      <c r="AY344" s="53" t="s">
        <v>262</v>
      </c>
      <c r="AZ344" s="53">
        <v>350</v>
      </c>
      <c r="BA344" s="53">
        <v>300</v>
      </c>
      <c r="BB344" s="53">
        <v>550</v>
      </c>
      <c r="BC344" s="53">
        <v>110</v>
      </c>
      <c r="BD344" s="53">
        <v>500</v>
      </c>
      <c r="BE344" s="53">
        <v>1000</v>
      </c>
      <c r="BF344" s="53">
        <v>200</v>
      </c>
      <c r="BG344" s="53">
        <v>200</v>
      </c>
      <c r="BH344" s="53">
        <v>200</v>
      </c>
      <c r="BI344" s="53" t="s">
        <v>264</v>
      </c>
      <c r="BJ344" s="53">
        <v>1750</v>
      </c>
      <c r="BK344" s="53">
        <v>1600</v>
      </c>
      <c r="BL344" s="53">
        <v>316</v>
      </c>
      <c r="BM344" s="53">
        <v>750</v>
      </c>
      <c r="BN344" s="53">
        <v>1000</v>
      </c>
      <c r="BO344" s="53">
        <v>900</v>
      </c>
      <c r="BP344" s="53">
        <v>75</v>
      </c>
      <c r="BQ344" s="53">
        <v>750</v>
      </c>
      <c r="BR344" s="53">
        <v>1500</v>
      </c>
      <c r="BS344" s="53">
        <v>1500</v>
      </c>
      <c r="BT344" s="53">
        <v>1000</v>
      </c>
      <c r="BU344" s="53">
        <v>3500</v>
      </c>
      <c r="BV344" s="53">
        <v>1500</v>
      </c>
      <c r="BW344" s="53">
        <v>750</v>
      </c>
      <c r="BX344" s="53">
        <v>750</v>
      </c>
      <c r="BY344" s="53">
        <v>2000</v>
      </c>
      <c r="BZ344" s="53">
        <v>2000</v>
      </c>
      <c r="CA344" s="53">
        <v>3500</v>
      </c>
      <c r="CB344" s="53">
        <v>4000</v>
      </c>
      <c r="CC344" s="53">
        <v>3000</v>
      </c>
      <c r="CD344" s="53">
        <v>3500</v>
      </c>
      <c r="CE344" s="53">
        <v>200</v>
      </c>
      <c r="CF344" s="53">
        <v>400</v>
      </c>
      <c r="CG344" s="53">
        <v>400</v>
      </c>
      <c r="CH344" s="53">
        <v>400</v>
      </c>
      <c r="CI344" s="53">
        <v>400</v>
      </c>
      <c r="CJ344" s="53">
        <v>3500</v>
      </c>
      <c r="CK344" s="53">
        <v>200</v>
      </c>
      <c r="CL344" s="53">
        <v>1500</v>
      </c>
      <c r="CM344" s="53">
        <v>3500</v>
      </c>
      <c r="CN344" s="206"/>
      <c r="CO344" s="206"/>
      <c r="CP344" s="206"/>
      <c r="CQ344" s="8">
        <f t="shared" si="189"/>
        <v>75</v>
      </c>
      <c r="CR344" s="8">
        <f t="shared" si="190"/>
        <v>4000</v>
      </c>
      <c r="CS344" s="8">
        <f t="shared" si="191"/>
        <v>1113.9117647058824</v>
      </c>
      <c r="CT344">
        <f t="shared" si="192"/>
        <v>739.23089209066836</v>
      </c>
      <c r="CU344" s="143">
        <f t="shared" si="193"/>
        <v>351</v>
      </c>
      <c r="CV344" s="143">
        <f t="shared" si="194"/>
        <v>825.58333333333337</v>
      </c>
      <c r="CX344" s="7">
        <f t="shared" si="195"/>
        <v>177.89999999999998</v>
      </c>
      <c r="CY344" s="7">
        <f t="shared" si="196"/>
        <v>294.3</v>
      </c>
      <c r="CZ344" s="7">
        <f t="shared" si="197"/>
        <v>335.6</v>
      </c>
      <c r="DA344" s="7">
        <f t="shared" si="198"/>
        <v>400</v>
      </c>
      <c r="DB344" s="7">
        <f t="shared" si="199"/>
        <v>750</v>
      </c>
      <c r="DC344" s="7">
        <f t="shared" si="200"/>
        <v>985.59999999999991</v>
      </c>
      <c r="DD344" s="7">
        <f t="shared" si="201"/>
        <v>1183.7000000000014</v>
      </c>
      <c r="DE344" s="7">
        <f t="shared" si="202"/>
        <v>1525.5</v>
      </c>
      <c r="DF344" s="7">
        <f t="shared" si="203"/>
        <v>1987.4999999999989</v>
      </c>
      <c r="DH344" s="7">
        <f t="shared" si="204"/>
        <v>243.3</v>
      </c>
      <c r="DI344" s="7">
        <f t="shared" si="205"/>
        <v>381.6</v>
      </c>
      <c r="DJ344" s="7">
        <f t="shared" si="206"/>
        <v>422.8</v>
      </c>
      <c r="DK344" s="7">
        <f t="shared" si="207"/>
        <v>467.5</v>
      </c>
      <c r="DL344" s="7">
        <f t="shared" si="208"/>
        <v>732</v>
      </c>
      <c r="DM344" s="7">
        <f t="shared" si="209"/>
        <v>865.6</v>
      </c>
      <c r="DN344" s="7">
        <f t="shared" si="210"/>
        <v>939.7</v>
      </c>
      <c r="DO344" s="7">
        <f t="shared" si="211"/>
        <v>1475.75</v>
      </c>
      <c r="DP344" s="7">
        <f t="shared" si="212"/>
        <v>1563.85</v>
      </c>
    </row>
    <row r="345" spans="1:130" ht="25.5" hidden="1" customHeight="1" x14ac:dyDescent="0.25">
      <c r="A345" s="92" t="str">
        <f t="shared" si="213"/>
        <v>Pkodd-WVI [6]</v>
      </c>
      <c r="B345" s="92" t="str">
        <f t="shared" si="214"/>
        <v>West Vancouver Island</v>
      </c>
      <c r="C345" s="93" t="str">
        <f t="shared" si="186"/>
        <v>BURMAN RIVER_Pink</v>
      </c>
      <c r="D345" s="128" t="s">
        <v>598</v>
      </c>
      <c r="E345" s="128" t="s">
        <v>598</v>
      </c>
      <c r="F345" s="64">
        <v>25</v>
      </c>
      <c r="G345" s="72" t="s">
        <v>216</v>
      </c>
      <c r="H345" s="65" t="s">
        <v>95</v>
      </c>
      <c r="I345" s="119"/>
      <c r="J345" s="119"/>
      <c r="K345" s="64">
        <v>2</v>
      </c>
      <c r="L345" s="52">
        <v>11</v>
      </c>
      <c r="M345" s="52">
        <v>7</v>
      </c>
      <c r="N345" s="52">
        <f t="shared" si="215"/>
        <v>4.7367928768793881</v>
      </c>
      <c r="O345" s="52">
        <f t="shared" si="216"/>
        <v>165000</v>
      </c>
      <c r="P345" s="52">
        <f t="shared" si="217"/>
        <v>516.66131731335554</v>
      </c>
      <c r="Q345" s="66" t="s">
        <v>269</v>
      </c>
      <c r="R345" s="37"/>
      <c r="S345" s="74"/>
      <c r="T345" s="81">
        <f t="shared" si="187"/>
        <v>2</v>
      </c>
      <c r="U345" s="81">
        <f t="shared" si="188"/>
        <v>16.8</v>
      </c>
      <c r="V345" s="232" t="s">
        <v>262</v>
      </c>
      <c r="W345" s="52">
        <v>2</v>
      </c>
      <c r="X345" s="52" t="s">
        <v>262</v>
      </c>
      <c r="Y345" s="36" t="s">
        <v>262</v>
      </c>
      <c r="Z345" s="195" t="s">
        <v>676</v>
      </c>
      <c r="AA345" s="52" t="s">
        <v>263</v>
      </c>
      <c r="AB345" s="52" t="s">
        <v>263</v>
      </c>
      <c r="AC345" s="52">
        <v>14</v>
      </c>
      <c r="AD345" s="52" t="s">
        <v>263</v>
      </c>
      <c r="AE345" s="53">
        <v>20</v>
      </c>
      <c r="AF345" s="52">
        <v>44</v>
      </c>
      <c r="AG345" s="144">
        <v>4</v>
      </c>
      <c r="AH345" s="52" t="s">
        <v>262</v>
      </c>
      <c r="AI345" s="52" t="s">
        <v>262</v>
      </c>
      <c r="AJ345" s="53">
        <v>3</v>
      </c>
      <c r="AK345" s="52" t="s">
        <v>262</v>
      </c>
      <c r="AL345" s="89" t="s">
        <v>262</v>
      </c>
      <c r="AM345" s="52">
        <v>1</v>
      </c>
      <c r="AN345" s="52" t="s">
        <v>262</v>
      </c>
      <c r="AO345" s="53" t="s">
        <v>262</v>
      </c>
      <c r="AP345" s="53" t="s">
        <v>262</v>
      </c>
      <c r="AQ345" s="53">
        <v>24</v>
      </c>
      <c r="AR345" s="53" t="s">
        <v>262</v>
      </c>
      <c r="AS345" s="52">
        <v>8</v>
      </c>
      <c r="AT345" s="52">
        <v>5</v>
      </c>
      <c r="AU345" s="52">
        <v>11</v>
      </c>
      <c r="AV345" s="52">
        <v>2</v>
      </c>
      <c r="AW345" s="52">
        <v>4</v>
      </c>
      <c r="AX345" s="51" t="s">
        <v>262</v>
      </c>
      <c r="AY345" s="53" t="s">
        <v>262</v>
      </c>
      <c r="AZ345" s="53">
        <v>20</v>
      </c>
      <c r="BA345" s="53" t="s">
        <v>262</v>
      </c>
      <c r="BB345" s="53">
        <v>60</v>
      </c>
      <c r="BC345" s="53" t="s">
        <v>264</v>
      </c>
      <c r="BD345" s="53" t="s">
        <v>262</v>
      </c>
      <c r="BE345" s="53" t="s">
        <v>262</v>
      </c>
      <c r="BF345" s="53">
        <v>50</v>
      </c>
      <c r="BG345" s="53" t="s">
        <v>264</v>
      </c>
      <c r="BH345" s="53">
        <v>400</v>
      </c>
      <c r="BI345" s="53">
        <v>100</v>
      </c>
      <c r="BJ345" s="53">
        <v>17500</v>
      </c>
      <c r="BK345" s="53" t="s">
        <v>264</v>
      </c>
      <c r="BL345" s="53">
        <v>20000</v>
      </c>
      <c r="BM345" s="53">
        <v>175</v>
      </c>
      <c r="BN345" s="53">
        <v>6000</v>
      </c>
      <c r="BO345" s="53" t="s">
        <v>264</v>
      </c>
      <c r="BP345" s="53">
        <v>15000</v>
      </c>
      <c r="BQ345" s="53" t="s">
        <v>264</v>
      </c>
      <c r="BR345" s="53">
        <v>15000</v>
      </c>
      <c r="BS345" s="53" t="s">
        <v>264</v>
      </c>
      <c r="BT345" s="53">
        <v>165000</v>
      </c>
      <c r="BU345" s="53" t="s">
        <v>262</v>
      </c>
      <c r="BV345" s="53">
        <v>30000</v>
      </c>
      <c r="BW345" s="53" t="s">
        <v>262</v>
      </c>
      <c r="BX345" s="53">
        <v>120000</v>
      </c>
      <c r="BY345" s="53" t="s">
        <v>262</v>
      </c>
      <c r="BZ345" s="53">
        <v>150000</v>
      </c>
      <c r="CA345" s="53">
        <v>25</v>
      </c>
      <c r="CB345" s="53">
        <v>30000</v>
      </c>
      <c r="CC345" s="53" t="s">
        <v>262</v>
      </c>
      <c r="CD345" s="53">
        <v>75000</v>
      </c>
      <c r="CE345" s="53">
        <v>25</v>
      </c>
      <c r="CF345" s="53">
        <v>7500</v>
      </c>
      <c r="CG345" s="53">
        <v>25</v>
      </c>
      <c r="CH345" s="53">
        <v>10000</v>
      </c>
      <c r="CI345" s="53" t="s">
        <v>262</v>
      </c>
      <c r="CJ345" s="53">
        <v>7500</v>
      </c>
      <c r="CK345" s="53" t="s">
        <v>262</v>
      </c>
      <c r="CL345" s="53" t="s">
        <v>264</v>
      </c>
      <c r="CM345" s="53">
        <v>7500</v>
      </c>
      <c r="CN345" s="206"/>
      <c r="CO345" s="206"/>
      <c r="CP345" s="206"/>
      <c r="CQ345" s="8">
        <f t="shared" si="189"/>
        <v>1</v>
      </c>
      <c r="CR345" s="8">
        <f t="shared" si="190"/>
        <v>165000</v>
      </c>
      <c r="CS345" s="8">
        <f t="shared" si="191"/>
        <v>18297.891891891893</v>
      </c>
      <c r="CT345">
        <f t="shared" si="192"/>
        <v>303.05494738415456</v>
      </c>
      <c r="CU345" s="143">
        <f t="shared" si="193"/>
        <v>2</v>
      </c>
      <c r="CV345" s="143">
        <f t="shared" si="194"/>
        <v>16.8</v>
      </c>
      <c r="CX345" s="7">
        <f t="shared" si="195"/>
        <v>2</v>
      </c>
      <c r="CY345" s="7">
        <f t="shared" si="196"/>
        <v>4.3999999999999995</v>
      </c>
      <c r="CZ345" s="7">
        <f t="shared" si="197"/>
        <v>8.5999999999999979</v>
      </c>
      <c r="DA345" s="7">
        <f t="shared" si="198"/>
        <v>14</v>
      </c>
      <c r="DB345" s="7">
        <f t="shared" si="199"/>
        <v>60</v>
      </c>
      <c r="DC345" s="7">
        <f t="shared" si="200"/>
        <v>3759.9999999999882</v>
      </c>
      <c r="DD345" s="7">
        <f t="shared" si="201"/>
        <v>7500</v>
      </c>
      <c r="DE345" s="7">
        <f t="shared" si="202"/>
        <v>15000</v>
      </c>
      <c r="DF345" s="7">
        <f t="shared" si="203"/>
        <v>25999.999999999978</v>
      </c>
      <c r="DH345" s="7">
        <f t="shared" si="204"/>
        <v>1.6</v>
      </c>
      <c r="DI345" s="7">
        <f t="shared" si="205"/>
        <v>2</v>
      </c>
      <c r="DJ345" s="7">
        <f t="shared" si="206"/>
        <v>2.4000000000000004</v>
      </c>
      <c r="DK345" s="7">
        <f t="shared" si="207"/>
        <v>3</v>
      </c>
      <c r="DL345" s="7">
        <f t="shared" si="208"/>
        <v>5</v>
      </c>
      <c r="DM345" s="7">
        <f t="shared" si="209"/>
        <v>8.5999999999999979</v>
      </c>
      <c r="DN345" s="7">
        <f t="shared" si="210"/>
        <v>10.400000000000002</v>
      </c>
      <c r="DO345" s="7">
        <f t="shared" si="211"/>
        <v>14</v>
      </c>
      <c r="DP345" s="7">
        <f t="shared" si="212"/>
        <v>20.799999999999997</v>
      </c>
    </row>
    <row r="346" spans="1:130" ht="25.5" hidden="1" customHeight="1" x14ac:dyDescent="0.25">
      <c r="A346" s="92" t="str">
        <f t="shared" si="213"/>
        <v>SK-WVI [R10]</v>
      </c>
      <c r="B346" s="92" t="str">
        <f t="shared" si="214"/>
        <v>West Vancouver Island</v>
      </c>
      <c r="C346" s="93" t="str">
        <f t="shared" si="186"/>
        <v>BURMAN RIVER_Sockeye</v>
      </c>
      <c r="D346" s="128" t="s">
        <v>598</v>
      </c>
      <c r="E346" s="128" t="s">
        <v>598</v>
      </c>
      <c r="F346" s="64">
        <v>25</v>
      </c>
      <c r="G346" s="72" t="s">
        <v>216</v>
      </c>
      <c r="H346" s="65" t="s">
        <v>91</v>
      </c>
      <c r="I346" s="119"/>
      <c r="J346" s="119"/>
      <c r="K346" s="64">
        <v>2</v>
      </c>
      <c r="L346" s="52">
        <v>11</v>
      </c>
      <c r="M346" s="52">
        <v>11</v>
      </c>
      <c r="N346" s="52">
        <f t="shared" si="215"/>
        <v>302.88512016305276</v>
      </c>
      <c r="O346" s="52">
        <f t="shared" si="216"/>
        <v>2000</v>
      </c>
      <c r="P346" s="52">
        <f t="shared" si="217"/>
        <v>204.22216733660068</v>
      </c>
      <c r="Q346" s="66" t="s">
        <v>269</v>
      </c>
      <c r="R346" s="37"/>
      <c r="S346" s="74"/>
      <c r="T346" s="81">
        <f t="shared" si="187"/>
        <v>207</v>
      </c>
      <c r="U346" s="81">
        <f t="shared" si="188"/>
        <v>725.41666666666663</v>
      </c>
      <c r="V346" s="233">
        <v>27</v>
      </c>
      <c r="W346" s="52">
        <v>400</v>
      </c>
      <c r="X346" s="52">
        <v>221</v>
      </c>
      <c r="Y346" s="52">
        <v>180</v>
      </c>
      <c r="Z346" s="52">
        <v>340</v>
      </c>
      <c r="AA346" s="52">
        <v>518</v>
      </c>
      <c r="AB346" s="52">
        <v>1572</v>
      </c>
      <c r="AC346" s="52">
        <v>1189</v>
      </c>
      <c r="AD346" s="52">
        <v>1053</v>
      </c>
      <c r="AE346" s="53">
        <v>1357</v>
      </c>
      <c r="AF346" s="52">
        <v>308</v>
      </c>
      <c r="AG346" s="144">
        <v>1540</v>
      </c>
      <c r="AH346" s="53">
        <v>1015</v>
      </c>
      <c r="AI346" s="53">
        <v>450</v>
      </c>
      <c r="AJ346" s="53">
        <v>195</v>
      </c>
      <c r="AK346" s="52">
        <v>173</v>
      </c>
      <c r="AL346" s="89">
        <v>122</v>
      </c>
      <c r="AM346" s="52">
        <v>472</v>
      </c>
      <c r="AN346" s="52">
        <v>1025</v>
      </c>
      <c r="AO346" s="53">
        <v>24</v>
      </c>
      <c r="AP346" s="53">
        <v>141</v>
      </c>
      <c r="AQ346" s="53">
        <v>252</v>
      </c>
      <c r="AR346" s="53">
        <v>211</v>
      </c>
      <c r="AS346" s="52">
        <v>620</v>
      </c>
      <c r="AT346" s="52">
        <v>1762</v>
      </c>
      <c r="AU346" s="52">
        <v>1647</v>
      </c>
      <c r="AV346" s="52">
        <v>127</v>
      </c>
      <c r="AW346" s="52">
        <v>668</v>
      </c>
      <c r="AX346" s="51">
        <v>250</v>
      </c>
      <c r="AY346" s="53">
        <v>1000</v>
      </c>
      <c r="AZ346" s="53">
        <v>2000</v>
      </c>
      <c r="BA346" s="53">
        <v>500</v>
      </c>
      <c r="BB346" s="53">
        <v>200</v>
      </c>
      <c r="BC346" s="53">
        <v>125</v>
      </c>
      <c r="BD346" s="53">
        <v>800</v>
      </c>
      <c r="BE346" s="53">
        <v>150</v>
      </c>
      <c r="BF346" s="53">
        <v>100</v>
      </c>
      <c r="BG346" s="53" t="s">
        <v>102</v>
      </c>
      <c r="BH346" s="53" t="s">
        <v>262</v>
      </c>
      <c r="BI346" s="53">
        <v>1000</v>
      </c>
      <c r="BJ346" s="53">
        <v>250</v>
      </c>
      <c r="BK346" s="53">
        <v>200</v>
      </c>
      <c r="BL346" s="53">
        <v>216</v>
      </c>
      <c r="BM346" s="53">
        <v>325</v>
      </c>
      <c r="BN346" s="53">
        <v>1000</v>
      </c>
      <c r="BO346" s="53">
        <v>300</v>
      </c>
      <c r="BP346" s="53">
        <v>750</v>
      </c>
      <c r="BQ346" s="53">
        <v>75</v>
      </c>
      <c r="BR346" s="53">
        <v>25</v>
      </c>
      <c r="BS346" s="53">
        <v>75</v>
      </c>
      <c r="BT346" s="53" t="s">
        <v>264</v>
      </c>
      <c r="BU346" s="53" t="s">
        <v>264</v>
      </c>
      <c r="BV346" s="53" t="s">
        <v>264</v>
      </c>
      <c r="BW346" s="53">
        <v>25</v>
      </c>
      <c r="BX346" s="53" t="s">
        <v>264</v>
      </c>
      <c r="BY346" s="53" t="s">
        <v>262</v>
      </c>
      <c r="BZ346" s="53">
        <v>25</v>
      </c>
      <c r="CA346" s="53">
        <v>25</v>
      </c>
      <c r="CB346" s="53">
        <v>200</v>
      </c>
      <c r="CC346" s="53">
        <v>75</v>
      </c>
      <c r="CD346" s="53">
        <v>75</v>
      </c>
      <c r="CE346" s="53">
        <v>25</v>
      </c>
      <c r="CF346" s="53">
        <v>400</v>
      </c>
      <c r="CG346" s="53">
        <v>200</v>
      </c>
      <c r="CH346" s="53">
        <v>75</v>
      </c>
      <c r="CI346" s="53" t="s">
        <v>262</v>
      </c>
      <c r="CJ346" s="53">
        <v>75</v>
      </c>
      <c r="CK346" s="53" t="s">
        <v>264</v>
      </c>
      <c r="CL346" s="53" t="s">
        <v>264</v>
      </c>
      <c r="CM346" s="53" t="s">
        <v>264</v>
      </c>
      <c r="CN346" s="209"/>
      <c r="CO346" s="209"/>
      <c r="CP346" s="209"/>
      <c r="CQ346" s="8">
        <f t="shared" si="189"/>
        <v>24</v>
      </c>
      <c r="CR346" s="8">
        <f t="shared" si="190"/>
        <v>2000</v>
      </c>
      <c r="CS346" s="8">
        <f t="shared" si="191"/>
        <v>477.11864406779659</v>
      </c>
      <c r="CT346">
        <f t="shared" si="192"/>
        <v>251.14864436924708</v>
      </c>
      <c r="CU346" s="143">
        <f t="shared" si="193"/>
        <v>233.6</v>
      </c>
      <c r="CV346" s="143">
        <f t="shared" si="194"/>
        <v>725.41666666666663</v>
      </c>
      <c r="CX346" s="7">
        <f t="shared" si="195"/>
        <v>25</v>
      </c>
      <c r="CY346" s="7">
        <f t="shared" si="196"/>
        <v>75</v>
      </c>
      <c r="CZ346" s="7">
        <f t="shared" si="197"/>
        <v>75</v>
      </c>
      <c r="DA346" s="7">
        <f t="shared" si="198"/>
        <v>123.5</v>
      </c>
      <c r="DB346" s="7">
        <f t="shared" si="199"/>
        <v>250</v>
      </c>
      <c r="DC346" s="7">
        <f t="shared" si="200"/>
        <v>336.99999999999994</v>
      </c>
      <c r="DD346" s="7">
        <f t="shared" si="201"/>
        <v>435.00000000000011</v>
      </c>
      <c r="DE346" s="7">
        <f t="shared" si="202"/>
        <v>709</v>
      </c>
      <c r="DF346" s="7">
        <f t="shared" si="203"/>
        <v>1018</v>
      </c>
      <c r="DH346" s="7">
        <f t="shared" si="204"/>
        <v>60.250000000000007</v>
      </c>
      <c r="DI346" s="7">
        <f t="shared" si="205"/>
        <v>142.6</v>
      </c>
      <c r="DJ346" s="7">
        <f t="shared" si="206"/>
        <v>175.8</v>
      </c>
      <c r="DK346" s="7">
        <f t="shared" si="207"/>
        <v>191.25</v>
      </c>
      <c r="DL346" s="7">
        <f t="shared" si="208"/>
        <v>425</v>
      </c>
      <c r="DM346" s="7">
        <f t="shared" si="209"/>
        <v>538.4</v>
      </c>
      <c r="DN346" s="7">
        <f t="shared" si="210"/>
        <v>646.40000000000009</v>
      </c>
      <c r="DO346" s="7">
        <f t="shared" si="211"/>
        <v>1032</v>
      </c>
      <c r="DP346" s="7">
        <f t="shared" si="212"/>
        <v>1348.6</v>
      </c>
      <c r="DR346" s="7">
        <f>_xlfn.PERCENTILE.INC((Y346:AC346,AE346:AW346),0.05)</f>
        <v>122.75</v>
      </c>
      <c r="DS346" s="7">
        <f>_xlfn.PERCENTILE.INC((Y346:AC346,AE346:AW346),0.15)</f>
        <v>155.39999999999998</v>
      </c>
      <c r="DT346" s="7">
        <f>_xlfn.PERCENTILE.INC((Y346:AC346,AE346:AW346),0.2)</f>
        <v>177.20000000000002</v>
      </c>
      <c r="DU346" s="7">
        <f>_xlfn.PERCENTILE.INC((Y346:AC346,AE346:AW346),0.25)</f>
        <v>191.25</v>
      </c>
      <c r="DV346" s="7">
        <f>_xlfn.PERCENTILE.INC((Y346:AC346,AE346:AW346),0.5)</f>
        <v>461</v>
      </c>
      <c r="DW346" s="7">
        <f>_xlfn.PERCENTILE.INC((Y346:AC346,AE346:AW346),0.6)</f>
        <v>599.59999999999991</v>
      </c>
      <c r="DX346" s="7">
        <f>_xlfn.PERCENTILE.INC((Y346:AC346,AE346:AW346),0.65)</f>
        <v>665.6</v>
      </c>
      <c r="DY346" s="7">
        <f>_xlfn.PERCENTILE.INC((Y346:AC346,AE346:AW346),0.75)</f>
        <v>1066</v>
      </c>
      <c r="DZ346" s="7">
        <f>_xlfn.PERCENTILE.INC((Y346:AC346,AE346:AW346),0.85)</f>
        <v>1457.65</v>
      </c>
    </row>
    <row r="347" spans="1:130" ht="25.5" customHeight="1" x14ac:dyDescent="0.25">
      <c r="A347" s="92" t="str">
        <f t="shared" si="213"/>
        <v>CK-NoKy [32]</v>
      </c>
      <c r="B347" s="92" t="str">
        <f t="shared" si="214"/>
        <v>Nootka and Kyuquot</v>
      </c>
      <c r="C347" s="93" t="str">
        <f t="shared" si="186"/>
        <v>CANTON CREEK_Chinook</v>
      </c>
      <c r="D347" s="128" t="s">
        <v>598</v>
      </c>
      <c r="E347" s="128" t="s">
        <v>598</v>
      </c>
      <c r="F347" s="64">
        <v>25</v>
      </c>
      <c r="G347" s="72" t="s">
        <v>225</v>
      </c>
      <c r="H347" s="65" t="s">
        <v>97</v>
      </c>
      <c r="I347" s="119"/>
      <c r="J347" s="119"/>
      <c r="K347" s="64">
        <v>1</v>
      </c>
      <c r="L347" s="52">
        <v>7</v>
      </c>
      <c r="M347" s="52">
        <v>7</v>
      </c>
      <c r="N347" s="52">
        <f t="shared" si="215"/>
        <v>370.29483276927289</v>
      </c>
      <c r="O347" s="52">
        <f t="shared" si="216"/>
        <v>5000</v>
      </c>
      <c r="P347" s="52">
        <f t="shared" si="217"/>
        <v>172.43282771719279</v>
      </c>
      <c r="Q347" s="66" t="s">
        <v>272</v>
      </c>
      <c r="R347" s="37"/>
      <c r="S347" s="74" t="s">
        <v>9</v>
      </c>
      <c r="T347" s="81">
        <f t="shared" si="187"/>
        <v>916.75</v>
      </c>
      <c r="U347" s="81">
        <f t="shared" si="188"/>
        <v>2317.1</v>
      </c>
      <c r="V347" s="233">
        <v>977</v>
      </c>
      <c r="W347" s="52">
        <v>922</v>
      </c>
      <c r="X347" s="52">
        <v>191</v>
      </c>
      <c r="Y347" s="52">
        <v>1577</v>
      </c>
      <c r="Z347" s="52" t="s">
        <v>102</v>
      </c>
      <c r="AA347" s="52">
        <v>207</v>
      </c>
      <c r="AB347" s="52">
        <v>9824</v>
      </c>
      <c r="AC347" s="123"/>
      <c r="AD347" s="123">
        <v>3500</v>
      </c>
      <c r="AE347" s="144">
        <v>3000</v>
      </c>
      <c r="AF347" s="52">
        <v>823</v>
      </c>
      <c r="AG347" s="144">
        <v>2150</v>
      </c>
      <c r="AH347" s="61">
        <v>347</v>
      </c>
      <c r="AI347" s="61">
        <v>170</v>
      </c>
      <c r="AJ347" s="61" t="s">
        <v>262</v>
      </c>
      <c r="AK347" s="61">
        <v>102</v>
      </c>
      <c r="AL347" s="52" t="s">
        <v>102</v>
      </c>
      <c r="AM347" s="52" t="s">
        <v>102</v>
      </c>
      <c r="AN347" s="52" t="s">
        <v>102</v>
      </c>
      <c r="AO347" s="53" t="s">
        <v>102</v>
      </c>
      <c r="AP347" s="53" t="s">
        <v>102</v>
      </c>
      <c r="AQ347" s="53">
        <v>456</v>
      </c>
      <c r="AR347" s="53">
        <v>973</v>
      </c>
      <c r="AS347" s="52">
        <v>140</v>
      </c>
      <c r="AT347" s="52">
        <v>620</v>
      </c>
      <c r="AU347" s="52">
        <v>140</v>
      </c>
      <c r="AV347" s="52">
        <v>398</v>
      </c>
      <c r="AW347" s="52">
        <v>1615</v>
      </c>
      <c r="AX347" s="51">
        <v>5000</v>
      </c>
      <c r="AY347" s="53">
        <v>800</v>
      </c>
      <c r="AZ347" s="53">
        <v>900</v>
      </c>
      <c r="BA347" s="53">
        <v>100</v>
      </c>
      <c r="BB347" s="53" t="s">
        <v>264</v>
      </c>
      <c r="BC347" s="53" t="s">
        <v>264</v>
      </c>
      <c r="BD347" s="53" t="s">
        <v>264</v>
      </c>
      <c r="BE347" s="53" t="s">
        <v>264</v>
      </c>
      <c r="BF347" s="53" t="s">
        <v>262</v>
      </c>
      <c r="BG347" s="53">
        <v>30</v>
      </c>
      <c r="BH347" s="53">
        <v>35</v>
      </c>
      <c r="BI347" s="53" t="s">
        <v>264</v>
      </c>
      <c r="BJ347" s="53" t="s">
        <v>264</v>
      </c>
      <c r="BK347" s="53">
        <v>20</v>
      </c>
      <c r="BL347" s="53" t="s">
        <v>264</v>
      </c>
      <c r="BM347" s="53" t="s">
        <v>264</v>
      </c>
      <c r="BN347" s="53" t="s">
        <v>262</v>
      </c>
      <c r="BO347" s="53" t="s">
        <v>264</v>
      </c>
      <c r="BP347" s="53">
        <v>25</v>
      </c>
      <c r="BQ347" s="53">
        <v>75</v>
      </c>
      <c r="BR347" s="53">
        <v>25</v>
      </c>
      <c r="BS347" s="53">
        <v>25</v>
      </c>
      <c r="BT347" s="53">
        <v>400</v>
      </c>
      <c r="BU347" s="53">
        <v>400</v>
      </c>
      <c r="BV347" s="53">
        <v>500</v>
      </c>
      <c r="BW347" s="53">
        <v>400</v>
      </c>
      <c r="BX347" s="53">
        <v>400</v>
      </c>
      <c r="BY347" s="53">
        <v>500</v>
      </c>
      <c r="BZ347" s="53">
        <v>250</v>
      </c>
      <c r="CA347" s="53">
        <v>400</v>
      </c>
      <c r="CB347" s="53">
        <v>400</v>
      </c>
      <c r="CC347" s="53">
        <v>600</v>
      </c>
      <c r="CD347" s="53">
        <v>200</v>
      </c>
      <c r="CE347" s="53">
        <v>25</v>
      </c>
      <c r="CF347" s="53">
        <v>75</v>
      </c>
      <c r="CG347" s="53">
        <v>200</v>
      </c>
      <c r="CH347" s="53">
        <v>25</v>
      </c>
      <c r="CI347" s="53">
        <v>25</v>
      </c>
      <c r="CJ347" s="53">
        <v>25</v>
      </c>
      <c r="CK347" s="53">
        <v>25</v>
      </c>
      <c r="CL347" s="53">
        <v>300</v>
      </c>
      <c r="CM347" s="53">
        <v>400</v>
      </c>
      <c r="CN347" s="206"/>
      <c r="CO347" s="206"/>
      <c r="CP347" s="206"/>
      <c r="CQ347" s="8">
        <f t="shared" si="189"/>
        <v>20</v>
      </c>
      <c r="CR347" s="8">
        <f t="shared" si="190"/>
        <v>9824</v>
      </c>
      <c r="CS347" s="8">
        <f t="shared" si="191"/>
        <v>798.37254901960785</v>
      </c>
      <c r="CT347">
        <f t="shared" si="192"/>
        <v>258.19959385111304</v>
      </c>
      <c r="CU347" s="143">
        <f t="shared" si="193"/>
        <v>916.75</v>
      </c>
      <c r="CV347" s="143">
        <f t="shared" si="194"/>
        <v>2317.1</v>
      </c>
      <c r="CX347" s="7">
        <f t="shared" si="195"/>
        <v>25</v>
      </c>
      <c r="CY347" s="7">
        <f t="shared" si="196"/>
        <v>25</v>
      </c>
      <c r="CZ347" s="7">
        <f t="shared" si="197"/>
        <v>35</v>
      </c>
      <c r="DA347" s="7">
        <f t="shared" si="198"/>
        <v>87.5</v>
      </c>
      <c r="DB347" s="7">
        <f t="shared" si="199"/>
        <v>398</v>
      </c>
      <c r="DC347" s="7">
        <f t="shared" si="200"/>
        <v>400</v>
      </c>
      <c r="DD347" s="7">
        <f t="shared" si="201"/>
        <v>428</v>
      </c>
      <c r="DE347" s="7">
        <f t="shared" si="202"/>
        <v>710</v>
      </c>
      <c r="DF347" s="7">
        <f t="shared" si="203"/>
        <v>975</v>
      </c>
      <c r="DH347" s="7">
        <f t="shared" si="204"/>
        <v>138.10000000000002</v>
      </c>
      <c r="DI347" s="7">
        <f t="shared" si="205"/>
        <v>165.5</v>
      </c>
      <c r="DJ347" s="7">
        <f t="shared" si="206"/>
        <v>186.8</v>
      </c>
      <c r="DK347" s="7">
        <f t="shared" si="207"/>
        <v>203</v>
      </c>
      <c r="DL347" s="7">
        <f t="shared" si="208"/>
        <v>721.5</v>
      </c>
      <c r="DM347" s="7">
        <f t="shared" si="209"/>
        <v>942.4</v>
      </c>
      <c r="DN347" s="7">
        <f t="shared" si="210"/>
        <v>974.4</v>
      </c>
      <c r="DO347" s="7">
        <f t="shared" si="211"/>
        <v>1586.5</v>
      </c>
      <c r="DP347" s="7">
        <f t="shared" si="212"/>
        <v>2277.4999999999986</v>
      </c>
    </row>
    <row r="348" spans="1:130" ht="25.5" hidden="1" customHeight="1" x14ac:dyDescent="0.25">
      <c r="A348" s="92" t="str">
        <f t="shared" si="213"/>
        <v>CM-SWVI [10]</v>
      </c>
      <c r="B348" s="92" t="str">
        <f t="shared" si="214"/>
        <v>Southwest Vancouver Island</v>
      </c>
      <c r="C348" s="93" t="str">
        <f t="shared" si="186"/>
        <v>CANTON CREEK_Chum</v>
      </c>
      <c r="D348" s="128" t="s">
        <v>598</v>
      </c>
      <c r="E348" s="128" t="s">
        <v>598</v>
      </c>
      <c r="F348" s="64">
        <v>25</v>
      </c>
      <c r="G348" s="72" t="s">
        <v>225</v>
      </c>
      <c r="H348" s="65" t="s">
        <v>96</v>
      </c>
      <c r="I348" s="119"/>
      <c r="J348" s="119"/>
      <c r="K348" s="64">
        <v>1</v>
      </c>
      <c r="L348" s="52">
        <v>10</v>
      </c>
      <c r="M348" s="52">
        <v>10</v>
      </c>
      <c r="N348" s="52">
        <f t="shared" si="215"/>
        <v>4916.056263019198</v>
      </c>
      <c r="O348" s="52">
        <f t="shared" si="216"/>
        <v>40629</v>
      </c>
      <c r="P348" s="52">
        <f t="shared" si="217"/>
        <v>2217.6422299979699</v>
      </c>
      <c r="Q348" s="66" t="s">
        <v>272</v>
      </c>
      <c r="R348" s="37"/>
      <c r="S348" s="74" t="s">
        <v>9</v>
      </c>
      <c r="T348" s="81">
        <f t="shared" si="187"/>
        <v>1808.25</v>
      </c>
      <c r="U348" s="81">
        <f t="shared" si="188"/>
        <v>2110.6363636363635</v>
      </c>
      <c r="V348" s="233">
        <v>749</v>
      </c>
      <c r="W348" s="52">
        <v>4656</v>
      </c>
      <c r="X348" s="52">
        <v>683</v>
      </c>
      <c r="Y348" s="52">
        <v>1145</v>
      </c>
      <c r="Z348" s="52" t="s">
        <v>102</v>
      </c>
      <c r="AA348" s="52">
        <v>1933</v>
      </c>
      <c r="AB348" s="52">
        <v>3048</v>
      </c>
      <c r="AC348" s="52">
        <v>2650</v>
      </c>
      <c r="AD348" s="123">
        <v>4500</v>
      </c>
      <c r="AE348" s="144">
        <v>2300</v>
      </c>
      <c r="AF348" s="52">
        <v>650</v>
      </c>
      <c r="AG348" s="144">
        <v>903</v>
      </c>
      <c r="AH348" s="61">
        <v>3950</v>
      </c>
      <c r="AI348" s="61">
        <v>3500</v>
      </c>
      <c r="AJ348" s="61">
        <v>1500</v>
      </c>
      <c r="AK348" s="61">
        <v>300</v>
      </c>
      <c r="AL348" s="52" t="s">
        <v>102</v>
      </c>
      <c r="AM348" s="52">
        <v>6000</v>
      </c>
      <c r="AN348" s="52" t="s">
        <v>102</v>
      </c>
      <c r="AO348" s="53">
        <v>11000</v>
      </c>
      <c r="AP348" s="53">
        <v>7000</v>
      </c>
      <c r="AQ348" s="53">
        <v>2632</v>
      </c>
      <c r="AR348" s="53">
        <v>1496</v>
      </c>
      <c r="AS348" s="52">
        <v>9922</v>
      </c>
      <c r="AT348" s="52">
        <v>40629</v>
      </c>
      <c r="AU348" s="52">
        <v>25464</v>
      </c>
      <c r="AV348" s="52">
        <v>8000</v>
      </c>
      <c r="AW348" s="52">
        <v>2964</v>
      </c>
      <c r="AX348" s="51">
        <v>12000</v>
      </c>
      <c r="AY348" s="53">
        <v>28500</v>
      </c>
      <c r="AZ348" s="53">
        <v>5900</v>
      </c>
      <c r="BA348" s="53">
        <v>5000</v>
      </c>
      <c r="BB348" s="53">
        <v>3200</v>
      </c>
      <c r="BC348" s="53">
        <v>5500</v>
      </c>
      <c r="BD348" s="53">
        <v>2500</v>
      </c>
      <c r="BE348" s="53">
        <v>300</v>
      </c>
      <c r="BF348" s="53">
        <v>4900</v>
      </c>
      <c r="BG348" s="53">
        <v>5500</v>
      </c>
      <c r="BH348" s="53">
        <v>4500</v>
      </c>
      <c r="BI348" s="53">
        <v>5000</v>
      </c>
      <c r="BJ348" s="53">
        <v>8000</v>
      </c>
      <c r="BK348" s="53">
        <v>7000</v>
      </c>
      <c r="BL348" s="53">
        <v>5000</v>
      </c>
      <c r="BM348" s="53">
        <v>140</v>
      </c>
      <c r="BN348" s="53">
        <v>800</v>
      </c>
      <c r="BO348" s="53">
        <v>500</v>
      </c>
      <c r="BP348" s="53">
        <v>400</v>
      </c>
      <c r="BQ348" s="53">
        <v>1500</v>
      </c>
      <c r="BR348" s="53">
        <v>3500</v>
      </c>
      <c r="BS348" s="53">
        <v>750</v>
      </c>
      <c r="BT348" s="53">
        <v>3500</v>
      </c>
      <c r="BU348" s="53">
        <v>500</v>
      </c>
      <c r="BV348" s="53">
        <v>700</v>
      </c>
      <c r="BW348" s="53">
        <v>3500</v>
      </c>
      <c r="BX348" s="53">
        <v>3500</v>
      </c>
      <c r="BY348" s="53">
        <v>900</v>
      </c>
      <c r="BZ348" s="53">
        <v>550</v>
      </c>
      <c r="CA348" s="53">
        <v>750</v>
      </c>
      <c r="CB348" s="53">
        <v>1500</v>
      </c>
      <c r="CC348" s="53">
        <v>600</v>
      </c>
      <c r="CD348" s="53">
        <v>750</v>
      </c>
      <c r="CE348" s="53">
        <v>750</v>
      </c>
      <c r="CF348" s="53">
        <v>15000</v>
      </c>
      <c r="CG348" s="53">
        <v>750</v>
      </c>
      <c r="CH348" s="53">
        <v>1500</v>
      </c>
      <c r="CI348" s="53">
        <v>200</v>
      </c>
      <c r="CJ348" s="53">
        <v>200</v>
      </c>
      <c r="CK348" s="53">
        <v>400</v>
      </c>
      <c r="CL348" s="53">
        <v>4500</v>
      </c>
      <c r="CM348" s="53">
        <v>3500</v>
      </c>
      <c r="CN348" s="206"/>
      <c r="CO348" s="206"/>
      <c r="CP348" s="206"/>
      <c r="CQ348" s="8">
        <f t="shared" si="189"/>
        <v>140</v>
      </c>
      <c r="CR348" s="8">
        <f t="shared" si="190"/>
        <v>40629</v>
      </c>
      <c r="CS348" s="8">
        <f t="shared" si="191"/>
        <v>4500.2089552238804</v>
      </c>
      <c r="CT348">
        <f t="shared" si="192"/>
        <v>2146.9124461255374</v>
      </c>
      <c r="CU348" s="143">
        <f t="shared" si="193"/>
        <v>1808.25</v>
      </c>
      <c r="CV348" s="143">
        <f t="shared" si="194"/>
        <v>2110.6363636363635</v>
      </c>
      <c r="CX348" s="7">
        <f t="shared" si="195"/>
        <v>300</v>
      </c>
      <c r="CY348" s="7">
        <f t="shared" si="196"/>
        <v>595</v>
      </c>
      <c r="CZ348" s="7">
        <f t="shared" si="197"/>
        <v>709.80000000000007</v>
      </c>
      <c r="DA348" s="7">
        <f t="shared" si="198"/>
        <v>750</v>
      </c>
      <c r="DB348" s="7">
        <f t="shared" si="199"/>
        <v>2650</v>
      </c>
      <c r="DC348" s="7">
        <f t="shared" si="200"/>
        <v>3500</v>
      </c>
      <c r="DD348" s="7">
        <f t="shared" si="201"/>
        <v>3904.9999999999995</v>
      </c>
      <c r="DE348" s="7">
        <f t="shared" si="202"/>
        <v>5000</v>
      </c>
      <c r="DF348" s="7">
        <f t="shared" si="203"/>
        <v>7000</v>
      </c>
      <c r="DH348" s="7">
        <f t="shared" si="204"/>
        <v>656.6</v>
      </c>
      <c r="DI348" s="7">
        <f t="shared" si="205"/>
        <v>841.4</v>
      </c>
      <c r="DJ348" s="7">
        <f t="shared" si="206"/>
        <v>1096.6000000000001</v>
      </c>
      <c r="DK348" s="7">
        <f t="shared" si="207"/>
        <v>1496</v>
      </c>
      <c r="DL348" s="7">
        <f t="shared" si="208"/>
        <v>2964</v>
      </c>
      <c r="DM348" s="7">
        <f t="shared" si="209"/>
        <v>3679.9999999999995</v>
      </c>
      <c r="DN348" s="7">
        <f t="shared" si="210"/>
        <v>4280.0000000000009</v>
      </c>
      <c r="DO348" s="7">
        <f t="shared" si="211"/>
        <v>6000</v>
      </c>
      <c r="DP348" s="7">
        <f t="shared" si="212"/>
        <v>8768.7999999999975</v>
      </c>
    </row>
    <row r="349" spans="1:130" ht="25.5" hidden="1" customHeight="1" x14ac:dyDescent="0.25">
      <c r="A349" s="92" t="str">
        <f t="shared" si="213"/>
        <v>CO-WVI [17]</v>
      </c>
      <c r="B349" s="92" t="str">
        <f t="shared" si="214"/>
        <v>West Vancouver Island</v>
      </c>
      <c r="C349" s="93" t="str">
        <f t="shared" si="186"/>
        <v>CANTON CREEK_Coho</v>
      </c>
      <c r="D349" s="128" t="s">
        <v>598</v>
      </c>
      <c r="E349" s="128" t="s">
        <v>598</v>
      </c>
      <c r="F349" s="64">
        <v>25</v>
      </c>
      <c r="G349" s="72" t="s">
        <v>225</v>
      </c>
      <c r="H349" s="65" t="s">
        <v>93</v>
      </c>
      <c r="I349" s="119"/>
      <c r="J349" s="119"/>
      <c r="K349" s="64">
        <v>1</v>
      </c>
      <c r="L349" s="52">
        <v>7</v>
      </c>
      <c r="M349" s="52">
        <v>7</v>
      </c>
      <c r="N349" s="52">
        <f t="shared" si="215"/>
        <v>700.61920727999745</v>
      </c>
      <c r="O349" s="52">
        <f t="shared" si="216"/>
        <v>3418</v>
      </c>
      <c r="P349" s="52">
        <f t="shared" si="217"/>
        <v>237.11294563688639</v>
      </c>
      <c r="Q349" s="66" t="s">
        <v>272</v>
      </c>
      <c r="R349" s="37"/>
      <c r="S349" s="74" t="s">
        <v>9</v>
      </c>
      <c r="T349" s="81">
        <f t="shared" si="187"/>
        <v>350.25</v>
      </c>
      <c r="U349" s="81">
        <f t="shared" si="188"/>
        <v>548.125</v>
      </c>
      <c r="V349" s="233">
        <v>40</v>
      </c>
      <c r="W349" s="52">
        <v>1014</v>
      </c>
      <c r="X349" s="52">
        <v>221</v>
      </c>
      <c r="Y349" s="52">
        <v>126</v>
      </c>
      <c r="Z349" s="52" t="s">
        <v>102</v>
      </c>
      <c r="AA349" s="52">
        <v>561</v>
      </c>
      <c r="AB349" s="52">
        <v>782</v>
      </c>
      <c r="AC349" s="123"/>
      <c r="AD349" s="123">
        <v>500</v>
      </c>
      <c r="AE349" s="144" t="s">
        <v>262</v>
      </c>
      <c r="AF349" s="52" t="s">
        <v>263</v>
      </c>
      <c r="AG349" s="144">
        <v>1141</v>
      </c>
      <c r="AH349" s="61">
        <v>910</v>
      </c>
      <c r="AI349" s="61">
        <v>1080</v>
      </c>
      <c r="AJ349" s="54"/>
      <c r="AK349" s="61">
        <v>226</v>
      </c>
      <c r="AL349" s="52" t="s">
        <v>102</v>
      </c>
      <c r="AM349" s="52" t="s">
        <v>102</v>
      </c>
      <c r="AN349" s="52" t="s">
        <v>102</v>
      </c>
      <c r="AO349" s="53" t="s">
        <v>102</v>
      </c>
      <c r="AP349" s="53" t="s">
        <v>102</v>
      </c>
      <c r="AQ349" s="53">
        <v>1190</v>
      </c>
      <c r="AR349" s="53">
        <v>3418</v>
      </c>
      <c r="AS349" s="52">
        <v>662</v>
      </c>
      <c r="AT349" s="52">
        <v>1369</v>
      </c>
      <c r="AU349" s="52">
        <v>323</v>
      </c>
      <c r="AV349" s="52">
        <v>393</v>
      </c>
      <c r="AW349" s="52">
        <v>549</v>
      </c>
      <c r="AX349" s="51" t="s">
        <v>264</v>
      </c>
      <c r="AY349" s="53">
        <v>100</v>
      </c>
      <c r="AZ349" s="53">
        <v>30</v>
      </c>
      <c r="BA349" s="53">
        <v>30</v>
      </c>
      <c r="BB349" s="53" t="s">
        <v>264</v>
      </c>
      <c r="BC349" s="53" t="s">
        <v>264</v>
      </c>
      <c r="BD349" s="53" t="s">
        <v>264</v>
      </c>
      <c r="BE349" s="53">
        <v>71</v>
      </c>
      <c r="BF349" s="53">
        <v>230</v>
      </c>
      <c r="BG349" s="53" t="s">
        <v>102</v>
      </c>
      <c r="BH349" s="53" t="s">
        <v>262</v>
      </c>
      <c r="BI349" s="53" t="s">
        <v>264</v>
      </c>
      <c r="BJ349" s="53" t="s">
        <v>264</v>
      </c>
      <c r="BK349" s="53">
        <v>100</v>
      </c>
      <c r="BL349" s="53" t="s">
        <v>264</v>
      </c>
      <c r="BM349" s="53">
        <v>30</v>
      </c>
      <c r="BN349" s="53" t="s">
        <v>262</v>
      </c>
      <c r="BO349" s="53" t="s">
        <v>264</v>
      </c>
      <c r="BP349" s="53">
        <v>200</v>
      </c>
      <c r="BQ349" s="53">
        <v>200</v>
      </c>
      <c r="BR349" s="53">
        <v>200</v>
      </c>
      <c r="BS349" s="53">
        <v>25</v>
      </c>
      <c r="BT349" s="53">
        <v>200</v>
      </c>
      <c r="BU349" s="53">
        <v>750</v>
      </c>
      <c r="BV349" s="53">
        <v>300</v>
      </c>
      <c r="BW349" s="53">
        <v>75</v>
      </c>
      <c r="BX349" s="53">
        <v>200</v>
      </c>
      <c r="BY349" s="53">
        <v>500</v>
      </c>
      <c r="BZ349" s="53">
        <v>600</v>
      </c>
      <c r="CA349" s="53">
        <v>750</v>
      </c>
      <c r="CB349" s="53">
        <v>400</v>
      </c>
      <c r="CC349" s="53">
        <v>400</v>
      </c>
      <c r="CD349" s="53">
        <v>750</v>
      </c>
      <c r="CE349" s="53">
        <v>75</v>
      </c>
      <c r="CF349" s="53">
        <v>75</v>
      </c>
      <c r="CG349" s="53">
        <v>200</v>
      </c>
      <c r="CH349" s="53">
        <v>200</v>
      </c>
      <c r="CI349" s="53">
        <v>75</v>
      </c>
      <c r="CJ349" s="53">
        <v>75</v>
      </c>
      <c r="CK349" s="53" t="s">
        <v>262</v>
      </c>
      <c r="CL349" s="53">
        <v>1000</v>
      </c>
      <c r="CM349" s="53">
        <v>1500</v>
      </c>
      <c r="CN349" s="206"/>
      <c r="CO349" s="206"/>
      <c r="CP349" s="206"/>
      <c r="CQ349" s="8">
        <f t="shared" si="189"/>
        <v>25</v>
      </c>
      <c r="CR349" s="8">
        <f t="shared" si="190"/>
        <v>3418</v>
      </c>
      <c r="CS349" s="8">
        <f t="shared" si="191"/>
        <v>496.79166666666669</v>
      </c>
      <c r="CT349">
        <f t="shared" si="192"/>
        <v>269.82637668964912</v>
      </c>
      <c r="CU349" s="143">
        <f t="shared" si="193"/>
        <v>350.25</v>
      </c>
      <c r="CV349" s="143">
        <f t="shared" si="194"/>
        <v>548.125</v>
      </c>
      <c r="CX349" s="7">
        <f t="shared" si="195"/>
        <v>30</v>
      </c>
      <c r="CY349" s="7">
        <f t="shared" si="196"/>
        <v>75</v>
      </c>
      <c r="CZ349" s="7">
        <f t="shared" si="197"/>
        <v>75</v>
      </c>
      <c r="DA349" s="7">
        <f t="shared" si="198"/>
        <v>100</v>
      </c>
      <c r="DB349" s="7">
        <f t="shared" si="199"/>
        <v>265</v>
      </c>
      <c r="DC349" s="7">
        <f t="shared" si="200"/>
        <v>419.99999999999994</v>
      </c>
      <c r="DD349" s="7">
        <f t="shared" si="201"/>
        <v>526.95000000000005</v>
      </c>
      <c r="DE349" s="7">
        <f t="shared" si="202"/>
        <v>750</v>
      </c>
      <c r="DF349" s="7">
        <f t="shared" si="203"/>
        <v>995.49999999999966</v>
      </c>
      <c r="DH349" s="7">
        <f t="shared" si="204"/>
        <v>113.10000000000001</v>
      </c>
      <c r="DI349" s="7">
        <f t="shared" si="205"/>
        <v>223.75</v>
      </c>
      <c r="DJ349" s="7">
        <f t="shared" si="206"/>
        <v>264.8</v>
      </c>
      <c r="DK349" s="7">
        <f t="shared" si="207"/>
        <v>340.5</v>
      </c>
      <c r="DL349" s="7">
        <f t="shared" si="208"/>
        <v>611.5</v>
      </c>
      <c r="DM349" s="7">
        <f t="shared" si="209"/>
        <v>807.59999999999991</v>
      </c>
      <c r="DN349" s="7">
        <f t="shared" si="210"/>
        <v>915.2</v>
      </c>
      <c r="DO349" s="7">
        <f t="shared" si="211"/>
        <v>1063.5</v>
      </c>
      <c r="DP349" s="7">
        <f t="shared" si="212"/>
        <v>1163.05</v>
      </c>
    </row>
    <row r="350" spans="1:130" ht="25.5" hidden="1" customHeight="1" x14ac:dyDescent="0.25">
      <c r="A350" s="92" t="str">
        <f t="shared" si="213"/>
        <v>SK-WVI [R10]</v>
      </c>
      <c r="B350" s="92" t="str">
        <f t="shared" si="214"/>
        <v>West Vancouver Island</v>
      </c>
      <c r="C350" s="93" t="str">
        <f t="shared" si="186"/>
        <v>CANTON CREEK_Sockeye</v>
      </c>
      <c r="D350" s="128" t="s">
        <v>598</v>
      </c>
      <c r="E350" s="128" t="s">
        <v>598</v>
      </c>
      <c r="F350" s="64">
        <v>25</v>
      </c>
      <c r="G350" s="72" t="s">
        <v>225</v>
      </c>
      <c r="H350" s="65" t="s">
        <v>91</v>
      </c>
      <c r="I350" s="119"/>
      <c r="J350" s="119"/>
      <c r="K350" s="64">
        <v>1</v>
      </c>
      <c r="L350" s="52">
        <v>7</v>
      </c>
      <c r="M350" s="52">
        <v>7</v>
      </c>
      <c r="N350" s="52">
        <f t="shared" si="215"/>
        <v>26.939987741102705</v>
      </c>
      <c r="O350" s="52">
        <f t="shared" si="216"/>
        <v>200</v>
      </c>
      <c r="P350" s="52">
        <f t="shared" si="217"/>
        <v>34.365663337752238</v>
      </c>
      <c r="Q350" s="66" t="s">
        <v>272</v>
      </c>
      <c r="R350" s="37"/>
      <c r="S350" s="74" t="s">
        <v>9</v>
      </c>
      <c r="T350" s="81">
        <f t="shared" si="187"/>
        <v>13</v>
      </c>
      <c r="U350" s="81">
        <f t="shared" si="188"/>
        <v>49.833333333333336</v>
      </c>
      <c r="V350" s="232" t="s">
        <v>262</v>
      </c>
      <c r="W350" s="52">
        <v>2</v>
      </c>
      <c r="X350" s="52">
        <v>18</v>
      </c>
      <c r="Y350" s="52">
        <v>19</v>
      </c>
      <c r="Z350" s="52" t="s">
        <v>102</v>
      </c>
      <c r="AA350" s="52">
        <v>56</v>
      </c>
      <c r="AB350" s="52">
        <v>14</v>
      </c>
      <c r="AC350" s="123"/>
      <c r="AD350" s="123"/>
      <c r="AE350" s="144" t="s">
        <v>262</v>
      </c>
      <c r="AF350" s="52" t="s">
        <v>262</v>
      </c>
      <c r="AG350" s="144">
        <v>190</v>
      </c>
      <c r="AH350" s="61">
        <v>8</v>
      </c>
      <c r="AI350" s="61">
        <v>10</v>
      </c>
      <c r="AJ350" s="54"/>
      <c r="AK350" s="61">
        <v>1</v>
      </c>
      <c r="AL350" s="52" t="s">
        <v>102</v>
      </c>
      <c r="AM350" s="52" t="s">
        <v>102</v>
      </c>
      <c r="AN350" s="52" t="s">
        <v>102</v>
      </c>
      <c r="AO350" s="53" t="s">
        <v>102</v>
      </c>
      <c r="AP350" s="53" t="s">
        <v>102</v>
      </c>
      <c r="AQ350" s="53">
        <v>48</v>
      </c>
      <c r="AR350" s="53">
        <v>35</v>
      </c>
      <c r="AS350" s="52">
        <v>41</v>
      </c>
      <c r="AT350" s="52">
        <v>126</v>
      </c>
      <c r="AU350" s="52">
        <v>148</v>
      </c>
      <c r="AV350" s="52">
        <v>36</v>
      </c>
      <c r="AW350" s="52">
        <v>6</v>
      </c>
      <c r="AX350" s="51" t="s">
        <v>264</v>
      </c>
      <c r="AY350" s="53">
        <v>200</v>
      </c>
      <c r="AZ350" s="53" t="s">
        <v>102</v>
      </c>
      <c r="BA350" s="53" t="s">
        <v>264</v>
      </c>
      <c r="BB350" s="53" t="s">
        <v>264</v>
      </c>
      <c r="BC350" s="53" t="s">
        <v>264</v>
      </c>
      <c r="BD350" s="53" t="s">
        <v>264</v>
      </c>
      <c r="BE350" s="53" t="s">
        <v>264</v>
      </c>
      <c r="BF350" s="53">
        <v>20</v>
      </c>
      <c r="BG350" s="53">
        <v>100</v>
      </c>
      <c r="BH350" s="53" t="s">
        <v>262</v>
      </c>
      <c r="BI350" s="53" t="s">
        <v>264</v>
      </c>
      <c r="BJ350" s="53">
        <v>100</v>
      </c>
      <c r="BK350" s="53">
        <v>25</v>
      </c>
      <c r="BL350" s="53" t="s">
        <v>264</v>
      </c>
      <c r="BM350" s="53">
        <v>10</v>
      </c>
      <c r="BN350" s="53">
        <v>75</v>
      </c>
      <c r="BO350" s="53" t="s">
        <v>264</v>
      </c>
      <c r="BP350" s="53">
        <v>25</v>
      </c>
      <c r="BQ350" s="53" t="s">
        <v>264</v>
      </c>
      <c r="BR350" s="53">
        <v>25</v>
      </c>
      <c r="BS350" s="53" t="s">
        <v>264</v>
      </c>
      <c r="BT350" s="53" t="s">
        <v>264</v>
      </c>
      <c r="BU350" s="53" t="s">
        <v>264</v>
      </c>
      <c r="BV350" s="53" t="s">
        <v>264</v>
      </c>
      <c r="BW350" s="53" t="s">
        <v>264</v>
      </c>
      <c r="BX350" s="53" t="s">
        <v>264</v>
      </c>
      <c r="BY350" s="53" t="s">
        <v>264</v>
      </c>
      <c r="BZ350" s="53" t="s">
        <v>264</v>
      </c>
      <c r="CA350" s="53" t="s">
        <v>264</v>
      </c>
      <c r="CB350" s="53" t="s">
        <v>264</v>
      </c>
      <c r="CC350" s="53" t="s">
        <v>264</v>
      </c>
      <c r="CD350" s="53" t="s">
        <v>264</v>
      </c>
      <c r="CE350" s="53" t="s">
        <v>264</v>
      </c>
      <c r="CF350" s="53" t="s">
        <v>264</v>
      </c>
      <c r="CG350" s="53" t="s">
        <v>264</v>
      </c>
      <c r="CH350" s="53" t="s">
        <v>264</v>
      </c>
      <c r="CI350" s="53" t="s">
        <v>264</v>
      </c>
      <c r="CJ350" s="53" t="s">
        <v>264</v>
      </c>
      <c r="CK350" s="53" t="s">
        <v>264</v>
      </c>
      <c r="CL350" s="53" t="s">
        <v>264</v>
      </c>
      <c r="CM350" s="53" t="s">
        <v>264</v>
      </c>
      <c r="CN350" s="206"/>
      <c r="CO350" s="206"/>
      <c r="CP350" s="206"/>
      <c r="CQ350" s="8">
        <f t="shared" si="189"/>
        <v>1</v>
      </c>
      <c r="CR350" s="8">
        <f t="shared" si="190"/>
        <v>200</v>
      </c>
      <c r="CS350" s="8">
        <f t="shared" si="191"/>
        <v>53.52</v>
      </c>
      <c r="CT350">
        <f t="shared" si="192"/>
        <v>27.606633350176388</v>
      </c>
      <c r="CU350" s="143">
        <f t="shared" si="193"/>
        <v>13</v>
      </c>
      <c r="CV350" s="143">
        <f t="shared" si="194"/>
        <v>49.833333333333336</v>
      </c>
      <c r="CX350" s="7">
        <f t="shared" si="195"/>
        <v>2.8000000000000007</v>
      </c>
      <c r="CY350" s="7">
        <f t="shared" si="196"/>
        <v>9.1999999999999993</v>
      </c>
      <c r="CZ350" s="7">
        <f t="shared" si="197"/>
        <v>10</v>
      </c>
      <c r="DA350" s="7">
        <f t="shared" si="198"/>
        <v>14</v>
      </c>
      <c r="DB350" s="7">
        <f t="shared" si="199"/>
        <v>25</v>
      </c>
      <c r="DC350" s="7">
        <f t="shared" si="200"/>
        <v>37.999999999999993</v>
      </c>
      <c r="DD350" s="7">
        <f t="shared" si="201"/>
        <v>45.20000000000001</v>
      </c>
      <c r="DE350" s="7">
        <f t="shared" si="202"/>
        <v>75</v>
      </c>
      <c r="DF350" s="7">
        <f t="shared" si="203"/>
        <v>110.39999999999996</v>
      </c>
      <c r="DH350" s="7">
        <f t="shared" si="204"/>
        <v>1.75</v>
      </c>
      <c r="DI350" s="7">
        <f t="shared" si="205"/>
        <v>6.5</v>
      </c>
      <c r="DJ350" s="7">
        <f t="shared" si="206"/>
        <v>8</v>
      </c>
      <c r="DK350" s="7">
        <f t="shared" si="207"/>
        <v>9.5</v>
      </c>
      <c r="DL350" s="7">
        <f t="shared" si="208"/>
        <v>27</v>
      </c>
      <c r="DM350" s="7">
        <f t="shared" si="209"/>
        <v>36</v>
      </c>
      <c r="DN350" s="7">
        <f t="shared" si="210"/>
        <v>39.75</v>
      </c>
      <c r="DO350" s="7">
        <f t="shared" si="211"/>
        <v>50</v>
      </c>
      <c r="DP350" s="7">
        <f t="shared" si="212"/>
        <v>108.5</v>
      </c>
    </row>
    <row r="351" spans="1:130" ht="25.5" customHeight="1" x14ac:dyDescent="0.25">
      <c r="A351" s="92" t="str">
        <f t="shared" si="213"/>
        <v>CK-NoKy [32]</v>
      </c>
      <c r="B351" s="92" t="str">
        <f t="shared" si="214"/>
        <v>Nootka and Kyuquot</v>
      </c>
      <c r="C351" s="93" t="str">
        <f t="shared" si="186"/>
        <v>CHUM CREEK_Chinook</v>
      </c>
      <c r="D351" s="128" t="s">
        <v>598</v>
      </c>
      <c r="E351" s="128" t="s">
        <v>598</v>
      </c>
      <c r="F351" s="64">
        <v>25</v>
      </c>
      <c r="G351" s="72" t="s">
        <v>244</v>
      </c>
      <c r="H351" s="65" t="s">
        <v>97</v>
      </c>
      <c r="I351" s="119"/>
      <c r="J351" s="119"/>
      <c r="K351" s="64">
        <v>4</v>
      </c>
      <c r="L351" s="52">
        <v>8</v>
      </c>
      <c r="M351" s="52">
        <v>2</v>
      </c>
      <c r="N351" s="52">
        <f t="shared" si="215"/>
        <v>16.970562748477139</v>
      </c>
      <c r="O351" s="52">
        <f t="shared" si="216"/>
        <v>32</v>
      </c>
      <c r="P351" s="52">
        <f t="shared" si="217"/>
        <v>21.97145175683243</v>
      </c>
      <c r="Q351" s="66"/>
      <c r="R351" s="39"/>
      <c r="S351" s="74" t="s">
        <v>445</v>
      </c>
      <c r="T351" s="81">
        <f t="shared" si="187"/>
        <v>9</v>
      </c>
      <c r="U351" s="81">
        <f t="shared" si="188"/>
        <v>13</v>
      </c>
      <c r="V351" s="232" t="s">
        <v>262</v>
      </c>
      <c r="W351" s="52">
        <v>6</v>
      </c>
      <c r="X351" s="52">
        <v>12</v>
      </c>
      <c r="Y351" s="52" t="s">
        <v>262</v>
      </c>
      <c r="Z351" s="52">
        <v>26</v>
      </c>
      <c r="AA351" s="52">
        <v>31</v>
      </c>
      <c r="AB351" s="52">
        <v>2</v>
      </c>
      <c r="AC351" s="52" t="s">
        <v>102</v>
      </c>
      <c r="AD351" s="52" t="s">
        <v>102</v>
      </c>
      <c r="AE351" s="52" t="s">
        <v>102</v>
      </c>
      <c r="AF351" s="52" t="s">
        <v>262</v>
      </c>
      <c r="AG351" s="144">
        <v>1</v>
      </c>
      <c r="AH351" s="53">
        <v>4</v>
      </c>
      <c r="AI351" s="52" t="s">
        <v>262</v>
      </c>
      <c r="AJ351" s="53" t="s">
        <v>262</v>
      </c>
      <c r="AK351" s="123" t="s">
        <v>262</v>
      </c>
      <c r="AL351" s="89" t="s">
        <v>262</v>
      </c>
      <c r="AM351" s="53" t="s">
        <v>262</v>
      </c>
      <c r="AN351" s="53" t="s">
        <v>262</v>
      </c>
      <c r="AO351" s="53" t="s">
        <v>262</v>
      </c>
      <c r="AP351" s="53">
        <v>9</v>
      </c>
      <c r="AQ351" s="53" t="s">
        <v>102</v>
      </c>
      <c r="AR351" s="53" t="s">
        <v>102</v>
      </c>
      <c r="AS351" s="52" t="s">
        <v>262</v>
      </c>
      <c r="AT351" s="52">
        <v>32</v>
      </c>
      <c r="AU351" s="52" t="s">
        <v>262</v>
      </c>
      <c r="AV351" s="52" t="s">
        <v>102</v>
      </c>
      <c r="AW351" s="52" t="s">
        <v>262</v>
      </c>
      <c r="AX351" s="51" t="s">
        <v>264</v>
      </c>
      <c r="AY351" s="53" t="s">
        <v>264</v>
      </c>
      <c r="AZ351" s="53" t="s">
        <v>102</v>
      </c>
      <c r="BA351" s="53" t="s">
        <v>264</v>
      </c>
      <c r="BB351" s="53" t="s">
        <v>264</v>
      </c>
      <c r="BC351" s="53" t="s">
        <v>264</v>
      </c>
      <c r="BD351" s="53" t="s">
        <v>102</v>
      </c>
      <c r="BE351" s="53" t="s">
        <v>264</v>
      </c>
      <c r="BF351" s="53" t="s">
        <v>264</v>
      </c>
      <c r="BG351" s="53" t="s">
        <v>102</v>
      </c>
      <c r="BH351" s="53" t="s">
        <v>262</v>
      </c>
      <c r="BI351" s="53" t="s">
        <v>264</v>
      </c>
      <c r="BJ351" s="53" t="s">
        <v>102</v>
      </c>
      <c r="BK351" s="53" t="s">
        <v>264</v>
      </c>
      <c r="BL351" s="53" t="s">
        <v>264</v>
      </c>
      <c r="BM351" s="53" t="s">
        <v>264</v>
      </c>
      <c r="BN351" s="53" t="s">
        <v>264</v>
      </c>
      <c r="BO351" s="53" t="s">
        <v>264</v>
      </c>
      <c r="BP351" s="53" t="s">
        <v>264</v>
      </c>
      <c r="BQ351" s="53">
        <v>25</v>
      </c>
      <c r="BR351" s="53" t="s">
        <v>264</v>
      </c>
      <c r="BS351" s="53" t="s">
        <v>264</v>
      </c>
      <c r="BT351" s="53" t="s">
        <v>262</v>
      </c>
      <c r="BU351" s="53" t="s">
        <v>262</v>
      </c>
      <c r="BV351" s="53">
        <v>25</v>
      </c>
      <c r="BW351" s="53" t="s">
        <v>264</v>
      </c>
      <c r="BX351" s="53">
        <v>25</v>
      </c>
      <c r="BY351" s="53" t="s">
        <v>262</v>
      </c>
      <c r="BZ351" s="53">
        <v>25</v>
      </c>
      <c r="CA351" s="53" t="s">
        <v>264</v>
      </c>
      <c r="CB351" s="53" t="s">
        <v>264</v>
      </c>
      <c r="CC351" s="53" t="s">
        <v>264</v>
      </c>
      <c r="CD351" s="53" t="s">
        <v>264</v>
      </c>
      <c r="CE351" s="53" t="s">
        <v>264</v>
      </c>
      <c r="CF351" s="53" t="s">
        <v>264</v>
      </c>
      <c r="CG351" s="53" t="s">
        <v>262</v>
      </c>
      <c r="CH351" s="53" t="s">
        <v>264</v>
      </c>
      <c r="CI351" s="53" t="s">
        <v>264</v>
      </c>
      <c r="CJ351" s="53" t="s">
        <v>264</v>
      </c>
      <c r="CK351" s="53" t="s">
        <v>264</v>
      </c>
      <c r="CL351" s="53" t="s">
        <v>264</v>
      </c>
      <c r="CM351" s="53" t="s">
        <v>264</v>
      </c>
      <c r="CN351" s="206"/>
      <c r="CO351" s="206"/>
      <c r="CP351" s="206"/>
      <c r="CQ351" s="8">
        <f t="shared" si="189"/>
        <v>1</v>
      </c>
      <c r="CR351" s="8">
        <f t="shared" si="190"/>
        <v>32</v>
      </c>
      <c r="CS351" s="8">
        <f t="shared" si="191"/>
        <v>17.153846153846153</v>
      </c>
      <c r="CT351">
        <f t="shared" si="192"/>
        <v>11.35595988794628</v>
      </c>
      <c r="CU351" s="143">
        <f t="shared" si="193"/>
        <v>14.666666666666666</v>
      </c>
      <c r="CV351" s="143">
        <f t="shared" si="194"/>
        <v>13</v>
      </c>
      <c r="CX351" s="7">
        <f t="shared" si="195"/>
        <v>1.6</v>
      </c>
      <c r="CY351" s="7">
        <f t="shared" si="196"/>
        <v>3.5999999999999996</v>
      </c>
      <c r="CZ351" s="7">
        <f t="shared" si="197"/>
        <v>4.8000000000000007</v>
      </c>
      <c r="DA351" s="7">
        <f t="shared" si="198"/>
        <v>6</v>
      </c>
      <c r="DB351" s="7">
        <f t="shared" si="199"/>
        <v>25</v>
      </c>
      <c r="DC351" s="7">
        <f t="shared" si="200"/>
        <v>25</v>
      </c>
      <c r="DD351" s="7">
        <f t="shared" si="201"/>
        <v>25</v>
      </c>
      <c r="DE351" s="7">
        <f t="shared" si="202"/>
        <v>25</v>
      </c>
      <c r="DF351" s="7">
        <f t="shared" si="203"/>
        <v>26.999999999999996</v>
      </c>
      <c r="DH351" s="7">
        <f t="shared" si="204"/>
        <v>1.4</v>
      </c>
      <c r="DI351" s="7">
        <f t="shared" si="205"/>
        <v>2.4000000000000004</v>
      </c>
      <c r="DJ351" s="7">
        <f t="shared" si="206"/>
        <v>3.2</v>
      </c>
      <c r="DK351" s="7">
        <f t="shared" si="207"/>
        <v>4</v>
      </c>
      <c r="DL351" s="7">
        <f t="shared" si="208"/>
        <v>9</v>
      </c>
      <c r="DM351" s="7">
        <f t="shared" si="209"/>
        <v>11.399999999999999</v>
      </c>
      <c r="DN351" s="7">
        <f t="shared" si="210"/>
        <v>14.800000000000002</v>
      </c>
      <c r="DO351" s="7">
        <f t="shared" si="211"/>
        <v>26</v>
      </c>
      <c r="DP351" s="7">
        <f t="shared" si="212"/>
        <v>30</v>
      </c>
    </row>
    <row r="352" spans="1:130" ht="25.5" hidden="1" customHeight="1" x14ac:dyDescent="0.25">
      <c r="A352" s="92" t="str">
        <f t="shared" si="213"/>
        <v>CM-SWVI [10]</v>
      </c>
      <c r="B352" s="92" t="str">
        <f t="shared" si="214"/>
        <v>Southwest Vancouver Island</v>
      </c>
      <c r="C352" s="93" t="str">
        <f t="shared" si="186"/>
        <v>CHUM CREEK_Chum</v>
      </c>
      <c r="D352" s="128" t="s">
        <v>598</v>
      </c>
      <c r="E352" s="128" t="s">
        <v>598</v>
      </c>
      <c r="F352" s="64">
        <v>25</v>
      </c>
      <c r="G352" s="72" t="s">
        <v>244</v>
      </c>
      <c r="H352" s="65" t="s">
        <v>96</v>
      </c>
      <c r="I352" s="119"/>
      <c r="J352" s="119"/>
      <c r="K352" s="64">
        <v>4</v>
      </c>
      <c r="L352" s="52">
        <v>8</v>
      </c>
      <c r="M352" s="52">
        <v>8</v>
      </c>
      <c r="N352" s="52">
        <f t="shared" si="215"/>
        <v>1030.8984694505775</v>
      </c>
      <c r="O352" s="52">
        <f t="shared" si="216"/>
        <v>16208</v>
      </c>
      <c r="P352" s="52">
        <f t="shared" si="217"/>
        <v>1634.5212167904369</v>
      </c>
      <c r="Q352" s="66"/>
      <c r="R352" s="39"/>
      <c r="S352" s="74" t="s">
        <v>445</v>
      </c>
      <c r="T352" s="81">
        <f t="shared" si="187"/>
        <v>191.25</v>
      </c>
      <c r="U352" s="81">
        <f t="shared" si="188"/>
        <v>1616.75</v>
      </c>
      <c r="V352" s="233">
        <v>78</v>
      </c>
      <c r="W352" s="52">
        <v>247</v>
      </c>
      <c r="X352" s="52">
        <v>401</v>
      </c>
      <c r="Y352" s="52">
        <v>39</v>
      </c>
      <c r="Z352" s="52">
        <v>1994</v>
      </c>
      <c r="AA352" s="52" t="s">
        <v>262</v>
      </c>
      <c r="AB352" s="52">
        <v>4796</v>
      </c>
      <c r="AC352" s="52" t="s">
        <v>102</v>
      </c>
      <c r="AD352" s="52" t="s">
        <v>102</v>
      </c>
      <c r="AE352" s="52" t="s">
        <v>102</v>
      </c>
      <c r="AF352" s="52">
        <v>2264</v>
      </c>
      <c r="AG352" s="144">
        <v>3115</v>
      </c>
      <c r="AH352" s="61">
        <v>1533</v>
      </c>
      <c r="AI352" s="52">
        <v>770</v>
      </c>
      <c r="AJ352" s="53">
        <v>256</v>
      </c>
      <c r="AK352" s="53">
        <v>1043</v>
      </c>
      <c r="AL352" s="89">
        <v>2787</v>
      </c>
      <c r="AM352" s="53">
        <v>252</v>
      </c>
      <c r="AN352" s="53">
        <v>3537</v>
      </c>
      <c r="AO352" s="53">
        <v>2500</v>
      </c>
      <c r="AP352" s="53">
        <v>2869</v>
      </c>
      <c r="AQ352" s="53" t="s">
        <v>102</v>
      </c>
      <c r="AR352" s="53" t="s">
        <v>102</v>
      </c>
      <c r="AS352" s="52">
        <v>2500</v>
      </c>
      <c r="AT352" s="52">
        <v>16208</v>
      </c>
      <c r="AU352" s="52">
        <v>250</v>
      </c>
      <c r="AV352" s="52" t="s">
        <v>102</v>
      </c>
      <c r="AW352" s="52">
        <v>29</v>
      </c>
      <c r="AX352" s="51">
        <v>1750</v>
      </c>
      <c r="AY352" s="53">
        <v>1300</v>
      </c>
      <c r="AZ352" s="53">
        <v>2850</v>
      </c>
      <c r="BA352" s="53">
        <v>4500</v>
      </c>
      <c r="BB352" s="53">
        <v>1500</v>
      </c>
      <c r="BC352" s="53">
        <v>500</v>
      </c>
      <c r="BD352" s="53" t="s">
        <v>102</v>
      </c>
      <c r="BE352" s="53">
        <v>2500</v>
      </c>
      <c r="BF352" s="53">
        <v>2250</v>
      </c>
      <c r="BG352" s="53" t="s">
        <v>102</v>
      </c>
      <c r="BH352" s="53">
        <v>870</v>
      </c>
      <c r="BI352" s="53">
        <v>2500</v>
      </c>
      <c r="BJ352" s="53" t="s">
        <v>102</v>
      </c>
      <c r="BK352" s="53">
        <v>500</v>
      </c>
      <c r="BL352" s="53">
        <v>1500</v>
      </c>
      <c r="BM352" s="53">
        <v>130</v>
      </c>
      <c r="BN352" s="53">
        <v>3000</v>
      </c>
      <c r="BO352" s="53">
        <v>3000</v>
      </c>
      <c r="BP352" s="53">
        <v>75</v>
      </c>
      <c r="BQ352" s="53">
        <v>400</v>
      </c>
      <c r="BR352" s="53">
        <v>750</v>
      </c>
      <c r="BS352" s="53">
        <v>1500</v>
      </c>
      <c r="BT352" s="53">
        <v>750</v>
      </c>
      <c r="BU352" s="53">
        <v>1500</v>
      </c>
      <c r="BV352" s="53">
        <v>5500</v>
      </c>
      <c r="BW352" s="53">
        <v>1500</v>
      </c>
      <c r="BX352" s="53">
        <v>1500</v>
      </c>
      <c r="BY352" s="53">
        <v>1500</v>
      </c>
      <c r="BZ352" s="53">
        <v>6000</v>
      </c>
      <c r="CA352" s="53">
        <v>3500</v>
      </c>
      <c r="CB352" s="53">
        <v>3500</v>
      </c>
      <c r="CC352" s="53">
        <v>6000</v>
      </c>
      <c r="CD352" s="53">
        <v>15000</v>
      </c>
      <c r="CE352" s="53">
        <v>3500</v>
      </c>
      <c r="CF352" s="53">
        <v>7500</v>
      </c>
      <c r="CG352" s="53">
        <v>1500</v>
      </c>
      <c r="CH352" s="53">
        <v>3500</v>
      </c>
      <c r="CI352" s="53">
        <v>3500</v>
      </c>
      <c r="CJ352" s="53">
        <v>750</v>
      </c>
      <c r="CK352" s="53">
        <v>1500</v>
      </c>
      <c r="CL352" s="53">
        <v>7500</v>
      </c>
      <c r="CM352" s="53">
        <v>7500</v>
      </c>
      <c r="CN352" s="206"/>
      <c r="CO352" s="206"/>
      <c r="CP352" s="206"/>
      <c r="CQ352" s="8">
        <f t="shared" si="189"/>
        <v>29</v>
      </c>
      <c r="CR352" s="8">
        <f t="shared" si="190"/>
        <v>16208</v>
      </c>
      <c r="CS352" s="8">
        <f t="shared" si="191"/>
        <v>2697.3833333333332</v>
      </c>
      <c r="CT352">
        <f t="shared" si="192"/>
        <v>1415.2234154076098</v>
      </c>
      <c r="CU352" s="143">
        <f t="shared" si="193"/>
        <v>551.79999999999995</v>
      </c>
      <c r="CV352" s="143">
        <f t="shared" si="194"/>
        <v>1616.75</v>
      </c>
      <c r="CX352" s="7">
        <f t="shared" si="195"/>
        <v>77.849999999999994</v>
      </c>
      <c r="CY352" s="7">
        <f t="shared" si="196"/>
        <v>378.4</v>
      </c>
      <c r="CZ352" s="7">
        <f t="shared" si="197"/>
        <v>500</v>
      </c>
      <c r="DA352" s="7">
        <f t="shared" si="198"/>
        <v>750</v>
      </c>
      <c r="DB352" s="7">
        <f t="shared" si="199"/>
        <v>1641.5</v>
      </c>
      <c r="DC352" s="7">
        <f t="shared" si="200"/>
        <v>2500</v>
      </c>
      <c r="DD352" s="7">
        <f t="shared" si="201"/>
        <v>2809.05</v>
      </c>
      <c r="DE352" s="7">
        <f t="shared" si="202"/>
        <v>3500</v>
      </c>
      <c r="DF352" s="7">
        <f t="shared" si="203"/>
        <v>4544.3999999999996</v>
      </c>
      <c r="DH352" s="7">
        <f t="shared" si="204"/>
        <v>39</v>
      </c>
      <c r="DI352" s="7">
        <f t="shared" si="205"/>
        <v>247</v>
      </c>
      <c r="DJ352" s="7">
        <f t="shared" si="206"/>
        <v>250</v>
      </c>
      <c r="DK352" s="7">
        <f t="shared" si="207"/>
        <v>252</v>
      </c>
      <c r="DL352" s="7">
        <f t="shared" si="208"/>
        <v>1533</v>
      </c>
      <c r="DM352" s="7">
        <f t="shared" si="209"/>
        <v>2264</v>
      </c>
      <c r="DN352" s="7">
        <f t="shared" si="210"/>
        <v>2500</v>
      </c>
      <c r="DO352" s="7">
        <f t="shared" si="211"/>
        <v>2787</v>
      </c>
      <c r="DP352" s="7">
        <f t="shared" si="212"/>
        <v>3115</v>
      </c>
    </row>
    <row r="353" spans="1:134" ht="25.5" hidden="1" customHeight="1" x14ac:dyDescent="0.25">
      <c r="A353" s="92" t="str">
        <f t="shared" si="213"/>
        <v>CO-WVI [17]</v>
      </c>
      <c r="B353" s="92" t="str">
        <f t="shared" si="214"/>
        <v>West Vancouver Island</v>
      </c>
      <c r="C353" s="93" t="str">
        <f t="shared" si="186"/>
        <v>CHUM CREEK_Coho</v>
      </c>
      <c r="D353" s="128" t="s">
        <v>598</v>
      </c>
      <c r="E353" s="128" t="s">
        <v>598</v>
      </c>
      <c r="F353" s="64">
        <v>25</v>
      </c>
      <c r="G353" s="72" t="s">
        <v>244</v>
      </c>
      <c r="H353" s="65" t="s">
        <v>93</v>
      </c>
      <c r="I353" s="119"/>
      <c r="J353" s="119"/>
      <c r="K353" s="64">
        <v>4</v>
      </c>
      <c r="L353" s="52">
        <v>8</v>
      </c>
      <c r="M353" s="52">
        <v>6</v>
      </c>
      <c r="N353" s="52">
        <f t="shared" si="215"/>
        <v>32.656604182919331</v>
      </c>
      <c r="O353" s="52">
        <f t="shared" si="216"/>
        <v>750</v>
      </c>
      <c r="P353" s="52">
        <f t="shared" si="217"/>
        <v>54.742052232673011</v>
      </c>
      <c r="Q353" s="66"/>
      <c r="R353" s="39"/>
      <c r="S353" s="74" t="s">
        <v>445</v>
      </c>
      <c r="T353" s="81">
        <f t="shared" si="187"/>
        <v>13.5</v>
      </c>
      <c r="U353" s="81">
        <f t="shared" si="188"/>
        <v>41.666666666666664</v>
      </c>
      <c r="V353" s="232" t="s">
        <v>262</v>
      </c>
      <c r="W353" s="52">
        <v>18</v>
      </c>
      <c r="X353" s="52">
        <v>9</v>
      </c>
      <c r="Y353" s="52" t="s">
        <v>262</v>
      </c>
      <c r="Z353" s="52">
        <v>87</v>
      </c>
      <c r="AA353" s="52" t="s">
        <v>262</v>
      </c>
      <c r="AB353" s="52">
        <v>19</v>
      </c>
      <c r="AC353" s="52" t="s">
        <v>102</v>
      </c>
      <c r="AD353" s="52" t="s">
        <v>102</v>
      </c>
      <c r="AE353" s="52" t="s">
        <v>102</v>
      </c>
      <c r="AF353" s="52">
        <v>50</v>
      </c>
      <c r="AG353" s="144">
        <v>67</v>
      </c>
      <c r="AH353" s="61">
        <v>62</v>
      </c>
      <c r="AI353" s="52">
        <v>7</v>
      </c>
      <c r="AJ353" s="53">
        <v>39</v>
      </c>
      <c r="AK353" s="53">
        <v>16</v>
      </c>
      <c r="AL353" s="89" t="s">
        <v>262</v>
      </c>
      <c r="AM353" s="52">
        <v>25</v>
      </c>
      <c r="AN353" s="53">
        <v>111</v>
      </c>
      <c r="AO353" s="53" t="s">
        <v>262</v>
      </c>
      <c r="AP353" s="53">
        <v>15</v>
      </c>
      <c r="AQ353" s="53" t="s">
        <v>102</v>
      </c>
      <c r="AR353" s="53" t="s">
        <v>102</v>
      </c>
      <c r="AS353" s="52">
        <v>60</v>
      </c>
      <c r="AT353" s="52">
        <v>83</v>
      </c>
      <c r="AU353" s="52">
        <v>10</v>
      </c>
      <c r="AV353" s="52" t="s">
        <v>102</v>
      </c>
      <c r="AW353" s="52" t="s">
        <v>262</v>
      </c>
      <c r="AX353" s="51">
        <v>10</v>
      </c>
      <c r="AY353" s="53" t="s">
        <v>262</v>
      </c>
      <c r="AZ353" s="53" t="s">
        <v>102</v>
      </c>
      <c r="BA353" s="53" t="s">
        <v>264</v>
      </c>
      <c r="BB353" s="53" t="s">
        <v>264</v>
      </c>
      <c r="BC353" s="53">
        <v>25</v>
      </c>
      <c r="BD353" s="53" t="s">
        <v>102</v>
      </c>
      <c r="BE353" s="53">
        <v>50</v>
      </c>
      <c r="BF353" s="53">
        <v>30</v>
      </c>
      <c r="BG353" s="53" t="s">
        <v>102</v>
      </c>
      <c r="BH353" s="53" t="s">
        <v>262</v>
      </c>
      <c r="BI353" s="53" t="s">
        <v>264</v>
      </c>
      <c r="BJ353" s="53" t="s">
        <v>102</v>
      </c>
      <c r="BK353" s="53">
        <v>20</v>
      </c>
      <c r="BL353" s="53" t="s">
        <v>264</v>
      </c>
      <c r="BM353" s="53">
        <v>30</v>
      </c>
      <c r="BN353" s="53">
        <v>10</v>
      </c>
      <c r="BO353" s="53">
        <v>75</v>
      </c>
      <c r="BP353" s="53" t="s">
        <v>264</v>
      </c>
      <c r="BQ353" s="53">
        <v>75</v>
      </c>
      <c r="BR353" s="53">
        <v>25</v>
      </c>
      <c r="BS353" s="53">
        <v>25</v>
      </c>
      <c r="BT353" s="53">
        <v>400</v>
      </c>
      <c r="BU353" s="53">
        <v>25</v>
      </c>
      <c r="BV353" s="53">
        <v>75</v>
      </c>
      <c r="BW353" s="53">
        <v>25</v>
      </c>
      <c r="BX353" s="53">
        <v>75</v>
      </c>
      <c r="BY353" s="53">
        <v>75</v>
      </c>
      <c r="BZ353" s="53">
        <v>200</v>
      </c>
      <c r="CA353" s="53">
        <v>400</v>
      </c>
      <c r="CB353" s="53">
        <v>750</v>
      </c>
      <c r="CC353" s="53">
        <v>200</v>
      </c>
      <c r="CD353" s="53">
        <v>200</v>
      </c>
      <c r="CE353" s="53">
        <v>25</v>
      </c>
      <c r="CF353" s="53">
        <v>25</v>
      </c>
      <c r="CG353" s="53">
        <v>75</v>
      </c>
      <c r="CH353" s="53">
        <v>75</v>
      </c>
      <c r="CI353" s="53">
        <v>25</v>
      </c>
      <c r="CJ353" s="53">
        <v>25</v>
      </c>
      <c r="CK353" s="53" t="s">
        <v>262</v>
      </c>
      <c r="CL353" s="53">
        <v>500</v>
      </c>
      <c r="CM353" s="53">
        <v>400</v>
      </c>
      <c r="CN353" s="206"/>
      <c r="CO353" s="206"/>
      <c r="CP353" s="206"/>
      <c r="CQ353" s="8">
        <f t="shared" si="189"/>
        <v>7</v>
      </c>
      <c r="CR353" s="8">
        <f t="shared" si="190"/>
        <v>750</v>
      </c>
      <c r="CS353" s="8">
        <f t="shared" si="191"/>
        <v>100.60869565217391</v>
      </c>
      <c r="CT353">
        <f t="shared" si="192"/>
        <v>48.749245293318552</v>
      </c>
      <c r="CU353" s="143">
        <f t="shared" si="193"/>
        <v>38</v>
      </c>
      <c r="CV353" s="143">
        <f t="shared" si="194"/>
        <v>41.666666666666664</v>
      </c>
      <c r="CX353" s="7">
        <f t="shared" si="195"/>
        <v>10</v>
      </c>
      <c r="CY353" s="7">
        <f t="shared" si="196"/>
        <v>17.5</v>
      </c>
      <c r="CZ353" s="7">
        <f t="shared" si="197"/>
        <v>20</v>
      </c>
      <c r="DA353" s="7">
        <f t="shared" si="198"/>
        <v>25</v>
      </c>
      <c r="DB353" s="7">
        <f t="shared" si="199"/>
        <v>44.5</v>
      </c>
      <c r="DC353" s="7">
        <f t="shared" si="200"/>
        <v>67</v>
      </c>
      <c r="DD353" s="7">
        <f t="shared" si="201"/>
        <v>75</v>
      </c>
      <c r="DE353" s="7">
        <f t="shared" si="202"/>
        <v>75</v>
      </c>
      <c r="DF353" s="7">
        <f t="shared" si="203"/>
        <v>200</v>
      </c>
      <c r="DH353" s="7">
        <f t="shared" si="204"/>
        <v>8.5</v>
      </c>
      <c r="DI353" s="7">
        <f t="shared" si="205"/>
        <v>11.25</v>
      </c>
      <c r="DJ353" s="7">
        <f t="shared" si="206"/>
        <v>15</v>
      </c>
      <c r="DK353" s="7">
        <f t="shared" si="207"/>
        <v>15.75</v>
      </c>
      <c r="DL353" s="7">
        <f t="shared" si="208"/>
        <v>32</v>
      </c>
      <c r="DM353" s="7">
        <f t="shared" si="209"/>
        <v>50</v>
      </c>
      <c r="DN353" s="7">
        <f t="shared" si="210"/>
        <v>57.5</v>
      </c>
      <c r="DO353" s="7">
        <f t="shared" si="211"/>
        <v>63.25</v>
      </c>
      <c r="DP353" s="7">
        <f t="shared" si="212"/>
        <v>79</v>
      </c>
    </row>
    <row r="354" spans="1:134" ht="25.5" hidden="1" customHeight="1" x14ac:dyDescent="0.25">
      <c r="A354" s="92" t="str">
        <f t="shared" si="213"/>
        <v>SK-WVI [R10]</v>
      </c>
      <c r="B354" s="92" t="str">
        <f t="shared" si="214"/>
        <v>West Vancouver Island</v>
      </c>
      <c r="C354" s="93" t="str">
        <f t="shared" si="186"/>
        <v>CHUM CREEK_Sockeye</v>
      </c>
      <c r="D354" s="128" t="s">
        <v>598</v>
      </c>
      <c r="E354" s="128" t="s">
        <v>598</v>
      </c>
      <c r="F354" s="64">
        <v>25</v>
      </c>
      <c r="G354" s="72" t="s">
        <v>244</v>
      </c>
      <c r="H354" s="65" t="s">
        <v>91</v>
      </c>
      <c r="I354" s="119"/>
      <c r="J354" s="119"/>
      <c r="K354" s="64">
        <v>4</v>
      </c>
      <c r="L354" s="52">
        <v>8</v>
      </c>
      <c r="M354" s="52">
        <v>2</v>
      </c>
      <c r="N354" s="52">
        <f t="shared" si="215"/>
        <v>48.062459362791664</v>
      </c>
      <c r="O354" s="52">
        <f t="shared" si="216"/>
        <v>77</v>
      </c>
      <c r="P354" s="52">
        <f t="shared" si="217"/>
        <v>28.479825673300656</v>
      </c>
      <c r="Q354" s="66"/>
      <c r="R354" s="39"/>
      <c r="S354" s="74" t="s">
        <v>445</v>
      </c>
      <c r="T354" s="81">
        <f t="shared" si="187"/>
        <v>2</v>
      </c>
      <c r="U354" s="81">
        <f t="shared" si="188"/>
        <v>3.5</v>
      </c>
      <c r="V354" s="233">
        <v>2</v>
      </c>
      <c r="W354" s="52">
        <v>2</v>
      </c>
      <c r="X354" s="52">
        <v>2</v>
      </c>
      <c r="Y354" s="36" t="s">
        <v>262</v>
      </c>
      <c r="Z354" s="195" t="s">
        <v>676</v>
      </c>
      <c r="AA354" s="52" t="s">
        <v>262</v>
      </c>
      <c r="AB354" s="52" t="s">
        <v>262</v>
      </c>
      <c r="AC354" s="52" t="s">
        <v>102</v>
      </c>
      <c r="AD354" s="52" t="s">
        <v>102</v>
      </c>
      <c r="AE354" s="52" t="s">
        <v>102</v>
      </c>
      <c r="AF354" s="52" t="s">
        <v>262</v>
      </c>
      <c r="AG354" s="144">
        <v>8</v>
      </c>
      <c r="AH354" s="52" t="s">
        <v>262</v>
      </c>
      <c r="AI354" s="52">
        <v>4</v>
      </c>
      <c r="AJ354" s="53" t="s">
        <v>262</v>
      </c>
      <c r="AK354" s="53" t="s">
        <v>262</v>
      </c>
      <c r="AL354" s="89" t="s">
        <v>262</v>
      </c>
      <c r="AM354" s="53" t="s">
        <v>262</v>
      </c>
      <c r="AN354" s="53" t="s">
        <v>262</v>
      </c>
      <c r="AO354" s="53" t="s">
        <v>262</v>
      </c>
      <c r="AP354" s="53" t="s">
        <v>262</v>
      </c>
      <c r="AQ354" s="53" t="s">
        <v>102</v>
      </c>
      <c r="AR354" s="53" t="s">
        <v>102</v>
      </c>
      <c r="AS354" s="52">
        <v>30</v>
      </c>
      <c r="AT354" s="52">
        <v>77</v>
      </c>
      <c r="AU354" s="52" t="s">
        <v>262</v>
      </c>
      <c r="AV354" s="52" t="s">
        <v>102</v>
      </c>
      <c r="AW354" s="52" t="s">
        <v>262</v>
      </c>
      <c r="AX354" s="51" t="s">
        <v>264</v>
      </c>
      <c r="AY354" s="53">
        <v>10</v>
      </c>
      <c r="AZ354" s="53" t="s">
        <v>102</v>
      </c>
      <c r="BA354" s="53" t="s">
        <v>264</v>
      </c>
      <c r="BB354" s="53" t="s">
        <v>264</v>
      </c>
      <c r="BC354" s="53" t="s">
        <v>264</v>
      </c>
      <c r="BD354" s="53" t="s">
        <v>102</v>
      </c>
      <c r="BE354" s="53" t="s">
        <v>264</v>
      </c>
      <c r="BF354" s="53" t="s">
        <v>264</v>
      </c>
      <c r="BG354" s="53" t="s">
        <v>102</v>
      </c>
      <c r="BH354" s="53" t="s">
        <v>262</v>
      </c>
      <c r="BI354" s="53" t="s">
        <v>264</v>
      </c>
      <c r="BJ354" s="53" t="s">
        <v>102</v>
      </c>
      <c r="BK354" s="53" t="s">
        <v>264</v>
      </c>
      <c r="BL354" s="53" t="s">
        <v>264</v>
      </c>
      <c r="BM354" s="53" t="s">
        <v>264</v>
      </c>
      <c r="BN354" s="53" t="s">
        <v>264</v>
      </c>
      <c r="BO354" s="53" t="s">
        <v>264</v>
      </c>
      <c r="BP354" s="53" t="s">
        <v>264</v>
      </c>
      <c r="BQ354" s="53" t="s">
        <v>264</v>
      </c>
      <c r="BR354" s="53" t="s">
        <v>264</v>
      </c>
      <c r="BS354" s="53" t="s">
        <v>264</v>
      </c>
      <c r="BT354" s="53" t="s">
        <v>264</v>
      </c>
      <c r="BU354" s="53" t="s">
        <v>264</v>
      </c>
      <c r="BV354" s="53" t="s">
        <v>264</v>
      </c>
      <c r="BW354" s="53" t="s">
        <v>264</v>
      </c>
      <c r="BX354" s="53" t="s">
        <v>264</v>
      </c>
      <c r="BY354" s="53" t="s">
        <v>264</v>
      </c>
      <c r="BZ354" s="53" t="s">
        <v>264</v>
      </c>
      <c r="CA354" s="53" t="s">
        <v>264</v>
      </c>
      <c r="CB354" s="53" t="s">
        <v>264</v>
      </c>
      <c r="CC354" s="53" t="s">
        <v>264</v>
      </c>
      <c r="CD354" s="53" t="s">
        <v>264</v>
      </c>
      <c r="CE354" s="53" t="s">
        <v>264</v>
      </c>
      <c r="CF354" s="53" t="s">
        <v>264</v>
      </c>
      <c r="CG354" s="53" t="s">
        <v>262</v>
      </c>
      <c r="CH354" s="53" t="s">
        <v>264</v>
      </c>
      <c r="CI354" s="53" t="s">
        <v>264</v>
      </c>
      <c r="CJ354" s="53" t="s">
        <v>264</v>
      </c>
      <c r="CK354" s="53" t="s">
        <v>264</v>
      </c>
      <c r="CL354" s="53" t="s">
        <v>264</v>
      </c>
      <c r="CM354" s="53" t="s">
        <v>264</v>
      </c>
      <c r="CN354" s="206"/>
      <c r="CO354" s="206"/>
      <c r="CP354" s="206"/>
      <c r="CQ354" s="8">
        <f t="shared" si="189"/>
        <v>2</v>
      </c>
      <c r="CR354" s="8">
        <f t="shared" si="190"/>
        <v>77</v>
      </c>
      <c r="CS354" s="8">
        <f t="shared" si="191"/>
        <v>16.875</v>
      </c>
      <c r="CT354">
        <f t="shared" si="192"/>
        <v>7.0223341840712132</v>
      </c>
      <c r="CU354" s="143">
        <f t="shared" si="193"/>
        <v>2</v>
      </c>
      <c r="CV354" s="143">
        <f t="shared" si="194"/>
        <v>3.5</v>
      </c>
      <c r="CX354" s="7">
        <f t="shared" si="195"/>
        <v>2</v>
      </c>
      <c r="CY354" s="7">
        <f t="shared" si="196"/>
        <v>2</v>
      </c>
      <c r="CZ354" s="7">
        <f t="shared" si="197"/>
        <v>2</v>
      </c>
      <c r="DA354" s="7">
        <f t="shared" si="198"/>
        <v>2</v>
      </c>
      <c r="DB354" s="7">
        <f t="shared" si="199"/>
        <v>6</v>
      </c>
      <c r="DC354" s="7">
        <f t="shared" si="200"/>
        <v>8.4</v>
      </c>
      <c r="DD354" s="7">
        <f t="shared" si="201"/>
        <v>9.1</v>
      </c>
      <c r="DE354" s="7">
        <f t="shared" si="202"/>
        <v>15</v>
      </c>
      <c r="DF354" s="7">
        <f t="shared" si="203"/>
        <v>29.000000000000004</v>
      </c>
      <c r="DH354" s="7">
        <f t="shared" si="204"/>
        <v>2</v>
      </c>
      <c r="DI354" s="7">
        <f t="shared" si="205"/>
        <v>2</v>
      </c>
      <c r="DJ354" s="7">
        <f t="shared" si="206"/>
        <v>2</v>
      </c>
      <c r="DK354" s="7">
        <f t="shared" si="207"/>
        <v>2</v>
      </c>
      <c r="DL354" s="7">
        <f t="shared" si="208"/>
        <v>4</v>
      </c>
      <c r="DM354" s="7">
        <f t="shared" si="209"/>
        <v>6.3999999999999986</v>
      </c>
      <c r="DN354" s="7">
        <f t="shared" si="210"/>
        <v>7.6000000000000014</v>
      </c>
      <c r="DO354" s="7">
        <f t="shared" si="211"/>
        <v>19</v>
      </c>
      <c r="DP354" s="7">
        <f t="shared" si="212"/>
        <v>34.699999999999982</v>
      </c>
    </row>
    <row r="355" spans="1:134" ht="25.5" customHeight="1" x14ac:dyDescent="0.25">
      <c r="A355" s="92" t="str">
        <f t="shared" si="213"/>
        <v>CK-NoKy [32]</v>
      </c>
      <c r="B355" s="92" t="str">
        <f t="shared" si="214"/>
        <v>Nootka and Kyuquot</v>
      </c>
      <c r="C355" s="93" t="str">
        <f t="shared" si="186"/>
        <v>CONUMA RIVER_Chinook</v>
      </c>
      <c r="D355" s="128" t="s">
        <v>598</v>
      </c>
      <c r="E355" s="128" t="s">
        <v>598</v>
      </c>
      <c r="F355" s="64">
        <v>25</v>
      </c>
      <c r="G355" s="72" t="s">
        <v>224</v>
      </c>
      <c r="H355" s="65" t="s">
        <v>97</v>
      </c>
      <c r="I355" s="119"/>
      <c r="J355" s="119"/>
      <c r="K355" s="64">
        <v>1</v>
      </c>
      <c r="L355" s="52">
        <v>11</v>
      </c>
      <c r="M355" s="52">
        <v>11</v>
      </c>
      <c r="N355" s="52">
        <f t="shared" si="215"/>
        <v>16516.896411038415</v>
      </c>
      <c r="O355" s="52">
        <f t="shared" si="216"/>
        <v>41053</v>
      </c>
      <c r="P355" s="52">
        <f t="shared" si="217"/>
        <v>1520.6452497483122</v>
      </c>
      <c r="Q355" s="66" t="s">
        <v>272</v>
      </c>
      <c r="R355" s="37"/>
      <c r="S355" s="74" t="s">
        <v>10</v>
      </c>
      <c r="T355" s="81">
        <f t="shared" si="187"/>
        <v>7462.5</v>
      </c>
      <c r="U355" s="81">
        <f t="shared" si="188"/>
        <v>18535.833333333332</v>
      </c>
      <c r="V355" s="228">
        <v>12995</v>
      </c>
      <c r="W355" s="52">
        <v>8367</v>
      </c>
      <c r="X355" s="52">
        <v>3526</v>
      </c>
      <c r="Y355" s="52">
        <v>4962</v>
      </c>
      <c r="Z355" s="52">
        <v>9943</v>
      </c>
      <c r="AA355" s="52">
        <v>12161</v>
      </c>
      <c r="AB355" s="52">
        <v>30387</v>
      </c>
      <c r="AC355" s="52">
        <v>38178</v>
      </c>
      <c r="AD355" s="52">
        <v>15000</v>
      </c>
      <c r="AE355" s="144">
        <v>60760</v>
      </c>
      <c r="AF355" s="52">
        <v>4875</v>
      </c>
      <c r="AG355" s="144">
        <v>21276</v>
      </c>
      <c r="AH355" s="53">
        <v>14940</v>
      </c>
      <c r="AI355" s="53">
        <v>17000</v>
      </c>
      <c r="AJ355" s="53">
        <v>11786</v>
      </c>
      <c r="AK355" s="53">
        <v>7736</v>
      </c>
      <c r="AL355" s="89">
        <v>22030</v>
      </c>
      <c r="AM355" s="52">
        <v>5831</v>
      </c>
      <c r="AN355" s="53">
        <v>41053</v>
      </c>
      <c r="AO355" s="53">
        <v>32915</v>
      </c>
      <c r="AP355" s="53">
        <v>26210</v>
      </c>
      <c r="AQ355" s="53">
        <v>14873</v>
      </c>
      <c r="AR355" s="53">
        <v>8645</v>
      </c>
      <c r="AS355" s="52">
        <v>14195</v>
      </c>
      <c r="AT355" s="52">
        <v>21865</v>
      </c>
      <c r="AU355" s="52">
        <v>18992</v>
      </c>
      <c r="AV355" s="52">
        <v>16313</v>
      </c>
      <c r="AW355" s="52">
        <v>21928</v>
      </c>
      <c r="AX355" s="51">
        <v>20000</v>
      </c>
      <c r="AY355" s="53">
        <v>11500</v>
      </c>
      <c r="AZ355" s="53">
        <v>22000</v>
      </c>
      <c r="BA355" s="53">
        <v>15000</v>
      </c>
      <c r="BB355" s="53">
        <v>10700</v>
      </c>
      <c r="BC355" s="53">
        <v>7000</v>
      </c>
      <c r="BD355" s="53">
        <v>3000</v>
      </c>
      <c r="BE355" s="53">
        <v>200</v>
      </c>
      <c r="BF355" s="53">
        <v>210</v>
      </c>
      <c r="BG355" s="53">
        <v>800</v>
      </c>
      <c r="BH355" s="53">
        <v>718</v>
      </c>
      <c r="BI355" s="53">
        <v>300</v>
      </c>
      <c r="BJ355" s="53">
        <v>500</v>
      </c>
      <c r="BK355" s="53">
        <v>300</v>
      </c>
      <c r="BL355" s="53">
        <v>500</v>
      </c>
      <c r="BM355" s="53">
        <v>120</v>
      </c>
      <c r="BN355" s="53">
        <v>500</v>
      </c>
      <c r="BO355" s="53">
        <v>120</v>
      </c>
      <c r="BP355" s="53">
        <v>400</v>
      </c>
      <c r="BQ355" s="53">
        <v>75</v>
      </c>
      <c r="BR355" s="53">
        <v>200</v>
      </c>
      <c r="BS355" s="53">
        <v>400</v>
      </c>
      <c r="BT355" s="53">
        <v>1500</v>
      </c>
      <c r="BU355" s="53">
        <v>900</v>
      </c>
      <c r="BV355" s="53">
        <v>700</v>
      </c>
      <c r="BW355" s="53">
        <v>400</v>
      </c>
      <c r="BX355" s="53">
        <v>750</v>
      </c>
      <c r="BY355" s="53">
        <v>1000</v>
      </c>
      <c r="BZ355" s="53">
        <v>1800</v>
      </c>
      <c r="CA355" s="53">
        <v>3500</v>
      </c>
      <c r="CB355" s="53">
        <v>300</v>
      </c>
      <c r="CC355" s="53">
        <v>1000</v>
      </c>
      <c r="CD355" s="53">
        <v>400</v>
      </c>
      <c r="CE355" s="53">
        <v>200</v>
      </c>
      <c r="CF355" s="53">
        <v>750</v>
      </c>
      <c r="CG355" s="53">
        <v>400</v>
      </c>
      <c r="CH355" s="53">
        <v>200</v>
      </c>
      <c r="CI355" s="53">
        <v>400</v>
      </c>
      <c r="CJ355" s="53">
        <v>25</v>
      </c>
      <c r="CK355" s="53">
        <v>75</v>
      </c>
      <c r="CL355" s="53">
        <v>300</v>
      </c>
      <c r="CM355" s="53">
        <v>1500</v>
      </c>
      <c r="CN355" s="206"/>
      <c r="CO355" s="206"/>
      <c r="CP355" s="206"/>
      <c r="CQ355" s="8">
        <f t="shared" si="189"/>
        <v>25</v>
      </c>
      <c r="CR355" s="8">
        <f t="shared" si="190"/>
        <v>60760</v>
      </c>
      <c r="CS355" s="8">
        <f t="shared" si="191"/>
        <v>8991.2142857142862</v>
      </c>
      <c r="CT355">
        <f t="shared" si="192"/>
        <v>2351.9687991713236</v>
      </c>
      <c r="CU355" s="143">
        <f t="shared" si="193"/>
        <v>7958.6</v>
      </c>
      <c r="CV355" s="143">
        <f t="shared" si="194"/>
        <v>18535.833333333332</v>
      </c>
      <c r="CX355" s="7">
        <f t="shared" si="195"/>
        <v>120</v>
      </c>
      <c r="CY355" s="7">
        <f t="shared" si="196"/>
        <v>300</v>
      </c>
      <c r="CZ355" s="7">
        <f t="shared" si="197"/>
        <v>380.00000000000006</v>
      </c>
      <c r="DA355" s="7">
        <f t="shared" si="198"/>
        <v>400</v>
      </c>
      <c r="DB355" s="7">
        <f t="shared" si="199"/>
        <v>3250</v>
      </c>
      <c r="DC355" s="7">
        <f t="shared" si="200"/>
        <v>7988.3999999999987</v>
      </c>
      <c r="DD355" s="7">
        <f t="shared" si="201"/>
        <v>10586.45</v>
      </c>
      <c r="DE355" s="7">
        <f t="shared" si="202"/>
        <v>14923.25</v>
      </c>
      <c r="DF355" s="7">
        <f t="shared" si="203"/>
        <v>20829.399999999998</v>
      </c>
      <c r="DH355" s="7">
        <f t="shared" si="204"/>
        <v>4905.45</v>
      </c>
      <c r="DI355" s="7">
        <f t="shared" si="205"/>
        <v>7767.55</v>
      </c>
      <c r="DJ355" s="7">
        <f t="shared" si="206"/>
        <v>8478.2000000000007</v>
      </c>
      <c r="DK355" s="7">
        <f t="shared" si="207"/>
        <v>9618.5</v>
      </c>
      <c r="DL355" s="7">
        <f t="shared" si="208"/>
        <v>14970</v>
      </c>
      <c r="DM355" s="7">
        <f t="shared" si="209"/>
        <v>17398.399999999998</v>
      </c>
      <c r="DN355" s="7">
        <f t="shared" si="210"/>
        <v>20248.2</v>
      </c>
      <c r="DO355" s="7">
        <f t="shared" si="211"/>
        <v>21953.5</v>
      </c>
      <c r="DP355" s="7">
        <f t="shared" si="212"/>
        <v>30178.149999999998</v>
      </c>
      <c r="EB355" s="7">
        <f>_xlfn.PERCENTILE.INC(BM355:CM355,0.25)</f>
        <v>200</v>
      </c>
      <c r="EC355" s="7">
        <f>_xlfn.PERCENTILE.INC(BM355:CM355,0.75)</f>
        <v>825</v>
      </c>
      <c r="ED355" s="227" t="s">
        <v>680</v>
      </c>
    </row>
    <row r="356" spans="1:134" ht="25.5" hidden="1" customHeight="1" x14ac:dyDescent="0.25">
      <c r="A356" s="92" t="str">
        <f t="shared" si="213"/>
        <v>CM-SWVI [10]</v>
      </c>
      <c r="B356" s="92" t="str">
        <f t="shared" si="214"/>
        <v>Southwest Vancouver Island</v>
      </c>
      <c r="C356" s="93" t="str">
        <f t="shared" si="186"/>
        <v>CONUMA RIVER_Chum</v>
      </c>
      <c r="D356" s="128" t="s">
        <v>598</v>
      </c>
      <c r="E356" s="128" t="s">
        <v>598</v>
      </c>
      <c r="F356" s="64">
        <v>25</v>
      </c>
      <c r="G356" s="72" t="s">
        <v>224</v>
      </c>
      <c r="H356" s="65" t="s">
        <v>96</v>
      </c>
      <c r="I356" s="119"/>
      <c r="J356" s="119"/>
      <c r="K356" s="64">
        <v>1</v>
      </c>
      <c r="L356" s="52">
        <v>10</v>
      </c>
      <c r="M356" s="52">
        <v>10</v>
      </c>
      <c r="N356" s="52">
        <f t="shared" si="215"/>
        <v>22057.221615183455</v>
      </c>
      <c r="O356" s="52">
        <f t="shared" si="216"/>
        <v>162252</v>
      </c>
      <c r="P356" s="52">
        <f t="shared" si="217"/>
        <v>11157.603318416579</v>
      </c>
      <c r="Q356" s="66" t="s">
        <v>272</v>
      </c>
      <c r="R356" s="37"/>
      <c r="S356" s="74" t="s">
        <v>10</v>
      </c>
      <c r="T356" s="81">
        <f t="shared" si="187"/>
        <v>9877</v>
      </c>
      <c r="U356" s="81">
        <f t="shared" si="188"/>
        <v>9013.0833333333339</v>
      </c>
      <c r="V356" s="228">
        <v>1909</v>
      </c>
      <c r="W356" s="52">
        <v>18012</v>
      </c>
      <c r="X356" s="52">
        <v>14675</v>
      </c>
      <c r="Y356" s="52">
        <v>4912</v>
      </c>
      <c r="Z356" s="52">
        <v>10221</v>
      </c>
      <c r="AA356" s="52">
        <v>5385</v>
      </c>
      <c r="AB356" s="52">
        <v>13551</v>
      </c>
      <c r="AC356" s="52">
        <v>10020</v>
      </c>
      <c r="AD356" s="52">
        <v>5427</v>
      </c>
      <c r="AE356" s="144">
        <v>14806</v>
      </c>
      <c r="AF356" s="52">
        <v>2450</v>
      </c>
      <c r="AG356" s="144">
        <v>6789</v>
      </c>
      <c r="AH356" s="53">
        <v>4400</v>
      </c>
      <c r="AI356" s="53">
        <v>4142</v>
      </c>
      <c r="AJ356" s="53">
        <v>5494</v>
      </c>
      <c r="AK356" s="53">
        <v>3297</v>
      </c>
      <c r="AL356" s="89">
        <v>6602</v>
      </c>
      <c r="AM356" s="52">
        <v>7298</v>
      </c>
      <c r="AN356" s="123">
        <v>37221</v>
      </c>
      <c r="AO356" s="53">
        <v>33458</v>
      </c>
      <c r="AP356" s="53">
        <v>50000</v>
      </c>
      <c r="AQ356" s="53">
        <v>60710</v>
      </c>
      <c r="AR356" s="53">
        <v>12248</v>
      </c>
      <c r="AS356" s="52">
        <v>32386</v>
      </c>
      <c r="AT356" s="52">
        <v>162252</v>
      </c>
      <c r="AU356" s="52">
        <v>74295</v>
      </c>
      <c r="AV356" s="52">
        <v>35000</v>
      </c>
      <c r="AW356" s="52">
        <v>11686</v>
      </c>
      <c r="AX356" s="51">
        <v>50000</v>
      </c>
      <c r="AY356" s="53">
        <v>20000</v>
      </c>
      <c r="AZ356" s="53">
        <v>30000</v>
      </c>
      <c r="BA356" s="53">
        <v>12000</v>
      </c>
      <c r="BB356" s="53">
        <v>23350</v>
      </c>
      <c r="BC356" s="53">
        <v>30000</v>
      </c>
      <c r="BD356" s="53">
        <v>30500</v>
      </c>
      <c r="BE356" s="53">
        <v>22000</v>
      </c>
      <c r="BF356" s="53">
        <v>29900</v>
      </c>
      <c r="BG356" s="53">
        <v>21000</v>
      </c>
      <c r="BH356" s="53">
        <v>24000</v>
      </c>
      <c r="BI356" s="53">
        <v>36000</v>
      </c>
      <c r="BJ356" s="53">
        <v>40000</v>
      </c>
      <c r="BK356" s="53">
        <v>30000</v>
      </c>
      <c r="BL356" s="53">
        <v>18000</v>
      </c>
      <c r="BM356" s="53">
        <v>2648</v>
      </c>
      <c r="BN356" s="53">
        <v>7500</v>
      </c>
      <c r="BO356" s="53">
        <v>4300</v>
      </c>
      <c r="BP356" s="53">
        <v>3500</v>
      </c>
      <c r="BQ356" s="53">
        <v>7500</v>
      </c>
      <c r="BR356" s="53">
        <v>7500</v>
      </c>
      <c r="BS356" s="53">
        <v>7500</v>
      </c>
      <c r="BT356" s="53">
        <v>15000</v>
      </c>
      <c r="BU356" s="53">
        <v>3500</v>
      </c>
      <c r="BV356" s="53">
        <v>6500</v>
      </c>
      <c r="BW356" s="53">
        <v>3500</v>
      </c>
      <c r="BX356" s="53">
        <v>10000</v>
      </c>
      <c r="BY356" s="53">
        <v>7000</v>
      </c>
      <c r="BZ356" s="53">
        <v>6000</v>
      </c>
      <c r="CA356" s="53">
        <v>3500</v>
      </c>
      <c r="CB356" s="53">
        <v>7000</v>
      </c>
      <c r="CC356" s="53">
        <v>3000</v>
      </c>
      <c r="CD356" s="53">
        <v>750</v>
      </c>
      <c r="CE356" s="53">
        <v>3500</v>
      </c>
      <c r="CF356" s="53">
        <v>35000</v>
      </c>
      <c r="CG356" s="53">
        <v>3500</v>
      </c>
      <c r="CH356" s="53">
        <v>7500</v>
      </c>
      <c r="CI356" s="53">
        <v>3500</v>
      </c>
      <c r="CJ356" s="53">
        <v>3500</v>
      </c>
      <c r="CK356" s="53">
        <v>1500</v>
      </c>
      <c r="CL356" s="53">
        <v>5000</v>
      </c>
      <c r="CM356" s="53">
        <v>3500</v>
      </c>
      <c r="CN356" s="206"/>
      <c r="CO356" s="206"/>
      <c r="CP356" s="206"/>
      <c r="CQ356" s="8">
        <f t="shared" si="189"/>
        <v>750</v>
      </c>
      <c r="CR356" s="8">
        <f t="shared" si="190"/>
        <v>162252</v>
      </c>
      <c r="CS356" s="8">
        <f t="shared" si="191"/>
        <v>17687.057142857142</v>
      </c>
      <c r="CT356">
        <f t="shared" si="192"/>
        <v>10105.260545525758</v>
      </c>
      <c r="CU356" s="143">
        <f t="shared" si="193"/>
        <v>9945.7999999999993</v>
      </c>
      <c r="CV356" s="143">
        <f t="shared" si="194"/>
        <v>9013.0833333333339</v>
      </c>
      <c r="CX356" s="7">
        <f t="shared" si="195"/>
        <v>2539.1</v>
      </c>
      <c r="CY356" s="7">
        <f t="shared" si="196"/>
        <v>3500</v>
      </c>
      <c r="CZ356" s="7">
        <f t="shared" si="197"/>
        <v>3500</v>
      </c>
      <c r="DA356" s="7">
        <f t="shared" si="198"/>
        <v>4325</v>
      </c>
      <c r="DB356" s="7">
        <f t="shared" si="199"/>
        <v>7500</v>
      </c>
      <c r="DC356" s="7">
        <f t="shared" si="200"/>
        <v>12769.199999999999</v>
      </c>
      <c r="DD356" s="7">
        <f t="shared" si="201"/>
        <v>14970.9</v>
      </c>
      <c r="DE356" s="7">
        <f t="shared" si="202"/>
        <v>23837.5</v>
      </c>
      <c r="DF356" s="7">
        <f t="shared" si="203"/>
        <v>33082.799999999996</v>
      </c>
      <c r="DH356" s="7">
        <f t="shared" si="204"/>
        <v>2746.4500000000003</v>
      </c>
      <c r="DI356" s="7">
        <f t="shared" si="205"/>
        <v>4425.6000000000004</v>
      </c>
      <c r="DJ356" s="7">
        <f t="shared" si="206"/>
        <v>5101.2</v>
      </c>
      <c r="DK356" s="7">
        <f t="shared" si="207"/>
        <v>5416.5</v>
      </c>
      <c r="DL356" s="7">
        <f t="shared" si="208"/>
        <v>10953.5</v>
      </c>
      <c r="DM356" s="7">
        <f t="shared" si="209"/>
        <v>13775.8</v>
      </c>
      <c r="DN356" s="7">
        <f t="shared" si="210"/>
        <v>14747.05</v>
      </c>
      <c r="DO356" s="7">
        <f t="shared" si="211"/>
        <v>32654</v>
      </c>
      <c r="DP356" s="7">
        <f t="shared" si="212"/>
        <v>37109.949999999997</v>
      </c>
      <c r="EB356" s="7">
        <f t="shared" ref="EB356:EB359" si="218">_xlfn.PERCENTILE.INC(BM356:CM356,0.25)</f>
        <v>3500</v>
      </c>
      <c r="EC356" s="7">
        <f t="shared" ref="EC356:EC359" si="219">_xlfn.PERCENTILE.INC(BM356:CM356,0.75)</f>
        <v>7500</v>
      </c>
      <c r="ED356" s="227" t="s">
        <v>680</v>
      </c>
    </row>
    <row r="357" spans="1:134" ht="25.5" hidden="1" customHeight="1" x14ac:dyDescent="0.25">
      <c r="A357" s="92" t="str">
        <f t="shared" si="213"/>
        <v>CO-WVI [17]</v>
      </c>
      <c r="B357" s="92" t="str">
        <f t="shared" si="214"/>
        <v>West Vancouver Island</v>
      </c>
      <c r="C357" s="93" t="str">
        <f t="shared" si="186"/>
        <v>CONUMA RIVER_Coho</v>
      </c>
      <c r="D357" s="128" t="s">
        <v>598</v>
      </c>
      <c r="E357" s="128" t="s">
        <v>598</v>
      </c>
      <c r="F357" s="64">
        <v>25</v>
      </c>
      <c r="G357" s="72" t="s">
        <v>224</v>
      </c>
      <c r="H357" s="65" t="s">
        <v>93</v>
      </c>
      <c r="I357" s="119"/>
      <c r="J357" s="119"/>
      <c r="K357" s="64">
        <v>1</v>
      </c>
      <c r="L357" s="52">
        <v>10</v>
      </c>
      <c r="M357" s="52">
        <v>10</v>
      </c>
      <c r="N357" s="52">
        <f t="shared" si="215"/>
        <v>2650.0767807413176</v>
      </c>
      <c r="O357" s="52">
        <f t="shared" si="216"/>
        <v>10445</v>
      </c>
      <c r="P357" s="52">
        <f t="shared" si="217"/>
        <v>1244.3620898810882</v>
      </c>
      <c r="Q357" s="66" t="s">
        <v>272</v>
      </c>
      <c r="R357" s="37"/>
      <c r="S357" s="74" t="s">
        <v>10</v>
      </c>
      <c r="T357" s="81">
        <f t="shared" si="187"/>
        <v>3087.75</v>
      </c>
      <c r="U357" s="81">
        <f t="shared" si="188"/>
        <v>2675</v>
      </c>
      <c r="V357" s="228">
        <v>748</v>
      </c>
      <c r="W357" s="52">
        <v>8026</v>
      </c>
      <c r="X357" s="52">
        <v>2696</v>
      </c>
      <c r="Y357" s="52">
        <v>881</v>
      </c>
      <c r="Z357" s="52">
        <v>5286</v>
      </c>
      <c r="AA357" s="52">
        <v>2166</v>
      </c>
      <c r="AB357" s="52">
        <v>1288</v>
      </c>
      <c r="AC357" s="52">
        <v>2039</v>
      </c>
      <c r="AD357" s="52">
        <v>1798</v>
      </c>
      <c r="AE357" s="144">
        <v>2328</v>
      </c>
      <c r="AF357" s="52">
        <v>2680</v>
      </c>
      <c r="AG357" s="144">
        <v>2164</v>
      </c>
      <c r="AH357" s="53">
        <v>2162</v>
      </c>
      <c r="AI357" s="53">
        <v>4825</v>
      </c>
      <c r="AJ357" s="53">
        <v>3217</v>
      </c>
      <c r="AK357" s="53">
        <v>1100</v>
      </c>
      <c r="AL357" s="89">
        <v>2681</v>
      </c>
      <c r="AM357" s="52">
        <v>1978</v>
      </c>
      <c r="AN357" s="54"/>
      <c r="AO357" s="53">
        <v>4851</v>
      </c>
      <c r="AP357" s="53">
        <v>10051</v>
      </c>
      <c r="AQ357" s="53">
        <v>10445</v>
      </c>
      <c r="AR357" s="53">
        <v>10339</v>
      </c>
      <c r="AS357" s="52">
        <v>1094</v>
      </c>
      <c r="AT357" s="52">
        <v>1645</v>
      </c>
      <c r="AU357" s="52">
        <v>658</v>
      </c>
      <c r="AV357" s="52">
        <v>2167</v>
      </c>
      <c r="AW357" s="52">
        <v>1254</v>
      </c>
      <c r="AX357" s="51">
        <v>200</v>
      </c>
      <c r="AY357" s="53">
        <v>500</v>
      </c>
      <c r="AZ357" s="53">
        <v>3500</v>
      </c>
      <c r="BA357" s="53">
        <v>10000</v>
      </c>
      <c r="BB357" s="53">
        <v>7300</v>
      </c>
      <c r="BC357" s="53">
        <v>4000</v>
      </c>
      <c r="BD357" s="53">
        <v>4000</v>
      </c>
      <c r="BE357" s="53">
        <v>5000</v>
      </c>
      <c r="BF357" s="53">
        <v>7020</v>
      </c>
      <c r="BG357" s="53">
        <v>600</v>
      </c>
      <c r="BH357" s="53">
        <v>580</v>
      </c>
      <c r="BI357" s="53">
        <v>500</v>
      </c>
      <c r="BJ357" s="53">
        <v>550</v>
      </c>
      <c r="BK357" s="53">
        <v>600</v>
      </c>
      <c r="BL357" s="53">
        <v>1000</v>
      </c>
      <c r="BM357" s="53">
        <v>1000</v>
      </c>
      <c r="BN357" s="53">
        <v>400</v>
      </c>
      <c r="BO357" s="53">
        <v>400</v>
      </c>
      <c r="BP357" s="53">
        <v>200</v>
      </c>
      <c r="BQ357" s="53">
        <v>750</v>
      </c>
      <c r="BR357" s="53">
        <v>400</v>
      </c>
      <c r="BS357" s="53">
        <v>750</v>
      </c>
      <c r="BT357" s="53">
        <v>1500</v>
      </c>
      <c r="BU357" s="53">
        <v>3000</v>
      </c>
      <c r="BV357" s="53">
        <v>1500</v>
      </c>
      <c r="BW357" s="53">
        <v>400</v>
      </c>
      <c r="BX357" s="53">
        <v>750</v>
      </c>
      <c r="BY357" s="53">
        <v>2500</v>
      </c>
      <c r="BZ357" s="53">
        <v>5500</v>
      </c>
      <c r="CA357" s="53">
        <v>3500</v>
      </c>
      <c r="CB357" s="53">
        <v>3000</v>
      </c>
      <c r="CC357" s="53">
        <v>600</v>
      </c>
      <c r="CD357" s="53">
        <v>200</v>
      </c>
      <c r="CE357" s="53">
        <v>750</v>
      </c>
      <c r="CF357" s="53">
        <v>750</v>
      </c>
      <c r="CG357" s="53">
        <v>200</v>
      </c>
      <c r="CH357" s="53">
        <v>200</v>
      </c>
      <c r="CI357" s="53">
        <v>400</v>
      </c>
      <c r="CJ357" s="53">
        <v>400</v>
      </c>
      <c r="CK357" s="53">
        <v>200</v>
      </c>
      <c r="CL357" s="53">
        <v>1000</v>
      </c>
      <c r="CM357" s="53">
        <v>3500</v>
      </c>
      <c r="CN357" s="206"/>
      <c r="CO357" s="206"/>
      <c r="CP357" s="206"/>
      <c r="CQ357" s="8">
        <f t="shared" si="189"/>
        <v>200</v>
      </c>
      <c r="CR357" s="8">
        <f t="shared" si="190"/>
        <v>10445</v>
      </c>
      <c r="CS357" s="8">
        <f t="shared" si="191"/>
        <v>2458.942028985507</v>
      </c>
      <c r="CT357">
        <f t="shared" si="192"/>
        <v>1408.1983999848344</v>
      </c>
      <c r="CU357" s="143">
        <f t="shared" si="193"/>
        <v>3527.4</v>
      </c>
      <c r="CV357" s="143">
        <f t="shared" si="194"/>
        <v>2675</v>
      </c>
      <c r="CX357" s="7">
        <f t="shared" si="195"/>
        <v>200</v>
      </c>
      <c r="CY357" s="7">
        <f t="shared" si="196"/>
        <v>400</v>
      </c>
      <c r="CZ357" s="7">
        <f t="shared" si="197"/>
        <v>530.00000000000011</v>
      </c>
      <c r="DA357" s="7">
        <f t="shared" si="198"/>
        <v>600</v>
      </c>
      <c r="DB357" s="7">
        <f t="shared" si="199"/>
        <v>1500</v>
      </c>
      <c r="DC357" s="7">
        <f t="shared" si="200"/>
        <v>2163.6</v>
      </c>
      <c r="DD357" s="7">
        <f t="shared" si="201"/>
        <v>2362.4000000000005</v>
      </c>
      <c r="DE357" s="7">
        <f t="shared" si="202"/>
        <v>3217</v>
      </c>
      <c r="DF357" s="7">
        <f t="shared" si="203"/>
        <v>4845.8</v>
      </c>
      <c r="DH357" s="7">
        <f t="shared" si="204"/>
        <v>787.9</v>
      </c>
      <c r="DI357" s="7">
        <f t="shared" si="205"/>
        <v>1099.4000000000001</v>
      </c>
      <c r="DJ357" s="7">
        <f t="shared" si="206"/>
        <v>1260.8</v>
      </c>
      <c r="DK357" s="7">
        <f t="shared" si="207"/>
        <v>1466.5</v>
      </c>
      <c r="DL357" s="7">
        <f t="shared" si="208"/>
        <v>2166</v>
      </c>
      <c r="DM357" s="7">
        <f t="shared" si="209"/>
        <v>2539.2000000000007</v>
      </c>
      <c r="DN357" s="7">
        <f t="shared" si="210"/>
        <v>2680.9</v>
      </c>
      <c r="DO357" s="7">
        <f t="shared" si="211"/>
        <v>4021</v>
      </c>
      <c r="DP357" s="7">
        <f t="shared" si="212"/>
        <v>5559.9999999999945</v>
      </c>
      <c r="EB357" s="7">
        <f t="shared" si="218"/>
        <v>400</v>
      </c>
      <c r="EC357" s="7">
        <f t="shared" si="219"/>
        <v>1500</v>
      </c>
      <c r="ED357" s="227" t="s">
        <v>680</v>
      </c>
    </row>
    <row r="358" spans="1:134" ht="25.5" hidden="1" customHeight="1" x14ac:dyDescent="0.25">
      <c r="A358" s="92" t="str">
        <f t="shared" si="213"/>
        <v>Pkodd-WVI [6]</v>
      </c>
      <c r="B358" s="92" t="str">
        <f t="shared" si="214"/>
        <v>West Vancouver Island</v>
      </c>
      <c r="C358" s="93" t="str">
        <f t="shared" si="186"/>
        <v>CONUMA RIVER_Pink</v>
      </c>
      <c r="D358" s="128" t="s">
        <v>598</v>
      </c>
      <c r="E358" s="128" t="s">
        <v>598</v>
      </c>
      <c r="F358" s="64">
        <v>25</v>
      </c>
      <c r="G358" s="72" t="s">
        <v>224</v>
      </c>
      <c r="H358" s="65" t="s">
        <v>95</v>
      </c>
      <c r="I358" s="119"/>
      <c r="J358" s="119"/>
      <c r="K358" s="64">
        <v>1</v>
      </c>
      <c r="L358" s="52">
        <v>10</v>
      </c>
      <c r="M358" s="52">
        <v>8</v>
      </c>
      <c r="N358" s="52">
        <f t="shared" si="215"/>
        <v>7.9121442347609348</v>
      </c>
      <c r="O358" s="52">
        <f t="shared" si="216"/>
        <v>7500</v>
      </c>
      <c r="P358" s="52">
        <f t="shared" si="217"/>
        <v>70.480414032131918</v>
      </c>
      <c r="Q358" s="66" t="s">
        <v>272</v>
      </c>
      <c r="R358" s="37"/>
      <c r="S358" s="74" t="s">
        <v>11</v>
      </c>
      <c r="T358" s="81">
        <f t="shared" si="187"/>
        <v>1</v>
      </c>
      <c r="U358" s="81">
        <f t="shared" si="188"/>
        <v>1.6666666666666667</v>
      </c>
      <c r="V358" s="228">
        <v>1</v>
      </c>
      <c r="W358" s="52" t="s">
        <v>263</v>
      </c>
      <c r="X358" s="52">
        <v>1</v>
      </c>
      <c r="Y358" s="36">
        <v>1</v>
      </c>
      <c r="Z358" s="195" t="s">
        <v>676</v>
      </c>
      <c r="AA358" s="52" t="s">
        <v>262</v>
      </c>
      <c r="AB358" s="52">
        <v>2</v>
      </c>
      <c r="AC358" s="52" t="s">
        <v>263</v>
      </c>
      <c r="AD358" s="52" t="s">
        <v>262</v>
      </c>
      <c r="AE358" s="144">
        <v>4</v>
      </c>
      <c r="AF358" s="52" t="s">
        <v>262</v>
      </c>
      <c r="AG358" s="144">
        <v>1</v>
      </c>
      <c r="AH358" s="53">
        <v>4</v>
      </c>
      <c r="AI358" s="52" t="s">
        <v>262</v>
      </c>
      <c r="AJ358" s="53" t="s">
        <v>262</v>
      </c>
      <c r="AK358" s="53">
        <v>7</v>
      </c>
      <c r="AL358" s="89" t="s">
        <v>262</v>
      </c>
      <c r="AM358" s="52">
        <v>1</v>
      </c>
      <c r="AN358" s="54"/>
      <c r="AO358" s="53">
        <v>4</v>
      </c>
      <c r="AP358" s="53">
        <v>1</v>
      </c>
      <c r="AQ358" s="53">
        <v>4</v>
      </c>
      <c r="AR358" s="53">
        <v>25</v>
      </c>
      <c r="AS358" s="52">
        <v>10</v>
      </c>
      <c r="AT358" s="52" t="s">
        <v>262</v>
      </c>
      <c r="AU358" s="52">
        <v>70</v>
      </c>
      <c r="AV358" s="52">
        <v>62</v>
      </c>
      <c r="AW358" s="52" t="s">
        <v>262</v>
      </c>
      <c r="AX358" s="51" t="s">
        <v>264</v>
      </c>
      <c r="AY358" s="53" t="s">
        <v>262</v>
      </c>
      <c r="AZ358" s="53" t="s">
        <v>102</v>
      </c>
      <c r="BA358" s="53" t="s">
        <v>264</v>
      </c>
      <c r="BB358" s="53" t="s">
        <v>264</v>
      </c>
      <c r="BC358" s="53" t="s">
        <v>264</v>
      </c>
      <c r="BD358" s="53" t="s">
        <v>264</v>
      </c>
      <c r="BE358" s="53" t="s">
        <v>264</v>
      </c>
      <c r="BF358" s="53" t="s">
        <v>264</v>
      </c>
      <c r="BG358" s="53" t="s">
        <v>264</v>
      </c>
      <c r="BH358" s="53" t="s">
        <v>262</v>
      </c>
      <c r="BI358" s="53" t="s">
        <v>264</v>
      </c>
      <c r="BJ358" s="53" t="s">
        <v>264</v>
      </c>
      <c r="BK358" s="53" t="s">
        <v>264</v>
      </c>
      <c r="BL358" s="53">
        <v>2000</v>
      </c>
      <c r="BM358" s="53" t="s">
        <v>264</v>
      </c>
      <c r="BN358" s="53">
        <v>1000</v>
      </c>
      <c r="BO358" s="53" t="s">
        <v>264</v>
      </c>
      <c r="BP358" s="53">
        <v>1500</v>
      </c>
      <c r="BQ358" s="53" t="s">
        <v>264</v>
      </c>
      <c r="BR358" s="53">
        <v>25</v>
      </c>
      <c r="BS358" s="53" t="s">
        <v>264</v>
      </c>
      <c r="BT358" s="53">
        <v>7500</v>
      </c>
      <c r="BU358" s="53" t="s">
        <v>262</v>
      </c>
      <c r="BV358" s="53">
        <v>400</v>
      </c>
      <c r="BW358" s="53">
        <v>25</v>
      </c>
      <c r="BX358" s="53">
        <v>2000</v>
      </c>
      <c r="BY358" s="53" t="s">
        <v>262</v>
      </c>
      <c r="BZ358" s="53">
        <v>800</v>
      </c>
      <c r="CA358" s="53">
        <v>25</v>
      </c>
      <c r="CB358" s="53">
        <v>25</v>
      </c>
      <c r="CC358" s="53" t="s">
        <v>264</v>
      </c>
      <c r="CD358" s="53">
        <v>25</v>
      </c>
      <c r="CE358" s="53">
        <v>3500</v>
      </c>
      <c r="CF358" s="53">
        <v>25</v>
      </c>
      <c r="CG358" s="53" t="s">
        <v>264</v>
      </c>
      <c r="CH358" s="53">
        <v>25</v>
      </c>
      <c r="CI358" s="53" t="s">
        <v>264</v>
      </c>
      <c r="CJ358" s="53">
        <v>75</v>
      </c>
      <c r="CK358" s="53" t="s">
        <v>264</v>
      </c>
      <c r="CL358" s="53" t="s">
        <v>264</v>
      </c>
      <c r="CM358" s="53">
        <v>400</v>
      </c>
      <c r="CN358" s="206"/>
      <c r="CO358" s="206"/>
      <c r="CP358" s="206"/>
      <c r="CQ358" s="8">
        <f t="shared" si="189"/>
        <v>1</v>
      </c>
      <c r="CR358" s="8">
        <f t="shared" si="190"/>
        <v>7500</v>
      </c>
      <c r="CS358" s="8">
        <f t="shared" si="191"/>
        <v>592.36363636363637</v>
      </c>
      <c r="CT358">
        <f t="shared" si="192"/>
        <v>31.744210698446413</v>
      </c>
      <c r="CU358" s="143">
        <f t="shared" si="193"/>
        <v>1</v>
      </c>
      <c r="CV358" s="143">
        <f t="shared" si="194"/>
        <v>1.6666666666666667</v>
      </c>
      <c r="CX358" s="7">
        <f t="shared" si="195"/>
        <v>1</v>
      </c>
      <c r="CY358" s="7">
        <f t="shared" si="196"/>
        <v>1</v>
      </c>
      <c r="CZ358" s="7">
        <f t="shared" si="197"/>
        <v>2.8000000000000007</v>
      </c>
      <c r="DA358" s="7">
        <f t="shared" si="198"/>
        <v>4</v>
      </c>
      <c r="DB358" s="7">
        <f t="shared" si="199"/>
        <v>25</v>
      </c>
      <c r="DC358" s="7">
        <f t="shared" si="200"/>
        <v>25</v>
      </c>
      <c r="DD358" s="7">
        <f t="shared" si="201"/>
        <v>54.600000000000023</v>
      </c>
      <c r="DE358" s="7">
        <f t="shared" si="202"/>
        <v>400</v>
      </c>
      <c r="DF358" s="7">
        <f t="shared" si="203"/>
        <v>1099.9999999999995</v>
      </c>
      <c r="DH358" s="7">
        <f t="shared" si="204"/>
        <v>1</v>
      </c>
      <c r="DI358" s="7">
        <f t="shared" si="205"/>
        <v>1</v>
      </c>
      <c r="DJ358" s="7">
        <f t="shared" si="206"/>
        <v>1</v>
      </c>
      <c r="DK358" s="7">
        <f t="shared" si="207"/>
        <v>1</v>
      </c>
      <c r="DL358" s="7">
        <f t="shared" si="208"/>
        <v>4</v>
      </c>
      <c r="DM358" s="7">
        <f t="shared" si="209"/>
        <v>4</v>
      </c>
      <c r="DN358" s="7">
        <f t="shared" si="210"/>
        <v>4</v>
      </c>
      <c r="DO358" s="7">
        <f t="shared" si="211"/>
        <v>7.75</v>
      </c>
      <c r="DP358" s="7">
        <f t="shared" si="212"/>
        <v>21.25</v>
      </c>
      <c r="EB358" s="7">
        <f t="shared" si="218"/>
        <v>25</v>
      </c>
      <c r="EC358" s="7">
        <f t="shared" si="219"/>
        <v>1125</v>
      </c>
      <c r="ED358" s="227" t="s">
        <v>680</v>
      </c>
    </row>
    <row r="359" spans="1:134" ht="25.5" hidden="1" customHeight="1" x14ac:dyDescent="0.25">
      <c r="A359" s="92" t="str">
        <f t="shared" si="213"/>
        <v>SK-WVI [R10]</v>
      </c>
      <c r="B359" s="92" t="str">
        <f t="shared" si="214"/>
        <v>West Vancouver Island</v>
      </c>
      <c r="C359" s="93" t="str">
        <f t="shared" si="186"/>
        <v>CONUMA RIVER_Sockeye</v>
      </c>
      <c r="D359" s="128" t="s">
        <v>598</v>
      </c>
      <c r="E359" s="128" t="s">
        <v>598</v>
      </c>
      <c r="F359" s="64">
        <v>25</v>
      </c>
      <c r="G359" s="72" t="s">
        <v>224</v>
      </c>
      <c r="H359" s="65" t="s">
        <v>91</v>
      </c>
      <c r="I359" s="119"/>
      <c r="J359" s="119"/>
      <c r="K359" s="64">
        <v>1</v>
      </c>
      <c r="L359" s="52">
        <v>10</v>
      </c>
      <c r="M359" s="52">
        <v>10</v>
      </c>
      <c r="N359" s="52">
        <f t="shared" si="215"/>
        <v>162.2905419576573</v>
      </c>
      <c r="O359" s="52">
        <f t="shared" si="216"/>
        <v>1000</v>
      </c>
      <c r="P359" s="52">
        <f t="shared" si="217"/>
        <v>172.27971688367518</v>
      </c>
      <c r="Q359" s="66" t="s">
        <v>272</v>
      </c>
      <c r="R359" s="37"/>
      <c r="S359" s="74" t="s">
        <v>11</v>
      </c>
      <c r="T359" s="81">
        <f t="shared" si="187"/>
        <v>78.75</v>
      </c>
      <c r="U359" s="81">
        <f t="shared" si="188"/>
        <v>176.81818181818181</v>
      </c>
      <c r="V359" s="228">
        <v>123</v>
      </c>
      <c r="W359" s="52">
        <v>120</v>
      </c>
      <c r="X359" s="52">
        <v>63</v>
      </c>
      <c r="Y359" s="52">
        <v>9</v>
      </c>
      <c r="Z359" s="52">
        <v>32</v>
      </c>
      <c r="AA359" s="52">
        <v>123</v>
      </c>
      <c r="AB359" s="52">
        <v>67</v>
      </c>
      <c r="AC359" s="52">
        <v>74</v>
      </c>
      <c r="AD359" s="52">
        <v>83</v>
      </c>
      <c r="AE359" s="144">
        <v>306</v>
      </c>
      <c r="AF359" s="52" t="s">
        <v>263</v>
      </c>
      <c r="AG359" s="144">
        <v>945</v>
      </c>
      <c r="AH359" s="53">
        <v>83</v>
      </c>
      <c r="AI359" s="53">
        <v>140</v>
      </c>
      <c r="AJ359" s="53">
        <v>29</v>
      </c>
      <c r="AK359" s="53">
        <v>90</v>
      </c>
      <c r="AL359" s="89">
        <v>20</v>
      </c>
      <c r="AM359" s="52">
        <v>62</v>
      </c>
      <c r="AN359" s="54"/>
      <c r="AO359" s="53">
        <v>57</v>
      </c>
      <c r="AP359" s="53">
        <v>174</v>
      </c>
      <c r="AQ359" s="53">
        <v>517</v>
      </c>
      <c r="AR359" s="53">
        <v>400</v>
      </c>
      <c r="AS359" s="52">
        <v>832</v>
      </c>
      <c r="AT359" s="52">
        <v>546</v>
      </c>
      <c r="AU359" s="52">
        <v>962</v>
      </c>
      <c r="AV359" s="52">
        <v>116</v>
      </c>
      <c r="AW359" s="52">
        <v>161</v>
      </c>
      <c r="AX359" s="51" t="s">
        <v>264</v>
      </c>
      <c r="AY359" s="53">
        <v>200</v>
      </c>
      <c r="AZ359" s="53">
        <v>100</v>
      </c>
      <c r="BA359" s="53">
        <v>90</v>
      </c>
      <c r="BB359" s="53" t="s">
        <v>264</v>
      </c>
      <c r="BC359" s="53" t="s">
        <v>262</v>
      </c>
      <c r="BD359" s="53">
        <v>600</v>
      </c>
      <c r="BE359" s="53" t="s">
        <v>264</v>
      </c>
      <c r="BF359" s="53">
        <v>200</v>
      </c>
      <c r="BG359" s="53">
        <v>500</v>
      </c>
      <c r="BH359" s="53" t="s">
        <v>262</v>
      </c>
      <c r="BI359" s="53">
        <v>200</v>
      </c>
      <c r="BJ359" s="53">
        <v>500</v>
      </c>
      <c r="BK359" s="53">
        <v>550</v>
      </c>
      <c r="BL359" s="53">
        <v>1000</v>
      </c>
      <c r="BM359" s="53">
        <v>36</v>
      </c>
      <c r="BN359" s="53">
        <v>400</v>
      </c>
      <c r="BO359" s="53">
        <v>75</v>
      </c>
      <c r="BP359" s="53">
        <v>750</v>
      </c>
      <c r="BQ359" s="53">
        <v>75</v>
      </c>
      <c r="BR359" s="53">
        <v>25</v>
      </c>
      <c r="BS359" s="53" t="s">
        <v>264</v>
      </c>
      <c r="BT359" s="53" t="s">
        <v>264</v>
      </c>
      <c r="BU359" s="53" t="s">
        <v>264</v>
      </c>
      <c r="BV359" s="53" t="s">
        <v>264</v>
      </c>
      <c r="BW359" s="53" t="s">
        <v>264</v>
      </c>
      <c r="BX359" s="53" t="s">
        <v>264</v>
      </c>
      <c r="BY359" s="53" t="s">
        <v>264</v>
      </c>
      <c r="BZ359" s="53" t="s">
        <v>264</v>
      </c>
      <c r="CA359" s="53" t="s">
        <v>264</v>
      </c>
      <c r="CB359" s="53" t="s">
        <v>264</v>
      </c>
      <c r="CC359" s="53" t="s">
        <v>264</v>
      </c>
      <c r="CD359" s="53" t="s">
        <v>264</v>
      </c>
      <c r="CE359" s="53" t="s">
        <v>264</v>
      </c>
      <c r="CF359" s="53" t="s">
        <v>264</v>
      </c>
      <c r="CG359" s="53" t="s">
        <v>262</v>
      </c>
      <c r="CH359" s="53" t="s">
        <v>264</v>
      </c>
      <c r="CI359" s="53">
        <v>25</v>
      </c>
      <c r="CJ359" s="53" t="s">
        <v>264</v>
      </c>
      <c r="CK359" s="53" t="s">
        <v>264</v>
      </c>
      <c r="CL359" s="53" t="s">
        <v>264</v>
      </c>
      <c r="CM359" s="53" t="s">
        <v>264</v>
      </c>
      <c r="CN359" s="206"/>
      <c r="CO359" s="206"/>
      <c r="CP359" s="206"/>
      <c r="CQ359" s="8">
        <f t="shared" si="189"/>
        <v>9</v>
      </c>
      <c r="CR359" s="8">
        <f t="shared" si="190"/>
        <v>1000</v>
      </c>
      <c r="CS359" s="8">
        <f t="shared" si="191"/>
        <v>266.51162790697674</v>
      </c>
      <c r="CT359">
        <f t="shared" si="192"/>
        <v>143.50661794460547</v>
      </c>
      <c r="CU359" s="143">
        <f t="shared" si="193"/>
        <v>69.400000000000006</v>
      </c>
      <c r="CV359" s="143">
        <f t="shared" si="194"/>
        <v>176.81818181818181</v>
      </c>
      <c r="CX359" s="7">
        <f t="shared" si="195"/>
        <v>25</v>
      </c>
      <c r="CY359" s="7">
        <f t="shared" si="196"/>
        <v>42.3</v>
      </c>
      <c r="CZ359" s="7">
        <f t="shared" si="197"/>
        <v>62.4</v>
      </c>
      <c r="DA359" s="7">
        <f t="shared" si="198"/>
        <v>70.5</v>
      </c>
      <c r="DB359" s="7">
        <f t="shared" si="199"/>
        <v>123</v>
      </c>
      <c r="DC359" s="7">
        <f t="shared" si="200"/>
        <v>179.2</v>
      </c>
      <c r="DD359" s="7">
        <f t="shared" si="201"/>
        <v>200</v>
      </c>
      <c r="DE359" s="7">
        <f t="shared" si="202"/>
        <v>450</v>
      </c>
      <c r="DF359" s="7">
        <f t="shared" si="203"/>
        <v>548.79999999999995</v>
      </c>
      <c r="DH359" s="7">
        <f t="shared" si="204"/>
        <v>22.25</v>
      </c>
      <c r="DI359" s="7">
        <f t="shared" si="205"/>
        <v>50.75</v>
      </c>
      <c r="DJ359" s="7">
        <f t="shared" si="206"/>
        <v>62</v>
      </c>
      <c r="DK359" s="7">
        <f t="shared" si="207"/>
        <v>64</v>
      </c>
      <c r="DL359" s="7">
        <f t="shared" si="208"/>
        <v>118</v>
      </c>
      <c r="DM359" s="7">
        <f t="shared" si="209"/>
        <v>123</v>
      </c>
      <c r="DN359" s="7">
        <f t="shared" si="210"/>
        <v>145.25</v>
      </c>
      <c r="DO359" s="7">
        <f t="shared" si="211"/>
        <v>273</v>
      </c>
      <c r="DP359" s="7">
        <f t="shared" si="212"/>
        <v>524.25</v>
      </c>
      <c r="EB359" s="7">
        <f t="shared" si="218"/>
        <v>30.5</v>
      </c>
      <c r="EC359" s="7">
        <f t="shared" si="219"/>
        <v>237.5</v>
      </c>
      <c r="ED359" s="227" t="s">
        <v>680</v>
      </c>
    </row>
    <row r="360" spans="1:134" ht="25.5" hidden="1" customHeight="1" x14ac:dyDescent="0.25">
      <c r="A360" s="92" t="str">
        <f t="shared" si="213"/>
        <v>CM-SWVI [10]</v>
      </c>
      <c r="B360" s="92" t="str">
        <f t="shared" si="214"/>
        <v>Southwest Vancouver Island</v>
      </c>
      <c r="C360" s="93" t="str">
        <f t="shared" si="186"/>
        <v>COUGAR CREEK_Chum</v>
      </c>
      <c r="D360" s="128" t="s">
        <v>598</v>
      </c>
      <c r="E360" s="128" t="s">
        <v>598</v>
      </c>
      <c r="F360" s="64">
        <v>25</v>
      </c>
      <c r="G360" s="72" t="s">
        <v>222</v>
      </c>
      <c r="H360" s="65" t="s">
        <v>96</v>
      </c>
      <c r="I360" s="119"/>
      <c r="J360" s="119"/>
      <c r="K360" s="64">
        <v>5</v>
      </c>
      <c r="L360" s="52">
        <v>5</v>
      </c>
      <c r="M360" s="52">
        <v>4</v>
      </c>
      <c r="N360" s="52">
        <f t="shared" si="215"/>
        <v>129.50100320556757</v>
      </c>
      <c r="O360" s="52">
        <f t="shared" si="216"/>
        <v>13000</v>
      </c>
      <c r="P360" s="52">
        <f t="shared" si="217"/>
        <v>325.54211198730485</v>
      </c>
      <c r="Q360" s="66"/>
      <c r="R360" s="37"/>
      <c r="S360" s="76" t="s">
        <v>447</v>
      </c>
      <c r="T360" s="81" t="e">
        <f t="shared" si="187"/>
        <v>#DIV/0!</v>
      </c>
      <c r="U360" s="81">
        <f t="shared" si="188"/>
        <v>62</v>
      </c>
      <c r="V360" s="52" t="s">
        <v>102</v>
      </c>
      <c r="W360" s="52" t="s">
        <v>102</v>
      </c>
      <c r="X360" s="52" t="s">
        <v>102</v>
      </c>
      <c r="Y360" s="52" t="s">
        <v>102</v>
      </c>
      <c r="Z360" s="52" t="s">
        <v>102</v>
      </c>
      <c r="AA360" s="52" t="s">
        <v>102</v>
      </c>
      <c r="AB360" s="52" t="s">
        <v>102</v>
      </c>
      <c r="AC360" s="52" t="s">
        <v>102</v>
      </c>
      <c r="AD360" s="52" t="s">
        <v>102</v>
      </c>
      <c r="AE360" s="52" t="s">
        <v>102</v>
      </c>
      <c r="AF360" s="52" t="s">
        <v>102</v>
      </c>
      <c r="AG360" s="144">
        <v>62</v>
      </c>
      <c r="AH360" s="52" t="s">
        <v>102</v>
      </c>
      <c r="AI360" s="52" t="s">
        <v>102</v>
      </c>
      <c r="AJ360" s="52" t="s">
        <v>102</v>
      </c>
      <c r="AK360" s="52" t="s">
        <v>102</v>
      </c>
      <c r="AL360" s="52" t="s">
        <v>102</v>
      </c>
      <c r="AM360" s="52" t="s">
        <v>102</v>
      </c>
      <c r="AN360" s="52" t="s">
        <v>102</v>
      </c>
      <c r="AO360" s="52" t="s">
        <v>102</v>
      </c>
      <c r="AP360" s="53" t="s">
        <v>262</v>
      </c>
      <c r="AQ360" s="52" t="s">
        <v>102</v>
      </c>
      <c r="AR360" s="53">
        <v>50</v>
      </c>
      <c r="AS360" s="52" t="s">
        <v>102</v>
      </c>
      <c r="AT360" s="52">
        <v>1500</v>
      </c>
      <c r="AU360" s="52">
        <v>50</v>
      </c>
      <c r="AV360" s="52">
        <v>75</v>
      </c>
      <c r="AW360" s="52" t="s">
        <v>102</v>
      </c>
      <c r="AX360" s="51">
        <v>13000</v>
      </c>
      <c r="AY360" s="53" t="s">
        <v>102</v>
      </c>
      <c r="AZ360" s="53" t="s">
        <v>102</v>
      </c>
      <c r="BA360" s="53" t="s">
        <v>102</v>
      </c>
      <c r="BB360" s="53" t="s">
        <v>102</v>
      </c>
      <c r="BC360" s="53" t="s">
        <v>102</v>
      </c>
      <c r="BD360" s="53" t="s">
        <v>102</v>
      </c>
      <c r="BE360" s="53" t="s">
        <v>102</v>
      </c>
      <c r="BF360" s="53" t="s">
        <v>102</v>
      </c>
      <c r="BG360" s="53" t="s">
        <v>102</v>
      </c>
      <c r="BH360" s="53" t="s">
        <v>102</v>
      </c>
      <c r="BI360" s="53" t="s">
        <v>102</v>
      </c>
      <c r="BJ360" s="53" t="s">
        <v>102</v>
      </c>
      <c r="BK360" s="53" t="s">
        <v>102</v>
      </c>
      <c r="BL360" s="53" t="s">
        <v>102</v>
      </c>
      <c r="BM360" s="53" t="s">
        <v>102</v>
      </c>
      <c r="BN360" s="53" t="s">
        <v>102</v>
      </c>
      <c r="BO360" s="53" t="s">
        <v>102</v>
      </c>
      <c r="BP360" s="53" t="s">
        <v>102</v>
      </c>
      <c r="BQ360" s="53" t="s">
        <v>102</v>
      </c>
      <c r="BR360" s="53" t="s">
        <v>102</v>
      </c>
      <c r="BS360" s="53" t="s">
        <v>102</v>
      </c>
      <c r="BT360" s="53" t="s">
        <v>102</v>
      </c>
      <c r="BU360" s="53" t="s">
        <v>102</v>
      </c>
      <c r="BV360" s="53" t="s">
        <v>102</v>
      </c>
      <c r="BW360" s="53" t="s">
        <v>102</v>
      </c>
      <c r="BX360" s="53" t="s">
        <v>102</v>
      </c>
      <c r="BY360" s="53" t="s">
        <v>102</v>
      </c>
      <c r="BZ360" s="53" t="s">
        <v>102</v>
      </c>
      <c r="CA360" s="53" t="s">
        <v>102</v>
      </c>
      <c r="CB360" s="53" t="s">
        <v>102</v>
      </c>
      <c r="CC360" s="53" t="s">
        <v>102</v>
      </c>
      <c r="CD360" s="53" t="s">
        <v>102</v>
      </c>
      <c r="CE360" s="53" t="s">
        <v>102</v>
      </c>
      <c r="CF360" s="53" t="s">
        <v>102</v>
      </c>
      <c r="CG360" s="53" t="s">
        <v>102</v>
      </c>
      <c r="CH360" s="53" t="s">
        <v>102</v>
      </c>
      <c r="CI360" s="53" t="s">
        <v>102</v>
      </c>
      <c r="CJ360" s="53" t="s">
        <v>102</v>
      </c>
      <c r="CK360" s="53" t="s">
        <v>102</v>
      </c>
      <c r="CL360" s="53" t="s">
        <v>102</v>
      </c>
      <c r="CM360" s="53" t="s">
        <v>102</v>
      </c>
      <c r="CN360" s="206"/>
      <c r="CO360" s="206"/>
      <c r="CP360" s="206"/>
      <c r="CQ360" s="8">
        <f t="shared" si="189"/>
        <v>50</v>
      </c>
      <c r="CR360" s="8">
        <f t="shared" si="190"/>
        <v>13000</v>
      </c>
      <c r="CS360" s="8">
        <f t="shared" si="191"/>
        <v>2456.1666666666665</v>
      </c>
      <c r="CT360">
        <f t="shared" si="192"/>
        <v>246.92852497034269</v>
      </c>
      <c r="CU360" s="143" t="e">
        <f t="shared" si="193"/>
        <v>#DIV/0!</v>
      </c>
      <c r="CV360" s="143">
        <f t="shared" si="194"/>
        <v>62</v>
      </c>
      <c r="CX360" s="7">
        <f t="shared" si="195"/>
        <v>50</v>
      </c>
      <c r="CY360" s="7">
        <f t="shared" si="196"/>
        <v>50</v>
      </c>
      <c r="CZ360" s="7">
        <f t="shared" si="197"/>
        <v>50</v>
      </c>
      <c r="DA360" s="7">
        <f t="shared" si="198"/>
        <v>53</v>
      </c>
      <c r="DB360" s="7">
        <f t="shared" si="199"/>
        <v>68.5</v>
      </c>
      <c r="DC360" s="7">
        <f t="shared" si="200"/>
        <v>75</v>
      </c>
      <c r="DD360" s="7">
        <f t="shared" si="201"/>
        <v>431.25</v>
      </c>
      <c r="DE360" s="7">
        <f t="shared" si="202"/>
        <v>1143.75</v>
      </c>
      <c r="DF360" s="7">
        <f t="shared" si="203"/>
        <v>4375</v>
      </c>
      <c r="DH360" s="7">
        <f t="shared" si="204"/>
        <v>50</v>
      </c>
      <c r="DI360" s="7">
        <f t="shared" si="205"/>
        <v>50</v>
      </c>
      <c r="DJ360" s="7">
        <f t="shared" si="206"/>
        <v>50</v>
      </c>
      <c r="DK360" s="7">
        <f t="shared" si="207"/>
        <v>50</v>
      </c>
      <c r="DL360" s="7">
        <f t="shared" si="208"/>
        <v>62</v>
      </c>
      <c r="DM360" s="7">
        <f t="shared" si="209"/>
        <v>67.2</v>
      </c>
      <c r="DN360" s="7">
        <f t="shared" si="210"/>
        <v>69.8</v>
      </c>
      <c r="DO360" s="7">
        <f t="shared" si="211"/>
        <v>75</v>
      </c>
      <c r="DP360" s="7">
        <f t="shared" si="212"/>
        <v>645.00000000000045</v>
      </c>
    </row>
    <row r="361" spans="1:134" ht="25.5" hidden="1" customHeight="1" x14ac:dyDescent="0.25">
      <c r="A361" s="92" t="str">
        <f t="shared" si="213"/>
        <v>CO-WVI [17]</v>
      </c>
      <c r="B361" s="92" t="str">
        <f t="shared" si="214"/>
        <v>West Vancouver Island</v>
      </c>
      <c r="C361" s="93" t="str">
        <f t="shared" si="186"/>
        <v>COUGAR CREEK_Coho</v>
      </c>
      <c r="D361" s="128" t="s">
        <v>598</v>
      </c>
      <c r="E361" s="128" t="s">
        <v>598</v>
      </c>
      <c r="F361" s="64">
        <v>25</v>
      </c>
      <c r="G361" s="72" t="s">
        <v>222</v>
      </c>
      <c r="H361" s="65" t="s">
        <v>93</v>
      </c>
      <c r="I361" s="119"/>
      <c r="J361" s="119"/>
      <c r="K361" s="64">
        <v>5</v>
      </c>
      <c r="L361" s="52">
        <v>5</v>
      </c>
      <c r="M361" s="52">
        <v>1</v>
      </c>
      <c r="N361" s="52">
        <f t="shared" si="215"/>
        <v>7</v>
      </c>
      <c r="O361" s="52">
        <f t="shared" si="216"/>
        <v>200</v>
      </c>
      <c r="P361" s="52">
        <f t="shared" si="217"/>
        <v>37.416573867739416</v>
      </c>
      <c r="Q361" s="66"/>
      <c r="R361" s="37"/>
      <c r="S361" s="76" t="s">
        <v>447</v>
      </c>
      <c r="T361" s="81" t="e">
        <f t="shared" si="187"/>
        <v>#DIV/0!</v>
      </c>
      <c r="U361" s="81" t="e">
        <f t="shared" si="188"/>
        <v>#DIV/0!</v>
      </c>
      <c r="V361" s="52" t="s">
        <v>102</v>
      </c>
      <c r="W361" s="52" t="s">
        <v>102</v>
      </c>
      <c r="X361" s="52" t="s">
        <v>102</v>
      </c>
      <c r="Y361" s="52" t="s">
        <v>102</v>
      </c>
      <c r="Z361" s="52" t="s">
        <v>102</v>
      </c>
      <c r="AA361" s="52" t="s">
        <v>102</v>
      </c>
      <c r="AB361" s="52" t="s">
        <v>102</v>
      </c>
      <c r="AC361" s="52" t="s">
        <v>102</v>
      </c>
      <c r="AD361" s="52" t="s">
        <v>102</v>
      </c>
      <c r="AE361" s="52" t="s">
        <v>102</v>
      </c>
      <c r="AF361" s="52" t="s">
        <v>102</v>
      </c>
      <c r="AG361" s="52" t="s">
        <v>262</v>
      </c>
      <c r="AH361" s="52" t="s">
        <v>102</v>
      </c>
      <c r="AI361" s="52" t="s">
        <v>102</v>
      </c>
      <c r="AJ361" s="52" t="s">
        <v>102</v>
      </c>
      <c r="AK361" s="52" t="s">
        <v>102</v>
      </c>
      <c r="AL361" s="52" t="s">
        <v>102</v>
      </c>
      <c r="AM361" s="52" t="s">
        <v>102</v>
      </c>
      <c r="AN361" s="52" t="s">
        <v>102</v>
      </c>
      <c r="AO361" s="52" t="s">
        <v>102</v>
      </c>
      <c r="AP361" s="53" t="s">
        <v>262</v>
      </c>
      <c r="AQ361" s="52" t="s">
        <v>102</v>
      </c>
      <c r="AR361" s="53">
        <v>7</v>
      </c>
      <c r="AS361" s="52" t="s">
        <v>102</v>
      </c>
      <c r="AT361" s="52" t="s">
        <v>262</v>
      </c>
      <c r="AU361" s="52" t="s">
        <v>262</v>
      </c>
      <c r="AV361" s="52" t="s">
        <v>262</v>
      </c>
      <c r="AW361" s="52" t="s">
        <v>102</v>
      </c>
      <c r="AX361" s="51">
        <v>200</v>
      </c>
      <c r="AY361" s="53" t="s">
        <v>102</v>
      </c>
      <c r="AZ361" s="53" t="s">
        <v>102</v>
      </c>
      <c r="BA361" s="53" t="s">
        <v>102</v>
      </c>
      <c r="BB361" s="53" t="s">
        <v>102</v>
      </c>
      <c r="BC361" s="53" t="s">
        <v>102</v>
      </c>
      <c r="BD361" s="53" t="s">
        <v>102</v>
      </c>
      <c r="BE361" s="53" t="s">
        <v>102</v>
      </c>
      <c r="BF361" s="53" t="s">
        <v>102</v>
      </c>
      <c r="BG361" s="53" t="s">
        <v>102</v>
      </c>
      <c r="BH361" s="53" t="s">
        <v>102</v>
      </c>
      <c r="BI361" s="53" t="s">
        <v>102</v>
      </c>
      <c r="BJ361" s="53" t="s">
        <v>102</v>
      </c>
      <c r="BK361" s="53" t="s">
        <v>102</v>
      </c>
      <c r="BL361" s="53" t="s">
        <v>102</v>
      </c>
      <c r="BM361" s="53" t="s">
        <v>102</v>
      </c>
      <c r="BN361" s="53" t="s">
        <v>102</v>
      </c>
      <c r="BO361" s="53" t="s">
        <v>102</v>
      </c>
      <c r="BP361" s="53" t="s">
        <v>102</v>
      </c>
      <c r="BQ361" s="53" t="s">
        <v>102</v>
      </c>
      <c r="BR361" s="53" t="s">
        <v>102</v>
      </c>
      <c r="BS361" s="53" t="s">
        <v>102</v>
      </c>
      <c r="BT361" s="53" t="s">
        <v>102</v>
      </c>
      <c r="BU361" s="53" t="s">
        <v>102</v>
      </c>
      <c r="BV361" s="53" t="s">
        <v>102</v>
      </c>
      <c r="BW361" s="53" t="s">
        <v>102</v>
      </c>
      <c r="BX361" s="53" t="s">
        <v>102</v>
      </c>
      <c r="BY361" s="53" t="s">
        <v>102</v>
      </c>
      <c r="BZ361" s="53" t="s">
        <v>102</v>
      </c>
      <c r="CA361" s="53" t="s">
        <v>102</v>
      </c>
      <c r="CB361" s="53" t="s">
        <v>102</v>
      </c>
      <c r="CC361" s="53" t="s">
        <v>102</v>
      </c>
      <c r="CD361" s="53" t="s">
        <v>102</v>
      </c>
      <c r="CE361" s="53" t="s">
        <v>102</v>
      </c>
      <c r="CF361" s="53" t="s">
        <v>102</v>
      </c>
      <c r="CG361" s="53" t="s">
        <v>102</v>
      </c>
      <c r="CH361" s="53" t="s">
        <v>102</v>
      </c>
      <c r="CI361" s="53" t="s">
        <v>102</v>
      </c>
      <c r="CJ361" s="53" t="s">
        <v>102</v>
      </c>
      <c r="CK361" s="53" t="s">
        <v>102</v>
      </c>
      <c r="CL361" s="53" t="s">
        <v>102</v>
      </c>
      <c r="CM361" s="53" t="s">
        <v>102</v>
      </c>
      <c r="CN361" s="206"/>
      <c r="CO361" s="206"/>
      <c r="CP361" s="206"/>
      <c r="CQ361" s="8">
        <f t="shared" si="189"/>
        <v>7</v>
      </c>
      <c r="CR361" s="8">
        <f t="shared" si="190"/>
        <v>200</v>
      </c>
      <c r="CS361" s="8">
        <f t="shared" si="191"/>
        <v>103.5</v>
      </c>
      <c r="CT361">
        <f t="shared" si="192"/>
        <v>37.416573867739416</v>
      </c>
      <c r="CU361" s="143" t="e">
        <f t="shared" si="193"/>
        <v>#DIV/0!</v>
      </c>
      <c r="CV361" s="143" t="e">
        <f t="shared" si="194"/>
        <v>#DIV/0!</v>
      </c>
      <c r="CX361" s="7">
        <f t="shared" si="195"/>
        <v>16.650000000000009</v>
      </c>
      <c r="CY361" s="7">
        <f t="shared" si="196"/>
        <v>35.949999999999982</v>
      </c>
      <c r="CZ361" s="7">
        <f t="shared" si="197"/>
        <v>45.599999999999994</v>
      </c>
      <c r="DA361" s="7">
        <f t="shared" si="198"/>
        <v>55.25</v>
      </c>
      <c r="DB361" s="7">
        <f t="shared" si="199"/>
        <v>103.5</v>
      </c>
      <c r="DC361" s="7">
        <f t="shared" si="200"/>
        <v>122.80000000000001</v>
      </c>
      <c r="DD361" s="7">
        <f t="shared" si="201"/>
        <v>132.44999999999999</v>
      </c>
      <c r="DE361" s="7">
        <f t="shared" si="202"/>
        <v>151.75</v>
      </c>
      <c r="DF361" s="7">
        <f t="shared" si="203"/>
        <v>171.05</v>
      </c>
      <c r="DH361" s="7">
        <f t="shared" si="204"/>
        <v>7</v>
      </c>
      <c r="DI361" s="7">
        <f t="shared" si="205"/>
        <v>7</v>
      </c>
      <c r="DJ361" s="7">
        <f t="shared" si="206"/>
        <v>7</v>
      </c>
      <c r="DK361" s="7">
        <f t="shared" si="207"/>
        <v>7</v>
      </c>
      <c r="DL361" s="7">
        <f t="shared" si="208"/>
        <v>7</v>
      </c>
      <c r="DM361" s="7">
        <f t="shared" si="209"/>
        <v>7</v>
      </c>
      <c r="DN361" s="7">
        <f t="shared" si="210"/>
        <v>7</v>
      </c>
      <c r="DO361" s="7">
        <f t="shared" si="211"/>
        <v>7</v>
      </c>
      <c r="DP361" s="7">
        <f t="shared" si="212"/>
        <v>7</v>
      </c>
    </row>
    <row r="362" spans="1:134" ht="25.5" customHeight="1" x14ac:dyDescent="0.25">
      <c r="A362" s="92" t="str">
        <f t="shared" si="213"/>
        <v>CK-NoKy [32]</v>
      </c>
      <c r="B362" s="92" t="str">
        <f t="shared" si="214"/>
        <v>Nootka and Kyuquot</v>
      </c>
      <c r="C362" s="93" t="str">
        <f t="shared" si="186"/>
        <v>DESERTED CREEK_Chinook</v>
      </c>
      <c r="D362" s="128" t="s">
        <v>598</v>
      </c>
      <c r="E362" s="128" t="s">
        <v>598</v>
      </c>
      <c r="F362" s="64">
        <v>25</v>
      </c>
      <c r="G362" s="72" t="s">
        <v>227</v>
      </c>
      <c r="H362" s="65" t="s">
        <v>97</v>
      </c>
      <c r="I362" s="119"/>
      <c r="J362" s="119"/>
      <c r="K362" s="64">
        <v>4</v>
      </c>
      <c r="L362" s="52">
        <v>8</v>
      </c>
      <c r="M362" s="52">
        <v>3</v>
      </c>
      <c r="N362" s="52">
        <f t="shared" si="215"/>
        <v>1.8171205928321397</v>
      </c>
      <c r="O362" s="52">
        <f t="shared" si="216"/>
        <v>750</v>
      </c>
      <c r="P362" s="52">
        <f t="shared" si="217"/>
        <v>65.524323323836953</v>
      </c>
      <c r="Q362" s="66"/>
      <c r="R362" s="39"/>
      <c r="S362" s="74" t="s">
        <v>448</v>
      </c>
      <c r="T362" s="81" t="e">
        <f t="shared" si="187"/>
        <v>#DIV/0!</v>
      </c>
      <c r="U362" s="81" t="e">
        <f t="shared" si="188"/>
        <v>#DIV/0!</v>
      </c>
      <c r="V362" s="52" t="s">
        <v>102</v>
      </c>
      <c r="W362" s="52" t="s">
        <v>102</v>
      </c>
      <c r="X362" s="52" t="s">
        <v>102</v>
      </c>
      <c r="Y362" s="52" t="s">
        <v>102</v>
      </c>
      <c r="Z362" s="52" t="s">
        <v>102</v>
      </c>
      <c r="AA362" s="52" t="s">
        <v>102</v>
      </c>
      <c r="AB362" s="52" t="s">
        <v>102</v>
      </c>
      <c r="AC362" s="144" t="s">
        <v>102</v>
      </c>
      <c r="AD362" s="144" t="s">
        <v>102</v>
      </c>
      <c r="AE362" s="144" t="s">
        <v>262</v>
      </c>
      <c r="AF362" s="52" t="s">
        <v>262</v>
      </c>
      <c r="AG362" s="52" t="s">
        <v>262</v>
      </c>
      <c r="AH362" s="52" t="s">
        <v>262</v>
      </c>
      <c r="AI362" s="52" t="s">
        <v>262</v>
      </c>
      <c r="AJ362" s="52" t="s">
        <v>262</v>
      </c>
      <c r="AK362" s="52" t="s">
        <v>262</v>
      </c>
      <c r="AL362" s="89">
        <v>2</v>
      </c>
      <c r="AM362" s="52" t="s">
        <v>102</v>
      </c>
      <c r="AN362" s="52" t="s">
        <v>262</v>
      </c>
      <c r="AO362" s="53" t="s">
        <v>102</v>
      </c>
      <c r="AP362" s="53" t="s">
        <v>102</v>
      </c>
      <c r="AQ362" s="53">
        <v>3</v>
      </c>
      <c r="AR362" s="53" t="s">
        <v>262</v>
      </c>
      <c r="AS362" s="52" t="s">
        <v>262</v>
      </c>
      <c r="AT362" s="52">
        <v>1</v>
      </c>
      <c r="AU362" s="52" t="s">
        <v>262</v>
      </c>
      <c r="AV362" s="52" t="s">
        <v>262</v>
      </c>
      <c r="AW362" s="52" t="s">
        <v>262</v>
      </c>
      <c r="AX362" s="51" t="s">
        <v>264</v>
      </c>
      <c r="AY362" s="53" t="s">
        <v>262</v>
      </c>
      <c r="AZ362" s="53" t="s">
        <v>102</v>
      </c>
      <c r="BA362" s="53" t="s">
        <v>262</v>
      </c>
      <c r="BB362" s="53">
        <v>4</v>
      </c>
      <c r="BC362" s="53" t="s">
        <v>264</v>
      </c>
      <c r="BD362" s="53" t="s">
        <v>264</v>
      </c>
      <c r="BE362" s="53" t="s">
        <v>262</v>
      </c>
      <c r="BF362" s="53" t="s">
        <v>262</v>
      </c>
      <c r="BG362" s="53" t="s">
        <v>262</v>
      </c>
      <c r="BH362" s="53" t="s">
        <v>262</v>
      </c>
      <c r="BI362" s="53" t="s">
        <v>264</v>
      </c>
      <c r="BJ362" s="53">
        <v>50</v>
      </c>
      <c r="BK362" s="53" t="s">
        <v>264</v>
      </c>
      <c r="BL362" s="53">
        <v>25</v>
      </c>
      <c r="BM362" s="53">
        <v>25</v>
      </c>
      <c r="BN362" s="53">
        <v>200</v>
      </c>
      <c r="BO362" s="53">
        <v>300</v>
      </c>
      <c r="BP362" s="53" t="s">
        <v>102</v>
      </c>
      <c r="BQ362" s="53">
        <v>200</v>
      </c>
      <c r="BR362" s="53">
        <v>75</v>
      </c>
      <c r="BS362" s="53">
        <v>75</v>
      </c>
      <c r="BT362" s="53">
        <v>75</v>
      </c>
      <c r="BU362" s="53">
        <v>175</v>
      </c>
      <c r="BV362" s="53">
        <v>75</v>
      </c>
      <c r="BW362" s="53">
        <v>400</v>
      </c>
      <c r="BX362" s="53">
        <v>400</v>
      </c>
      <c r="BY362" s="53">
        <v>300</v>
      </c>
      <c r="BZ362" s="53">
        <v>350</v>
      </c>
      <c r="CA362" s="53">
        <v>200</v>
      </c>
      <c r="CB362" s="53">
        <v>750</v>
      </c>
      <c r="CC362" s="53">
        <v>300</v>
      </c>
      <c r="CD362" s="53">
        <v>750</v>
      </c>
      <c r="CE362" s="53">
        <v>25</v>
      </c>
      <c r="CF362" s="53">
        <v>25</v>
      </c>
      <c r="CG362" s="53">
        <v>25</v>
      </c>
      <c r="CH362" s="53">
        <v>25</v>
      </c>
      <c r="CI362" s="53" t="s">
        <v>264</v>
      </c>
      <c r="CJ362" s="53" t="s">
        <v>264</v>
      </c>
      <c r="CK362" s="53" t="s">
        <v>264</v>
      </c>
      <c r="CL362" s="53" t="s">
        <v>264</v>
      </c>
      <c r="CM362" s="53" t="s">
        <v>264</v>
      </c>
      <c r="CN362" s="206"/>
      <c r="CO362" s="206"/>
      <c r="CP362" s="206"/>
      <c r="CQ362" s="8">
        <f t="shared" si="189"/>
        <v>1</v>
      </c>
      <c r="CR362" s="8">
        <f t="shared" si="190"/>
        <v>750</v>
      </c>
      <c r="CS362" s="8">
        <f t="shared" si="191"/>
        <v>179.07407407407408</v>
      </c>
      <c r="CT362">
        <f t="shared" si="192"/>
        <v>65.524323323836953</v>
      </c>
      <c r="CU362" s="143" t="e">
        <f t="shared" si="193"/>
        <v>#DIV/0!</v>
      </c>
      <c r="CV362" s="143" t="e">
        <f t="shared" si="194"/>
        <v>#DIV/0!</v>
      </c>
      <c r="CX362" s="7">
        <f t="shared" si="195"/>
        <v>2.2999999999999998</v>
      </c>
      <c r="CY362" s="7">
        <f t="shared" si="196"/>
        <v>22.900000000000006</v>
      </c>
      <c r="CZ362" s="7">
        <f t="shared" si="197"/>
        <v>25</v>
      </c>
      <c r="DA362" s="7">
        <f t="shared" si="198"/>
        <v>25</v>
      </c>
      <c r="DB362" s="7">
        <f t="shared" si="199"/>
        <v>75</v>
      </c>
      <c r="DC362" s="7">
        <f t="shared" si="200"/>
        <v>190.00000000000003</v>
      </c>
      <c r="DD362" s="7">
        <f t="shared" si="201"/>
        <v>200</v>
      </c>
      <c r="DE362" s="7">
        <f t="shared" si="202"/>
        <v>300</v>
      </c>
      <c r="DF362" s="7">
        <f t="shared" si="203"/>
        <v>354.99999999999989</v>
      </c>
      <c r="DH362" s="7">
        <f t="shared" si="204"/>
        <v>1.1000000000000001</v>
      </c>
      <c r="DI362" s="7">
        <f t="shared" si="205"/>
        <v>1.3</v>
      </c>
      <c r="DJ362" s="7">
        <f t="shared" si="206"/>
        <v>1.4</v>
      </c>
      <c r="DK362" s="7">
        <f t="shared" si="207"/>
        <v>1.5</v>
      </c>
      <c r="DL362" s="7">
        <f t="shared" si="208"/>
        <v>2</v>
      </c>
      <c r="DM362" s="7">
        <f t="shared" si="209"/>
        <v>2.2000000000000002</v>
      </c>
      <c r="DN362" s="7">
        <f t="shared" si="210"/>
        <v>2.2999999999999998</v>
      </c>
      <c r="DO362" s="7">
        <f t="shared" si="211"/>
        <v>2.5</v>
      </c>
      <c r="DP362" s="7">
        <f t="shared" si="212"/>
        <v>2.7</v>
      </c>
    </row>
    <row r="363" spans="1:134" ht="25.5" hidden="1" customHeight="1" x14ac:dyDescent="0.25">
      <c r="A363" s="92" t="str">
        <f t="shared" si="213"/>
        <v>CM-SWVI [10]</v>
      </c>
      <c r="B363" s="92" t="str">
        <f t="shared" si="214"/>
        <v>Southwest Vancouver Island</v>
      </c>
      <c r="C363" s="93" t="str">
        <f t="shared" si="186"/>
        <v>DESERTED CREEK_Chum</v>
      </c>
      <c r="D363" s="128" t="s">
        <v>598</v>
      </c>
      <c r="E363" s="128" t="s">
        <v>598</v>
      </c>
      <c r="F363" s="64">
        <v>25</v>
      </c>
      <c r="G363" s="72" t="s">
        <v>227</v>
      </c>
      <c r="H363" s="65" t="s">
        <v>96</v>
      </c>
      <c r="I363" s="119"/>
      <c r="J363" s="119"/>
      <c r="K363" s="64">
        <v>4</v>
      </c>
      <c r="L363" s="52">
        <v>10</v>
      </c>
      <c r="M363" s="52">
        <v>10</v>
      </c>
      <c r="N363" s="52">
        <f t="shared" si="215"/>
        <v>3130.9882868017753</v>
      </c>
      <c r="O363" s="52">
        <f t="shared" si="216"/>
        <v>38000</v>
      </c>
      <c r="P363" s="52">
        <f t="shared" si="217"/>
        <v>5347.8459635246172</v>
      </c>
      <c r="Q363" s="66"/>
      <c r="R363" s="39"/>
      <c r="S363" s="74" t="s">
        <v>448</v>
      </c>
      <c r="T363" s="81" t="e">
        <f t="shared" si="187"/>
        <v>#DIV/0!</v>
      </c>
      <c r="U363" s="81">
        <f t="shared" si="188"/>
        <v>770.33333333333337</v>
      </c>
      <c r="V363" s="52" t="s">
        <v>102</v>
      </c>
      <c r="W363" s="52" t="s">
        <v>102</v>
      </c>
      <c r="X363" s="52" t="s">
        <v>102</v>
      </c>
      <c r="Y363" s="52" t="s">
        <v>102</v>
      </c>
      <c r="Z363" s="52" t="s">
        <v>102</v>
      </c>
      <c r="AA363" s="52" t="s">
        <v>102</v>
      </c>
      <c r="AB363" s="52" t="s">
        <v>102</v>
      </c>
      <c r="AC363" s="144" t="s">
        <v>102</v>
      </c>
      <c r="AD363" s="144" t="s">
        <v>102</v>
      </c>
      <c r="AE363" s="144">
        <v>1202</v>
      </c>
      <c r="AF363" s="52">
        <v>571</v>
      </c>
      <c r="AG363" s="144">
        <v>538</v>
      </c>
      <c r="AH363" s="52">
        <v>1730</v>
      </c>
      <c r="AI363" s="52">
        <v>3860</v>
      </c>
      <c r="AJ363" s="52">
        <v>801</v>
      </c>
      <c r="AK363" s="52">
        <v>74</v>
      </c>
      <c r="AL363" s="89">
        <v>3384</v>
      </c>
      <c r="AM363" s="52" t="s">
        <v>102</v>
      </c>
      <c r="AN363" s="52">
        <v>5400</v>
      </c>
      <c r="AO363" s="57">
        <v>20000</v>
      </c>
      <c r="AP363" s="53">
        <v>5023</v>
      </c>
      <c r="AQ363" s="53">
        <v>2404</v>
      </c>
      <c r="AR363" s="53">
        <v>1205</v>
      </c>
      <c r="AS363" s="52">
        <v>5770</v>
      </c>
      <c r="AT363" s="52">
        <v>17246</v>
      </c>
      <c r="AU363" s="52">
        <v>6682</v>
      </c>
      <c r="AV363" s="52">
        <v>4505</v>
      </c>
      <c r="AW363" s="52">
        <v>2943</v>
      </c>
      <c r="AX363" s="51">
        <v>12500</v>
      </c>
      <c r="AY363" s="53">
        <v>38000</v>
      </c>
      <c r="AZ363" s="53">
        <v>22000</v>
      </c>
      <c r="BA363" s="53">
        <v>20000</v>
      </c>
      <c r="BB363" s="53">
        <v>10600</v>
      </c>
      <c r="BC363" s="53">
        <v>20000</v>
      </c>
      <c r="BD363" s="53">
        <v>18000</v>
      </c>
      <c r="BE363" s="53">
        <v>5000</v>
      </c>
      <c r="BF363" s="53">
        <v>9000</v>
      </c>
      <c r="BG363" s="53">
        <v>12500</v>
      </c>
      <c r="BH363" s="53">
        <v>11987</v>
      </c>
      <c r="BI363" s="53">
        <v>18000</v>
      </c>
      <c r="BJ363" s="53">
        <v>19000</v>
      </c>
      <c r="BK363" s="53">
        <v>9000</v>
      </c>
      <c r="BL363" s="53">
        <v>20000</v>
      </c>
      <c r="BM363" s="53">
        <v>7000</v>
      </c>
      <c r="BN363" s="53">
        <v>9000</v>
      </c>
      <c r="BO363" s="53">
        <v>6000</v>
      </c>
      <c r="BP363" s="53" t="s">
        <v>102</v>
      </c>
      <c r="BQ363" s="53">
        <v>3500</v>
      </c>
      <c r="BR363" s="53">
        <v>3500</v>
      </c>
      <c r="BS363" s="53">
        <v>3500</v>
      </c>
      <c r="BT363" s="53">
        <v>3500</v>
      </c>
      <c r="BU363" s="53">
        <v>3500</v>
      </c>
      <c r="BV363" s="53">
        <v>3500</v>
      </c>
      <c r="BW363" s="53">
        <v>7500</v>
      </c>
      <c r="BX363" s="53">
        <v>3500</v>
      </c>
      <c r="BY363" s="53">
        <v>4000</v>
      </c>
      <c r="BZ363" s="53">
        <v>6500</v>
      </c>
      <c r="CA363" s="53">
        <v>3500</v>
      </c>
      <c r="CB363" s="53">
        <v>7500</v>
      </c>
      <c r="CC363" s="53">
        <v>6000</v>
      </c>
      <c r="CD363" s="53">
        <v>7500</v>
      </c>
      <c r="CE363" s="53">
        <v>750</v>
      </c>
      <c r="CF363" s="53">
        <v>15000</v>
      </c>
      <c r="CG363" s="53">
        <v>3500</v>
      </c>
      <c r="CH363" s="53">
        <v>3500</v>
      </c>
      <c r="CI363" s="53">
        <v>1500</v>
      </c>
      <c r="CJ363" s="53">
        <v>3500</v>
      </c>
      <c r="CK363" s="53">
        <v>750</v>
      </c>
      <c r="CL363" s="53">
        <v>1000</v>
      </c>
      <c r="CM363" s="53">
        <v>7500</v>
      </c>
      <c r="CN363" s="206"/>
      <c r="CO363" s="206"/>
      <c r="CP363" s="206"/>
      <c r="CQ363" s="8">
        <f t="shared" si="189"/>
        <v>74</v>
      </c>
      <c r="CR363" s="8">
        <f t="shared" si="190"/>
        <v>38000</v>
      </c>
      <c r="CS363" s="8">
        <f t="shared" si="191"/>
        <v>7710.593220338983</v>
      </c>
      <c r="CT363">
        <f t="shared" si="192"/>
        <v>4710.9895472622375</v>
      </c>
      <c r="CU363" s="143" t="e">
        <f t="shared" si="193"/>
        <v>#DIV/0!</v>
      </c>
      <c r="CV363" s="143">
        <f t="shared" si="194"/>
        <v>770.33333333333337</v>
      </c>
      <c r="CX363" s="7">
        <f t="shared" si="195"/>
        <v>732.1</v>
      </c>
      <c r="CY363" s="7">
        <f t="shared" si="196"/>
        <v>1411.4999999999998</v>
      </c>
      <c r="CZ363" s="7">
        <f t="shared" si="197"/>
        <v>2727.4000000000005</v>
      </c>
      <c r="DA363" s="7">
        <f t="shared" si="198"/>
        <v>3500</v>
      </c>
      <c r="DB363" s="7">
        <f t="shared" si="199"/>
        <v>5023</v>
      </c>
      <c r="DC363" s="7">
        <f t="shared" si="200"/>
        <v>6645.5999999999995</v>
      </c>
      <c r="DD363" s="7">
        <f t="shared" si="201"/>
        <v>7500</v>
      </c>
      <c r="DE363" s="7">
        <f t="shared" si="202"/>
        <v>9800</v>
      </c>
      <c r="DF363" s="7">
        <f t="shared" si="203"/>
        <v>17472.199999999997</v>
      </c>
      <c r="DH363" s="7">
        <f t="shared" si="204"/>
        <v>468.40000000000003</v>
      </c>
      <c r="DI363" s="7">
        <f t="shared" si="205"/>
        <v>697.5</v>
      </c>
      <c r="DJ363" s="7">
        <f t="shared" si="206"/>
        <v>961.40000000000009</v>
      </c>
      <c r="DK363" s="7">
        <f t="shared" si="207"/>
        <v>1202.75</v>
      </c>
      <c r="DL363" s="7">
        <f t="shared" si="208"/>
        <v>3163.5</v>
      </c>
      <c r="DM363" s="7">
        <f t="shared" si="209"/>
        <v>3988.9999999999995</v>
      </c>
      <c r="DN363" s="7">
        <f t="shared" si="210"/>
        <v>4530.9000000000005</v>
      </c>
      <c r="DO363" s="7">
        <f t="shared" si="211"/>
        <v>5305.75</v>
      </c>
      <c r="DP363" s="7">
        <f t="shared" si="212"/>
        <v>6180.4</v>
      </c>
    </row>
    <row r="364" spans="1:134" ht="25.5" hidden="1" customHeight="1" x14ac:dyDescent="0.25">
      <c r="A364" s="92" t="str">
        <f t="shared" si="213"/>
        <v>CO-WVI [17]</v>
      </c>
      <c r="B364" s="92" t="str">
        <f t="shared" si="214"/>
        <v>West Vancouver Island</v>
      </c>
      <c r="C364" s="93" t="str">
        <f t="shared" si="186"/>
        <v>DESERTED CREEK_Coho</v>
      </c>
      <c r="D364" s="128" t="s">
        <v>598</v>
      </c>
      <c r="E364" s="128" t="s">
        <v>598</v>
      </c>
      <c r="F364" s="64">
        <v>25</v>
      </c>
      <c r="G364" s="72" t="s">
        <v>227</v>
      </c>
      <c r="H364" s="65" t="s">
        <v>93</v>
      </c>
      <c r="I364" s="119"/>
      <c r="J364" s="119"/>
      <c r="K364" s="64">
        <v>4</v>
      </c>
      <c r="L364" s="52">
        <v>8</v>
      </c>
      <c r="M364" s="52">
        <v>6</v>
      </c>
      <c r="N364" s="52">
        <f t="shared" si="215"/>
        <v>25.516790645261771</v>
      </c>
      <c r="O364" s="52">
        <f t="shared" si="216"/>
        <v>750</v>
      </c>
      <c r="P364" s="52">
        <f t="shared" si="217"/>
        <v>83.949997494648116</v>
      </c>
      <c r="Q364" s="66"/>
      <c r="R364" s="39"/>
      <c r="S364" s="74" t="s">
        <v>448</v>
      </c>
      <c r="T364" s="81" t="e">
        <f t="shared" si="187"/>
        <v>#DIV/0!</v>
      </c>
      <c r="U364" s="81">
        <f t="shared" si="188"/>
        <v>6</v>
      </c>
      <c r="V364" s="52" t="s">
        <v>102</v>
      </c>
      <c r="W364" s="52" t="s">
        <v>102</v>
      </c>
      <c r="X364" s="52" t="s">
        <v>102</v>
      </c>
      <c r="Y364" s="52" t="s">
        <v>102</v>
      </c>
      <c r="Z364" s="52" t="s">
        <v>102</v>
      </c>
      <c r="AA364" s="52" t="s">
        <v>102</v>
      </c>
      <c r="AB364" s="52" t="s">
        <v>102</v>
      </c>
      <c r="AC364" s="144" t="s">
        <v>102</v>
      </c>
      <c r="AD364" s="144" t="s">
        <v>102</v>
      </c>
      <c r="AE364" s="144" t="s">
        <v>262</v>
      </c>
      <c r="AF364" s="52" t="s">
        <v>262</v>
      </c>
      <c r="AG364" s="144">
        <v>6</v>
      </c>
      <c r="AH364" s="52">
        <v>1</v>
      </c>
      <c r="AI364" s="52">
        <v>5</v>
      </c>
      <c r="AJ364" s="52" t="s">
        <v>262</v>
      </c>
      <c r="AK364" s="52" t="s">
        <v>262</v>
      </c>
      <c r="AL364" s="89">
        <v>28</v>
      </c>
      <c r="AM364" s="52" t="s">
        <v>102</v>
      </c>
      <c r="AN364" s="52">
        <v>50</v>
      </c>
      <c r="AO364" s="53" t="s">
        <v>102</v>
      </c>
      <c r="AP364" s="53" t="s">
        <v>102</v>
      </c>
      <c r="AQ364" s="53">
        <v>10</v>
      </c>
      <c r="AR364" s="53" t="s">
        <v>262</v>
      </c>
      <c r="AS364" s="52" t="s">
        <v>262</v>
      </c>
      <c r="AT364" s="52">
        <v>43</v>
      </c>
      <c r="AU364" s="52">
        <v>18</v>
      </c>
      <c r="AV364" s="52">
        <v>5</v>
      </c>
      <c r="AW364" s="52">
        <v>130</v>
      </c>
      <c r="AX364" s="51">
        <v>50</v>
      </c>
      <c r="AY364" s="53" t="s">
        <v>262</v>
      </c>
      <c r="AZ364" s="53">
        <v>144</v>
      </c>
      <c r="BA364" s="53">
        <v>120</v>
      </c>
      <c r="BB364" s="53" t="s">
        <v>264</v>
      </c>
      <c r="BC364" s="53" t="s">
        <v>264</v>
      </c>
      <c r="BD364" s="53" t="s">
        <v>262</v>
      </c>
      <c r="BE364" s="53">
        <v>250</v>
      </c>
      <c r="BF364" s="53">
        <v>65</v>
      </c>
      <c r="BG364" s="53" t="s">
        <v>262</v>
      </c>
      <c r="BH364" s="53" t="s">
        <v>262</v>
      </c>
      <c r="BI364" s="53" t="s">
        <v>264</v>
      </c>
      <c r="BJ364" s="53" t="s">
        <v>264</v>
      </c>
      <c r="BK364" s="53" t="s">
        <v>264</v>
      </c>
      <c r="BL364" s="53" t="s">
        <v>264</v>
      </c>
      <c r="BM364" s="53" t="s">
        <v>264</v>
      </c>
      <c r="BN364" s="53" t="s">
        <v>264</v>
      </c>
      <c r="BO364" s="53">
        <v>100</v>
      </c>
      <c r="BP364" s="53" t="s">
        <v>102</v>
      </c>
      <c r="BQ364" s="53">
        <v>200</v>
      </c>
      <c r="BR364" s="53">
        <v>25</v>
      </c>
      <c r="BS364" s="53">
        <v>25</v>
      </c>
      <c r="BT364" s="53">
        <v>75</v>
      </c>
      <c r="BU364" s="53">
        <v>25</v>
      </c>
      <c r="BV364" s="53">
        <v>75</v>
      </c>
      <c r="BW364" s="53">
        <v>25</v>
      </c>
      <c r="BX364" s="53">
        <v>75</v>
      </c>
      <c r="BY364" s="53">
        <v>250</v>
      </c>
      <c r="BZ364" s="53">
        <v>300</v>
      </c>
      <c r="CA364" s="53">
        <v>200</v>
      </c>
      <c r="CB364" s="53">
        <v>200</v>
      </c>
      <c r="CC364" s="53">
        <v>300</v>
      </c>
      <c r="CD364" s="53">
        <v>750</v>
      </c>
      <c r="CE364" s="53">
        <v>75</v>
      </c>
      <c r="CF364" s="53">
        <v>75</v>
      </c>
      <c r="CG364" s="53">
        <v>200</v>
      </c>
      <c r="CH364" s="53">
        <v>75</v>
      </c>
      <c r="CI364" s="53">
        <v>75</v>
      </c>
      <c r="CJ364" s="53" t="s">
        <v>264</v>
      </c>
      <c r="CK364" s="53" t="s">
        <v>264</v>
      </c>
      <c r="CL364" s="53">
        <v>250</v>
      </c>
      <c r="CM364" s="53">
        <v>750</v>
      </c>
      <c r="CN364" s="206"/>
      <c r="CO364" s="206"/>
      <c r="CP364" s="206"/>
      <c r="CQ364" s="8">
        <f t="shared" si="189"/>
        <v>1</v>
      </c>
      <c r="CR364" s="8">
        <f t="shared" si="190"/>
        <v>750</v>
      </c>
      <c r="CS364" s="8">
        <f t="shared" si="191"/>
        <v>136.48648648648648</v>
      </c>
      <c r="CT364">
        <f t="shared" si="192"/>
        <v>64.260071763424094</v>
      </c>
      <c r="CU364" s="143" t="e">
        <f t="shared" si="193"/>
        <v>#DIV/0!</v>
      </c>
      <c r="CV364" s="143">
        <f t="shared" si="194"/>
        <v>6</v>
      </c>
      <c r="CX364" s="7">
        <f t="shared" si="195"/>
        <v>5</v>
      </c>
      <c r="CY364" s="7">
        <f t="shared" si="196"/>
        <v>20.799999999999997</v>
      </c>
      <c r="CZ364" s="7">
        <f t="shared" si="197"/>
        <v>25</v>
      </c>
      <c r="DA364" s="7">
        <f t="shared" si="198"/>
        <v>25</v>
      </c>
      <c r="DB364" s="7">
        <f t="shared" si="199"/>
        <v>75</v>
      </c>
      <c r="DC364" s="7">
        <f t="shared" si="200"/>
        <v>89.999999999999943</v>
      </c>
      <c r="DD364" s="7">
        <f t="shared" si="201"/>
        <v>124.00000000000003</v>
      </c>
      <c r="DE364" s="7">
        <f t="shared" si="202"/>
        <v>200</v>
      </c>
      <c r="DF364" s="7">
        <f t="shared" si="203"/>
        <v>250</v>
      </c>
      <c r="DH364" s="7">
        <f t="shared" si="204"/>
        <v>2.8</v>
      </c>
      <c r="DI364" s="7">
        <f t="shared" si="205"/>
        <v>5</v>
      </c>
      <c r="DJ364" s="7">
        <f t="shared" si="206"/>
        <v>5</v>
      </c>
      <c r="DK364" s="7">
        <f t="shared" si="207"/>
        <v>5.25</v>
      </c>
      <c r="DL364" s="7">
        <f t="shared" si="208"/>
        <v>14</v>
      </c>
      <c r="DM364" s="7">
        <f t="shared" si="209"/>
        <v>21.999999999999993</v>
      </c>
      <c r="DN364" s="7">
        <f t="shared" si="210"/>
        <v>26.500000000000007</v>
      </c>
      <c r="DO364" s="7">
        <f t="shared" si="211"/>
        <v>39.25</v>
      </c>
      <c r="DP364" s="7">
        <f t="shared" si="212"/>
        <v>47.54999999999999</v>
      </c>
    </row>
    <row r="365" spans="1:134" ht="25.5" hidden="1" customHeight="1" x14ac:dyDescent="0.25">
      <c r="A365" s="92" t="str">
        <f t="shared" si="213"/>
        <v>SK-L-13-8</v>
      </c>
      <c r="B365" s="92" t="str">
        <f t="shared" si="214"/>
        <v>Deserted</v>
      </c>
      <c r="C365" s="93" t="str">
        <f t="shared" si="186"/>
        <v>DESERTED CREEK_Sockeye</v>
      </c>
      <c r="D365" s="128" t="s">
        <v>598</v>
      </c>
      <c r="E365" s="128" t="s">
        <v>598</v>
      </c>
      <c r="F365" s="64">
        <v>25</v>
      </c>
      <c r="G365" s="72" t="s">
        <v>227</v>
      </c>
      <c r="H365" s="65" t="s">
        <v>91</v>
      </c>
      <c r="I365" s="119"/>
      <c r="J365" s="119"/>
      <c r="K365" s="64">
        <v>4</v>
      </c>
      <c r="L365" s="52">
        <v>8</v>
      </c>
      <c r="M365" s="52">
        <v>3</v>
      </c>
      <c r="N365" s="52">
        <f t="shared" si="215"/>
        <v>12.018490013834734</v>
      </c>
      <c r="O365" s="52">
        <f t="shared" si="216"/>
        <v>400</v>
      </c>
      <c r="P365" s="52">
        <f t="shared" si="217"/>
        <v>40.342092510083866</v>
      </c>
      <c r="Q365" s="66"/>
      <c r="R365" s="39"/>
      <c r="S365" s="74" t="s">
        <v>448</v>
      </c>
      <c r="T365" s="81" t="e">
        <f t="shared" si="187"/>
        <v>#DIV/0!</v>
      </c>
      <c r="U365" s="81" t="e">
        <f t="shared" si="188"/>
        <v>#DIV/0!</v>
      </c>
      <c r="V365" s="52" t="s">
        <v>102</v>
      </c>
      <c r="W365" s="52" t="s">
        <v>102</v>
      </c>
      <c r="X365" s="52" t="s">
        <v>102</v>
      </c>
      <c r="Y365" s="52" t="s">
        <v>102</v>
      </c>
      <c r="Z365" s="52" t="s">
        <v>102</v>
      </c>
      <c r="AA365" s="52" t="s">
        <v>102</v>
      </c>
      <c r="AB365" s="52" t="s">
        <v>102</v>
      </c>
      <c r="AC365" s="144" t="s">
        <v>102</v>
      </c>
      <c r="AD365" s="144" t="s">
        <v>102</v>
      </c>
      <c r="AE365" s="144" t="s">
        <v>262</v>
      </c>
      <c r="AF365" s="52" t="s">
        <v>262</v>
      </c>
      <c r="AG365" s="52" t="s">
        <v>262</v>
      </c>
      <c r="AH365" s="52" t="s">
        <v>262</v>
      </c>
      <c r="AI365" s="52" t="s">
        <v>262</v>
      </c>
      <c r="AJ365" s="52" t="s">
        <v>262</v>
      </c>
      <c r="AK365" s="52" t="s">
        <v>262</v>
      </c>
      <c r="AL365" s="89" t="s">
        <v>262</v>
      </c>
      <c r="AM365" s="52" t="s">
        <v>102</v>
      </c>
      <c r="AN365" s="52" t="s">
        <v>262</v>
      </c>
      <c r="AO365" s="53" t="s">
        <v>102</v>
      </c>
      <c r="AP365" s="53" t="s">
        <v>102</v>
      </c>
      <c r="AQ365" s="53" t="s">
        <v>262</v>
      </c>
      <c r="AR365" s="53" t="s">
        <v>262</v>
      </c>
      <c r="AS365" s="52" t="s">
        <v>262</v>
      </c>
      <c r="AT365" s="52">
        <v>7</v>
      </c>
      <c r="AU365" s="52">
        <v>248</v>
      </c>
      <c r="AV365" s="52">
        <v>1</v>
      </c>
      <c r="AW365" s="52" t="s">
        <v>262</v>
      </c>
      <c r="AX365" s="51">
        <v>50</v>
      </c>
      <c r="AY365" s="53" t="s">
        <v>262</v>
      </c>
      <c r="AZ365" s="53">
        <v>20</v>
      </c>
      <c r="BA365" s="53" t="s">
        <v>264</v>
      </c>
      <c r="BB365" s="53" t="s">
        <v>264</v>
      </c>
      <c r="BC365" s="53" t="s">
        <v>264</v>
      </c>
      <c r="BD365" s="53" t="s">
        <v>264</v>
      </c>
      <c r="BE365" s="53" t="s">
        <v>264</v>
      </c>
      <c r="BF365" s="53" t="s">
        <v>264</v>
      </c>
      <c r="BG365" s="53" t="s">
        <v>264</v>
      </c>
      <c r="BH365" s="53" t="s">
        <v>262</v>
      </c>
      <c r="BI365" s="53" t="s">
        <v>264</v>
      </c>
      <c r="BJ365" s="53">
        <v>100</v>
      </c>
      <c r="BK365" s="53">
        <v>70</v>
      </c>
      <c r="BL365" s="53" t="s">
        <v>264</v>
      </c>
      <c r="BM365" s="53" t="s">
        <v>264</v>
      </c>
      <c r="BN365" s="53">
        <v>10</v>
      </c>
      <c r="BO365" s="53" t="s">
        <v>264</v>
      </c>
      <c r="BP365" s="53" t="s">
        <v>102</v>
      </c>
      <c r="BQ365" s="53" t="s">
        <v>264</v>
      </c>
      <c r="BR365" s="53">
        <v>25</v>
      </c>
      <c r="BS365" s="53">
        <v>25</v>
      </c>
      <c r="BT365" s="53">
        <v>25</v>
      </c>
      <c r="BU365" s="53">
        <v>25</v>
      </c>
      <c r="BV365" s="53" t="s">
        <v>264</v>
      </c>
      <c r="BW365" s="53" t="s">
        <v>264</v>
      </c>
      <c r="BX365" s="53" t="s">
        <v>264</v>
      </c>
      <c r="BY365" s="53">
        <v>25</v>
      </c>
      <c r="BZ365" s="53">
        <v>75</v>
      </c>
      <c r="CA365" s="53">
        <v>75</v>
      </c>
      <c r="CB365" s="53">
        <v>75</v>
      </c>
      <c r="CC365" s="53">
        <v>400</v>
      </c>
      <c r="CD365" s="53">
        <v>400</v>
      </c>
      <c r="CE365" s="53" t="s">
        <v>264</v>
      </c>
      <c r="CF365" s="53" t="s">
        <v>264</v>
      </c>
      <c r="CG365" s="53" t="s">
        <v>264</v>
      </c>
      <c r="CH365" s="53" t="s">
        <v>264</v>
      </c>
      <c r="CI365" s="53" t="s">
        <v>264</v>
      </c>
      <c r="CJ365" s="53" t="s">
        <v>264</v>
      </c>
      <c r="CK365" s="53" t="s">
        <v>264</v>
      </c>
      <c r="CL365" s="53" t="s">
        <v>264</v>
      </c>
      <c r="CM365" s="53" t="s">
        <v>264</v>
      </c>
      <c r="CN365" s="206"/>
      <c r="CO365" s="206"/>
      <c r="CP365" s="206"/>
      <c r="CQ365" s="8">
        <f t="shared" si="189"/>
        <v>1</v>
      </c>
      <c r="CR365" s="8">
        <f t="shared" si="190"/>
        <v>400</v>
      </c>
      <c r="CS365" s="8">
        <f t="shared" si="191"/>
        <v>92</v>
      </c>
      <c r="CT365">
        <f t="shared" si="192"/>
        <v>40.342092510083866</v>
      </c>
      <c r="CU365" s="143" t="e">
        <f t="shared" si="193"/>
        <v>#DIV/0!</v>
      </c>
      <c r="CV365" s="143" t="e">
        <f t="shared" si="194"/>
        <v>#DIV/0!</v>
      </c>
      <c r="CX365" s="7">
        <f t="shared" si="195"/>
        <v>6.1000000000000005</v>
      </c>
      <c r="CY365" s="7">
        <f t="shared" si="196"/>
        <v>15.499999999999998</v>
      </c>
      <c r="CZ365" s="7">
        <f t="shared" si="197"/>
        <v>22</v>
      </c>
      <c r="DA365" s="7">
        <f t="shared" si="198"/>
        <v>25</v>
      </c>
      <c r="DB365" s="7">
        <f t="shared" si="199"/>
        <v>37.5</v>
      </c>
      <c r="DC365" s="7">
        <f t="shared" si="200"/>
        <v>71</v>
      </c>
      <c r="DD365" s="7">
        <f t="shared" si="201"/>
        <v>75</v>
      </c>
      <c r="DE365" s="7">
        <f t="shared" si="202"/>
        <v>75</v>
      </c>
      <c r="DF365" s="7">
        <f t="shared" si="203"/>
        <v>166.59999999999991</v>
      </c>
      <c r="DH365" s="7">
        <f t="shared" si="204"/>
        <v>1.6000000000000005</v>
      </c>
      <c r="DI365" s="7">
        <f t="shared" si="205"/>
        <v>2.8000000000000003</v>
      </c>
      <c r="DJ365" s="7">
        <f t="shared" si="206"/>
        <v>3.3999999999999995</v>
      </c>
      <c r="DK365" s="7">
        <f t="shared" si="207"/>
        <v>4</v>
      </c>
      <c r="DL365" s="7">
        <f t="shared" si="208"/>
        <v>7</v>
      </c>
      <c r="DM365" s="7">
        <f t="shared" si="209"/>
        <v>55.200000000000045</v>
      </c>
      <c r="DN365" s="7">
        <f t="shared" si="210"/>
        <v>79.299999999999955</v>
      </c>
      <c r="DO365" s="7">
        <f t="shared" si="211"/>
        <v>127.5</v>
      </c>
      <c r="DP365" s="7">
        <f t="shared" si="212"/>
        <v>175.70000000000005</v>
      </c>
    </row>
    <row r="366" spans="1:134" ht="25.5" hidden="1" customHeight="1" x14ac:dyDescent="0.25">
      <c r="A366" s="92" t="str">
        <f t="shared" si="213"/>
        <v>CM-SWVI [10]</v>
      </c>
      <c r="B366" s="92" t="str">
        <f t="shared" si="214"/>
        <v>Southwest Vancouver Island</v>
      </c>
      <c r="C366" s="93" t="str">
        <f t="shared" si="186"/>
        <v>ELIZA CREEK_Chum</v>
      </c>
      <c r="D366" s="128" t="s">
        <v>598</v>
      </c>
      <c r="E366" s="128" t="s">
        <v>598</v>
      </c>
      <c r="F366" s="64">
        <v>25</v>
      </c>
      <c r="G366" s="72" t="s">
        <v>246</v>
      </c>
      <c r="H366" s="65" t="s">
        <v>96</v>
      </c>
      <c r="I366" s="119"/>
      <c r="J366" s="119"/>
      <c r="K366" s="64">
        <v>4</v>
      </c>
      <c r="L366" s="52">
        <v>3</v>
      </c>
      <c r="M366" s="52">
        <v>3</v>
      </c>
      <c r="N366" s="52">
        <f t="shared" si="215"/>
        <v>536.6563145999495</v>
      </c>
      <c r="O366" s="52">
        <f t="shared" si="216"/>
        <v>6500</v>
      </c>
      <c r="P366" s="52">
        <f t="shared" si="217"/>
        <v>1168.4161287300674</v>
      </c>
      <c r="Q366" s="66"/>
      <c r="R366" s="39"/>
      <c r="S366" s="74" t="s">
        <v>449</v>
      </c>
      <c r="T366" s="81">
        <f t="shared" si="187"/>
        <v>37</v>
      </c>
      <c r="U366" s="81">
        <f t="shared" si="188"/>
        <v>1170.5</v>
      </c>
      <c r="V366" s="52" t="s">
        <v>102</v>
      </c>
      <c r="W366" s="52">
        <v>37</v>
      </c>
      <c r="X366" s="52" t="s">
        <v>102</v>
      </c>
      <c r="Y366" s="52" t="s">
        <v>102</v>
      </c>
      <c r="Z366" s="52" t="s">
        <v>102</v>
      </c>
      <c r="AA366" s="52" t="s">
        <v>102</v>
      </c>
      <c r="AB366" s="52" t="s">
        <v>102</v>
      </c>
      <c r="AC366" s="52" t="s">
        <v>102</v>
      </c>
      <c r="AD366" s="52" t="s">
        <v>102</v>
      </c>
      <c r="AE366" s="52" t="s">
        <v>102</v>
      </c>
      <c r="AF366" s="52" t="s">
        <v>102</v>
      </c>
      <c r="AG366" s="144">
        <v>2304</v>
      </c>
      <c r="AH366" s="52" t="s">
        <v>102</v>
      </c>
      <c r="AI366" s="52" t="s">
        <v>102</v>
      </c>
      <c r="AJ366" s="52" t="s">
        <v>102</v>
      </c>
      <c r="AK366" s="123" t="s">
        <v>262</v>
      </c>
      <c r="AL366" s="52" t="s">
        <v>102</v>
      </c>
      <c r="AM366" s="52" t="s">
        <v>102</v>
      </c>
      <c r="AN366" s="52" t="s">
        <v>102</v>
      </c>
      <c r="AO366" s="52" t="s">
        <v>102</v>
      </c>
      <c r="AP366" s="53" t="s">
        <v>102</v>
      </c>
      <c r="AQ366" s="52" t="s">
        <v>102</v>
      </c>
      <c r="AR366" s="52" t="s">
        <v>263</v>
      </c>
      <c r="AS366" s="52" t="s">
        <v>102</v>
      </c>
      <c r="AT366" s="52" t="s">
        <v>102</v>
      </c>
      <c r="AU366" s="52">
        <v>600</v>
      </c>
      <c r="AV366" s="52">
        <v>480</v>
      </c>
      <c r="AW366" s="54"/>
      <c r="AX366" s="51">
        <v>1000</v>
      </c>
      <c r="AY366" s="53">
        <v>600</v>
      </c>
      <c r="AZ366" s="53">
        <v>2775</v>
      </c>
      <c r="BA366" s="53">
        <v>1000</v>
      </c>
      <c r="BB366" s="53">
        <v>1400</v>
      </c>
      <c r="BC366" s="53">
        <v>250</v>
      </c>
      <c r="BD366" s="53">
        <v>500</v>
      </c>
      <c r="BE366" s="53">
        <v>2000</v>
      </c>
      <c r="BF366" s="53">
        <v>1300</v>
      </c>
      <c r="BG366" s="53">
        <v>1900</v>
      </c>
      <c r="BH366" s="53">
        <v>1500</v>
      </c>
      <c r="BI366" s="53">
        <v>1600</v>
      </c>
      <c r="BJ366" s="53">
        <v>6500</v>
      </c>
      <c r="BK366" s="53">
        <v>4500</v>
      </c>
      <c r="BL366" s="53">
        <v>1400</v>
      </c>
      <c r="BM366" s="53">
        <v>642</v>
      </c>
      <c r="BN366" s="53">
        <v>3000</v>
      </c>
      <c r="BO366" s="53">
        <v>3000</v>
      </c>
      <c r="BP366" s="53">
        <v>75</v>
      </c>
      <c r="BQ366" s="53">
        <v>200</v>
      </c>
      <c r="BR366" s="53">
        <v>3500</v>
      </c>
      <c r="BS366" s="53">
        <v>3500</v>
      </c>
      <c r="BT366" s="53">
        <v>1500</v>
      </c>
      <c r="BU366" s="53">
        <v>750</v>
      </c>
      <c r="BV366" s="53">
        <v>5500</v>
      </c>
      <c r="BW366" s="53">
        <v>1500</v>
      </c>
      <c r="BX366" s="53">
        <v>1500</v>
      </c>
      <c r="BY366" s="53">
        <v>400</v>
      </c>
      <c r="BZ366" s="53">
        <v>3000</v>
      </c>
      <c r="CA366" s="53">
        <v>750</v>
      </c>
      <c r="CB366" s="53">
        <v>3500</v>
      </c>
      <c r="CC366" s="53">
        <v>3000</v>
      </c>
      <c r="CD366" s="53">
        <v>3500</v>
      </c>
      <c r="CE366" s="53">
        <v>400</v>
      </c>
      <c r="CF366" s="53">
        <v>1500</v>
      </c>
      <c r="CG366" s="53">
        <v>750</v>
      </c>
      <c r="CH366" s="53">
        <v>750</v>
      </c>
      <c r="CI366" s="53">
        <v>200</v>
      </c>
      <c r="CJ366" s="53">
        <v>750</v>
      </c>
      <c r="CK366" s="53">
        <v>400</v>
      </c>
      <c r="CL366" s="53">
        <v>2000</v>
      </c>
      <c r="CM366" s="53" t="s">
        <v>264</v>
      </c>
      <c r="CN366" s="206"/>
      <c r="CO366" s="206"/>
      <c r="CP366" s="206"/>
      <c r="CQ366" s="8">
        <f t="shared" si="189"/>
        <v>37</v>
      </c>
      <c r="CR366" s="8">
        <f t="shared" si="190"/>
        <v>6500</v>
      </c>
      <c r="CS366" s="8">
        <f t="shared" si="191"/>
        <v>1715.8444444444444</v>
      </c>
      <c r="CT366">
        <f t="shared" si="192"/>
        <v>1098.577334860624</v>
      </c>
      <c r="CU366" s="143">
        <f t="shared" si="193"/>
        <v>37</v>
      </c>
      <c r="CV366" s="143">
        <f t="shared" si="194"/>
        <v>1170.5</v>
      </c>
      <c r="CX366" s="7">
        <f t="shared" si="195"/>
        <v>200</v>
      </c>
      <c r="CY366" s="7">
        <f t="shared" si="196"/>
        <v>400</v>
      </c>
      <c r="CZ366" s="7">
        <f t="shared" si="197"/>
        <v>496</v>
      </c>
      <c r="DA366" s="7">
        <f t="shared" si="198"/>
        <v>600</v>
      </c>
      <c r="DB366" s="7">
        <f t="shared" si="199"/>
        <v>1400</v>
      </c>
      <c r="DC366" s="7">
        <f t="shared" si="200"/>
        <v>1500</v>
      </c>
      <c r="DD366" s="7">
        <f t="shared" si="201"/>
        <v>1780.0000000000005</v>
      </c>
      <c r="DE366" s="7">
        <f t="shared" si="202"/>
        <v>2775</v>
      </c>
      <c r="DF366" s="7">
        <f t="shared" si="203"/>
        <v>3199.9999999999991</v>
      </c>
      <c r="DH366" s="7">
        <f t="shared" si="204"/>
        <v>103.44999999999996</v>
      </c>
      <c r="DI366" s="7">
        <f t="shared" si="205"/>
        <v>236.35</v>
      </c>
      <c r="DJ366" s="7">
        <f t="shared" si="206"/>
        <v>302.8</v>
      </c>
      <c r="DK366" s="7">
        <f t="shared" si="207"/>
        <v>369.25</v>
      </c>
      <c r="DL366" s="7">
        <f t="shared" si="208"/>
        <v>540</v>
      </c>
      <c r="DM366" s="7">
        <f t="shared" si="209"/>
        <v>576</v>
      </c>
      <c r="DN366" s="7">
        <f t="shared" si="210"/>
        <v>594</v>
      </c>
      <c r="DO366" s="7">
        <f t="shared" si="211"/>
        <v>1026</v>
      </c>
      <c r="DP366" s="7">
        <f t="shared" si="212"/>
        <v>1537.1999999999998</v>
      </c>
    </row>
    <row r="367" spans="1:134" ht="25.5" hidden="1" customHeight="1" x14ac:dyDescent="0.25">
      <c r="A367" s="92" t="str">
        <f t="shared" si="213"/>
        <v>CO-WVI [17]</v>
      </c>
      <c r="B367" s="92" t="str">
        <f t="shared" si="214"/>
        <v>West Vancouver Island</v>
      </c>
      <c r="C367" s="93" t="str">
        <f t="shared" si="186"/>
        <v>ELIZA CREEK_Coho</v>
      </c>
      <c r="D367" s="128" t="s">
        <v>598</v>
      </c>
      <c r="E367" s="128" t="s">
        <v>598</v>
      </c>
      <c r="F367" s="64">
        <v>25</v>
      </c>
      <c r="G367" s="72" t="s">
        <v>246</v>
      </c>
      <c r="H367" s="65" t="s">
        <v>93</v>
      </c>
      <c r="I367" s="119"/>
      <c r="J367" s="119"/>
      <c r="K367" s="64">
        <v>4</v>
      </c>
      <c r="L367" s="52">
        <v>3</v>
      </c>
      <c r="M367" s="52">
        <v>1</v>
      </c>
      <c r="N367" s="52">
        <f t="shared" si="215"/>
        <v>10</v>
      </c>
      <c r="O367" s="52">
        <f t="shared" si="216"/>
        <v>400</v>
      </c>
      <c r="P367" s="52">
        <f t="shared" si="217"/>
        <v>51.459954753363348</v>
      </c>
      <c r="Q367" s="66"/>
      <c r="R367" s="39"/>
      <c r="S367" s="74" t="s">
        <v>449</v>
      </c>
      <c r="T367" s="81">
        <f t="shared" si="187"/>
        <v>12</v>
      </c>
      <c r="U367" s="81">
        <f t="shared" si="188"/>
        <v>10</v>
      </c>
      <c r="V367" s="52" t="s">
        <v>102</v>
      </c>
      <c r="W367" s="52">
        <v>12</v>
      </c>
      <c r="X367" s="52" t="s">
        <v>102</v>
      </c>
      <c r="Y367" s="52" t="s">
        <v>102</v>
      </c>
      <c r="Z367" s="52" t="s">
        <v>102</v>
      </c>
      <c r="AA367" s="52" t="s">
        <v>102</v>
      </c>
      <c r="AB367" s="52" t="s">
        <v>102</v>
      </c>
      <c r="AC367" s="52" t="s">
        <v>102</v>
      </c>
      <c r="AD367" s="52" t="s">
        <v>102</v>
      </c>
      <c r="AE367" s="52" t="s">
        <v>102</v>
      </c>
      <c r="AF367" s="52" t="s">
        <v>102</v>
      </c>
      <c r="AG367" s="144">
        <v>8</v>
      </c>
      <c r="AH367" s="52" t="s">
        <v>102</v>
      </c>
      <c r="AI367" s="52" t="s">
        <v>102</v>
      </c>
      <c r="AJ367" s="52" t="s">
        <v>102</v>
      </c>
      <c r="AK367" s="52" t="s">
        <v>102</v>
      </c>
      <c r="AL367" s="52" t="s">
        <v>102</v>
      </c>
      <c r="AM367" s="52" t="s">
        <v>102</v>
      </c>
      <c r="AN367" s="52" t="s">
        <v>102</v>
      </c>
      <c r="AO367" s="52" t="s">
        <v>102</v>
      </c>
      <c r="AP367" s="53" t="s">
        <v>102</v>
      </c>
      <c r="AQ367" s="52" t="s">
        <v>102</v>
      </c>
      <c r="AR367" s="52" t="s">
        <v>262</v>
      </c>
      <c r="AS367" s="52" t="s">
        <v>102</v>
      </c>
      <c r="AT367" s="52" t="s">
        <v>102</v>
      </c>
      <c r="AU367" s="52">
        <v>10</v>
      </c>
      <c r="AV367" s="52" t="s">
        <v>262</v>
      </c>
      <c r="AW367" s="54"/>
      <c r="AX367" s="51" t="s">
        <v>262</v>
      </c>
      <c r="AY367" s="53" t="s">
        <v>262</v>
      </c>
      <c r="AZ367" s="53" t="s">
        <v>102</v>
      </c>
      <c r="BA367" s="53" t="s">
        <v>264</v>
      </c>
      <c r="BB367" s="53" t="s">
        <v>264</v>
      </c>
      <c r="BC367" s="53" t="s">
        <v>264</v>
      </c>
      <c r="BD367" s="53">
        <v>100</v>
      </c>
      <c r="BE367" s="53">
        <v>200</v>
      </c>
      <c r="BF367" s="53">
        <v>50</v>
      </c>
      <c r="BG367" s="53">
        <v>50</v>
      </c>
      <c r="BH367" s="53" t="s">
        <v>262</v>
      </c>
      <c r="BI367" s="53" t="s">
        <v>264</v>
      </c>
      <c r="BJ367" s="53" t="s">
        <v>264</v>
      </c>
      <c r="BK367" s="53" t="s">
        <v>264</v>
      </c>
      <c r="BL367" s="53" t="s">
        <v>264</v>
      </c>
      <c r="BM367" s="53">
        <v>20</v>
      </c>
      <c r="BN367" s="53">
        <v>30</v>
      </c>
      <c r="BO367" s="53" t="s">
        <v>264</v>
      </c>
      <c r="BP367" s="53" t="s">
        <v>264</v>
      </c>
      <c r="BQ367" s="53">
        <v>25</v>
      </c>
      <c r="BR367" s="53">
        <v>25</v>
      </c>
      <c r="BS367" s="53">
        <v>25</v>
      </c>
      <c r="BT367" s="53">
        <v>25</v>
      </c>
      <c r="BU367" s="53">
        <v>25</v>
      </c>
      <c r="BV367" s="53">
        <v>200</v>
      </c>
      <c r="BW367" s="53">
        <v>25</v>
      </c>
      <c r="BX367" s="53">
        <v>200</v>
      </c>
      <c r="BY367" s="53">
        <v>75</v>
      </c>
      <c r="BZ367" s="53">
        <v>400</v>
      </c>
      <c r="CA367" s="53">
        <v>400</v>
      </c>
      <c r="CB367" s="53">
        <v>200</v>
      </c>
      <c r="CC367" s="53">
        <v>25</v>
      </c>
      <c r="CD367" s="53">
        <v>400</v>
      </c>
      <c r="CE367" s="53">
        <v>25</v>
      </c>
      <c r="CF367" s="53">
        <v>25</v>
      </c>
      <c r="CG367" s="53">
        <v>25</v>
      </c>
      <c r="CH367" s="53">
        <v>25</v>
      </c>
      <c r="CI367" s="53">
        <v>25</v>
      </c>
      <c r="CJ367" s="53">
        <v>25</v>
      </c>
      <c r="CK367" s="53">
        <v>25</v>
      </c>
      <c r="CL367" s="53">
        <v>100</v>
      </c>
      <c r="CM367" s="53" t="s">
        <v>264</v>
      </c>
      <c r="CN367" s="206"/>
      <c r="CO367" s="206"/>
      <c r="CP367" s="206"/>
      <c r="CQ367" s="8">
        <f t="shared" si="189"/>
        <v>8</v>
      </c>
      <c r="CR367" s="8">
        <f t="shared" si="190"/>
        <v>400</v>
      </c>
      <c r="CS367" s="8">
        <f t="shared" si="191"/>
        <v>90.483870967741936</v>
      </c>
      <c r="CT367">
        <f t="shared" si="192"/>
        <v>46.237703176675225</v>
      </c>
      <c r="CU367" s="143">
        <f t="shared" si="193"/>
        <v>12</v>
      </c>
      <c r="CV367" s="143">
        <f t="shared" si="194"/>
        <v>10</v>
      </c>
      <c r="CX367" s="7">
        <f t="shared" si="195"/>
        <v>11</v>
      </c>
      <c r="CY367" s="7">
        <f t="shared" si="196"/>
        <v>25</v>
      </c>
      <c r="CZ367" s="7">
        <f t="shared" si="197"/>
        <v>25</v>
      </c>
      <c r="DA367" s="7">
        <f t="shared" si="198"/>
        <v>25</v>
      </c>
      <c r="DB367" s="7">
        <f t="shared" si="199"/>
        <v>25</v>
      </c>
      <c r="DC367" s="7">
        <f t="shared" si="200"/>
        <v>30</v>
      </c>
      <c r="DD367" s="7">
        <f t="shared" si="201"/>
        <v>50</v>
      </c>
      <c r="DE367" s="7">
        <f t="shared" si="202"/>
        <v>100</v>
      </c>
      <c r="DF367" s="7">
        <f t="shared" si="203"/>
        <v>200</v>
      </c>
      <c r="DH367" s="7">
        <f t="shared" si="204"/>
        <v>8.1999999999999993</v>
      </c>
      <c r="DI367" s="7">
        <f t="shared" si="205"/>
        <v>8.6</v>
      </c>
      <c r="DJ367" s="7">
        <f t="shared" si="206"/>
        <v>8.8000000000000007</v>
      </c>
      <c r="DK367" s="7">
        <f t="shared" si="207"/>
        <v>9</v>
      </c>
      <c r="DL367" s="7">
        <f t="shared" si="208"/>
        <v>10</v>
      </c>
      <c r="DM367" s="7">
        <f t="shared" si="209"/>
        <v>10.4</v>
      </c>
      <c r="DN367" s="7">
        <f t="shared" si="210"/>
        <v>10.6</v>
      </c>
      <c r="DO367" s="7">
        <f t="shared" si="211"/>
        <v>11</v>
      </c>
      <c r="DP367" s="7">
        <f t="shared" si="212"/>
        <v>11.4</v>
      </c>
    </row>
    <row r="368" spans="1:134" ht="25.5" hidden="1" customHeight="1" x14ac:dyDescent="0.25">
      <c r="A368" s="92"/>
      <c r="B368" s="92"/>
      <c r="C368" s="93" t="str">
        <f t="shared" si="186"/>
        <v>ESCALANTE RIVER_Chum</v>
      </c>
      <c r="D368" s="128" t="s">
        <v>598</v>
      </c>
      <c r="E368" s="128" t="s">
        <v>598</v>
      </c>
      <c r="F368" s="64">
        <v>25</v>
      </c>
      <c r="G368" s="72" t="s">
        <v>641</v>
      </c>
      <c r="H368" s="65" t="s">
        <v>96</v>
      </c>
      <c r="I368" s="119"/>
      <c r="J368" s="119"/>
      <c r="K368" s="64"/>
      <c r="L368" s="52"/>
      <c r="M368" s="52"/>
      <c r="N368" s="52"/>
      <c r="O368" s="52"/>
      <c r="P368" s="52"/>
      <c r="Q368" s="66"/>
      <c r="R368" s="39"/>
      <c r="S368" s="76"/>
      <c r="T368" s="81">
        <f t="shared" si="187"/>
        <v>32</v>
      </c>
      <c r="U368" s="81">
        <f t="shared" si="188"/>
        <v>32</v>
      </c>
      <c r="V368" s="52" t="s">
        <v>102</v>
      </c>
      <c r="W368" s="52" t="s">
        <v>102</v>
      </c>
      <c r="X368" s="52">
        <v>32</v>
      </c>
      <c r="Y368" s="52"/>
      <c r="Z368" s="52" t="s">
        <v>102</v>
      </c>
      <c r="AA368" s="52" t="s">
        <v>102</v>
      </c>
      <c r="AB368" s="144" t="s">
        <v>102</v>
      </c>
      <c r="AC368" s="52" t="s">
        <v>102</v>
      </c>
      <c r="AD368" s="52" t="s">
        <v>263</v>
      </c>
      <c r="AE368" s="52" t="s">
        <v>102</v>
      </c>
      <c r="AF368" s="52" t="s">
        <v>102</v>
      </c>
      <c r="AG368" s="52" t="s">
        <v>102</v>
      </c>
      <c r="AH368" s="53"/>
      <c r="AI368" s="53"/>
      <c r="AJ368" s="53"/>
      <c r="AK368" s="52"/>
      <c r="AL368" s="89"/>
      <c r="AM368" s="230" t="s">
        <v>102</v>
      </c>
      <c r="AN368" s="230" t="s">
        <v>102</v>
      </c>
      <c r="AO368" s="230" t="s">
        <v>102</v>
      </c>
      <c r="AP368" s="230" t="s">
        <v>102</v>
      </c>
      <c r="AQ368" s="230" t="s">
        <v>102</v>
      </c>
      <c r="AR368" s="230" t="s">
        <v>102</v>
      </c>
      <c r="AS368" s="230" t="s">
        <v>262</v>
      </c>
      <c r="AT368" s="230" t="s">
        <v>102</v>
      </c>
      <c r="AU368" s="230" t="s">
        <v>262</v>
      </c>
      <c r="AV368" s="52">
        <v>38</v>
      </c>
      <c r="AW368" s="177"/>
      <c r="AX368" s="249" t="s">
        <v>102</v>
      </c>
      <c r="AY368" s="250" t="s">
        <v>102</v>
      </c>
      <c r="AZ368" s="250" t="s">
        <v>102</v>
      </c>
      <c r="BA368" s="250" t="s">
        <v>102</v>
      </c>
      <c r="BB368" s="250" t="s">
        <v>102</v>
      </c>
      <c r="BC368" s="250" t="s">
        <v>102</v>
      </c>
      <c r="BD368" s="250" t="s">
        <v>102</v>
      </c>
      <c r="BE368" s="250" t="s">
        <v>102</v>
      </c>
      <c r="BF368" s="179"/>
      <c r="BG368" s="250" t="s">
        <v>102</v>
      </c>
      <c r="BH368" s="250" t="s">
        <v>102</v>
      </c>
      <c r="BI368" s="250" t="s">
        <v>102</v>
      </c>
      <c r="BJ368" s="250" t="s">
        <v>102</v>
      </c>
      <c r="BK368" s="250" t="s">
        <v>102</v>
      </c>
      <c r="BL368" s="250" t="s">
        <v>102</v>
      </c>
      <c r="BM368" s="250">
        <v>10</v>
      </c>
      <c r="BN368" s="250" t="s">
        <v>102</v>
      </c>
      <c r="BO368" s="250" t="s">
        <v>102</v>
      </c>
      <c r="BP368" s="250" t="s">
        <v>102</v>
      </c>
      <c r="BQ368" s="250" t="s">
        <v>102</v>
      </c>
      <c r="BR368" s="250" t="s">
        <v>102</v>
      </c>
      <c r="BS368" s="250" t="s">
        <v>102</v>
      </c>
      <c r="BT368" s="250" t="s">
        <v>102</v>
      </c>
      <c r="BU368" s="250" t="s">
        <v>102</v>
      </c>
      <c r="BV368" s="250" t="s">
        <v>102</v>
      </c>
      <c r="BW368" s="250" t="s">
        <v>262</v>
      </c>
      <c r="BX368" s="250" t="s">
        <v>262</v>
      </c>
      <c r="BY368" s="250" t="s">
        <v>262</v>
      </c>
      <c r="BZ368" s="250">
        <v>1500</v>
      </c>
      <c r="CA368" s="250">
        <v>3500</v>
      </c>
      <c r="CB368" s="250">
        <v>3500</v>
      </c>
      <c r="CC368" s="250" t="s">
        <v>102</v>
      </c>
      <c r="CD368" s="250"/>
      <c r="CE368" s="250" t="s">
        <v>102</v>
      </c>
      <c r="CF368" s="250" t="s">
        <v>102</v>
      </c>
      <c r="CG368" s="250"/>
      <c r="CH368" s="250">
        <v>200</v>
      </c>
      <c r="CI368" s="250">
        <v>75</v>
      </c>
      <c r="CJ368" s="250" t="s">
        <v>102</v>
      </c>
      <c r="CK368" s="250" t="s">
        <v>102</v>
      </c>
      <c r="CL368" s="250" t="s">
        <v>262</v>
      </c>
      <c r="CM368" s="250" t="s">
        <v>102</v>
      </c>
      <c r="CN368" s="209"/>
      <c r="CO368" s="209"/>
      <c r="CP368" s="209"/>
      <c r="CQ368" s="8">
        <f t="shared" si="189"/>
        <v>10</v>
      </c>
      <c r="CR368" s="8">
        <f t="shared" si="190"/>
        <v>3500</v>
      </c>
      <c r="CS368" s="8">
        <f t="shared" si="191"/>
        <v>1106.875</v>
      </c>
      <c r="CT368">
        <f t="shared" si="192"/>
        <v>206.85047509337875</v>
      </c>
      <c r="CU368" s="143">
        <f t="shared" si="193"/>
        <v>32</v>
      </c>
      <c r="CV368" s="143">
        <f t="shared" si="194"/>
        <v>32</v>
      </c>
      <c r="CX368" s="7">
        <f t="shared" si="195"/>
        <v>17.700000000000003</v>
      </c>
      <c r="CY368" s="7">
        <f t="shared" si="196"/>
        <v>32.299999999999997</v>
      </c>
      <c r="CZ368" s="7">
        <f t="shared" si="197"/>
        <v>34.400000000000006</v>
      </c>
      <c r="DA368" s="7">
        <f t="shared" si="198"/>
        <v>36.5</v>
      </c>
      <c r="DB368" s="7">
        <f t="shared" si="199"/>
        <v>137.5</v>
      </c>
      <c r="DC368" s="7">
        <f t="shared" si="200"/>
        <v>460.00000000000023</v>
      </c>
      <c r="DD368" s="7">
        <f t="shared" si="201"/>
        <v>914.99999999999977</v>
      </c>
      <c r="DE368" s="7">
        <f t="shared" si="202"/>
        <v>2000</v>
      </c>
      <c r="DF368" s="7">
        <f t="shared" si="203"/>
        <v>3400.0000000000005</v>
      </c>
      <c r="DH368" s="7">
        <f t="shared" si="204"/>
        <v>32.299999999999997</v>
      </c>
      <c r="DI368" s="7">
        <f t="shared" si="205"/>
        <v>32.9</v>
      </c>
      <c r="DJ368" s="7">
        <f t="shared" si="206"/>
        <v>33.200000000000003</v>
      </c>
      <c r="DK368" s="7">
        <f t="shared" si="207"/>
        <v>33.5</v>
      </c>
      <c r="DL368" s="7">
        <f t="shared" si="208"/>
        <v>35</v>
      </c>
      <c r="DM368" s="7">
        <f t="shared" si="209"/>
        <v>35.6</v>
      </c>
      <c r="DN368" s="7">
        <f t="shared" si="210"/>
        <v>35.9</v>
      </c>
      <c r="DO368" s="7">
        <f t="shared" si="211"/>
        <v>36.5</v>
      </c>
      <c r="DP368" s="7">
        <f t="shared" si="212"/>
        <v>37.1</v>
      </c>
    </row>
    <row r="369" spans="1:130" ht="25.5" hidden="1" customHeight="1" x14ac:dyDescent="0.25">
      <c r="A369" s="92"/>
      <c r="B369" s="92"/>
      <c r="C369" s="93" t="str">
        <f t="shared" si="186"/>
        <v>ESCALANTE RIVER_Coho</v>
      </c>
      <c r="D369" s="128" t="s">
        <v>598</v>
      </c>
      <c r="E369" s="128" t="s">
        <v>598</v>
      </c>
      <c r="F369" s="64">
        <v>25</v>
      </c>
      <c r="G369" s="72" t="s">
        <v>641</v>
      </c>
      <c r="H369" s="65" t="s">
        <v>93</v>
      </c>
      <c r="I369" s="119"/>
      <c r="J369" s="119"/>
      <c r="K369" s="64"/>
      <c r="L369" s="52"/>
      <c r="M369" s="52"/>
      <c r="N369" s="52"/>
      <c r="O369" s="52"/>
      <c r="P369" s="52"/>
      <c r="Q369" s="66"/>
      <c r="R369" s="39"/>
      <c r="S369" s="76"/>
      <c r="T369" s="81">
        <f t="shared" si="187"/>
        <v>478</v>
      </c>
      <c r="U369" s="81">
        <f t="shared" si="188"/>
        <v>478</v>
      </c>
      <c r="V369" s="52" t="s">
        <v>102</v>
      </c>
      <c r="W369" s="52" t="s">
        <v>102</v>
      </c>
      <c r="X369" s="52">
        <v>478</v>
      </c>
      <c r="Y369" s="52"/>
      <c r="Z369" s="52" t="s">
        <v>102</v>
      </c>
      <c r="AA369" s="52" t="s">
        <v>102</v>
      </c>
      <c r="AB369" s="144" t="s">
        <v>102</v>
      </c>
      <c r="AC369" s="52" t="s">
        <v>102</v>
      </c>
      <c r="AD369" s="52" t="s">
        <v>262</v>
      </c>
      <c r="AE369" s="52" t="s">
        <v>102</v>
      </c>
      <c r="AF369" s="52" t="s">
        <v>102</v>
      </c>
      <c r="AG369" s="52" t="s">
        <v>102</v>
      </c>
      <c r="AH369" s="53"/>
      <c r="AI369" s="53"/>
      <c r="AJ369" s="53"/>
      <c r="AK369" s="52"/>
      <c r="AL369" s="89"/>
      <c r="AM369" s="52"/>
      <c r="AN369" s="52"/>
      <c r="AO369" s="53"/>
      <c r="AP369" s="53"/>
      <c r="AQ369" s="53"/>
      <c r="AR369" s="53"/>
      <c r="AS369" s="52"/>
      <c r="AT369" s="52"/>
      <c r="AU369" s="52"/>
      <c r="AV369" s="52"/>
      <c r="AW369" s="177"/>
      <c r="AX369" s="178"/>
      <c r="AY369" s="179"/>
      <c r="AZ369" s="179"/>
      <c r="BA369" s="179"/>
      <c r="BB369" s="179"/>
      <c r="BC369" s="179"/>
      <c r="BD369" s="179"/>
      <c r="BE369" s="179"/>
      <c r="BF369" s="179"/>
      <c r="BG369" s="179"/>
      <c r="BH369" s="179"/>
      <c r="BI369" s="179"/>
      <c r="BJ369" s="179"/>
      <c r="BK369" s="179"/>
      <c r="BL369" s="179"/>
      <c r="BM369" s="179"/>
      <c r="BN369" s="179"/>
      <c r="BO369" s="179"/>
      <c r="BP369" s="179"/>
      <c r="BQ369" s="179"/>
      <c r="BR369" s="179"/>
      <c r="BS369" s="179"/>
      <c r="BT369" s="179"/>
      <c r="BU369" s="179"/>
      <c r="BV369" s="179"/>
      <c r="BW369" s="179"/>
      <c r="BX369" s="179"/>
      <c r="BY369" s="179"/>
      <c r="BZ369" s="179"/>
      <c r="CA369" s="179"/>
      <c r="CB369" s="179"/>
      <c r="CC369" s="179"/>
      <c r="CD369" s="179"/>
      <c r="CE369" s="179"/>
      <c r="CF369" s="179"/>
      <c r="CG369" s="179"/>
      <c r="CH369" s="179"/>
      <c r="CI369" s="179"/>
      <c r="CJ369" s="179"/>
      <c r="CK369" s="179"/>
      <c r="CL369" s="179"/>
      <c r="CM369" s="179"/>
      <c r="CN369" s="209"/>
      <c r="CO369" s="209"/>
      <c r="CP369" s="209"/>
      <c r="CQ369" s="8">
        <f t="shared" si="189"/>
        <v>478</v>
      </c>
      <c r="CR369" s="8">
        <f t="shared" si="190"/>
        <v>478</v>
      </c>
      <c r="CS369" s="8">
        <f t="shared" si="191"/>
        <v>478</v>
      </c>
      <c r="CT369">
        <f t="shared" si="192"/>
        <v>478</v>
      </c>
      <c r="CU369" s="143">
        <f t="shared" si="193"/>
        <v>478</v>
      </c>
      <c r="CV369" s="143">
        <f t="shared" si="194"/>
        <v>478</v>
      </c>
      <c r="CX369" s="7">
        <f t="shared" si="195"/>
        <v>478</v>
      </c>
      <c r="CY369" s="7">
        <f t="shared" si="196"/>
        <v>478</v>
      </c>
      <c r="CZ369" s="7">
        <f t="shared" si="197"/>
        <v>478</v>
      </c>
      <c r="DA369" s="7">
        <f t="shared" si="198"/>
        <v>478</v>
      </c>
      <c r="DB369" s="7">
        <f t="shared" si="199"/>
        <v>478</v>
      </c>
      <c r="DC369" s="7">
        <f t="shared" si="200"/>
        <v>478</v>
      </c>
      <c r="DD369" s="7">
        <f t="shared" si="201"/>
        <v>478</v>
      </c>
      <c r="DE369" s="7">
        <f t="shared" si="202"/>
        <v>478</v>
      </c>
      <c r="DF369" s="7">
        <f t="shared" si="203"/>
        <v>478</v>
      </c>
      <c r="DH369" s="7">
        <f t="shared" si="204"/>
        <v>478</v>
      </c>
      <c r="DI369" s="7">
        <f t="shared" si="205"/>
        <v>478</v>
      </c>
      <c r="DJ369" s="7">
        <f t="shared" si="206"/>
        <v>478</v>
      </c>
      <c r="DK369" s="7">
        <f t="shared" si="207"/>
        <v>478</v>
      </c>
      <c r="DL369" s="7">
        <f t="shared" si="208"/>
        <v>478</v>
      </c>
      <c r="DM369" s="7">
        <f t="shared" si="209"/>
        <v>478</v>
      </c>
      <c r="DN369" s="7">
        <f t="shared" si="210"/>
        <v>478</v>
      </c>
      <c r="DO369" s="7">
        <f t="shared" si="211"/>
        <v>478</v>
      </c>
      <c r="DP369" s="7">
        <f t="shared" si="212"/>
        <v>478</v>
      </c>
    </row>
    <row r="370" spans="1:130" ht="25.5" customHeight="1" x14ac:dyDescent="0.25">
      <c r="A370" s="92" t="str">
        <f t="shared" ref="A370:A401" si="220">VLOOKUP(C370,CU,6,FALSE)</f>
        <v>CK-NoKy [32]</v>
      </c>
      <c r="B370" s="92" t="str">
        <f t="shared" ref="B370:B401" si="221">VLOOKUP(C370,CU,7,FALSE)</f>
        <v>Nootka and Kyuquot</v>
      </c>
      <c r="C370" s="93" t="str">
        <f t="shared" si="186"/>
        <v>ESPINOSA CREEK_Chinook</v>
      </c>
      <c r="D370" s="128" t="s">
        <v>598</v>
      </c>
      <c r="E370" s="128" t="s">
        <v>598</v>
      </c>
      <c r="F370" s="64">
        <v>25</v>
      </c>
      <c r="G370" s="72" t="s">
        <v>243</v>
      </c>
      <c r="H370" s="65" t="s">
        <v>97</v>
      </c>
      <c r="I370" s="119"/>
      <c r="J370" s="119"/>
      <c r="K370" s="64">
        <v>4</v>
      </c>
      <c r="L370" s="52">
        <v>9</v>
      </c>
      <c r="M370" s="52">
        <v>6</v>
      </c>
      <c r="N370" s="52">
        <f t="shared" ref="N370:N401" si="222">GEOMEAN(AJ370:AW370)</f>
        <v>16.727094633133639</v>
      </c>
      <c r="O370" s="52">
        <f t="shared" ref="O370:O401" si="223">MAX(AJ370:CM370)</f>
        <v>400</v>
      </c>
      <c r="P370" s="52">
        <f t="shared" ref="P370:P401" si="224">GEOMEAN(AJ370:CM370)</f>
        <v>26.364496143316501</v>
      </c>
      <c r="Q370" s="66"/>
      <c r="R370" s="39"/>
      <c r="S370" s="74" t="s">
        <v>450</v>
      </c>
      <c r="T370" s="81">
        <f t="shared" si="187"/>
        <v>62.25</v>
      </c>
      <c r="U370" s="81">
        <f t="shared" si="188"/>
        <v>40.625</v>
      </c>
      <c r="V370" s="233">
        <v>5</v>
      </c>
      <c r="W370" s="52">
        <v>33</v>
      </c>
      <c r="X370" s="52">
        <v>98</v>
      </c>
      <c r="Y370" s="52">
        <v>113</v>
      </c>
      <c r="Z370" s="52">
        <v>21</v>
      </c>
      <c r="AA370" s="52">
        <v>33</v>
      </c>
      <c r="AB370" s="144" t="s">
        <v>262</v>
      </c>
      <c r="AC370" s="52">
        <v>6</v>
      </c>
      <c r="AD370" s="52" t="s">
        <v>263</v>
      </c>
      <c r="AE370" s="144" t="s">
        <v>262</v>
      </c>
      <c r="AF370" s="52" t="s">
        <v>262</v>
      </c>
      <c r="AG370" s="144">
        <v>16</v>
      </c>
      <c r="AH370" s="53">
        <v>21</v>
      </c>
      <c r="AI370" s="53">
        <v>11</v>
      </c>
      <c r="AJ370" s="53">
        <v>25</v>
      </c>
      <c r="AK370" s="53">
        <v>5</v>
      </c>
      <c r="AL370" s="89">
        <v>7</v>
      </c>
      <c r="AM370" s="52" t="s">
        <v>102</v>
      </c>
      <c r="AN370" s="53">
        <v>12</v>
      </c>
      <c r="AO370" s="53" t="s">
        <v>262</v>
      </c>
      <c r="AP370" s="53">
        <v>19</v>
      </c>
      <c r="AQ370" s="53" t="s">
        <v>263</v>
      </c>
      <c r="AR370" s="53" t="s">
        <v>262</v>
      </c>
      <c r="AS370" s="52">
        <v>60</v>
      </c>
      <c r="AT370" s="52">
        <v>64</v>
      </c>
      <c r="AU370" s="52" t="s">
        <v>262</v>
      </c>
      <c r="AV370" s="52" t="s">
        <v>102</v>
      </c>
      <c r="AW370" s="52">
        <v>8</v>
      </c>
      <c r="AX370" s="51" t="s">
        <v>264</v>
      </c>
      <c r="AY370" s="53" t="s">
        <v>264</v>
      </c>
      <c r="AZ370" s="53" t="s">
        <v>102</v>
      </c>
      <c r="BA370" s="53" t="s">
        <v>264</v>
      </c>
      <c r="BB370" s="53" t="s">
        <v>262</v>
      </c>
      <c r="BC370" s="53">
        <v>5</v>
      </c>
      <c r="BD370" s="53" t="s">
        <v>102</v>
      </c>
      <c r="BE370" s="53" t="s">
        <v>264</v>
      </c>
      <c r="BF370" s="53">
        <v>10</v>
      </c>
      <c r="BG370" s="53" t="s">
        <v>262</v>
      </c>
      <c r="BH370" s="53" t="s">
        <v>262</v>
      </c>
      <c r="BI370" s="53" t="s">
        <v>264</v>
      </c>
      <c r="BJ370" s="53" t="s">
        <v>264</v>
      </c>
      <c r="BK370" s="53">
        <v>20</v>
      </c>
      <c r="BL370" s="53" t="s">
        <v>264</v>
      </c>
      <c r="BM370" s="53" t="s">
        <v>264</v>
      </c>
      <c r="BN370" s="53">
        <v>85</v>
      </c>
      <c r="BO370" s="53" t="s">
        <v>264</v>
      </c>
      <c r="BP370" s="53" t="s">
        <v>264</v>
      </c>
      <c r="BQ370" s="53">
        <v>25</v>
      </c>
      <c r="BR370" s="53">
        <v>25</v>
      </c>
      <c r="BS370" s="53">
        <v>25</v>
      </c>
      <c r="BT370" s="53">
        <v>25</v>
      </c>
      <c r="BU370" s="53">
        <v>25</v>
      </c>
      <c r="BV370" s="53">
        <v>25</v>
      </c>
      <c r="BW370" s="53">
        <v>25</v>
      </c>
      <c r="BX370" s="53" t="s">
        <v>262</v>
      </c>
      <c r="BY370" s="53">
        <v>25</v>
      </c>
      <c r="BZ370" s="53">
        <v>25</v>
      </c>
      <c r="CA370" s="53">
        <v>75</v>
      </c>
      <c r="CB370" s="53">
        <v>400</v>
      </c>
      <c r="CC370" s="53">
        <v>75</v>
      </c>
      <c r="CD370" s="53">
        <v>75</v>
      </c>
      <c r="CE370" s="53" t="s">
        <v>264</v>
      </c>
      <c r="CF370" s="53" t="s">
        <v>264</v>
      </c>
      <c r="CG370" s="53" t="s">
        <v>264</v>
      </c>
      <c r="CH370" s="53" t="s">
        <v>264</v>
      </c>
      <c r="CI370" s="53" t="s">
        <v>264</v>
      </c>
      <c r="CJ370" s="53" t="s">
        <v>264</v>
      </c>
      <c r="CK370" s="53" t="s">
        <v>264</v>
      </c>
      <c r="CL370" s="53" t="s">
        <v>264</v>
      </c>
      <c r="CM370" s="53" t="s">
        <v>264</v>
      </c>
      <c r="CN370" s="206"/>
      <c r="CO370" s="206"/>
      <c r="CP370" s="206"/>
      <c r="CQ370" s="8">
        <f t="shared" si="189"/>
        <v>5</v>
      </c>
      <c r="CR370" s="8">
        <f t="shared" si="190"/>
        <v>400</v>
      </c>
      <c r="CS370" s="8">
        <f t="shared" si="191"/>
        <v>43.628571428571426</v>
      </c>
      <c r="CT370">
        <f t="shared" si="192"/>
        <v>25.075756944976217</v>
      </c>
      <c r="CU370" s="143">
        <f t="shared" si="193"/>
        <v>54</v>
      </c>
      <c r="CV370" s="143">
        <f t="shared" si="194"/>
        <v>40.625</v>
      </c>
      <c r="CX370" s="7">
        <f t="shared" si="195"/>
        <v>5</v>
      </c>
      <c r="CY370" s="7">
        <f t="shared" si="196"/>
        <v>8.1999999999999993</v>
      </c>
      <c r="CZ370" s="7">
        <f t="shared" si="197"/>
        <v>10.8</v>
      </c>
      <c r="DA370" s="7">
        <f t="shared" si="198"/>
        <v>14</v>
      </c>
      <c r="DB370" s="7">
        <f t="shared" si="199"/>
        <v>25</v>
      </c>
      <c r="DC370" s="7">
        <f t="shared" si="200"/>
        <v>25</v>
      </c>
      <c r="DD370" s="7">
        <f t="shared" si="201"/>
        <v>25</v>
      </c>
      <c r="DE370" s="7">
        <f t="shared" si="202"/>
        <v>46.5</v>
      </c>
      <c r="DF370" s="7">
        <f t="shared" si="203"/>
        <v>75</v>
      </c>
      <c r="DH370" s="7">
        <f t="shared" si="204"/>
        <v>5</v>
      </c>
      <c r="DI370" s="7">
        <f t="shared" si="205"/>
        <v>6.55</v>
      </c>
      <c r="DJ370" s="7">
        <f t="shared" si="206"/>
        <v>7.4</v>
      </c>
      <c r="DK370" s="7">
        <f t="shared" si="207"/>
        <v>8.75</v>
      </c>
      <c r="DL370" s="7">
        <f t="shared" si="208"/>
        <v>20</v>
      </c>
      <c r="DM370" s="7">
        <f t="shared" si="209"/>
        <v>21.799999999999997</v>
      </c>
      <c r="DN370" s="7">
        <f t="shared" si="210"/>
        <v>25.400000000000006</v>
      </c>
      <c r="DO370" s="7">
        <f t="shared" si="211"/>
        <v>33</v>
      </c>
      <c r="DP370" s="7">
        <f t="shared" si="212"/>
        <v>61.8</v>
      </c>
    </row>
    <row r="371" spans="1:130" ht="25.5" hidden="1" customHeight="1" x14ac:dyDescent="0.25">
      <c r="A371" s="92" t="str">
        <f t="shared" si="220"/>
        <v>CM-SWVI [10]</v>
      </c>
      <c r="B371" s="92" t="str">
        <f t="shared" si="221"/>
        <v>Southwest Vancouver Island</v>
      </c>
      <c r="C371" s="93" t="str">
        <f t="shared" si="186"/>
        <v>ESPINOSA CREEK_Chum</v>
      </c>
      <c r="D371" s="128" t="s">
        <v>598</v>
      </c>
      <c r="E371" s="128" t="s">
        <v>598</v>
      </c>
      <c r="F371" s="64">
        <v>25</v>
      </c>
      <c r="G371" s="72" t="s">
        <v>243</v>
      </c>
      <c r="H371" s="67" t="s">
        <v>96</v>
      </c>
      <c r="I371" s="119"/>
      <c r="J371" s="119"/>
      <c r="K371" s="64">
        <v>4</v>
      </c>
      <c r="L371" s="52">
        <v>9</v>
      </c>
      <c r="M371" s="52">
        <v>7</v>
      </c>
      <c r="N371" s="52">
        <f t="shared" si="222"/>
        <v>3436.6130817682515</v>
      </c>
      <c r="O371" s="52">
        <f t="shared" si="223"/>
        <v>25538</v>
      </c>
      <c r="P371" s="52">
        <f t="shared" si="224"/>
        <v>2190.5518813015415</v>
      </c>
      <c r="Q371" s="66"/>
      <c r="R371" s="39"/>
      <c r="S371" s="74" t="s">
        <v>451</v>
      </c>
      <c r="T371" s="81">
        <f t="shared" si="187"/>
        <v>1036.75</v>
      </c>
      <c r="U371" s="81">
        <f t="shared" si="188"/>
        <v>1782.9</v>
      </c>
      <c r="V371" s="233">
        <v>525</v>
      </c>
      <c r="W371" s="52">
        <v>626</v>
      </c>
      <c r="X371" s="52">
        <v>1605</v>
      </c>
      <c r="Y371" s="52">
        <v>1391</v>
      </c>
      <c r="Z371" s="52">
        <v>4582</v>
      </c>
      <c r="AA371" s="52">
        <v>534</v>
      </c>
      <c r="AB371" s="52">
        <v>7</v>
      </c>
      <c r="AC371" s="52" t="s">
        <v>263</v>
      </c>
      <c r="AD371" s="52" t="s">
        <v>262</v>
      </c>
      <c r="AE371" s="144">
        <v>889</v>
      </c>
      <c r="AF371" s="52">
        <v>1107</v>
      </c>
      <c r="AG371" s="144">
        <v>6563</v>
      </c>
      <c r="AH371" s="53">
        <v>1531</v>
      </c>
      <c r="AI371" s="53">
        <v>2040</v>
      </c>
      <c r="AJ371" s="53">
        <v>1375</v>
      </c>
      <c r="AK371" s="53">
        <v>5325</v>
      </c>
      <c r="AL371" s="89">
        <v>5579</v>
      </c>
      <c r="AM371" s="52" t="s">
        <v>102</v>
      </c>
      <c r="AN371" s="53">
        <v>6215</v>
      </c>
      <c r="AO371" s="53">
        <v>2520</v>
      </c>
      <c r="AP371" s="52">
        <v>2660</v>
      </c>
      <c r="AQ371" s="52" t="s">
        <v>263</v>
      </c>
      <c r="AR371" s="53" t="s">
        <v>263</v>
      </c>
      <c r="AS371" s="52">
        <v>3500</v>
      </c>
      <c r="AT371" s="52">
        <v>25538</v>
      </c>
      <c r="AU371" s="52">
        <v>700</v>
      </c>
      <c r="AV371" s="52" t="s">
        <v>102</v>
      </c>
      <c r="AW371" s="52">
        <v>2158</v>
      </c>
      <c r="AX371" s="51">
        <v>1500</v>
      </c>
      <c r="AY371" s="53">
        <v>2000</v>
      </c>
      <c r="AZ371" s="53">
        <v>2200</v>
      </c>
      <c r="BA371" s="53">
        <v>9000</v>
      </c>
      <c r="BB371" s="53">
        <v>740</v>
      </c>
      <c r="BC371" s="53">
        <v>750</v>
      </c>
      <c r="BD371" s="53" t="s">
        <v>102</v>
      </c>
      <c r="BE371" s="53">
        <v>4500</v>
      </c>
      <c r="BF371" s="53">
        <v>2100</v>
      </c>
      <c r="BG371" s="53">
        <v>2500</v>
      </c>
      <c r="BH371" s="53">
        <v>1200</v>
      </c>
      <c r="BI371" s="53">
        <v>3500</v>
      </c>
      <c r="BJ371" s="53">
        <v>2500</v>
      </c>
      <c r="BK371" s="53">
        <v>3500</v>
      </c>
      <c r="BL371" s="53">
        <v>3500</v>
      </c>
      <c r="BM371" s="53">
        <v>1750</v>
      </c>
      <c r="BN371" s="53">
        <v>12000</v>
      </c>
      <c r="BO371" s="53">
        <v>3000</v>
      </c>
      <c r="BP371" s="53">
        <v>400</v>
      </c>
      <c r="BQ371" s="53">
        <v>750</v>
      </c>
      <c r="BR371" s="53">
        <v>1500</v>
      </c>
      <c r="BS371" s="53">
        <v>3500</v>
      </c>
      <c r="BT371" s="53">
        <v>3500</v>
      </c>
      <c r="BU371" s="53">
        <v>750</v>
      </c>
      <c r="BV371" s="53">
        <v>600</v>
      </c>
      <c r="BW371" s="53">
        <v>750</v>
      </c>
      <c r="BX371" s="53">
        <v>400</v>
      </c>
      <c r="BY371" s="53">
        <v>1500</v>
      </c>
      <c r="BZ371" s="53">
        <v>1500</v>
      </c>
      <c r="CA371" s="53">
        <v>1500</v>
      </c>
      <c r="CB371" s="53">
        <v>1500</v>
      </c>
      <c r="CC371" s="53">
        <v>3000</v>
      </c>
      <c r="CD371" s="53">
        <v>750</v>
      </c>
      <c r="CE371" s="53">
        <v>3500</v>
      </c>
      <c r="CF371" s="53">
        <v>7500</v>
      </c>
      <c r="CG371" s="53">
        <v>3500</v>
      </c>
      <c r="CH371" s="53">
        <v>3500</v>
      </c>
      <c r="CI371" s="53">
        <v>3500</v>
      </c>
      <c r="CJ371" s="53">
        <v>1500</v>
      </c>
      <c r="CK371" s="53">
        <v>1500</v>
      </c>
      <c r="CL371" s="53">
        <v>1000</v>
      </c>
      <c r="CM371" s="53">
        <v>7500</v>
      </c>
      <c r="CN371" s="206"/>
      <c r="CO371" s="206"/>
      <c r="CP371" s="206"/>
      <c r="CQ371" s="8">
        <f t="shared" si="189"/>
        <v>7</v>
      </c>
      <c r="CR371" s="8">
        <f t="shared" si="190"/>
        <v>25538</v>
      </c>
      <c r="CS371" s="8">
        <f t="shared" si="191"/>
        <v>2985.8730158730159</v>
      </c>
      <c r="CT371">
        <f t="shared" si="192"/>
        <v>1845.9744399043527</v>
      </c>
      <c r="CU371" s="143">
        <f t="shared" si="193"/>
        <v>1745.8</v>
      </c>
      <c r="CV371" s="143">
        <f t="shared" si="194"/>
        <v>1782.9</v>
      </c>
      <c r="CX371" s="7">
        <f t="shared" si="195"/>
        <v>525.9</v>
      </c>
      <c r="CY371" s="7">
        <f t="shared" si="196"/>
        <v>750</v>
      </c>
      <c r="CZ371" s="7">
        <f t="shared" si="197"/>
        <v>750</v>
      </c>
      <c r="DA371" s="7">
        <f t="shared" si="198"/>
        <v>1053.5</v>
      </c>
      <c r="DB371" s="7">
        <f t="shared" si="199"/>
        <v>2000</v>
      </c>
      <c r="DC371" s="7">
        <f t="shared" si="200"/>
        <v>2504</v>
      </c>
      <c r="DD371" s="7">
        <f t="shared" si="201"/>
        <v>3000</v>
      </c>
      <c r="DE371" s="7">
        <f t="shared" si="202"/>
        <v>3500</v>
      </c>
      <c r="DF371" s="7">
        <f t="shared" si="203"/>
        <v>4557.3999999999996</v>
      </c>
      <c r="DH371" s="7">
        <f t="shared" si="204"/>
        <v>525.45000000000005</v>
      </c>
      <c r="DI371" s="7">
        <f t="shared" si="205"/>
        <v>637.1</v>
      </c>
      <c r="DJ371" s="7">
        <f t="shared" si="206"/>
        <v>737.80000000000007</v>
      </c>
      <c r="DK371" s="7">
        <f t="shared" si="207"/>
        <v>943.5</v>
      </c>
      <c r="DL371" s="7">
        <f t="shared" si="208"/>
        <v>1822.5</v>
      </c>
      <c r="DM371" s="7">
        <f t="shared" si="209"/>
        <v>2375.1999999999998</v>
      </c>
      <c r="DN371" s="7">
        <f t="shared" si="210"/>
        <v>2611</v>
      </c>
      <c r="DO371" s="7">
        <f t="shared" si="211"/>
        <v>4311.5</v>
      </c>
      <c r="DP371" s="7">
        <f t="shared" si="212"/>
        <v>5540.9</v>
      </c>
    </row>
    <row r="372" spans="1:130" ht="25.5" hidden="1" customHeight="1" x14ac:dyDescent="0.25">
      <c r="A372" s="92" t="str">
        <f t="shared" si="220"/>
        <v>CO-WVI [17]</v>
      </c>
      <c r="B372" s="92" t="str">
        <f t="shared" si="221"/>
        <v>West Vancouver Island</v>
      </c>
      <c r="C372" s="93" t="str">
        <f t="shared" si="186"/>
        <v>ESPINOSA CREEK_Coho</v>
      </c>
      <c r="D372" s="128" t="s">
        <v>598</v>
      </c>
      <c r="E372" s="128" t="s">
        <v>598</v>
      </c>
      <c r="F372" s="64">
        <v>25</v>
      </c>
      <c r="G372" s="72" t="s">
        <v>243</v>
      </c>
      <c r="H372" s="65" t="s">
        <v>93</v>
      </c>
      <c r="I372" s="119"/>
      <c r="J372" s="119"/>
      <c r="K372" s="64">
        <v>4</v>
      </c>
      <c r="L372" s="52">
        <v>9</v>
      </c>
      <c r="M372" s="52">
        <v>8</v>
      </c>
      <c r="N372" s="52">
        <f t="shared" si="222"/>
        <v>36.298480863747407</v>
      </c>
      <c r="O372" s="52">
        <f t="shared" si="223"/>
        <v>750</v>
      </c>
      <c r="P372" s="52">
        <f t="shared" si="224"/>
        <v>54.246837466855268</v>
      </c>
      <c r="Q372" s="66"/>
      <c r="R372" s="39"/>
      <c r="S372" s="74" t="s">
        <v>452</v>
      </c>
      <c r="T372" s="81">
        <f t="shared" si="187"/>
        <v>63.666666666666664</v>
      </c>
      <c r="U372" s="81">
        <f t="shared" si="188"/>
        <v>86.833333333333329</v>
      </c>
      <c r="V372" s="232" t="s">
        <v>262</v>
      </c>
      <c r="W372" s="52">
        <v>69</v>
      </c>
      <c r="X372" s="52">
        <v>26</v>
      </c>
      <c r="Y372" s="52">
        <v>96</v>
      </c>
      <c r="Z372" s="52">
        <v>156</v>
      </c>
      <c r="AA372" s="52">
        <v>41</v>
      </c>
      <c r="AB372" s="144" t="s">
        <v>262</v>
      </c>
      <c r="AC372" s="52" t="s">
        <v>263</v>
      </c>
      <c r="AD372" s="52" t="s">
        <v>263</v>
      </c>
      <c r="AE372" s="144" t="s">
        <v>262</v>
      </c>
      <c r="AF372" s="52" t="s">
        <v>263</v>
      </c>
      <c r="AG372" s="144">
        <v>133</v>
      </c>
      <c r="AH372" s="53">
        <v>172</v>
      </c>
      <c r="AI372" s="53">
        <v>66</v>
      </c>
      <c r="AJ372" s="53">
        <v>106</v>
      </c>
      <c r="AK372" s="53">
        <v>22</v>
      </c>
      <c r="AL372" s="89">
        <v>32</v>
      </c>
      <c r="AM372" s="52" t="s">
        <v>102</v>
      </c>
      <c r="AN372" s="53">
        <v>113</v>
      </c>
      <c r="AO372" s="53">
        <v>20</v>
      </c>
      <c r="AP372" s="53">
        <v>7</v>
      </c>
      <c r="AQ372" s="53" t="s">
        <v>263</v>
      </c>
      <c r="AR372" s="53" t="s">
        <v>263</v>
      </c>
      <c r="AS372" s="52">
        <v>117</v>
      </c>
      <c r="AT372" s="52">
        <v>99</v>
      </c>
      <c r="AU372" s="52" t="s">
        <v>262</v>
      </c>
      <c r="AV372" s="52" t="s">
        <v>102</v>
      </c>
      <c r="AW372" s="52">
        <v>8</v>
      </c>
      <c r="AX372" s="51" t="s">
        <v>262</v>
      </c>
      <c r="AY372" s="53" t="s">
        <v>264</v>
      </c>
      <c r="AZ372" s="53">
        <v>5</v>
      </c>
      <c r="BA372" s="53" t="s">
        <v>262</v>
      </c>
      <c r="BB372" s="53" t="s">
        <v>262</v>
      </c>
      <c r="BC372" s="53" t="s">
        <v>262</v>
      </c>
      <c r="BD372" s="53" t="s">
        <v>102</v>
      </c>
      <c r="BE372" s="53">
        <v>200</v>
      </c>
      <c r="BF372" s="53">
        <v>50</v>
      </c>
      <c r="BG372" s="53">
        <v>50</v>
      </c>
      <c r="BH372" s="53" t="s">
        <v>262</v>
      </c>
      <c r="BI372" s="53" t="s">
        <v>264</v>
      </c>
      <c r="BJ372" s="53" t="s">
        <v>264</v>
      </c>
      <c r="BK372" s="53" t="s">
        <v>264</v>
      </c>
      <c r="BL372" s="53" t="s">
        <v>264</v>
      </c>
      <c r="BM372" s="53">
        <v>30</v>
      </c>
      <c r="BN372" s="53">
        <v>50</v>
      </c>
      <c r="BO372" s="53">
        <v>50</v>
      </c>
      <c r="BP372" s="53" t="s">
        <v>264</v>
      </c>
      <c r="BQ372" s="53">
        <v>25</v>
      </c>
      <c r="BR372" s="53">
        <v>25</v>
      </c>
      <c r="BS372" s="53">
        <v>25</v>
      </c>
      <c r="BT372" s="53">
        <v>25</v>
      </c>
      <c r="BU372" s="53">
        <v>25</v>
      </c>
      <c r="BV372" s="53" t="s">
        <v>262</v>
      </c>
      <c r="BW372" s="53">
        <v>25</v>
      </c>
      <c r="BX372" s="53">
        <v>25</v>
      </c>
      <c r="BY372" s="53">
        <v>75</v>
      </c>
      <c r="BZ372" s="53">
        <v>400</v>
      </c>
      <c r="CA372" s="53">
        <v>400</v>
      </c>
      <c r="CB372" s="53">
        <v>400</v>
      </c>
      <c r="CC372" s="53">
        <v>250</v>
      </c>
      <c r="CD372" s="53">
        <v>200</v>
      </c>
      <c r="CE372" s="53">
        <v>25</v>
      </c>
      <c r="CF372" s="53">
        <v>25</v>
      </c>
      <c r="CG372" s="53">
        <v>75</v>
      </c>
      <c r="CH372" s="53">
        <v>75</v>
      </c>
      <c r="CI372" s="53">
        <v>25</v>
      </c>
      <c r="CJ372" s="53">
        <v>25</v>
      </c>
      <c r="CK372" s="53" t="s">
        <v>262</v>
      </c>
      <c r="CL372" s="53">
        <v>300</v>
      </c>
      <c r="CM372" s="53">
        <v>750</v>
      </c>
      <c r="CN372" s="206"/>
      <c r="CO372" s="206"/>
      <c r="CP372" s="206"/>
      <c r="CQ372" s="8">
        <f t="shared" si="189"/>
        <v>5</v>
      </c>
      <c r="CR372" s="8">
        <f t="shared" si="190"/>
        <v>750</v>
      </c>
      <c r="CS372" s="8">
        <f t="shared" si="191"/>
        <v>109.28888888888889</v>
      </c>
      <c r="CT372">
        <f t="shared" si="192"/>
        <v>58.114431899513633</v>
      </c>
      <c r="CU372" s="143">
        <f t="shared" si="193"/>
        <v>86.75</v>
      </c>
      <c r="CV372" s="143">
        <f t="shared" si="194"/>
        <v>86.833333333333329</v>
      </c>
      <c r="CX372" s="7">
        <f t="shared" si="195"/>
        <v>10.400000000000002</v>
      </c>
      <c r="CY372" s="7">
        <f t="shared" si="196"/>
        <v>25</v>
      </c>
      <c r="CZ372" s="7">
        <f t="shared" si="197"/>
        <v>25</v>
      </c>
      <c r="DA372" s="7">
        <f t="shared" si="198"/>
        <v>25</v>
      </c>
      <c r="DB372" s="7">
        <f t="shared" si="199"/>
        <v>50</v>
      </c>
      <c r="DC372" s="7">
        <f t="shared" si="200"/>
        <v>75</v>
      </c>
      <c r="DD372" s="7">
        <f t="shared" si="201"/>
        <v>87.600000000000023</v>
      </c>
      <c r="DE372" s="7">
        <f t="shared" si="202"/>
        <v>117</v>
      </c>
      <c r="DF372" s="7">
        <f t="shared" si="203"/>
        <v>200</v>
      </c>
      <c r="DH372" s="7">
        <f t="shared" si="204"/>
        <v>7.8</v>
      </c>
      <c r="DI372" s="7">
        <f t="shared" si="205"/>
        <v>20.8</v>
      </c>
      <c r="DJ372" s="7">
        <f t="shared" si="206"/>
        <v>22.8</v>
      </c>
      <c r="DK372" s="7">
        <f t="shared" si="207"/>
        <v>26</v>
      </c>
      <c r="DL372" s="7">
        <f t="shared" si="208"/>
        <v>69</v>
      </c>
      <c r="DM372" s="7">
        <f t="shared" si="209"/>
        <v>97.8</v>
      </c>
      <c r="DN372" s="7">
        <f t="shared" si="210"/>
        <v>101.8</v>
      </c>
      <c r="DO372" s="7">
        <f t="shared" si="211"/>
        <v>113</v>
      </c>
      <c r="DP372" s="7">
        <f t="shared" si="212"/>
        <v>126.6</v>
      </c>
    </row>
    <row r="373" spans="1:130" ht="25.5" hidden="1" customHeight="1" x14ac:dyDescent="0.25">
      <c r="A373" s="92" t="str">
        <f t="shared" si="220"/>
        <v>Pkodd-WVI [6]</v>
      </c>
      <c r="B373" s="92" t="str">
        <f t="shared" si="221"/>
        <v>West Vancouver Island</v>
      </c>
      <c r="C373" s="93" t="str">
        <f t="shared" si="186"/>
        <v>ESPINOSA CREEK_Pink</v>
      </c>
      <c r="D373" s="128" t="s">
        <v>598</v>
      </c>
      <c r="E373" s="128" t="s">
        <v>598</v>
      </c>
      <c r="F373" s="64">
        <v>25</v>
      </c>
      <c r="G373" s="72" t="s">
        <v>243</v>
      </c>
      <c r="H373" s="65" t="s">
        <v>95</v>
      </c>
      <c r="I373" s="119"/>
      <c r="J373" s="119"/>
      <c r="K373" s="64">
        <v>4</v>
      </c>
      <c r="L373" s="52">
        <v>9</v>
      </c>
      <c r="M373" s="52">
        <v>3</v>
      </c>
      <c r="N373" s="52">
        <f t="shared" si="222"/>
        <v>5.2800917653597237</v>
      </c>
      <c r="O373" s="52">
        <f t="shared" si="223"/>
        <v>7500</v>
      </c>
      <c r="P373" s="52">
        <f t="shared" si="224"/>
        <v>155.04300454207325</v>
      </c>
      <c r="Q373" s="66"/>
      <c r="R373" s="39"/>
      <c r="S373" s="74"/>
      <c r="T373" s="81" t="e">
        <f t="shared" si="187"/>
        <v>#DIV/0!</v>
      </c>
      <c r="U373" s="81">
        <f t="shared" si="188"/>
        <v>10.75</v>
      </c>
      <c r="V373" s="232" t="s">
        <v>262</v>
      </c>
      <c r="W373" s="52" t="s">
        <v>262</v>
      </c>
      <c r="X373" s="52" t="s">
        <v>262</v>
      </c>
      <c r="Y373" s="36" t="s">
        <v>262</v>
      </c>
      <c r="Z373" s="195" t="s">
        <v>676</v>
      </c>
      <c r="AA373" s="52" t="s">
        <v>262</v>
      </c>
      <c r="AB373" s="144" t="s">
        <v>262</v>
      </c>
      <c r="AC373" s="52">
        <v>24</v>
      </c>
      <c r="AD373" s="52">
        <v>6</v>
      </c>
      <c r="AE373" s="144">
        <v>12</v>
      </c>
      <c r="AF373" s="52" t="s">
        <v>262</v>
      </c>
      <c r="AG373" s="144">
        <v>1</v>
      </c>
      <c r="AH373" s="53">
        <v>1</v>
      </c>
      <c r="AI373" s="52" t="s">
        <v>262</v>
      </c>
      <c r="AJ373" s="53">
        <v>3</v>
      </c>
      <c r="AK373" s="53" t="s">
        <v>262</v>
      </c>
      <c r="AL373" s="89">
        <v>1</v>
      </c>
      <c r="AM373" s="52" t="s">
        <v>102</v>
      </c>
      <c r="AN373" s="53">
        <v>3</v>
      </c>
      <c r="AO373" s="53" t="s">
        <v>262</v>
      </c>
      <c r="AP373" s="53" t="s">
        <v>262</v>
      </c>
      <c r="AQ373" s="53" t="s">
        <v>262</v>
      </c>
      <c r="AR373" s="53" t="s">
        <v>262</v>
      </c>
      <c r="AS373" s="52">
        <v>6</v>
      </c>
      <c r="AT373" s="52" t="s">
        <v>262</v>
      </c>
      <c r="AU373" s="52" t="s">
        <v>262</v>
      </c>
      <c r="AV373" s="52" t="s">
        <v>102</v>
      </c>
      <c r="AW373" s="52">
        <v>76</v>
      </c>
      <c r="AX373" s="51" t="s">
        <v>264</v>
      </c>
      <c r="AY373" s="53" t="s">
        <v>264</v>
      </c>
      <c r="AZ373" s="53" t="s">
        <v>102</v>
      </c>
      <c r="BA373" s="53" t="s">
        <v>264</v>
      </c>
      <c r="BB373" s="53" t="s">
        <v>264</v>
      </c>
      <c r="BC373" s="53" t="s">
        <v>264</v>
      </c>
      <c r="BD373" s="53" t="s">
        <v>102</v>
      </c>
      <c r="BE373" s="53" t="s">
        <v>264</v>
      </c>
      <c r="BF373" s="53" t="s">
        <v>264</v>
      </c>
      <c r="BG373" s="53" t="s">
        <v>262</v>
      </c>
      <c r="BH373" s="53" t="s">
        <v>262</v>
      </c>
      <c r="BI373" s="53" t="s">
        <v>264</v>
      </c>
      <c r="BJ373" s="53" t="s">
        <v>264</v>
      </c>
      <c r="BK373" s="53" t="s">
        <v>264</v>
      </c>
      <c r="BL373" s="53">
        <v>1000</v>
      </c>
      <c r="BM373" s="53" t="s">
        <v>264</v>
      </c>
      <c r="BN373" s="53">
        <v>1200</v>
      </c>
      <c r="BO373" s="53" t="s">
        <v>264</v>
      </c>
      <c r="BP373" s="53">
        <v>7500</v>
      </c>
      <c r="BQ373" s="53">
        <v>25</v>
      </c>
      <c r="BR373" s="53">
        <v>750</v>
      </c>
      <c r="BS373" s="53" t="s">
        <v>264</v>
      </c>
      <c r="BT373" s="53">
        <v>3500</v>
      </c>
      <c r="BU373" s="53" t="s">
        <v>262</v>
      </c>
      <c r="BV373" s="53">
        <v>600</v>
      </c>
      <c r="BW373" s="53" t="s">
        <v>262</v>
      </c>
      <c r="BX373" s="53">
        <v>400</v>
      </c>
      <c r="BY373" s="53" t="s">
        <v>262</v>
      </c>
      <c r="BZ373" s="53">
        <v>1500</v>
      </c>
      <c r="CA373" s="53">
        <v>25</v>
      </c>
      <c r="CB373" s="53">
        <v>750</v>
      </c>
      <c r="CC373" s="53" t="s">
        <v>264</v>
      </c>
      <c r="CD373" s="53">
        <v>3500</v>
      </c>
      <c r="CE373" s="53" t="s">
        <v>264</v>
      </c>
      <c r="CF373" s="53">
        <v>75</v>
      </c>
      <c r="CG373" s="53" t="s">
        <v>262</v>
      </c>
      <c r="CH373" s="53">
        <v>600</v>
      </c>
      <c r="CI373" s="53" t="s">
        <v>262</v>
      </c>
      <c r="CJ373" s="53">
        <v>25</v>
      </c>
      <c r="CK373" s="53" t="s">
        <v>264</v>
      </c>
      <c r="CL373" s="53" t="s">
        <v>264</v>
      </c>
      <c r="CM373" s="53" t="s">
        <v>264</v>
      </c>
      <c r="CN373" s="206"/>
      <c r="CO373" s="206"/>
      <c r="CP373" s="206"/>
      <c r="CQ373" s="8">
        <f t="shared" si="189"/>
        <v>1</v>
      </c>
      <c r="CR373" s="8">
        <f t="shared" si="190"/>
        <v>7500</v>
      </c>
      <c r="CS373" s="8">
        <f t="shared" si="191"/>
        <v>863.32</v>
      </c>
      <c r="CT373">
        <f t="shared" si="192"/>
        <v>76.183950690655834</v>
      </c>
      <c r="CU373" s="143" t="e">
        <f t="shared" si="193"/>
        <v>#DIV/0!</v>
      </c>
      <c r="CV373" s="143">
        <f t="shared" si="194"/>
        <v>10.75</v>
      </c>
      <c r="CX373" s="7">
        <f t="shared" si="195"/>
        <v>1</v>
      </c>
      <c r="CY373" s="7">
        <f t="shared" si="196"/>
        <v>3</v>
      </c>
      <c r="CZ373" s="7">
        <f t="shared" si="197"/>
        <v>5.4000000000000021</v>
      </c>
      <c r="DA373" s="7">
        <f t="shared" si="198"/>
        <v>6</v>
      </c>
      <c r="DB373" s="7">
        <f t="shared" si="199"/>
        <v>75</v>
      </c>
      <c r="DC373" s="7">
        <f t="shared" si="200"/>
        <v>479.99999999999972</v>
      </c>
      <c r="DD373" s="7">
        <f t="shared" si="201"/>
        <v>600</v>
      </c>
      <c r="DE373" s="7">
        <f t="shared" si="202"/>
        <v>750</v>
      </c>
      <c r="DF373" s="7">
        <f t="shared" si="203"/>
        <v>1319.9999999999995</v>
      </c>
      <c r="DH373" s="7">
        <f t="shared" si="204"/>
        <v>1</v>
      </c>
      <c r="DI373" s="7">
        <f t="shared" si="205"/>
        <v>1</v>
      </c>
      <c r="DJ373" s="7">
        <f t="shared" si="206"/>
        <v>1</v>
      </c>
      <c r="DK373" s="7">
        <f t="shared" si="207"/>
        <v>1.5</v>
      </c>
      <c r="DL373" s="7">
        <f t="shared" si="208"/>
        <v>4.5</v>
      </c>
      <c r="DM373" s="7">
        <f t="shared" si="209"/>
        <v>6</v>
      </c>
      <c r="DN373" s="7">
        <f t="shared" si="210"/>
        <v>6</v>
      </c>
      <c r="DO373" s="7">
        <f t="shared" si="211"/>
        <v>10.5</v>
      </c>
      <c r="DP373" s="7">
        <f t="shared" si="212"/>
        <v>19.799999999999983</v>
      </c>
    </row>
    <row r="374" spans="1:130" ht="25.5" hidden="1" customHeight="1" x14ac:dyDescent="0.25">
      <c r="A374" s="92" t="str">
        <f t="shared" si="220"/>
        <v>SK-WVI [R10]</v>
      </c>
      <c r="B374" s="92" t="str">
        <f t="shared" si="221"/>
        <v>West Vancouver Island</v>
      </c>
      <c r="C374" s="93" t="str">
        <f t="shared" si="186"/>
        <v>ESPINOSA CREEK_Sockeye</v>
      </c>
      <c r="D374" s="128" t="s">
        <v>598</v>
      </c>
      <c r="E374" s="128" t="s">
        <v>598</v>
      </c>
      <c r="F374" s="64">
        <v>25</v>
      </c>
      <c r="G374" s="72" t="s">
        <v>243</v>
      </c>
      <c r="H374" s="65" t="s">
        <v>91</v>
      </c>
      <c r="I374" s="119"/>
      <c r="J374" s="119"/>
      <c r="K374" s="64">
        <v>4</v>
      </c>
      <c r="L374" s="52">
        <v>9</v>
      </c>
      <c r="M374" s="52">
        <v>6</v>
      </c>
      <c r="N374" s="52">
        <f t="shared" si="222"/>
        <v>26.321027831390843</v>
      </c>
      <c r="O374" s="52">
        <f t="shared" si="223"/>
        <v>293</v>
      </c>
      <c r="P374" s="52">
        <f t="shared" si="224"/>
        <v>16.535847648206115</v>
      </c>
      <c r="Q374" s="66"/>
      <c r="R374" s="39"/>
      <c r="S374" s="74" t="s">
        <v>450</v>
      </c>
      <c r="T374" s="81">
        <f t="shared" si="187"/>
        <v>22.25</v>
      </c>
      <c r="U374" s="81">
        <f t="shared" si="188"/>
        <v>26</v>
      </c>
      <c r="V374" s="233">
        <v>21</v>
      </c>
      <c r="W374" s="52">
        <v>60</v>
      </c>
      <c r="X374" s="52">
        <v>2</v>
      </c>
      <c r="Y374" s="52">
        <v>6</v>
      </c>
      <c r="Z374" s="52" t="s">
        <v>263</v>
      </c>
      <c r="AA374" s="52">
        <v>4</v>
      </c>
      <c r="AB374" s="144" t="s">
        <v>262</v>
      </c>
      <c r="AC374" s="52" t="s">
        <v>102</v>
      </c>
      <c r="AD374" s="52">
        <v>70</v>
      </c>
      <c r="AE374" s="52" t="s">
        <v>262</v>
      </c>
      <c r="AF374" s="52">
        <v>8</v>
      </c>
      <c r="AG374" s="144">
        <v>37</v>
      </c>
      <c r="AH374" s="53">
        <v>23</v>
      </c>
      <c r="AI374" s="53">
        <v>48</v>
      </c>
      <c r="AJ374" s="53">
        <v>13</v>
      </c>
      <c r="AK374" s="53">
        <v>15</v>
      </c>
      <c r="AL374" s="89">
        <v>4</v>
      </c>
      <c r="AM374" s="52" t="s">
        <v>102</v>
      </c>
      <c r="AN374" s="53">
        <v>30</v>
      </c>
      <c r="AO374" s="53" t="s">
        <v>262</v>
      </c>
      <c r="AP374" s="53">
        <v>24</v>
      </c>
      <c r="AQ374" s="53" t="s">
        <v>263</v>
      </c>
      <c r="AR374" s="53" t="s">
        <v>262</v>
      </c>
      <c r="AS374" s="52">
        <v>40</v>
      </c>
      <c r="AT374" s="52">
        <v>293</v>
      </c>
      <c r="AU374" s="52">
        <v>35</v>
      </c>
      <c r="AV374" s="52" t="s">
        <v>102</v>
      </c>
      <c r="AW374" s="52" t="s">
        <v>262</v>
      </c>
      <c r="AX374" s="51">
        <v>50</v>
      </c>
      <c r="AY374" s="53" t="s">
        <v>264</v>
      </c>
      <c r="AZ374" s="53">
        <v>5</v>
      </c>
      <c r="BA374" s="53">
        <v>2</v>
      </c>
      <c r="BB374" s="53" t="s">
        <v>264</v>
      </c>
      <c r="BC374" s="53" t="s">
        <v>264</v>
      </c>
      <c r="BD374" s="53" t="s">
        <v>102</v>
      </c>
      <c r="BE374" s="53" t="s">
        <v>264</v>
      </c>
      <c r="BF374" s="53" t="s">
        <v>264</v>
      </c>
      <c r="BG374" s="53" t="s">
        <v>262</v>
      </c>
      <c r="BH374" s="53" t="s">
        <v>262</v>
      </c>
      <c r="BI374" s="53" t="s">
        <v>264</v>
      </c>
      <c r="BJ374" s="53" t="s">
        <v>264</v>
      </c>
      <c r="BK374" s="53">
        <v>15</v>
      </c>
      <c r="BL374" s="53" t="s">
        <v>264</v>
      </c>
      <c r="BM374" s="53" t="s">
        <v>264</v>
      </c>
      <c r="BN374" s="53">
        <v>4</v>
      </c>
      <c r="BO374" s="53" t="s">
        <v>264</v>
      </c>
      <c r="BP374" s="53" t="s">
        <v>264</v>
      </c>
      <c r="BQ374" s="53" t="s">
        <v>264</v>
      </c>
      <c r="BR374" s="53" t="s">
        <v>264</v>
      </c>
      <c r="BS374" s="53" t="s">
        <v>264</v>
      </c>
      <c r="BT374" s="53" t="s">
        <v>264</v>
      </c>
      <c r="BU374" s="53" t="s">
        <v>264</v>
      </c>
      <c r="BV374" s="53" t="s">
        <v>264</v>
      </c>
      <c r="BW374" s="53" t="s">
        <v>264</v>
      </c>
      <c r="BX374" s="53" t="s">
        <v>264</v>
      </c>
      <c r="BY374" s="53" t="s">
        <v>264</v>
      </c>
      <c r="BZ374" s="53" t="s">
        <v>264</v>
      </c>
      <c r="CA374" s="53" t="s">
        <v>264</v>
      </c>
      <c r="CB374" s="53" t="s">
        <v>264</v>
      </c>
      <c r="CC374" s="53" t="s">
        <v>264</v>
      </c>
      <c r="CD374" s="53" t="s">
        <v>264</v>
      </c>
      <c r="CE374" s="53" t="s">
        <v>264</v>
      </c>
      <c r="CF374" s="53" t="s">
        <v>264</v>
      </c>
      <c r="CG374" s="53" t="s">
        <v>264</v>
      </c>
      <c r="CH374" s="53" t="s">
        <v>264</v>
      </c>
      <c r="CI374" s="53" t="s">
        <v>264</v>
      </c>
      <c r="CJ374" s="53" t="s">
        <v>264</v>
      </c>
      <c r="CK374" s="53" t="s">
        <v>264</v>
      </c>
      <c r="CL374" s="53" t="s">
        <v>264</v>
      </c>
      <c r="CM374" s="53" t="s">
        <v>264</v>
      </c>
      <c r="CN374" s="206"/>
      <c r="CO374" s="206"/>
      <c r="CP374" s="206"/>
      <c r="CQ374" s="8">
        <f t="shared" si="189"/>
        <v>2</v>
      </c>
      <c r="CR374" s="8">
        <f t="shared" si="190"/>
        <v>293</v>
      </c>
      <c r="CS374" s="8">
        <f t="shared" si="191"/>
        <v>35.173913043478258</v>
      </c>
      <c r="CT374">
        <f t="shared" si="192"/>
        <v>16.464331954747408</v>
      </c>
      <c r="CU374" s="143">
        <f t="shared" si="193"/>
        <v>22.25</v>
      </c>
      <c r="CV374" s="143">
        <f t="shared" si="194"/>
        <v>26</v>
      </c>
      <c r="CX374" s="7">
        <f t="shared" si="195"/>
        <v>2.2000000000000002</v>
      </c>
      <c r="CY374" s="7">
        <f t="shared" si="196"/>
        <v>4</v>
      </c>
      <c r="CZ374" s="7">
        <f t="shared" si="197"/>
        <v>4.4000000000000004</v>
      </c>
      <c r="DA374" s="7">
        <f t="shared" si="198"/>
        <v>5.5</v>
      </c>
      <c r="DB374" s="7">
        <f t="shared" si="199"/>
        <v>21</v>
      </c>
      <c r="DC374" s="7">
        <f t="shared" si="200"/>
        <v>25.199999999999996</v>
      </c>
      <c r="DD374" s="7">
        <f t="shared" si="201"/>
        <v>31.500000000000004</v>
      </c>
      <c r="DE374" s="7">
        <f t="shared" si="202"/>
        <v>38.5</v>
      </c>
      <c r="DF374" s="7">
        <f t="shared" si="203"/>
        <v>49.4</v>
      </c>
      <c r="DH374" s="7">
        <f t="shared" si="204"/>
        <v>3.7</v>
      </c>
      <c r="DI374" s="7">
        <f t="shared" si="205"/>
        <v>5.0999999999999996</v>
      </c>
      <c r="DJ374" s="7">
        <f t="shared" si="206"/>
        <v>6.8000000000000007</v>
      </c>
      <c r="DK374" s="7">
        <f t="shared" si="207"/>
        <v>9.25</v>
      </c>
      <c r="DL374" s="7">
        <f t="shared" si="208"/>
        <v>23.5</v>
      </c>
      <c r="DM374" s="7">
        <f t="shared" si="209"/>
        <v>30.999999999999996</v>
      </c>
      <c r="DN374" s="7">
        <f t="shared" si="210"/>
        <v>35.1</v>
      </c>
      <c r="DO374" s="7">
        <f t="shared" si="211"/>
        <v>39.25</v>
      </c>
      <c r="DP374" s="7">
        <f t="shared" si="212"/>
        <v>53.399999999999991</v>
      </c>
    </row>
    <row r="375" spans="1:130" ht="25.5" customHeight="1" x14ac:dyDescent="0.25">
      <c r="A375" s="92" t="str">
        <f t="shared" si="220"/>
        <v>CK-NoKy [32]</v>
      </c>
      <c r="B375" s="92" t="str">
        <f t="shared" si="221"/>
        <v>Nootka and Kyuquot</v>
      </c>
      <c r="C375" s="93" t="str">
        <f t="shared" si="186"/>
        <v>GOLD RIVER_Chinook</v>
      </c>
      <c r="D375" s="128" t="s">
        <v>598</v>
      </c>
      <c r="E375" s="128" t="s">
        <v>598</v>
      </c>
      <c r="F375" s="64">
        <v>25</v>
      </c>
      <c r="G375" s="72" t="s">
        <v>217</v>
      </c>
      <c r="H375" s="65" t="s">
        <v>97</v>
      </c>
      <c r="I375" s="119"/>
      <c r="J375" s="119"/>
      <c r="K375" s="64">
        <v>2</v>
      </c>
      <c r="L375" s="52">
        <v>10</v>
      </c>
      <c r="M375" s="52">
        <v>10</v>
      </c>
      <c r="N375" s="52">
        <f t="shared" si="222"/>
        <v>2143.409358101856</v>
      </c>
      <c r="O375" s="52">
        <f t="shared" si="223"/>
        <v>14654</v>
      </c>
      <c r="P375" s="52">
        <f t="shared" si="224"/>
        <v>1202.4634886002407</v>
      </c>
      <c r="Q375" s="66" t="s">
        <v>269</v>
      </c>
      <c r="R375" s="37"/>
      <c r="S375" s="76" t="s">
        <v>1</v>
      </c>
      <c r="T375" s="81">
        <f t="shared" si="187"/>
        <v>5256.5</v>
      </c>
      <c r="U375" s="81">
        <f t="shared" si="188"/>
        <v>2740</v>
      </c>
      <c r="V375" s="228">
        <v>6895</v>
      </c>
      <c r="W375" s="52">
        <v>4930</v>
      </c>
      <c r="X375" s="52">
        <v>7791</v>
      </c>
      <c r="Y375" s="177">
        <v>1410</v>
      </c>
      <c r="Z375" s="177">
        <v>1556</v>
      </c>
      <c r="AA375" s="198">
        <v>1500</v>
      </c>
      <c r="AB375" s="177">
        <v>2150</v>
      </c>
      <c r="AC375" s="177">
        <v>850</v>
      </c>
      <c r="AD375" s="181">
        <v>2500</v>
      </c>
      <c r="AE375" s="180">
        <v>1580</v>
      </c>
      <c r="AF375" s="177">
        <v>800</v>
      </c>
      <c r="AG375" s="180">
        <v>918</v>
      </c>
      <c r="AH375" s="52" t="s">
        <v>102</v>
      </c>
      <c r="AI375" s="52" t="s">
        <v>102</v>
      </c>
      <c r="AJ375" s="52" t="s">
        <v>263</v>
      </c>
      <c r="AK375" s="52" t="s">
        <v>102</v>
      </c>
      <c r="AL375" s="52" t="s">
        <v>102</v>
      </c>
      <c r="AM375" s="179">
        <v>1000</v>
      </c>
      <c r="AN375" s="181">
        <v>3200</v>
      </c>
      <c r="AO375" s="181">
        <v>14654</v>
      </c>
      <c r="AP375" s="181">
        <v>12696</v>
      </c>
      <c r="AQ375" s="179">
        <v>250</v>
      </c>
      <c r="AR375" s="181">
        <v>500</v>
      </c>
      <c r="AS375" s="181">
        <v>5038</v>
      </c>
      <c r="AT375" s="181">
        <v>9250</v>
      </c>
      <c r="AU375" s="177">
        <v>1874</v>
      </c>
      <c r="AV375" s="177">
        <v>900</v>
      </c>
      <c r="AW375" s="177">
        <v>750</v>
      </c>
      <c r="AX375" s="178">
        <v>3500</v>
      </c>
      <c r="AY375" s="179">
        <v>1700</v>
      </c>
      <c r="AZ375" s="179">
        <v>2500</v>
      </c>
      <c r="BA375" s="179">
        <v>1000</v>
      </c>
      <c r="BB375" s="179">
        <v>1952</v>
      </c>
      <c r="BC375" s="179">
        <v>1000</v>
      </c>
      <c r="BD375" s="179">
        <v>1000</v>
      </c>
      <c r="BE375" s="179">
        <v>600</v>
      </c>
      <c r="BF375" s="179">
        <v>1900</v>
      </c>
      <c r="BG375" s="179">
        <v>1500</v>
      </c>
      <c r="BH375" s="179">
        <v>1500</v>
      </c>
      <c r="BI375" s="179">
        <v>1500</v>
      </c>
      <c r="BJ375" s="179">
        <v>1000</v>
      </c>
      <c r="BK375" s="179">
        <v>560</v>
      </c>
      <c r="BL375" s="179">
        <v>750</v>
      </c>
      <c r="BM375" s="179">
        <v>803</v>
      </c>
      <c r="BN375" s="179">
        <v>3500</v>
      </c>
      <c r="BO375" s="179">
        <v>2000</v>
      </c>
      <c r="BP375" s="179">
        <v>25</v>
      </c>
      <c r="BQ375" s="179">
        <v>400</v>
      </c>
      <c r="BR375" s="179">
        <v>750</v>
      </c>
      <c r="BS375" s="179">
        <v>3500</v>
      </c>
      <c r="BT375" s="179">
        <v>1100</v>
      </c>
      <c r="BU375" s="179">
        <v>1300</v>
      </c>
      <c r="BV375" s="179">
        <v>750</v>
      </c>
      <c r="BW375" s="179">
        <v>1000</v>
      </c>
      <c r="BX375" s="179">
        <v>750</v>
      </c>
      <c r="BY375" s="179">
        <v>2000</v>
      </c>
      <c r="BZ375" s="179">
        <v>1500</v>
      </c>
      <c r="CA375" s="179">
        <v>1500</v>
      </c>
      <c r="CB375" s="179">
        <v>3500</v>
      </c>
      <c r="CC375" s="179">
        <v>1000</v>
      </c>
      <c r="CD375" s="179">
        <v>750</v>
      </c>
      <c r="CE375" s="179">
        <v>1500</v>
      </c>
      <c r="CF375" s="179">
        <v>750</v>
      </c>
      <c r="CG375" s="179">
        <v>750</v>
      </c>
      <c r="CH375" s="179">
        <v>200</v>
      </c>
      <c r="CI375" s="179">
        <v>200</v>
      </c>
      <c r="CJ375" s="179">
        <v>400</v>
      </c>
      <c r="CK375" s="179">
        <v>1500</v>
      </c>
      <c r="CL375" s="179">
        <v>400</v>
      </c>
      <c r="CM375" s="179">
        <v>7500</v>
      </c>
      <c r="CN375" s="206"/>
      <c r="CO375" s="206"/>
      <c r="CP375" s="206"/>
      <c r="CQ375" s="8">
        <f t="shared" si="189"/>
        <v>25</v>
      </c>
      <c r="CR375" s="8">
        <f t="shared" si="190"/>
        <v>14654</v>
      </c>
      <c r="CS375" s="8">
        <f t="shared" si="191"/>
        <v>2219.7230769230769</v>
      </c>
      <c r="CT375">
        <f t="shared" si="192"/>
        <v>1323.3328992590532</v>
      </c>
      <c r="CU375" s="143">
        <f t="shared" si="193"/>
        <v>4516.3999999999996</v>
      </c>
      <c r="CV375" s="143">
        <f t="shared" si="194"/>
        <v>2740</v>
      </c>
      <c r="CX375" s="7">
        <f t="shared" si="195"/>
        <v>280</v>
      </c>
      <c r="CY375" s="7">
        <f t="shared" si="196"/>
        <v>690</v>
      </c>
      <c r="CZ375" s="7">
        <f t="shared" si="197"/>
        <v>750</v>
      </c>
      <c r="DA375" s="7">
        <f t="shared" si="198"/>
        <v>750</v>
      </c>
      <c r="DB375" s="7">
        <f t="shared" si="199"/>
        <v>1410</v>
      </c>
      <c r="DC375" s="7">
        <f t="shared" si="200"/>
        <v>1500</v>
      </c>
      <c r="DD375" s="7">
        <f t="shared" si="201"/>
        <v>1570.4</v>
      </c>
      <c r="DE375" s="7">
        <f t="shared" si="202"/>
        <v>2000</v>
      </c>
      <c r="DF375" s="7">
        <f t="shared" si="203"/>
        <v>3500</v>
      </c>
      <c r="DH375" s="7">
        <f t="shared" si="204"/>
        <v>525</v>
      </c>
      <c r="DI375" s="7">
        <f t="shared" si="205"/>
        <v>815</v>
      </c>
      <c r="DJ375" s="7">
        <f t="shared" si="206"/>
        <v>870</v>
      </c>
      <c r="DK375" s="7">
        <f t="shared" si="207"/>
        <v>909</v>
      </c>
      <c r="DL375" s="7">
        <f t="shared" si="208"/>
        <v>1580</v>
      </c>
      <c r="DM375" s="7">
        <f t="shared" si="209"/>
        <v>2219.9999999999995</v>
      </c>
      <c r="DN375" s="7">
        <f t="shared" si="210"/>
        <v>2710.0000000000005</v>
      </c>
      <c r="DO375" s="7">
        <f t="shared" si="211"/>
        <v>4984</v>
      </c>
      <c r="DP375" s="7">
        <f t="shared" si="212"/>
        <v>7522.1999999999989</v>
      </c>
    </row>
    <row r="376" spans="1:130" ht="25.5" hidden="1" customHeight="1" x14ac:dyDescent="0.25">
      <c r="A376" s="92" t="str">
        <f t="shared" si="220"/>
        <v>CM-SWVI [10]</v>
      </c>
      <c r="B376" s="92" t="str">
        <f t="shared" si="221"/>
        <v>Southwest Vancouver Island</v>
      </c>
      <c r="C376" s="93" t="str">
        <f t="shared" si="186"/>
        <v>GOLD RIVER_Chum</v>
      </c>
      <c r="D376" s="128" t="s">
        <v>598</v>
      </c>
      <c r="E376" s="128" t="s">
        <v>598</v>
      </c>
      <c r="F376" s="64">
        <v>25</v>
      </c>
      <c r="G376" s="72" t="s">
        <v>217</v>
      </c>
      <c r="H376" s="65" t="s">
        <v>96</v>
      </c>
      <c r="I376" s="119"/>
      <c r="J376" s="119"/>
      <c r="K376" s="64">
        <v>2</v>
      </c>
      <c r="L376" s="52">
        <v>5</v>
      </c>
      <c r="M376" s="52">
        <v>3</v>
      </c>
      <c r="N376" s="52">
        <f t="shared" si="222"/>
        <v>491.15272573813536</v>
      </c>
      <c r="O376" s="52">
        <f t="shared" si="223"/>
        <v>7500</v>
      </c>
      <c r="P376" s="52">
        <f t="shared" si="224"/>
        <v>1337.3830232655603</v>
      </c>
      <c r="Q376" s="66" t="s">
        <v>269</v>
      </c>
      <c r="R376" s="37"/>
      <c r="S376" s="76" t="s">
        <v>464</v>
      </c>
      <c r="T376" s="81">
        <f t="shared" si="187"/>
        <v>113</v>
      </c>
      <c r="U376" s="81">
        <f t="shared" si="188"/>
        <v>113</v>
      </c>
      <c r="V376" s="228">
        <v>113</v>
      </c>
      <c r="W376" s="52" t="s">
        <v>262</v>
      </c>
      <c r="X376" s="52" t="s">
        <v>263</v>
      </c>
      <c r="Y376" s="36" t="s">
        <v>263</v>
      </c>
      <c r="Z376" s="195" t="s">
        <v>676</v>
      </c>
      <c r="AA376" s="52" t="s">
        <v>102</v>
      </c>
      <c r="AB376" s="144" t="s">
        <v>262</v>
      </c>
      <c r="AC376" s="123"/>
      <c r="AD376" s="123"/>
      <c r="AE376" s="144" t="s">
        <v>263</v>
      </c>
      <c r="AF376" s="52" t="s">
        <v>262</v>
      </c>
      <c r="AG376" s="52" t="s">
        <v>263</v>
      </c>
      <c r="AH376" s="52" t="s">
        <v>102</v>
      </c>
      <c r="AI376" s="52" t="s">
        <v>102</v>
      </c>
      <c r="AJ376" s="52" t="s">
        <v>262</v>
      </c>
      <c r="AK376" s="52" t="s">
        <v>102</v>
      </c>
      <c r="AL376" s="52" t="s">
        <v>102</v>
      </c>
      <c r="AM376" s="52" t="s">
        <v>102</v>
      </c>
      <c r="AN376" s="54"/>
      <c r="AO376" s="54"/>
      <c r="AP376" s="54"/>
      <c r="AQ376" s="53">
        <v>149</v>
      </c>
      <c r="AR376" s="54"/>
      <c r="AS376" s="54"/>
      <c r="AT376" s="52">
        <v>1619</v>
      </c>
      <c r="AU376" s="52" t="s">
        <v>263</v>
      </c>
      <c r="AV376" s="52" t="s">
        <v>262</v>
      </c>
      <c r="AW376" s="52" t="s">
        <v>262</v>
      </c>
      <c r="AX376" s="51" t="s">
        <v>264</v>
      </c>
      <c r="AY376" s="53">
        <v>150</v>
      </c>
      <c r="AZ376" s="53">
        <v>1300</v>
      </c>
      <c r="BA376" s="53">
        <v>1000</v>
      </c>
      <c r="BB376" s="53">
        <v>550</v>
      </c>
      <c r="BC376" s="53">
        <v>500</v>
      </c>
      <c r="BD376" s="53">
        <v>500</v>
      </c>
      <c r="BE376" s="53">
        <v>400</v>
      </c>
      <c r="BF376" s="53">
        <v>165</v>
      </c>
      <c r="BG376" s="53">
        <v>1000</v>
      </c>
      <c r="BH376" s="53">
        <v>1000</v>
      </c>
      <c r="BI376" s="53">
        <v>2000</v>
      </c>
      <c r="BJ376" s="53">
        <v>3500</v>
      </c>
      <c r="BK376" s="53">
        <v>2290</v>
      </c>
      <c r="BL376" s="53">
        <v>1000</v>
      </c>
      <c r="BM376" s="53">
        <v>130</v>
      </c>
      <c r="BN376" s="53">
        <v>3500</v>
      </c>
      <c r="BO376" s="53">
        <v>4000</v>
      </c>
      <c r="BP376" s="53">
        <v>25</v>
      </c>
      <c r="BQ376" s="53">
        <v>7500</v>
      </c>
      <c r="BR376" s="53">
        <v>1500</v>
      </c>
      <c r="BS376" s="53">
        <v>7500</v>
      </c>
      <c r="BT376" s="53">
        <v>6000</v>
      </c>
      <c r="BU376" s="53">
        <v>1000</v>
      </c>
      <c r="BV376" s="53">
        <v>6000</v>
      </c>
      <c r="BW376" s="53">
        <v>3500</v>
      </c>
      <c r="BX376" s="53">
        <v>1500</v>
      </c>
      <c r="BY376" s="53">
        <v>3000</v>
      </c>
      <c r="BZ376" s="53">
        <v>3500</v>
      </c>
      <c r="CA376" s="53">
        <v>1500</v>
      </c>
      <c r="CB376" s="53">
        <v>3500</v>
      </c>
      <c r="CC376" s="53">
        <v>2000</v>
      </c>
      <c r="CD376" s="53">
        <v>1500</v>
      </c>
      <c r="CE376" s="53">
        <v>1500</v>
      </c>
      <c r="CF376" s="53">
        <v>3500</v>
      </c>
      <c r="CG376" s="53">
        <v>750</v>
      </c>
      <c r="CH376" s="53">
        <v>3500</v>
      </c>
      <c r="CI376" s="53">
        <v>750</v>
      </c>
      <c r="CJ376" s="53">
        <v>750</v>
      </c>
      <c r="CK376" s="53">
        <v>750</v>
      </c>
      <c r="CL376" s="53">
        <v>7500</v>
      </c>
      <c r="CM376" s="53">
        <v>7500</v>
      </c>
      <c r="CN376" s="206"/>
      <c r="CO376" s="206"/>
      <c r="CP376" s="206"/>
      <c r="CQ376" s="8">
        <f t="shared" si="189"/>
        <v>25</v>
      </c>
      <c r="CR376" s="8">
        <f t="shared" si="190"/>
        <v>7500</v>
      </c>
      <c r="CS376" s="8">
        <f t="shared" si="191"/>
        <v>2292.9772727272725</v>
      </c>
      <c r="CT376">
        <f t="shared" si="192"/>
        <v>1264.3444641448095</v>
      </c>
      <c r="CU376" s="143">
        <f t="shared" si="193"/>
        <v>113</v>
      </c>
      <c r="CV376" s="143">
        <f t="shared" si="194"/>
        <v>113</v>
      </c>
      <c r="CX376" s="7">
        <f t="shared" si="195"/>
        <v>132.85</v>
      </c>
      <c r="CY376" s="7">
        <f t="shared" si="196"/>
        <v>445</v>
      </c>
      <c r="CZ376" s="7">
        <f t="shared" si="197"/>
        <v>530</v>
      </c>
      <c r="DA376" s="7">
        <f t="shared" si="198"/>
        <v>750</v>
      </c>
      <c r="DB376" s="7">
        <f t="shared" si="199"/>
        <v>1500</v>
      </c>
      <c r="DC376" s="7">
        <f t="shared" si="200"/>
        <v>1923.8000000000002</v>
      </c>
      <c r="DD376" s="7">
        <f t="shared" si="201"/>
        <v>2275.5</v>
      </c>
      <c r="DE376" s="7">
        <f t="shared" si="202"/>
        <v>3500</v>
      </c>
      <c r="DF376" s="7">
        <f t="shared" si="203"/>
        <v>3774.9999999999986</v>
      </c>
      <c r="DH376" s="7">
        <f t="shared" si="204"/>
        <v>116.60000000000001</v>
      </c>
      <c r="DI376" s="7">
        <f t="shared" si="205"/>
        <v>123.8</v>
      </c>
      <c r="DJ376" s="7">
        <f t="shared" si="206"/>
        <v>127.39999999999999</v>
      </c>
      <c r="DK376" s="7">
        <f t="shared" si="207"/>
        <v>131</v>
      </c>
      <c r="DL376" s="7">
        <f t="shared" si="208"/>
        <v>149</v>
      </c>
      <c r="DM376" s="7">
        <f t="shared" si="209"/>
        <v>443.00000000000028</v>
      </c>
      <c r="DN376" s="7">
        <f t="shared" si="210"/>
        <v>589.99999999999977</v>
      </c>
      <c r="DO376" s="7">
        <f t="shared" si="211"/>
        <v>884</v>
      </c>
      <c r="DP376" s="7">
        <f t="shared" si="212"/>
        <v>1178.0000000000002</v>
      </c>
    </row>
    <row r="377" spans="1:130" ht="25.5" hidden="1" customHeight="1" x14ac:dyDescent="0.25">
      <c r="A377" s="92" t="str">
        <f t="shared" si="220"/>
        <v>CO-WVI [17]</v>
      </c>
      <c r="B377" s="92" t="str">
        <f t="shared" si="221"/>
        <v>West Vancouver Island</v>
      </c>
      <c r="C377" s="93" t="str">
        <f t="shared" si="186"/>
        <v>GOLD RIVER_Coho</v>
      </c>
      <c r="D377" s="128" t="s">
        <v>598</v>
      </c>
      <c r="E377" s="128" t="s">
        <v>598</v>
      </c>
      <c r="F377" s="64">
        <v>25</v>
      </c>
      <c r="G377" s="72" t="s">
        <v>217</v>
      </c>
      <c r="H377" s="65" t="s">
        <v>93</v>
      </c>
      <c r="I377" s="119"/>
      <c r="J377" s="119"/>
      <c r="K377" s="64">
        <v>2</v>
      </c>
      <c r="L377" s="52">
        <v>5</v>
      </c>
      <c r="M377" s="52">
        <v>4</v>
      </c>
      <c r="N377" s="52">
        <f t="shared" si="222"/>
        <v>1335.5015699152159</v>
      </c>
      <c r="O377" s="52">
        <f t="shared" si="223"/>
        <v>10000</v>
      </c>
      <c r="P377" s="52">
        <f t="shared" si="224"/>
        <v>1454.7623749575832</v>
      </c>
      <c r="Q377" s="66" t="s">
        <v>269</v>
      </c>
      <c r="R377" s="37"/>
      <c r="S377" s="76" t="s">
        <v>443</v>
      </c>
      <c r="T377" s="81">
        <f t="shared" si="187"/>
        <v>2975</v>
      </c>
      <c r="U377" s="81">
        <f t="shared" si="188"/>
        <v>2781.25</v>
      </c>
      <c r="V377" s="228">
        <v>6867</v>
      </c>
      <c r="W377" s="52">
        <v>614</v>
      </c>
      <c r="X377" s="52">
        <v>1444</v>
      </c>
      <c r="Y377" s="52" t="s">
        <v>263</v>
      </c>
      <c r="Z377" s="52" t="s">
        <v>263</v>
      </c>
      <c r="AA377" s="52" t="s">
        <v>102</v>
      </c>
      <c r="AB377" s="144" t="s">
        <v>262</v>
      </c>
      <c r="AC377" s="123"/>
      <c r="AD377" s="123">
        <v>2200</v>
      </c>
      <c r="AE377" s="144" t="s">
        <v>263</v>
      </c>
      <c r="AF377" s="52" t="s">
        <v>263</v>
      </c>
      <c r="AG377" s="52" t="s">
        <v>263</v>
      </c>
      <c r="AH377" s="52" t="s">
        <v>102</v>
      </c>
      <c r="AI377" s="52" t="s">
        <v>102</v>
      </c>
      <c r="AJ377" s="52" t="s">
        <v>263</v>
      </c>
      <c r="AK377" s="52" t="s">
        <v>102</v>
      </c>
      <c r="AL377" s="52" t="s">
        <v>102</v>
      </c>
      <c r="AM377" s="52" t="s">
        <v>102</v>
      </c>
      <c r="AN377" s="54"/>
      <c r="AO377" s="54"/>
      <c r="AP377" s="54"/>
      <c r="AQ377" s="53">
        <v>934</v>
      </c>
      <c r="AR377" s="54"/>
      <c r="AS377" s="54"/>
      <c r="AT377" s="52">
        <v>2693</v>
      </c>
      <c r="AU377" s="52">
        <v>947</v>
      </c>
      <c r="AV377" s="52" t="s">
        <v>262</v>
      </c>
      <c r="AW377" s="52" t="s">
        <v>262</v>
      </c>
      <c r="AX377" s="51">
        <v>500</v>
      </c>
      <c r="AY377" s="53">
        <v>250</v>
      </c>
      <c r="AZ377" s="53">
        <v>1080</v>
      </c>
      <c r="BA377" s="53">
        <v>425</v>
      </c>
      <c r="BB377" s="53">
        <v>5420</v>
      </c>
      <c r="BC377" s="53">
        <v>1500</v>
      </c>
      <c r="BD377" s="53">
        <v>1000</v>
      </c>
      <c r="BE377" s="53">
        <v>2000</v>
      </c>
      <c r="BF377" s="53">
        <v>1200</v>
      </c>
      <c r="BG377" s="53">
        <v>2000</v>
      </c>
      <c r="BH377" s="53">
        <v>101</v>
      </c>
      <c r="BI377" s="53">
        <v>2000</v>
      </c>
      <c r="BJ377" s="53" t="s">
        <v>264</v>
      </c>
      <c r="BK377" s="53">
        <v>1920</v>
      </c>
      <c r="BL377" s="53">
        <v>1000</v>
      </c>
      <c r="BM377" s="53">
        <v>755</v>
      </c>
      <c r="BN377" s="53">
        <v>500</v>
      </c>
      <c r="BO377" s="53">
        <v>1500</v>
      </c>
      <c r="BP377" s="53">
        <v>25</v>
      </c>
      <c r="BQ377" s="53">
        <v>1500</v>
      </c>
      <c r="BR377" s="53">
        <v>1500</v>
      </c>
      <c r="BS377" s="53">
        <v>3500</v>
      </c>
      <c r="BT377" s="53">
        <v>10000</v>
      </c>
      <c r="BU377" s="53">
        <v>3500</v>
      </c>
      <c r="BV377" s="53">
        <v>3500</v>
      </c>
      <c r="BW377" s="53">
        <v>1000</v>
      </c>
      <c r="BX377" s="53">
        <v>3500</v>
      </c>
      <c r="BY377" s="53">
        <v>5000</v>
      </c>
      <c r="BZ377" s="53">
        <v>7500</v>
      </c>
      <c r="CA377" s="53">
        <v>7500</v>
      </c>
      <c r="CB377" s="53">
        <v>7500</v>
      </c>
      <c r="CC377" s="53">
        <v>5000</v>
      </c>
      <c r="CD377" s="53">
        <v>1500</v>
      </c>
      <c r="CE377" s="53">
        <v>750</v>
      </c>
      <c r="CF377" s="53">
        <v>3500</v>
      </c>
      <c r="CG377" s="53">
        <v>750</v>
      </c>
      <c r="CH377" s="53">
        <v>750</v>
      </c>
      <c r="CI377" s="53">
        <v>400</v>
      </c>
      <c r="CJ377" s="53">
        <v>3500</v>
      </c>
      <c r="CK377" s="53">
        <v>400</v>
      </c>
      <c r="CL377" s="53">
        <v>1500</v>
      </c>
      <c r="CM377" s="53">
        <v>7500</v>
      </c>
      <c r="CN377" s="206"/>
      <c r="CO377" s="206"/>
      <c r="CP377" s="206"/>
      <c r="CQ377" s="8">
        <f t="shared" si="189"/>
        <v>25</v>
      </c>
      <c r="CR377" s="8">
        <f t="shared" si="190"/>
        <v>10000</v>
      </c>
      <c r="CS377" s="8">
        <f t="shared" si="191"/>
        <v>2498.4375</v>
      </c>
      <c r="CT377">
        <f t="shared" si="192"/>
        <v>1488.3451804079664</v>
      </c>
      <c r="CU377" s="143">
        <f t="shared" si="193"/>
        <v>2975</v>
      </c>
      <c r="CV377" s="143">
        <f t="shared" si="194"/>
        <v>2781.25</v>
      </c>
      <c r="CX377" s="7">
        <f t="shared" si="195"/>
        <v>302.5</v>
      </c>
      <c r="CY377" s="7">
        <f t="shared" si="196"/>
        <v>505.7000000000001</v>
      </c>
      <c r="CZ377" s="7">
        <f t="shared" si="197"/>
        <v>750</v>
      </c>
      <c r="DA377" s="7">
        <f t="shared" si="198"/>
        <v>753.75</v>
      </c>
      <c r="DB377" s="7">
        <f t="shared" si="199"/>
        <v>1500</v>
      </c>
      <c r="DC377" s="7">
        <f t="shared" si="200"/>
        <v>2000</v>
      </c>
      <c r="DD377" s="7">
        <f t="shared" si="201"/>
        <v>2110</v>
      </c>
      <c r="DE377" s="7">
        <f t="shared" si="202"/>
        <v>3500</v>
      </c>
      <c r="DF377" s="7">
        <f t="shared" si="203"/>
        <v>5000</v>
      </c>
      <c r="DH377" s="7">
        <f t="shared" si="204"/>
        <v>710</v>
      </c>
      <c r="DI377" s="7">
        <f t="shared" si="205"/>
        <v>902</v>
      </c>
      <c r="DJ377" s="7">
        <f t="shared" si="206"/>
        <v>936.6</v>
      </c>
      <c r="DK377" s="7">
        <f t="shared" si="207"/>
        <v>940.5</v>
      </c>
      <c r="DL377" s="7">
        <f t="shared" si="208"/>
        <v>1444</v>
      </c>
      <c r="DM377" s="7">
        <f t="shared" si="209"/>
        <v>1897.5999999999997</v>
      </c>
      <c r="DN377" s="7">
        <f t="shared" si="210"/>
        <v>2124.4000000000005</v>
      </c>
      <c r="DO377" s="7">
        <f t="shared" si="211"/>
        <v>2446.5</v>
      </c>
      <c r="DP377" s="7">
        <f t="shared" si="212"/>
        <v>3110.3999999999987</v>
      </c>
    </row>
    <row r="378" spans="1:130" ht="25.5" hidden="1" customHeight="1" x14ac:dyDescent="0.25">
      <c r="A378" s="92" t="str">
        <f t="shared" si="220"/>
        <v>SK-L-13-19</v>
      </c>
      <c r="B378" s="92" t="str">
        <f t="shared" si="221"/>
        <v>Muchalat</v>
      </c>
      <c r="C378" s="93" t="str">
        <f t="shared" si="186"/>
        <v>GOLD RIVER_Sockeye</v>
      </c>
      <c r="D378" s="128" t="s">
        <v>598</v>
      </c>
      <c r="E378" s="128" t="s">
        <v>598</v>
      </c>
      <c r="F378" s="64">
        <v>25</v>
      </c>
      <c r="G378" s="72" t="s">
        <v>217</v>
      </c>
      <c r="H378" s="65" t="s">
        <v>91</v>
      </c>
      <c r="I378" s="119"/>
      <c r="J378" s="119"/>
      <c r="K378" s="64">
        <v>2</v>
      </c>
      <c r="L378" s="52">
        <v>5</v>
      </c>
      <c r="M378" s="52">
        <v>3</v>
      </c>
      <c r="N378" s="52">
        <f t="shared" si="222"/>
        <v>2731.4552007808229</v>
      </c>
      <c r="O378" s="52">
        <f t="shared" si="223"/>
        <v>15000</v>
      </c>
      <c r="P378" s="52">
        <f t="shared" si="224"/>
        <v>2325.1833503104008</v>
      </c>
      <c r="Q378" s="66" t="s">
        <v>269</v>
      </c>
      <c r="R378" s="37"/>
      <c r="S378" s="74" t="s">
        <v>443</v>
      </c>
      <c r="T378" s="81">
        <f t="shared" si="187"/>
        <v>1105.5</v>
      </c>
      <c r="U378" s="81">
        <f t="shared" si="188"/>
        <v>1105.5</v>
      </c>
      <c r="V378" s="228">
        <v>464</v>
      </c>
      <c r="W378" s="52">
        <v>1747</v>
      </c>
      <c r="X378" s="52" t="s">
        <v>262</v>
      </c>
      <c r="Y378" s="36" t="s">
        <v>263</v>
      </c>
      <c r="Z378" s="195" t="s">
        <v>676</v>
      </c>
      <c r="AA378" s="52" t="s">
        <v>102</v>
      </c>
      <c r="AB378" s="144" t="s">
        <v>262</v>
      </c>
      <c r="AC378" s="123"/>
      <c r="AD378" s="123"/>
      <c r="AE378" s="144" t="s">
        <v>263</v>
      </c>
      <c r="AF378" s="52" t="s">
        <v>263</v>
      </c>
      <c r="AG378" s="52" t="s">
        <v>263</v>
      </c>
      <c r="AH378" s="52" t="s">
        <v>102</v>
      </c>
      <c r="AI378" s="52" t="s">
        <v>102</v>
      </c>
      <c r="AJ378" s="52" t="s">
        <v>263</v>
      </c>
      <c r="AK378" s="52" t="s">
        <v>102</v>
      </c>
      <c r="AL378" s="52" t="s">
        <v>102</v>
      </c>
      <c r="AM378" s="52" t="s">
        <v>102</v>
      </c>
      <c r="AN378" s="54"/>
      <c r="AO378" s="54"/>
      <c r="AP378" s="54"/>
      <c r="AQ378" s="53">
        <v>394</v>
      </c>
      <c r="AR378" s="54"/>
      <c r="AS378" s="54"/>
      <c r="AT378" s="52">
        <v>5478</v>
      </c>
      <c r="AU378" s="52">
        <v>9442</v>
      </c>
      <c r="AV378" s="52" t="s">
        <v>262</v>
      </c>
      <c r="AW378" s="52" t="s">
        <v>262</v>
      </c>
      <c r="AX378" s="51">
        <v>3000</v>
      </c>
      <c r="AY378" s="53">
        <v>15000</v>
      </c>
      <c r="AZ378" s="53">
        <v>7500</v>
      </c>
      <c r="BA378" s="53">
        <v>3000</v>
      </c>
      <c r="BB378" s="53">
        <v>4000</v>
      </c>
      <c r="BC378" s="53">
        <v>2000</v>
      </c>
      <c r="BD378" s="53">
        <v>6000</v>
      </c>
      <c r="BE378" s="53">
        <v>2500</v>
      </c>
      <c r="BF378" s="53">
        <v>10000</v>
      </c>
      <c r="BG378" s="53">
        <v>12000</v>
      </c>
      <c r="BH378" s="53">
        <v>539</v>
      </c>
      <c r="BI378" s="53">
        <v>4500</v>
      </c>
      <c r="BJ378" s="53" t="s">
        <v>264</v>
      </c>
      <c r="BK378" s="53">
        <v>670</v>
      </c>
      <c r="BL378" s="53">
        <v>6338</v>
      </c>
      <c r="BM378" s="53">
        <v>2335</v>
      </c>
      <c r="BN378" s="53">
        <v>8000</v>
      </c>
      <c r="BO378" s="53">
        <v>3000</v>
      </c>
      <c r="BP378" s="53">
        <v>75</v>
      </c>
      <c r="BQ378" s="53" t="s">
        <v>264</v>
      </c>
      <c r="BR378" s="53" t="s">
        <v>264</v>
      </c>
      <c r="BS378" s="53" t="s">
        <v>264</v>
      </c>
      <c r="BT378" s="53" t="s">
        <v>264</v>
      </c>
      <c r="BU378" s="53" t="s">
        <v>264</v>
      </c>
      <c r="BV378" s="53" t="s">
        <v>264</v>
      </c>
      <c r="BW378" s="53" t="s">
        <v>264</v>
      </c>
      <c r="BX378" s="53">
        <v>2000</v>
      </c>
      <c r="BY378" s="53">
        <v>3000</v>
      </c>
      <c r="BZ378" s="53">
        <v>1500</v>
      </c>
      <c r="CA378" s="53">
        <v>750</v>
      </c>
      <c r="CB378" s="53">
        <v>7500</v>
      </c>
      <c r="CC378" s="53">
        <v>3000</v>
      </c>
      <c r="CD378" s="53">
        <v>1500</v>
      </c>
      <c r="CE378" s="53">
        <v>1500</v>
      </c>
      <c r="CF378" s="53">
        <v>3500</v>
      </c>
      <c r="CG378" s="53">
        <v>7500</v>
      </c>
      <c r="CH378" s="53">
        <v>400</v>
      </c>
      <c r="CI378" s="53">
        <v>200</v>
      </c>
      <c r="CJ378" s="53">
        <v>750</v>
      </c>
      <c r="CK378" s="53">
        <v>1500</v>
      </c>
      <c r="CL378" s="53">
        <v>1500</v>
      </c>
      <c r="CM378" s="53" t="s">
        <v>264</v>
      </c>
      <c r="CN378" s="209"/>
      <c r="CO378" s="209"/>
      <c r="CP378" s="209"/>
      <c r="CQ378" s="8">
        <f t="shared" si="189"/>
        <v>75</v>
      </c>
      <c r="CR378" s="8">
        <f t="shared" si="190"/>
        <v>15000</v>
      </c>
      <c r="CS378" s="8">
        <f t="shared" si="191"/>
        <v>3791.6315789473683</v>
      </c>
      <c r="CT378">
        <f t="shared" si="192"/>
        <v>2211.9243503895809</v>
      </c>
      <c r="CU378" s="143">
        <f t="shared" si="193"/>
        <v>1105.5</v>
      </c>
      <c r="CV378" s="143">
        <f t="shared" si="194"/>
        <v>1105.5</v>
      </c>
      <c r="CX378" s="7">
        <f t="shared" si="195"/>
        <v>364.9</v>
      </c>
      <c r="CY378" s="7">
        <f t="shared" si="196"/>
        <v>611.04999999999995</v>
      </c>
      <c r="CZ378" s="7">
        <f t="shared" si="197"/>
        <v>750</v>
      </c>
      <c r="DA378" s="7">
        <f t="shared" si="198"/>
        <v>1500</v>
      </c>
      <c r="DB378" s="7">
        <f t="shared" si="199"/>
        <v>2750</v>
      </c>
      <c r="DC378" s="7">
        <f t="shared" si="200"/>
        <v>3000</v>
      </c>
      <c r="DD378" s="7">
        <f t="shared" si="201"/>
        <v>3525.0000000000005</v>
      </c>
      <c r="DE378" s="7">
        <f t="shared" si="202"/>
        <v>5869.5</v>
      </c>
      <c r="DF378" s="7">
        <f t="shared" si="203"/>
        <v>7500</v>
      </c>
      <c r="DH378" s="7">
        <f t="shared" si="204"/>
        <v>408</v>
      </c>
      <c r="DI378" s="7">
        <f t="shared" si="205"/>
        <v>436</v>
      </c>
      <c r="DJ378" s="7">
        <f t="shared" si="206"/>
        <v>450</v>
      </c>
      <c r="DK378" s="7">
        <f t="shared" si="207"/>
        <v>464</v>
      </c>
      <c r="DL378" s="7">
        <f t="shared" si="208"/>
        <v>1747</v>
      </c>
      <c r="DM378" s="7">
        <f t="shared" si="209"/>
        <v>3239.3999999999996</v>
      </c>
      <c r="DN378" s="7">
        <f t="shared" si="210"/>
        <v>3985.6000000000004</v>
      </c>
      <c r="DO378" s="7">
        <f t="shared" si="211"/>
        <v>5478</v>
      </c>
      <c r="DP378" s="7">
        <f t="shared" si="212"/>
        <v>7063.6000000000013</v>
      </c>
      <c r="DR378" s="7">
        <f>_xlfn.PERCENTILE.INC(Y378:AV378,0.05)</f>
        <v>902.40000000000043</v>
      </c>
      <c r="DS378" s="7">
        <f>_xlfn.PERCENTILE.INC(Y378:AV378,0.15)</f>
        <v>1919.2000000000003</v>
      </c>
      <c r="DT378" s="7">
        <f>_xlfn.PERCENTILE.INC(Y378:AV378,0.2)</f>
        <v>2427.5999999999995</v>
      </c>
      <c r="DU378" s="7">
        <f>_xlfn.PERCENTILE.INC(Y378:AV378,0.25)</f>
        <v>2936</v>
      </c>
      <c r="DV378" s="7">
        <f>_xlfn.PERCENTILE.INC(Y378:AV378,0.5)</f>
        <v>5478</v>
      </c>
      <c r="DW378" s="7">
        <f>_xlfn.PERCENTILE.INC(Y378:AV378,0.6)</f>
        <v>6270.8000000000011</v>
      </c>
      <c r="DX378" s="7">
        <f>_xlfn.PERCENTILE.INC(Y378:AV378,0.65)</f>
        <v>6667.1999999999989</v>
      </c>
      <c r="DY378" s="7">
        <f>_xlfn.PERCENTILE.INC(Y378:AV378,0.75)</f>
        <v>7460</v>
      </c>
      <c r="DZ378" s="7">
        <f>_xlfn.PERCENTILE.INC(Y378:AV378,0.85)</f>
        <v>8252.8000000000011</v>
      </c>
    </row>
    <row r="379" spans="1:130" ht="25.5" hidden="1" customHeight="1" x14ac:dyDescent="0.25">
      <c r="A379" s="92" t="str">
        <f t="shared" si="220"/>
        <v>CM-SWVI [10]</v>
      </c>
      <c r="B379" s="92" t="str">
        <f t="shared" si="221"/>
        <v>Southwest Vancouver Island</v>
      </c>
      <c r="C379" s="93" t="str">
        <f t="shared" si="186"/>
        <v>GUISE CREEK_Chum</v>
      </c>
      <c r="D379" s="128" t="s">
        <v>598</v>
      </c>
      <c r="E379" s="128" t="s">
        <v>598</v>
      </c>
      <c r="F379" s="64">
        <v>25</v>
      </c>
      <c r="G379" s="72" t="s">
        <v>236</v>
      </c>
      <c r="H379" s="65" t="s">
        <v>96</v>
      </c>
      <c r="I379" s="119"/>
      <c r="J379" s="119"/>
      <c r="K379" s="64">
        <v>5</v>
      </c>
      <c r="L379" s="52">
        <v>3</v>
      </c>
      <c r="M379" s="52">
        <v>2</v>
      </c>
      <c r="N379" s="52">
        <f t="shared" si="222"/>
        <v>100.99504938362078</v>
      </c>
      <c r="O379" s="52">
        <f t="shared" si="223"/>
        <v>700</v>
      </c>
      <c r="P379" s="52">
        <f t="shared" si="224"/>
        <v>200.16223657932758</v>
      </c>
      <c r="Q379" s="66"/>
      <c r="R379" s="37"/>
      <c r="S379" s="76" t="s">
        <v>453</v>
      </c>
      <c r="T379" s="81" t="e">
        <f t="shared" si="187"/>
        <v>#DIV/0!</v>
      </c>
      <c r="U379" s="81">
        <f t="shared" si="188"/>
        <v>39</v>
      </c>
      <c r="V379" s="52" t="s">
        <v>102</v>
      </c>
      <c r="W379" s="52" t="s">
        <v>102</v>
      </c>
      <c r="X379" s="52" t="s">
        <v>102</v>
      </c>
      <c r="Y379" s="52" t="s">
        <v>102</v>
      </c>
      <c r="Z379" s="52" t="s">
        <v>102</v>
      </c>
      <c r="AA379" s="52" t="s">
        <v>102</v>
      </c>
      <c r="AB379" s="52" t="s">
        <v>102</v>
      </c>
      <c r="AC379" s="52" t="s">
        <v>102</v>
      </c>
      <c r="AD379" s="52" t="s">
        <v>102</v>
      </c>
      <c r="AE379" s="52" t="s">
        <v>102</v>
      </c>
      <c r="AF379" s="52" t="s">
        <v>102</v>
      </c>
      <c r="AG379" s="144">
        <v>39</v>
      </c>
      <c r="AH379" s="52" t="s">
        <v>102</v>
      </c>
      <c r="AI379" s="52" t="s">
        <v>102</v>
      </c>
      <c r="AJ379" s="52" t="s">
        <v>102</v>
      </c>
      <c r="AK379" s="52" t="s">
        <v>102</v>
      </c>
      <c r="AL379" s="52" t="s">
        <v>102</v>
      </c>
      <c r="AM379" s="52" t="s">
        <v>102</v>
      </c>
      <c r="AN379" s="52" t="s">
        <v>102</v>
      </c>
      <c r="AO379" s="52" t="s">
        <v>102</v>
      </c>
      <c r="AP379" s="53">
        <v>68</v>
      </c>
      <c r="AQ379" s="53" t="s">
        <v>102</v>
      </c>
      <c r="AR379" s="53" t="s">
        <v>102</v>
      </c>
      <c r="AS379" s="52" t="s">
        <v>102</v>
      </c>
      <c r="AT379" s="52" t="s">
        <v>102</v>
      </c>
      <c r="AU379" s="52">
        <v>150</v>
      </c>
      <c r="AV379" s="52" t="s">
        <v>262</v>
      </c>
      <c r="AW379" s="52" t="s">
        <v>102</v>
      </c>
      <c r="AX379" s="51" t="s">
        <v>102</v>
      </c>
      <c r="AY379" s="53" t="s">
        <v>102</v>
      </c>
      <c r="AZ379" s="53" t="s">
        <v>102</v>
      </c>
      <c r="BA379" s="53" t="s">
        <v>262</v>
      </c>
      <c r="BB379" s="53" t="s">
        <v>102</v>
      </c>
      <c r="BC379" s="53" t="s">
        <v>102</v>
      </c>
      <c r="BD379" s="53" t="s">
        <v>102</v>
      </c>
      <c r="BE379" s="53" t="s">
        <v>102</v>
      </c>
      <c r="BF379" s="53">
        <v>700</v>
      </c>
      <c r="BG379" s="53" t="s">
        <v>102</v>
      </c>
      <c r="BH379" s="53" t="s">
        <v>262</v>
      </c>
      <c r="BI379" s="53" t="s">
        <v>102</v>
      </c>
      <c r="BJ379" s="53" t="s">
        <v>102</v>
      </c>
      <c r="BK379" s="53" t="s">
        <v>102</v>
      </c>
      <c r="BL379" s="53">
        <v>150</v>
      </c>
      <c r="BM379" s="53" t="s">
        <v>102</v>
      </c>
      <c r="BN379" s="53">
        <v>300</v>
      </c>
      <c r="BO379" s="53" t="s">
        <v>102</v>
      </c>
      <c r="BP379" s="53" t="s">
        <v>102</v>
      </c>
      <c r="BQ379" s="53" t="s">
        <v>102</v>
      </c>
      <c r="BR379" s="53" t="s">
        <v>102</v>
      </c>
      <c r="BS379" s="53" t="s">
        <v>102</v>
      </c>
      <c r="BT379" s="53" t="s">
        <v>102</v>
      </c>
      <c r="BU379" s="53" t="s">
        <v>102</v>
      </c>
      <c r="BV379" s="53" t="s">
        <v>102</v>
      </c>
      <c r="BW379" s="53" t="s">
        <v>102</v>
      </c>
      <c r="BX379" s="53" t="s">
        <v>102</v>
      </c>
      <c r="BY379" s="53" t="s">
        <v>102</v>
      </c>
      <c r="BZ379" s="53" t="s">
        <v>102</v>
      </c>
      <c r="CA379" s="53" t="s">
        <v>102</v>
      </c>
      <c r="CB379" s="53" t="s">
        <v>102</v>
      </c>
      <c r="CC379" s="53" t="s">
        <v>102</v>
      </c>
      <c r="CD379" s="53" t="s">
        <v>102</v>
      </c>
      <c r="CE379" s="53" t="s">
        <v>102</v>
      </c>
      <c r="CF379" s="53" t="s">
        <v>102</v>
      </c>
      <c r="CG379" s="53" t="s">
        <v>102</v>
      </c>
      <c r="CH379" s="53" t="s">
        <v>102</v>
      </c>
      <c r="CI379" s="53" t="s">
        <v>102</v>
      </c>
      <c r="CJ379" s="53" t="s">
        <v>102</v>
      </c>
      <c r="CK379" s="53" t="s">
        <v>102</v>
      </c>
      <c r="CL379" s="53" t="s">
        <v>102</v>
      </c>
      <c r="CM379" s="53" t="s">
        <v>102</v>
      </c>
      <c r="CN379" s="206"/>
      <c r="CO379" s="206"/>
      <c r="CP379" s="206"/>
      <c r="CQ379" s="8">
        <f t="shared" si="189"/>
        <v>39</v>
      </c>
      <c r="CR379" s="8">
        <f t="shared" si="190"/>
        <v>700</v>
      </c>
      <c r="CS379" s="8">
        <f t="shared" si="191"/>
        <v>234.5</v>
      </c>
      <c r="CT379">
        <f t="shared" si="192"/>
        <v>152.40383264612993</v>
      </c>
      <c r="CU379" s="143" t="e">
        <f t="shared" si="193"/>
        <v>#DIV/0!</v>
      </c>
      <c r="CV379" s="143">
        <f t="shared" si="194"/>
        <v>39</v>
      </c>
      <c r="CX379" s="7">
        <f t="shared" si="195"/>
        <v>46.25</v>
      </c>
      <c r="CY379" s="7">
        <f t="shared" si="196"/>
        <v>60.75</v>
      </c>
      <c r="CZ379" s="7">
        <f t="shared" si="197"/>
        <v>68</v>
      </c>
      <c r="DA379" s="7">
        <f t="shared" si="198"/>
        <v>88.5</v>
      </c>
      <c r="DB379" s="7">
        <f t="shared" si="199"/>
        <v>150</v>
      </c>
      <c r="DC379" s="7">
        <f t="shared" si="200"/>
        <v>150</v>
      </c>
      <c r="DD379" s="7">
        <f t="shared" si="201"/>
        <v>187.5</v>
      </c>
      <c r="DE379" s="7">
        <f t="shared" si="202"/>
        <v>262.5</v>
      </c>
      <c r="DF379" s="7">
        <f t="shared" si="203"/>
        <v>400</v>
      </c>
      <c r="DH379" s="7">
        <f t="shared" si="204"/>
        <v>41.900000000000006</v>
      </c>
      <c r="DI379" s="7">
        <f t="shared" si="205"/>
        <v>47.7</v>
      </c>
      <c r="DJ379" s="7">
        <f t="shared" si="206"/>
        <v>50.599999999999994</v>
      </c>
      <c r="DK379" s="7">
        <f t="shared" si="207"/>
        <v>53.5</v>
      </c>
      <c r="DL379" s="7">
        <f t="shared" si="208"/>
        <v>68</v>
      </c>
      <c r="DM379" s="7">
        <f t="shared" si="209"/>
        <v>84.4</v>
      </c>
      <c r="DN379" s="7">
        <f t="shared" si="210"/>
        <v>92.6</v>
      </c>
      <c r="DO379" s="7">
        <f t="shared" si="211"/>
        <v>109</v>
      </c>
      <c r="DP379" s="7">
        <f t="shared" si="212"/>
        <v>125.4</v>
      </c>
    </row>
    <row r="380" spans="1:130" ht="25.5" hidden="1" customHeight="1" x14ac:dyDescent="0.25">
      <c r="A380" s="92" t="str">
        <f t="shared" si="220"/>
        <v>CO-WVI [17]</v>
      </c>
      <c r="B380" s="92" t="str">
        <f t="shared" si="221"/>
        <v>West Vancouver Island</v>
      </c>
      <c r="C380" s="93" t="str">
        <f t="shared" si="186"/>
        <v>GUISE CREEK_Coho</v>
      </c>
      <c r="D380" s="128" t="s">
        <v>598</v>
      </c>
      <c r="E380" s="128" t="s">
        <v>598</v>
      </c>
      <c r="F380" s="64">
        <v>25</v>
      </c>
      <c r="G380" s="72" t="s">
        <v>236</v>
      </c>
      <c r="H380" s="65" t="s">
        <v>93</v>
      </c>
      <c r="I380" s="119"/>
      <c r="J380" s="119"/>
      <c r="K380" s="64">
        <v>5</v>
      </c>
      <c r="L380" s="52">
        <v>3</v>
      </c>
      <c r="M380" s="52">
        <v>1</v>
      </c>
      <c r="N380" s="52">
        <f t="shared" si="222"/>
        <v>3</v>
      </c>
      <c r="O380" s="52">
        <f t="shared" si="223"/>
        <v>10</v>
      </c>
      <c r="P380" s="52">
        <f t="shared" si="224"/>
        <v>5.4772255750516612</v>
      </c>
      <c r="Q380" s="66"/>
      <c r="R380" s="37"/>
      <c r="S380" s="76" t="s">
        <v>454</v>
      </c>
      <c r="T380" s="81" t="e">
        <f t="shared" si="187"/>
        <v>#DIV/0!</v>
      </c>
      <c r="U380" s="81" t="e">
        <f t="shared" si="188"/>
        <v>#DIV/0!</v>
      </c>
      <c r="V380" s="52" t="s">
        <v>102</v>
      </c>
      <c r="W380" s="52" t="s">
        <v>102</v>
      </c>
      <c r="X380" s="52" t="s">
        <v>102</v>
      </c>
      <c r="Y380" s="52" t="s">
        <v>102</v>
      </c>
      <c r="Z380" s="52" t="s">
        <v>102</v>
      </c>
      <c r="AA380" s="52" t="s">
        <v>102</v>
      </c>
      <c r="AB380" s="52" t="s">
        <v>102</v>
      </c>
      <c r="AC380" s="52" t="s">
        <v>102</v>
      </c>
      <c r="AD380" s="52" t="s">
        <v>102</v>
      </c>
      <c r="AE380" s="52" t="s">
        <v>102</v>
      </c>
      <c r="AF380" s="52" t="s">
        <v>102</v>
      </c>
      <c r="AG380" s="52" t="s">
        <v>262</v>
      </c>
      <c r="AH380" s="52" t="s">
        <v>102</v>
      </c>
      <c r="AI380" s="52" t="s">
        <v>102</v>
      </c>
      <c r="AJ380" s="52" t="s">
        <v>102</v>
      </c>
      <c r="AK380" s="52" t="s">
        <v>102</v>
      </c>
      <c r="AL380" s="52" t="s">
        <v>102</v>
      </c>
      <c r="AM380" s="52" t="s">
        <v>102</v>
      </c>
      <c r="AN380" s="52" t="s">
        <v>102</v>
      </c>
      <c r="AO380" s="52" t="s">
        <v>102</v>
      </c>
      <c r="AP380" s="53" t="s">
        <v>262</v>
      </c>
      <c r="AQ380" s="53" t="s">
        <v>102</v>
      </c>
      <c r="AR380" s="53" t="s">
        <v>102</v>
      </c>
      <c r="AS380" s="52" t="s">
        <v>102</v>
      </c>
      <c r="AT380" s="52" t="s">
        <v>102</v>
      </c>
      <c r="AU380" s="52">
        <v>3</v>
      </c>
      <c r="AV380" s="52" t="s">
        <v>262</v>
      </c>
      <c r="AW380" s="52" t="s">
        <v>102</v>
      </c>
      <c r="AX380" s="51" t="s">
        <v>102</v>
      </c>
      <c r="AY380" s="53" t="s">
        <v>102</v>
      </c>
      <c r="AZ380" s="53" t="s">
        <v>102</v>
      </c>
      <c r="BA380" s="53" t="s">
        <v>262</v>
      </c>
      <c r="BB380" s="53" t="s">
        <v>102</v>
      </c>
      <c r="BC380" s="53" t="s">
        <v>102</v>
      </c>
      <c r="BD380" s="53" t="s">
        <v>102</v>
      </c>
      <c r="BE380" s="53" t="s">
        <v>102</v>
      </c>
      <c r="BF380" s="53">
        <v>10</v>
      </c>
      <c r="BG380" s="53" t="s">
        <v>102</v>
      </c>
      <c r="BH380" s="53" t="s">
        <v>262</v>
      </c>
      <c r="BI380" s="53" t="s">
        <v>102</v>
      </c>
      <c r="BJ380" s="53" t="s">
        <v>102</v>
      </c>
      <c r="BK380" s="53" t="s">
        <v>102</v>
      </c>
      <c r="BL380" s="53" t="s">
        <v>264</v>
      </c>
      <c r="BM380" s="53" t="s">
        <v>102</v>
      </c>
      <c r="BN380" s="53" t="s">
        <v>264</v>
      </c>
      <c r="BO380" s="53" t="s">
        <v>102</v>
      </c>
      <c r="BP380" s="53" t="s">
        <v>102</v>
      </c>
      <c r="BQ380" s="53" t="s">
        <v>102</v>
      </c>
      <c r="BR380" s="53" t="s">
        <v>102</v>
      </c>
      <c r="BS380" s="53" t="s">
        <v>102</v>
      </c>
      <c r="BT380" s="53" t="s">
        <v>102</v>
      </c>
      <c r="BU380" s="53" t="s">
        <v>102</v>
      </c>
      <c r="BV380" s="53" t="s">
        <v>102</v>
      </c>
      <c r="BW380" s="53" t="s">
        <v>102</v>
      </c>
      <c r="BX380" s="53" t="s">
        <v>102</v>
      </c>
      <c r="BY380" s="53" t="s">
        <v>102</v>
      </c>
      <c r="BZ380" s="53" t="s">
        <v>102</v>
      </c>
      <c r="CA380" s="53" t="s">
        <v>102</v>
      </c>
      <c r="CB380" s="53" t="s">
        <v>102</v>
      </c>
      <c r="CC380" s="53" t="s">
        <v>102</v>
      </c>
      <c r="CD380" s="53" t="s">
        <v>102</v>
      </c>
      <c r="CE380" s="53" t="s">
        <v>102</v>
      </c>
      <c r="CF380" s="53" t="s">
        <v>102</v>
      </c>
      <c r="CG380" s="53" t="s">
        <v>102</v>
      </c>
      <c r="CH380" s="53" t="s">
        <v>102</v>
      </c>
      <c r="CI380" s="53" t="s">
        <v>102</v>
      </c>
      <c r="CJ380" s="53" t="s">
        <v>102</v>
      </c>
      <c r="CK380" s="53" t="s">
        <v>102</v>
      </c>
      <c r="CL380" s="53" t="s">
        <v>102</v>
      </c>
      <c r="CM380" s="53" t="s">
        <v>102</v>
      </c>
      <c r="CN380" s="206"/>
      <c r="CO380" s="206"/>
      <c r="CP380" s="206"/>
      <c r="CQ380" s="8">
        <f t="shared" si="189"/>
        <v>3</v>
      </c>
      <c r="CR380" s="8">
        <f t="shared" si="190"/>
        <v>10</v>
      </c>
      <c r="CS380" s="8">
        <f t="shared" si="191"/>
        <v>6.5</v>
      </c>
      <c r="CT380">
        <f t="shared" si="192"/>
        <v>5.4772255750516612</v>
      </c>
      <c r="CU380" s="143" t="e">
        <f t="shared" si="193"/>
        <v>#DIV/0!</v>
      </c>
      <c r="CV380" s="143" t="e">
        <f t="shared" si="194"/>
        <v>#DIV/0!</v>
      </c>
      <c r="CX380" s="7">
        <f t="shared" si="195"/>
        <v>3.3500000000000005</v>
      </c>
      <c r="CY380" s="7">
        <f t="shared" si="196"/>
        <v>4.0499999999999989</v>
      </c>
      <c r="CZ380" s="7">
        <f t="shared" si="197"/>
        <v>4.3999999999999995</v>
      </c>
      <c r="DA380" s="7">
        <f t="shared" si="198"/>
        <v>4.75</v>
      </c>
      <c r="DB380" s="7">
        <f t="shared" si="199"/>
        <v>6.5</v>
      </c>
      <c r="DC380" s="7">
        <f t="shared" si="200"/>
        <v>7.2000000000000011</v>
      </c>
      <c r="DD380" s="7">
        <f t="shared" si="201"/>
        <v>7.5499999999999989</v>
      </c>
      <c r="DE380" s="7">
        <f t="shared" si="202"/>
        <v>8.25</v>
      </c>
      <c r="DF380" s="7">
        <f t="shared" si="203"/>
        <v>8.9500000000000011</v>
      </c>
      <c r="DH380" s="7">
        <f t="shared" si="204"/>
        <v>3</v>
      </c>
      <c r="DI380" s="7">
        <f t="shared" si="205"/>
        <v>3</v>
      </c>
      <c r="DJ380" s="7">
        <f t="shared" si="206"/>
        <v>3</v>
      </c>
      <c r="DK380" s="7">
        <f t="shared" si="207"/>
        <v>3</v>
      </c>
      <c r="DL380" s="7">
        <f t="shared" si="208"/>
        <v>3</v>
      </c>
      <c r="DM380" s="7">
        <f t="shared" si="209"/>
        <v>3</v>
      </c>
      <c r="DN380" s="7">
        <f t="shared" si="210"/>
        <v>3</v>
      </c>
      <c r="DO380" s="7">
        <f t="shared" si="211"/>
        <v>3</v>
      </c>
      <c r="DP380" s="7">
        <f t="shared" si="212"/>
        <v>3</v>
      </c>
    </row>
    <row r="381" spans="1:130" ht="25.5" customHeight="1" x14ac:dyDescent="0.25">
      <c r="A381" s="92" t="str">
        <f t="shared" si="220"/>
        <v>CK-NoKy [32]</v>
      </c>
      <c r="B381" s="92" t="str">
        <f t="shared" si="221"/>
        <v>Nootka and Kyuquot</v>
      </c>
      <c r="C381" s="93" t="str">
        <f t="shared" si="186"/>
        <v>HAMMOND CREEK_Chinook</v>
      </c>
      <c r="D381" s="128" t="s">
        <v>598</v>
      </c>
      <c r="E381" s="128" t="s">
        <v>598</v>
      </c>
      <c r="F381" s="64">
        <v>25</v>
      </c>
      <c r="G381" s="72" t="s">
        <v>214</v>
      </c>
      <c r="H381" s="65" t="s">
        <v>97</v>
      </c>
      <c r="I381" s="119"/>
      <c r="J381" s="119"/>
      <c r="K381" s="64">
        <v>4</v>
      </c>
      <c r="L381" s="52">
        <v>9</v>
      </c>
      <c r="M381" s="52">
        <v>2</v>
      </c>
      <c r="N381" s="52">
        <f t="shared" si="222"/>
        <v>5.5178483527622415</v>
      </c>
      <c r="O381" s="52">
        <f t="shared" si="223"/>
        <v>25</v>
      </c>
      <c r="P381" s="52">
        <f t="shared" si="224"/>
        <v>10.069943706001002</v>
      </c>
      <c r="Q381" s="66"/>
      <c r="R381" s="39"/>
      <c r="S381" s="74"/>
      <c r="T381" s="81">
        <f t="shared" si="187"/>
        <v>1</v>
      </c>
      <c r="U381" s="81">
        <f t="shared" si="188"/>
        <v>1</v>
      </c>
      <c r="V381" s="232" t="s">
        <v>262</v>
      </c>
      <c r="W381" s="52">
        <v>1</v>
      </c>
      <c r="X381" s="52" t="s">
        <v>102</v>
      </c>
      <c r="Y381" s="52" t="s">
        <v>102</v>
      </c>
      <c r="Z381" s="52" t="s">
        <v>102</v>
      </c>
      <c r="AA381" s="52" t="s">
        <v>102</v>
      </c>
      <c r="AB381" s="52" t="s">
        <v>102</v>
      </c>
      <c r="AC381" s="52" t="s">
        <v>102</v>
      </c>
      <c r="AD381" s="52" t="s">
        <v>102</v>
      </c>
      <c r="AE381" s="52" t="s">
        <v>102</v>
      </c>
      <c r="AF381" s="52" t="s">
        <v>262</v>
      </c>
      <c r="AG381" s="144">
        <v>1</v>
      </c>
      <c r="AH381" s="52" t="s">
        <v>262</v>
      </c>
      <c r="AI381" s="52" t="s">
        <v>262</v>
      </c>
      <c r="AJ381" s="53">
        <v>2</v>
      </c>
      <c r="AK381" s="53" t="s">
        <v>262</v>
      </c>
      <c r="AL381" s="89" t="s">
        <v>262</v>
      </c>
      <c r="AM381" s="52" t="s">
        <v>102</v>
      </c>
      <c r="AN381" s="52" t="s">
        <v>262</v>
      </c>
      <c r="AO381" s="53" t="s">
        <v>262</v>
      </c>
      <c r="AP381" s="53" t="s">
        <v>262</v>
      </c>
      <c r="AQ381" s="53" t="s">
        <v>262</v>
      </c>
      <c r="AR381" s="53" t="s">
        <v>262</v>
      </c>
      <c r="AS381" s="52" t="s">
        <v>262</v>
      </c>
      <c r="AT381" s="52">
        <v>7</v>
      </c>
      <c r="AU381" s="52" t="s">
        <v>262</v>
      </c>
      <c r="AV381" s="52">
        <v>12</v>
      </c>
      <c r="AW381" s="52" t="s">
        <v>102</v>
      </c>
      <c r="AX381" s="51" t="s">
        <v>264</v>
      </c>
      <c r="AY381" s="53" t="s">
        <v>262</v>
      </c>
      <c r="AZ381" s="53" t="s">
        <v>102</v>
      </c>
      <c r="BA381" s="53" t="s">
        <v>264</v>
      </c>
      <c r="BB381" s="53" t="s">
        <v>264</v>
      </c>
      <c r="BC381" s="53" t="s">
        <v>264</v>
      </c>
      <c r="BD381" s="53" t="s">
        <v>264</v>
      </c>
      <c r="BE381" s="53" t="s">
        <v>264</v>
      </c>
      <c r="BF381" s="53" t="s">
        <v>264</v>
      </c>
      <c r="BG381" s="53" t="s">
        <v>264</v>
      </c>
      <c r="BH381" s="53" t="s">
        <v>262</v>
      </c>
      <c r="BI381" s="53" t="s">
        <v>264</v>
      </c>
      <c r="BJ381" s="53" t="s">
        <v>102</v>
      </c>
      <c r="BK381" s="53" t="s">
        <v>264</v>
      </c>
      <c r="BL381" s="53" t="s">
        <v>264</v>
      </c>
      <c r="BM381" s="53" t="s">
        <v>264</v>
      </c>
      <c r="BN381" s="53" t="s">
        <v>264</v>
      </c>
      <c r="BO381" s="53" t="s">
        <v>264</v>
      </c>
      <c r="BP381" s="53" t="s">
        <v>264</v>
      </c>
      <c r="BQ381" s="53">
        <v>25</v>
      </c>
      <c r="BR381" s="53" t="s">
        <v>264</v>
      </c>
      <c r="BS381" s="53">
        <v>25</v>
      </c>
      <c r="BT381" s="53" t="s">
        <v>262</v>
      </c>
      <c r="BU381" s="53" t="s">
        <v>262</v>
      </c>
      <c r="BV381" s="53">
        <v>10</v>
      </c>
      <c r="BW381" s="53">
        <v>10</v>
      </c>
      <c r="BX381" s="53" t="s">
        <v>264</v>
      </c>
      <c r="BY381" s="53" t="s">
        <v>264</v>
      </c>
      <c r="BZ381" s="53" t="s">
        <v>264</v>
      </c>
      <c r="CA381" s="53" t="s">
        <v>264</v>
      </c>
      <c r="CB381" s="53" t="s">
        <v>264</v>
      </c>
      <c r="CC381" s="53" t="s">
        <v>264</v>
      </c>
      <c r="CD381" s="53" t="s">
        <v>264</v>
      </c>
      <c r="CE381" s="53" t="s">
        <v>264</v>
      </c>
      <c r="CF381" s="53" t="s">
        <v>264</v>
      </c>
      <c r="CG381" s="53" t="s">
        <v>264</v>
      </c>
      <c r="CH381" s="53" t="s">
        <v>264</v>
      </c>
      <c r="CI381" s="53" t="s">
        <v>264</v>
      </c>
      <c r="CJ381" s="53" t="s">
        <v>264</v>
      </c>
      <c r="CK381" s="53" t="s">
        <v>264</v>
      </c>
      <c r="CL381" s="53" t="s">
        <v>264</v>
      </c>
      <c r="CM381" s="53" t="s">
        <v>264</v>
      </c>
      <c r="CN381" s="206"/>
      <c r="CO381" s="206"/>
      <c r="CP381" s="206"/>
      <c r="CQ381" s="8">
        <f t="shared" si="189"/>
        <v>1</v>
      </c>
      <c r="CR381" s="8">
        <f t="shared" si="190"/>
        <v>25</v>
      </c>
      <c r="CS381" s="8">
        <f t="shared" si="191"/>
        <v>10.333333333333334</v>
      </c>
      <c r="CT381">
        <f t="shared" si="192"/>
        <v>6.027429569388123</v>
      </c>
      <c r="CU381" s="143">
        <f t="shared" si="193"/>
        <v>1</v>
      </c>
      <c r="CV381" s="143">
        <f t="shared" si="194"/>
        <v>1</v>
      </c>
      <c r="CX381" s="7">
        <f t="shared" si="195"/>
        <v>1</v>
      </c>
      <c r="CY381" s="7">
        <f t="shared" si="196"/>
        <v>1.2000000000000002</v>
      </c>
      <c r="CZ381" s="7">
        <f t="shared" si="197"/>
        <v>1.6</v>
      </c>
      <c r="DA381" s="7">
        <f t="shared" si="198"/>
        <v>2</v>
      </c>
      <c r="DB381" s="7">
        <f t="shared" si="199"/>
        <v>10</v>
      </c>
      <c r="DC381" s="7">
        <f t="shared" si="200"/>
        <v>10</v>
      </c>
      <c r="DD381" s="7">
        <f t="shared" si="201"/>
        <v>10.4</v>
      </c>
      <c r="DE381" s="7">
        <f t="shared" si="202"/>
        <v>12</v>
      </c>
      <c r="DF381" s="7">
        <f t="shared" si="203"/>
        <v>22.4</v>
      </c>
      <c r="DH381" s="7">
        <f t="shared" si="204"/>
        <v>1</v>
      </c>
      <c r="DI381" s="7">
        <f t="shared" si="205"/>
        <v>1</v>
      </c>
      <c r="DJ381" s="7">
        <f t="shared" si="206"/>
        <v>1</v>
      </c>
      <c r="DK381" s="7">
        <f t="shared" si="207"/>
        <v>1</v>
      </c>
      <c r="DL381" s="7">
        <f t="shared" si="208"/>
        <v>2</v>
      </c>
      <c r="DM381" s="7">
        <f t="shared" si="209"/>
        <v>3.9999999999999996</v>
      </c>
      <c r="DN381" s="7">
        <f t="shared" si="210"/>
        <v>5</v>
      </c>
      <c r="DO381" s="7">
        <f t="shared" si="211"/>
        <v>7</v>
      </c>
      <c r="DP381" s="7">
        <f t="shared" si="212"/>
        <v>9.0000000000000018</v>
      </c>
    </row>
    <row r="382" spans="1:130" ht="25.5" hidden="1" customHeight="1" x14ac:dyDescent="0.25">
      <c r="A382" s="92" t="str">
        <f t="shared" si="220"/>
        <v>CM-SWVI [10]</v>
      </c>
      <c r="B382" s="92" t="str">
        <f t="shared" si="221"/>
        <v>Southwest Vancouver Island</v>
      </c>
      <c r="C382" s="93" t="str">
        <f t="shared" si="186"/>
        <v>HAMMOND CREEK_Chum</v>
      </c>
      <c r="D382" s="128" t="s">
        <v>598</v>
      </c>
      <c r="E382" s="128" t="s">
        <v>598</v>
      </c>
      <c r="F382" s="64">
        <v>25</v>
      </c>
      <c r="G382" s="72" t="s">
        <v>214</v>
      </c>
      <c r="H382" s="65" t="s">
        <v>96</v>
      </c>
      <c r="I382" s="119"/>
      <c r="J382" s="119"/>
      <c r="K382" s="64">
        <v>4</v>
      </c>
      <c r="L382" s="52">
        <v>9</v>
      </c>
      <c r="M382" s="52">
        <v>8</v>
      </c>
      <c r="N382" s="52">
        <f t="shared" si="222"/>
        <v>305.30856950550515</v>
      </c>
      <c r="O382" s="52">
        <f t="shared" si="223"/>
        <v>7500</v>
      </c>
      <c r="P382" s="52">
        <f t="shared" si="224"/>
        <v>488.29091072955134</v>
      </c>
      <c r="Q382" s="66"/>
      <c r="R382" s="39"/>
      <c r="S382" s="74"/>
      <c r="T382" s="81">
        <f t="shared" si="187"/>
        <v>16</v>
      </c>
      <c r="U382" s="81">
        <f t="shared" si="188"/>
        <v>288</v>
      </c>
      <c r="V382" s="233">
        <v>16</v>
      </c>
      <c r="W382" s="52" t="s">
        <v>263</v>
      </c>
      <c r="X382" s="52" t="s">
        <v>102</v>
      </c>
      <c r="Y382" s="52" t="s">
        <v>102</v>
      </c>
      <c r="Z382" s="52" t="s">
        <v>102</v>
      </c>
      <c r="AA382" s="52" t="s">
        <v>102</v>
      </c>
      <c r="AB382" s="52" t="s">
        <v>102</v>
      </c>
      <c r="AC382" s="52" t="s">
        <v>102</v>
      </c>
      <c r="AD382" s="52" t="s">
        <v>102</v>
      </c>
      <c r="AE382" s="52" t="s">
        <v>102</v>
      </c>
      <c r="AF382" s="52">
        <v>119</v>
      </c>
      <c r="AG382" s="144">
        <v>729</v>
      </c>
      <c r="AH382" s="52">
        <v>408</v>
      </c>
      <c r="AI382" s="53">
        <v>1040</v>
      </c>
      <c r="AJ382" s="53">
        <v>118</v>
      </c>
      <c r="AK382" s="53">
        <v>116</v>
      </c>
      <c r="AL382" s="89">
        <v>2603</v>
      </c>
      <c r="AM382" s="52" t="s">
        <v>102</v>
      </c>
      <c r="AN382" s="52">
        <v>191</v>
      </c>
      <c r="AO382" s="53">
        <v>8</v>
      </c>
      <c r="AP382" s="53" t="s">
        <v>262</v>
      </c>
      <c r="AQ382" s="53">
        <v>465</v>
      </c>
      <c r="AR382" s="53">
        <v>550</v>
      </c>
      <c r="AS382" s="52">
        <v>200</v>
      </c>
      <c r="AT382" s="52">
        <v>2895</v>
      </c>
      <c r="AU382" s="52">
        <v>650</v>
      </c>
      <c r="AV382" s="52">
        <v>410</v>
      </c>
      <c r="AW382" s="52" t="s">
        <v>102</v>
      </c>
      <c r="AX382" s="51">
        <v>600</v>
      </c>
      <c r="AY382" s="53">
        <v>500</v>
      </c>
      <c r="AZ382" s="53">
        <v>1210</v>
      </c>
      <c r="BA382" s="53">
        <v>10</v>
      </c>
      <c r="BB382" s="53">
        <v>400</v>
      </c>
      <c r="BC382" s="53">
        <v>50</v>
      </c>
      <c r="BD382" s="53">
        <v>200</v>
      </c>
      <c r="BE382" s="53">
        <v>350</v>
      </c>
      <c r="BF382" s="53">
        <v>725</v>
      </c>
      <c r="BG382" s="53">
        <v>850</v>
      </c>
      <c r="BH382" s="53" t="s">
        <v>262</v>
      </c>
      <c r="BI382" s="53">
        <v>500</v>
      </c>
      <c r="BJ382" s="53" t="s">
        <v>102</v>
      </c>
      <c r="BK382" s="53" t="s">
        <v>264</v>
      </c>
      <c r="BL382" s="53">
        <v>900</v>
      </c>
      <c r="BM382" s="53">
        <v>645</v>
      </c>
      <c r="BN382" s="53">
        <v>1000</v>
      </c>
      <c r="BO382" s="53">
        <v>200</v>
      </c>
      <c r="BP382" s="53">
        <v>25</v>
      </c>
      <c r="BQ382" s="53">
        <v>200</v>
      </c>
      <c r="BR382" s="53">
        <v>1500</v>
      </c>
      <c r="BS382" s="53">
        <v>750</v>
      </c>
      <c r="BT382" s="53">
        <v>1500</v>
      </c>
      <c r="BU382" s="53">
        <v>200</v>
      </c>
      <c r="BV382" s="53">
        <v>1500</v>
      </c>
      <c r="BW382" s="53">
        <v>1500</v>
      </c>
      <c r="BX382" s="53">
        <v>750</v>
      </c>
      <c r="BY382" s="53">
        <v>1500</v>
      </c>
      <c r="BZ382" s="53">
        <v>2500</v>
      </c>
      <c r="CA382" s="53">
        <v>400</v>
      </c>
      <c r="CB382" s="53">
        <v>3500</v>
      </c>
      <c r="CC382" s="53">
        <v>1500</v>
      </c>
      <c r="CD382" s="53">
        <v>75</v>
      </c>
      <c r="CE382" s="53">
        <v>1500</v>
      </c>
      <c r="CF382" s="53">
        <v>7500</v>
      </c>
      <c r="CG382" s="53">
        <v>750</v>
      </c>
      <c r="CH382" s="53">
        <v>3500</v>
      </c>
      <c r="CI382" s="53">
        <v>200</v>
      </c>
      <c r="CJ382" s="53">
        <v>200</v>
      </c>
      <c r="CK382" s="53">
        <v>25</v>
      </c>
      <c r="CL382" s="53">
        <v>4000</v>
      </c>
      <c r="CM382" s="53">
        <v>3500</v>
      </c>
      <c r="CN382" s="206"/>
      <c r="CO382" s="206"/>
      <c r="CP382" s="206"/>
      <c r="CQ382" s="8">
        <f t="shared" si="189"/>
        <v>8</v>
      </c>
      <c r="CR382" s="8">
        <f t="shared" si="190"/>
        <v>7500</v>
      </c>
      <c r="CS382" s="8">
        <f t="shared" si="191"/>
        <v>1040.5999999999999</v>
      </c>
      <c r="CT382">
        <f t="shared" si="192"/>
        <v>455.25519343585978</v>
      </c>
      <c r="CU382" s="143">
        <f t="shared" si="193"/>
        <v>16</v>
      </c>
      <c r="CV382" s="143">
        <f t="shared" si="194"/>
        <v>288</v>
      </c>
      <c r="CX382" s="7">
        <f t="shared" si="195"/>
        <v>22.3</v>
      </c>
      <c r="CY382" s="7">
        <f t="shared" si="196"/>
        <v>118.1</v>
      </c>
      <c r="CZ382" s="7">
        <f t="shared" si="197"/>
        <v>198.20000000000002</v>
      </c>
      <c r="DA382" s="7">
        <f t="shared" si="198"/>
        <v>200</v>
      </c>
      <c r="DB382" s="7">
        <f t="shared" si="199"/>
        <v>600</v>
      </c>
      <c r="DC382" s="7">
        <f t="shared" si="200"/>
        <v>750</v>
      </c>
      <c r="DD382" s="7">
        <f t="shared" si="201"/>
        <v>855.00000000000011</v>
      </c>
      <c r="DE382" s="7">
        <f t="shared" si="202"/>
        <v>1500</v>
      </c>
      <c r="DF382" s="7">
        <f t="shared" si="203"/>
        <v>1500</v>
      </c>
      <c r="DH382" s="7">
        <f t="shared" si="204"/>
        <v>14</v>
      </c>
      <c r="DI382" s="7">
        <f t="shared" si="205"/>
        <v>116.5</v>
      </c>
      <c r="DJ382" s="7">
        <f t="shared" si="206"/>
        <v>118</v>
      </c>
      <c r="DK382" s="7">
        <f t="shared" si="207"/>
        <v>118.75</v>
      </c>
      <c r="DL382" s="7">
        <f t="shared" si="208"/>
        <v>409</v>
      </c>
      <c r="DM382" s="7">
        <f t="shared" si="209"/>
        <v>465</v>
      </c>
      <c r="DN382" s="7">
        <f t="shared" si="210"/>
        <v>528.75</v>
      </c>
      <c r="DO382" s="7">
        <f t="shared" si="211"/>
        <v>669.75</v>
      </c>
      <c r="DP382" s="7">
        <f t="shared" si="212"/>
        <v>962.25</v>
      </c>
    </row>
    <row r="383" spans="1:130" ht="25.5" hidden="1" customHeight="1" x14ac:dyDescent="0.25">
      <c r="A383" s="92" t="str">
        <f t="shared" si="220"/>
        <v>CO-WVI [17]</v>
      </c>
      <c r="B383" s="92" t="str">
        <f t="shared" si="221"/>
        <v>West Vancouver Island</v>
      </c>
      <c r="C383" s="93" t="str">
        <f t="shared" si="186"/>
        <v>HAMMOND CREEK_Coho</v>
      </c>
      <c r="D383" s="128" t="s">
        <v>598</v>
      </c>
      <c r="E383" s="128" t="s">
        <v>598</v>
      </c>
      <c r="F383" s="64">
        <v>25</v>
      </c>
      <c r="G383" s="72" t="s">
        <v>214</v>
      </c>
      <c r="H383" s="65" t="s">
        <v>93</v>
      </c>
      <c r="I383" s="119"/>
      <c r="J383" s="119"/>
      <c r="K383" s="64">
        <v>4</v>
      </c>
      <c r="L383" s="52">
        <v>9</v>
      </c>
      <c r="M383" s="52">
        <v>9</v>
      </c>
      <c r="N383" s="52">
        <f t="shared" si="222"/>
        <v>57.998032649796826</v>
      </c>
      <c r="O383" s="52">
        <f t="shared" si="223"/>
        <v>750</v>
      </c>
      <c r="P383" s="52">
        <f t="shared" si="224"/>
        <v>45.960982676359627</v>
      </c>
      <c r="Q383" s="66"/>
      <c r="R383" s="39"/>
      <c r="S383" s="74"/>
      <c r="T383" s="81">
        <f t="shared" si="187"/>
        <v>23</v>
      </c>
      <c r="U383" s="81">
        <f t="shared" si="188"/>
        <v>33.333333333333336</v>
      </c>
      <c r="V383" s="233">
        <v>5</v>
      </c>
      <c r="W383" s="52">
        <v>41</v>
      </c>
      <c r="X383" s="52" t="s">
        <v>102</v>
      </c>
      <c r="Y383" s="52" t="s">
        <v>102</v>
      </c>
      <c r="Z383" s="52" t="s">
        <v>102</v>
      </c>
      <c r="AA383" s="52" t="s">
        <v>102</v>
      </c>
      <c r="AB383" s="52" t="s">
        <v>102</v>
      </c>
      <c r="AC383" s="52" t="s">
        <v>102</v>
      </c>
      <c r="AD383" s="52" t="s">
        <v>102</v>
      </c>
      <c r="AE383" s="52" t="s">
        <v>102</v>
      </c>
      <c r="AF383" s="52" t="s">
        <v>263</v>
      </c>
      <c r="AG383" s="144">
        <v>54</v>
      </c>
      <c r="AH383" s="52">
        <v>151</v>
      </c>
      <c r="AI383" s="53">
        <v>115</v>
      </c>
      <c r="AJ383" s="53">
        <v>83</v>
      </c>
      <c r="AK383" s="53">
        <v>51</v>
      </c>
      <c r="AL383" s="89">
        <v>21</v>
      </c>
      <c r="AM383" s="52" t="s">
        <v>102</v>
      </c>
      <c r="AN383" s="52">
        <v>141</v>
      </c>
      <c r="AO383" s="53">
        <v>6</v>
      </c>
      <c r="AP383" s="53">
        <v>7</v>
      </c>
      <c r="AQ383" s="53">
        <v>200</v>
      </c>
      <c r="AR383" s="53">
        <v>200</v>
      </c>
      <c r="AS383" s="52">
        <v>90</v>
      </c>
      <c r="AT383" s="52">
        <v>196</v>
      </c>
      <c r="AU383" s="52">
        <v>60</v>
      </c>
      <c r="AV383" s="52">
        <v>65</v>
      </c>
      <c r="AW383" s="52" t="s">
        <v>102</v>
      </c>
      <c r="AX383" s="51">
        <v>30</v>
      </c>
      <c r="AY383" s="53">
        <v>20</v>
      </c>
      <c r="AZ383" s="53" t="s">
        <v>102</v>
      </c>
      <c r="BA383" s="53">
        <v>10</v>
      </c>
      <c r="BB383" s="53">
        <v>5</v>
      </c>
      <c r="BC383" s="53">
        <v>10</v>
      </c>
      <c r="BD383" s="53">
        <v>25</v>
      </c>
      <c r="BE383" s="53">
        <v>50</v>
      </c>
      <c r="BF383" s="53">
        <v>50</v>
      </c>
      <c r="BG383" s="53">
        <v>50</v>
      </c>
      <c r="BH383" s="53" t="s">
        <v>262</v>
      </c>
      <c r="BI383" s="53" t="s">
        <v>264</v>
      </c>
      <c r="BJ383" s="53" t="s">
        <v>102</v>
      </c>
      <c r="BK383" s="53">
        <v>10</v>
      </c>
      <c r="BL383" s="53" t="s">
        <v>264</v>
      </c>
      <c r="BM383" s="53">
        <v>30</v>
      </c>
      <c r="BN383" s="53" t="s">
        <v>264</v>
      </c>
      <c r="BO383" s="53" t="s">
        <v>264</v>
      </c>
      <c r="BP383" s="53">
        <v>25</v>
      </c>
      <c r="BQ383" s="53">
        <v>25</v>
      </c>
      <c r="BR383" s="53">
        <v>25</v>
      </c>
      <c r="BS383" s="53">
        <v>25</v>
      </c>
      <c r="BT383" s="53">
        <v>25</v>
      </c>
      <c r="BU383" s="53">
        <v>25</v>
      </c>
      <c r="BV383" s="53">
        <v>40</v>
      </c>
      <c r="BW383" s="53">
        <v>25</v>
      </c>
      <c r="BX383" s="53">
        <v>400</v>
      </c>
      <c r="BY383" s="53">
        <v>25</v>
      </c>
      <c r="BZ383" s="53">
        <v>200</v>
      </c>
      <c r="CA383" s="53">
        <v>750</v>
      </c>
      <c r="CB383" s="53">
        <v>400</v>
      </c>
      <c r="CC383" s="53">
        <v>75</v>
      </c>
      <c r="CD383" s="53">
        <v>75</v>
      </c>
      <c r="CE383" s="53">
        <v>25</v>
      </c>
      <c r="CF383" s="53">
        <v>25</v>
      </c>
      <c r="CG383" s="53">
        <v>25</v>
      </c>
      <c r="CH383" s="53">
        <v>25</v>
      </c>
      <c r="CI383" s="53">
        <v>75</v>
      </c>
      <c r="CJ383" s="53">
        <v>25</v>
      </c>
      <c r="CK383" s="53" t="s">
        <v>262</v>
      </c>
      <c r="CL383" s="53">
        <v>300</v>
      </c>
      <c r="CM383" s="53">
        <v>400</v>
      </c>
      <c r="CN383" s="206"/>
      <c r="CO383" s="206"/>
      <c r="CP383" s="206"/>
      <c r="CQ383" s="8">
        <f t="shared" si="189"/>
        <v>5</v>
      </c>
      <c r="CR383" s="8">
        <f t="shared" si="190"/>
        <v>750</v>
      </c>
      <c r="CS383" s="8">
        <f t="shared" si="191"/>
        <v>94.431372549019613</v>
      </c>
      <c r="CT383">
        <f t="shared" si="192"/>
        <v>45.902659917885067</v>
      </c>
      <c r="CU383" s="143">
        <f t="shared" si="193"/>
        <v>23</v>
      </c>
      <c r="CV383" s="143">
        <f t="shared" si="194"/>
        <v>33.333333333333336</v>
      </c>
      <c r="CX383" s="7">
        <f t="shared" si="195"/>
        <v>6.5</v>
      </c>
      <c r="CY383" s="7">
        <f t="shared" si="196"/>
        <v>20.5</v>
      </c>
      <c r="CZ383" s="7">
        <f t="shared" si="197"/>
        <v>25</v>
      </c>
      <c r="DA383" s="7">
        <f t="shared" si="198"/>
        <v>25</v>
      </c>
      <c r="DB383" s="7">
        <f t="shared" si="199"/>
        <v>40</v>
      </c>
      <c r="DC383" s="7">
        <f t="shared" si="200"/>
        <v>51</v>
      </c>
      <c r="DD383" s="7">
        <f t="shared" si="201"/>
        <v>62.5</v>
      </c>
      <c r="DE383" s="7">
        <f t="shared" si="202"/>
        <v>86.5</v>
      </c>
      <c r="DF383" s="7">
        <f t="shared" si="203"/>
        <v>198</v>
      </c>
      <c r="DH383" s="7">
        <f t="shared" si="204"/>
        <v>5.8</v>
      </c>
      <c r="DI383" s="7">
        <f t="shared" si="205"/>
        <v>12.599999999999998</v>
      </c>
      <c r="DJ383" s="7">
        <f t="shared" si="206"/>
        <v>25.000000000000004</v>
      </c>
      <c r="DK383" s="7">
        <f t="shared" si="207"/>
        <v>41</v>
      </c>
      <c r="DL383" s="7">
        <f t="shared" si="208"/>
        <v>65</v>
      </c>
      <c r="DM383" s="7">
        <f t="shared" si="209"/>
        <v>87.2</v>
      </c>
      <c r="DN383" s="7">
        <f t="shared" si="210"/>
        <v>100.00000000000001</v>
      </c>
      <c r="DO383" s="7">
        <f t="shared" si="211"/>
        <v>141</v>
      </c>
      <c r="DP383" s="7">
        <f t="shared" si="212"/>
        <v>178</v>
      </c>
    </row>
    <row r="384" spans="1:130" ht="25.5" hidden="1" customHeight="1" x14ac:dyDescent="0.25">
      <c r="A384" s="92" t="str">
        <f t="shared" si="220"/>
        <v>SK-WVI [R10]</v>
      </c>
      <c r="B384" s="92" t="str">
        <f t="shared" si="221"/>
        <v>West Vancouver Island</v>
      </c>
      <c r="C384" s="93" t="str">
        <f t="shared" si="186"/>
        <v>HAMMOND CREEK_Sockeye</v>
      </c>
      <c r="D384" s="128" t="s">
        <v>598</v>
      </c>
      <c r="E384" s="128" t="s">
        <v>598</v>
      </c>
      <c r="F384" s="64">
        <v>25</v>
      </c>
      <c r="G384" s="72" t="s">
        <v>214</v>
      </c>
      <c r="H384" s="65" t="s">
        <v>91</v>
      </c>
      <c r="I384" s="119"/>
      <c r="J384" s="119"/>
      <c r="K384" s="64">
        <v>4</v>
      </c>
      <c r="L384" s="52">
        <v>9</v>
      </c>
      <c r="M384" s="52">
        <v>5</v>
      </c>
      <c r="N384" s="52">
        <f t="shared" si="222"/>
        <v>18.169084221029262</v>
      </c>
      <c r="O384" s="52">
        <f t="shared" si="223"/>
        <v>150</v>
      </c>
      <c r="P384" s="52">
        <f t="shared" si="224"/>
        <v>13.875019406522908</v>
      </c>
      <c r="Q384" s="66"/>
      <c r="R384" s="39"/>
      <c r="S384" s="74"/>
      <c r="T384" s="81" t="e">
        <f t="shared" si="187"/>
        <v>#DIV/0!</v>
      </c>
      <c r="U384" s="81">
        <f t="shared" si="188"/>
        <v>1</v>
      </c>
      <c r="V384" s="232" t="s">
        <v>262</v>
      </c>
      <c r="W384" s="52" t="s">
        <v>262</v>
      </c>
      <c r="X384" s="52" t="s">
        <v>102</v>
      </c>
      <c r="Y384" s="52" t="s">
        <v>102</v>
      </c>
      <c r="Z384" s="52" t="s">
        <v>102</v>
      </c>
      <c r="AA384" s="52" t="s">
        <v>102</v>
      </c>
      <c r="AB384" s="52" t="s">
        <v>102</v>
      </c>
      <c r="AC384" s="52" t="s">
        <v>102</v>
      </c>
      <c r="AD384" s="52" t="s">
        <v>102</v>
      </c>
      <c r="AE384" s="52" t="s">
        <v>102</v>
      </c>
      <c r="AF384" s="52" t="s">
        <v>262</v>
      </c>
      <c r="AG384" s="144">
        <v>1</v>
      </c>
      <c r="AH384" s="52" t="s">
        <v>262</v>
      </c>
      <c r="AI384" s="53">
        <v>6</v>
      </c>
      <c r="AJ384" s="53">
        <v>1</v>
      </c>
      <c r="AK384" s="53" t="s">
        <v>262</v>
      </c>
      <c r="AL384" s="89" t="s">
        <v>262</v>
      </c>
      <c r="AM384" s="52" t="s">
        <v>102</v>
      </c>
      <c r="AN384" s="53" t="s">
        <v>262</v>
      </c>
      <c r="AO384" s="53" t="s">
        <v>262</v>
      </c>
      <c r="AP384" s="53" t="s">
        <v>262</v>
      </c>
      <c r="AQ384" s="53" t="s">
        <v>263</v>
      </c>
      <c r="AR384" s="53">
        <v>10</v>
      </c>
      <c r="AS384" s="52">
        <v>12</v>
      </c>
      <c r="AT384" s="52">
        <v>110</v>
      </c>
      <c r="AU384" s="52">
        <v>150</v>
      </c>
      <c r="AV384" s="52" t="s">
        <v>262</v>
      </c>
      <c r="AW384" s="52" t="s">
        <v>102</v>
      </c>
      <c r="AX384" s="51" t="s">
        <v>264</v>
      </c>
      <c r="AY384" s="53">
        <v>25</v>
      </c>
      <c r="AZ384" s="53" t="s">
        <v>102</v>
      </c>
      <c r="BA384" s="53" t="s">
        <v>264</v>
      </c>
      <c r="BB384" s="53" t="s">
        <v>264</v>
      </c>
      <c r="BC384" s="53" t="s">
        <v>264</v>
      </c>
      <c r="BD384" s="53" t="s">
        <v>264</v>
      </c>
      <c r="BE384" s="53" t="s">
        <v>264</v>
      </c>
      <c r="BF384" s="53" t="s">
        <v>264</v>
      </c>
      <c r="BG384" s="53" t="s">
        <v>264</v>
      </c>
      <c r="BH384" s="53" t="s">
        <v>262</v>
      </c>
      <c r="BI384" s="53" t="s">
        <v>264</v>
      </c>
      <c r="BJ384" s="53" t="s">
        <v>102</v>
      </c>
      <c r="BK384" s="53">
        <v>2</v>
      </c>
      <c r="BL384" s="53" t="s">
        <v>264</v>
      </c>
      <c r="BM384" s="53" t="s">
        <v>262</v>
      </c>
      <c r="BN384" s="53" t="s">
        <v>264</v>
      </c>
      <c r="BO384" s="53" t="s">
        <v>264</v>
      </c>
      <c r="BP384" s="53" t="s">
        <v>264</v>
      </c>
      <c r="BQ384" s="53" t="s">
        <v>264</v>
      </c>
      <c r="BR384" s="53" t="s">
        <v>264</v>
      </c>
      <c r="BS384" s="53" t="s">
        <v>264</v>
      </c>
      <c r="BT384" s="53" t="s">
        <v>264</v>
      </c>
      <c r="BU384" s="53" t="s">
        <v>264</v>
      </c>
      <c r="BV384" s="53" t="s">
        <v>264</v>
      </c>
      <c r="BW384" s="53" t="s">
        <v>264</v>
      </c>
      <c r="BX384" s="53" t="s">
        <v>264</v>
      </c>
      <c r="BY384" s="53" t="s">
        <v>264</v>
      </c>
      <c r="BZ384" s="53" t="s">
        <v>264</v>
      </c>
      <c r="CA384" s="53" t="s">
        <v>264</v>
      </c>
      <c r="CB384" s="53" t="s">
        <v>264</v>
      </c>
      <c r="CC384" s="53" t="s">
        <v>264</v>
      </c>
      <c r="CD384" s="53" t="s">
        <v>264</v>
      </c>
      <c r="CE384" s="53" t="s">
        <v>264</v>
      </c>
      <c r="CF384" s="53" t="s">
        <v>264</v>
      </c>
      <c r="CG384" s="53" t="s">
        <v>264</v>
      </c>
      <c r="CH384" s="53" t="s">
        <v>264</v>
      </c>
      <c r="CI384" s="53" t="s">
        <v>264</v>
      </c>
      <c r="CJ384" s="53" t="s">
        <v>264</v>
      </c>
      <c r="CK384" s="53" t="s">
        <v>264</v>
      </c>
      <c r="CL384" s="53" t="s">
        <v>264</v>
      </c>
      <c r="CM384" s="53" t="s">
        <v>264</v>
      </c>
      <c r="CN384" s="206"/>
      <c r="CO384" s="206"/>
      <c r="CP384" s="206"/>
      <c r="CQ384" s="8">
        <f t="shared" si="189"/>
        <v>1</v>
      </c>
      <c r="CR384" s="8">
        <f t="shared" si="190"/>
        <v>150</v>
      </c>
      <c r="CS384" s="8">
        <f t="shared" si="191"/>
        <v>35.222222222222221</v>
      </c>
      <c r="CT384">
        <f t="shared" si="192"/>
        <v>9.4376781042413</v>
      </c>
      <c r="CU384" s="143" t="e">
        <f t="shared" si="193"/>
        <v>#DIV/0!</v>
      </c>
      <c r="CV384" s="143">
        <f t="shared" si="194"/>
        <v>1</v>
      </c>
      <c r="CX384" s="7">
        <f t="shared" si="195"/>
        <v>1</v>
      </c>
      <c r="CY384" s="7">
        <f t="shared" si="196"/>
        <v>1.2000000000000002</v>
      </c>
      <c r="CZ384" s="7">
        <f t="shared" si="197"/>
        <v>1.6</v>
      </c>
      <c r="DA384" s="7">
        <f t="shared" si="198"/>
        <v>2</v>
      </c>
      <c r="DB384" s="7">
        <f t="shared" si="199"/>
        <v>10</v>
      </c>
      <c r="DC384" s="7">
        <f t="shared" si="200"/>
        <v>11.6</v>
      </c>
      <c r="DD384" s="7">
        <f t="shared" si="201"/>
        <v>14.600000000000001</v>
      </c>
      <c r="DE384" s="7">
        <f t="shared" si="202"/>
        <v>25</v>
      </c>
      <c r="DF384" s="7">
        <f t="shared" si="203"/>
        <v>92.999999999999986</v>
      </c>
      <c r="DH384" s="7">
        <f t="shared" si="204"/>
        <v>1</v>
      </c>
      <c r="DI384" s="7">
        <f t="shared" si="205"/>
        <v>1</v>
      </c>
      <c r="DJ384" s="7">
        <f t="shared" si="206"/>
        <v>2.0000000000000009</v>
      </c>
      <c r="DK384" s="7">
        <f t="shared" si="207"/>
        <v>3.5</v>
      </c>
      <c r="DL384" s="7">
        <f t="shared" si="208"/>
        <v>10</v>
      </c>
      <c r="DM384" s="7">
        <f t="shared" si="209"/>
        <v>11.2</v>
      </c>
      <c r="DN384" s="7">
        <f t="shared" si="210"/>
        <v>11.8</v>
      </c>
      <c r="DO384" s="7">
        <f t="shared" si="211"/>
        <v>61</v>
      </c>
      <c r="DP384" s="7">
        <f t="shared" si="212"/>
        <v>113.99999999999999</v>
      </c>
    </row>
    <row r="385" spans="1:120" ht="25.5" customHeight="1" x14ac:dyDescent="0.25">
      <c r="A385" s="92" t="str">
        <f t="shared" si="220"/>
        <v>CK-NoKy [32]</v>
      </c>
      <c r="B385" s="92" t="str">
        <f t="shared" si="221"/>
        <v>Nootka and Kyuquot</v>
      </c>
      <c r="C385" s="93" t="str">
        <f t="shared" si="186"/>
        <v>HOISS CREEK_Chinook</v>
      </c>
      <c r="D385" s="128" t="s">
        <v>598</v>
      </c>
      <c r="E385" s="128" t="s">
        <v>598</v>
      </c>
      <c r="F385" s="64">
        <v>25</v>
      </c>
      <c r="G385" s="72" t="s">
        <v>228</v>
      </c>
      <c r="H385" s="65" t="s">
        <v>97</v>
      </c>
      <c r="I385" s="119"/>
      <c r="J385" s="119"/>
      <c r="K385" s="64">
        <v>4</v>
      </c>
      <c r="L385" s="52">
        <v>11</v>
      </c>
      <c r="M385" s="52">
        <v>6</v>
      </c>
      <c r="N385" s="52">
        <f t="shared" si="222"/>
        <v>3.6986223885946474</v>
      </c>
      <c r="O385" s="52">
        <f t="shared" si="223"/>
        <v>50</v>
      </c>
      <c r="P385" s="52">
        <f t="shared" si="224"/>
        <v>10.187692651215061</v>
      </c>
      <c r="Q385" s="66"/>
      <c r="R385" s="39"/>
      <c r="S385" s="74"/>
      <c r="T385" s="81" t="e">
        <f t="shared" si="187"/>
        <v>#DIV/0!</v>
      </c>
      <c r="U385" s="81">
        <f t="shared" si="188"/>
        <v>1</v>
      </c>
      <c r="V385" s="52" t="s">
        <v>102</v>
      </c>
      <c r="W385" s="52" t="s">
        <v>102</v>
      </c>
      <c r="X385" s="52" t="s">
        <v>102</v>
      </c>
      <c r="Y385" s="52" t="s">
        <v>102</v>
      </c>
      <c r="Z385" s="52" t="s">
        <v>102</v>
      </c>
      <c r="AA385" s="52" t="s">
        <v>102</v>
      </c>
      <c r="AB385" s="52" t="s">
        <v>102</v>
      </c>
      <c r="AC385" s="52" t="s">
        <v>102</v>
      </c>
      <c r="AD385" s="52" t="s">
        <v>102</v>
      </c>
      <c r="AE385" s="52" t="s">
        <v>102</v>
      </c>
      <c r="AF385" s="52" t="s">
        <v>262</v>
      </c>
      <c r="AG385" s="144">
        <v>1</v>
      </c>
      <c r="AH385" s="53">
        <v>21</v>
      </c>
      <c r="AI385" s="52" t="s">
        <v>262</v>
      </c>
      <c r="AJ385" s="53">
        <v>2</v>
      </c>
      <c r="AK385" s="53" t="s">
        <v>262</v>
      </c>
      <c r="AL385" s="89" t="s">
        <v>262</v>
      </c>
      <c r="AM385" s="52" t="s">
        <v>262</v>
      </c>
      <c r="AN385" s="52">
        <v>5</v>
      </c>
      <c r="AO385" s="53">
        <v>2</v>
      </c>
      <c r="AP385" s="53">
        <v>32</v>
      </c>
      <c r="AQ385" s="53">
        <v>4</v>
      </c>
      <c r="AR385" s="53" t="s">
        <v>263</v>
      </c>
      <c r="AS385" s="52" t="s">
        <v>262</v>
      </c>
      <c r="AT385" s="52">
        <v>1</v>
      </c>
      <c r="AU385" s="52" t="s">
        <v>262</v>
      </c>
      <c r="AV385" s="52" t="s">
        <v>262</v>
      </c>
      <c r="AW385" s="52" t="s">
        <v>262</v>
      </c>
      <c r="AX385" s="51" t="s">
        <v>264</v>
      </c>
      <c r="AY385" s="53" t="s">
        <v>264</v>
      </c>
      <c r="AZ385" s="53" t="s">
        <v>102</v>
      </c>
      <c r="BA385" s="53" t="s">
        <v>102</v>
      </c>
      <c r="BB385" s="53" t="s">
        <v>264</v>
      </c>
      <c r="BC385" s="53" t="s">
        <v>264</v>
      </c>
      <c r="BD385" s="53" t="s">
        <v>264</v>
      </c>
      <c r="BE385" s="53" t="s">
        <v>264</v>
      </c>
      <c r="BF385" s="53" t="s">
        <v>264</v>
      </c>
      <c r="BG385" s="53" t="s">
        <v>262</v>
      </c>
      <c r="BH385" s="53" t="s">
        <v>262</v>
      </c>
      <c r="BI385" s="53" t="s">
        <v>264</v>
      </c>
      <c r="BJ385" s="53" t="s">
        <v>262</v>
      </c>
      <c r="BK385" s="53" t="s">
        <v>264</v>
      </c>
      <c r="BL385" s="53" t="s">
        <v>264</v>
      </c>
      <c r="BM385" s="53" t="s">
        <v>264</v>
      </c>
      <c r="BN385" s="53" t="s">
        <v>264</v>
      </c>
      <c r="BO385" s="53" t="s">
        <v>264</v>
      </c>
      <c r="BP385" s="53" t="s">
        <v>102</v>
      </c>
      <c r="BQ385" s="53">
        <v>25</v>
      </c>
      <c r="BR385" s="53" t="s">
        <v>264</v>
      </c>
      <c r="BS385" s="53" t="s">
        <v>264</v>
      </c>
      <c r="BT385" s="53">
        <v>25</v>
      </c>
      <c r="BU385" s="53" t="s">
        <v>262</v>
      </c>
      <c r="BV385" s="53">
        <v>25</v>
      </c>
      <c r="BW385" s="53" t="s">
        <v>262</v>
      </c>
      <c r="BX385" s="53" t="s">
        <v>262</v>
      </c>
      <c r="BY385" s="53" t="s">
        <v>262</v>
      </c>
      <c r="BZ385" s="53">
        <v>25</v>
      </c>
      <c r="CA385" s="53">
        <v>25</v>
      </c>
      <c r="CB385" s="53" t="s">
        <v>264</v>
      </c>
      <c r="CC385" s="53">
        <v>50</v>
      </c>
      <c r="CD385" s="53" t="s">
        <v>264</v>
      </c>
      <c r="CE385" s="53" t="s">
        <v>264</v>
      </c>
      <c r="CF385" s="53" t="s">
        <v>264</v>
      </c>
      <c r="CG385" s="53" t="s">
        <v>264</v>
      </c>
      <c r="CH385" s="53" t="s">
        <v>264</v>
      </c>
      <c r="CI385" s="53" t="s">
        <v>264</v>
      </c>
      <c r="CJ385" s="53" t="s">
        <v>264</v>
      </c>
      <c r="CK385" s="53" t="s">
        <v>264</v>
      </c>
      <c r="CL385" s="53" t="s">
        <v>264</v>
      </c>
      <c r="CM385" s="53" t="s">
        <v>264</v>
      </c>
      <c r="CN385" s="206"/>
      <c r="CO385" s="206"/>
      <c r="CP385" s="206"/>
      <c r="CQ385" s="8">
        <f t="shared" si="189"/>
        <v>1</v>
      </c>
      <c r="CR385" s="8">
        <f t="shared" si="190"/>
        <v>50</v>
      </c>
      <c r="CS385" s="8">
        <f t="shared" si="191"/>
        <v>17.357142857142858</v>
      </c>
      <c r="CT385">
        <f t="shared" si="192"/>
        <v>9.0888562839552058</v>
      </c>
      <c r="CU385" s="143" t="e">
        <f t="shared" si="193"/>
        <v>#DIV/0!</v>
      </c>
      <c r="CV385" s="143">
        <f t="shared" si="194"/>
        <v>1</v>
      </c>
      <c r="CX385" s="7">
        <f t="shared" si="195"/>
        <v>1</v>
      </c>
      <c r="CY385" s="7">
        <f t="shared" si="196"/>
        <v>1.9500000000000002</v>
      </c>
      <c r="CZ385" s="7">
        <f t="shared" si="197"/>
        <v>2</v>
      </c>
      <c r="DA385" s="7">
        <f t="shared" si="198"/>
        <v>2.5</v>
      </c>
      <c r="DB385" s="7">
        <f t="shared" si="199"/>
        <v>23</v>
      </c>
      <c r="DC385" s="7">
        <f t="shared" si="200"/>
        <v>25</v>
      </c>
      <c r="DD385" s="7">
        <f t="shared" si="201"/>
        <v>25</v>
      </c>
      <c r="DE385" s="7">
        <f t="shared" si="202"/>
        <v>25</v>
      </c>
      <c r="DF385" s="7">
        <f t="shared" si="203"/>
        <v>25.349999999999994</v>
      </c>
      <c r="DH385" s="7">
        <f t="shared" si="204"/>
        <v>1</v>
      </c>
      <c r="DI385" s="7">
        <f t="shared" si="205"/>
        <v>1.0499999999999998</v>
      </c>
      <c r="DJ385" s="7">
        <f t="shared" si="206"/>
        <v>1.4000000000000004</v>
      </c>
      <c r="DK385" s="7">
        <f t="shared" si="207"/>
        <v>1.75</v>
      </c>
      <c r="DL385" s="7">
        <f t="shared" si="208"/>
        <v>3</v>
      </c>
      <c r="DM385" s="7">
        <f t="shared" si="209"/>
        <v>4.2</v>
      </c>
      <c r="DN385" s="7">
        <f t="shared" si="210"/>
        <v>4.55</v>
      </c>
      <c r="DO385" s="7">
        <f t="shared" si="211"/>
        <v>9</v>
      </c>
      <c r="DP385" s="7">
        <f t="shared" si="212"/>
        <v>20.200000000000003</v>
      </c>
    </row>
    <row r="386" spans="1:120" ht="25.5" hidden="1" customHeight="1" x14ac:dyDescent="0.25">
      <c r="A386" s="92" t="str">
        <f t="shared" si="220"/>
        <v>CM-SWVI [10]</v>
      </c>
      <c r="B386" s="92" t="str">
        <f t="shared" si="221"/>
        <v>Southwest Vancouver Island</v>
      </c>
      <c r="C386" s="93" t="str">
        <f t="shared" si="186"/>
        <v>HOISS CREEK_Chum</v>
      </c>
      <c r="D386" s="128" t="s">
        <v>598</v>
      </c>
      <c r="E386" s="128" t="s">
        <v>598</v>
      </c>
      <c r="F386" s="64">
        <v>25</v>
      </c>
      <c r="G386" s="72" t="s">
        <v>228</v>
      </c>
      <c r="H386" s="65" t="s">
        <v>96</v>
      </c>
      <c r="I386" s="119"/>
      <c r="J386" s="119"/>
      <c r="K386" s="64">
        <v>4</v>
      </c>
      <c r="L386" s="52">
        <v>11</v>
      </c>
      <c r="M386" s="52">
        <v>11</v>
      </c>
      <c r="N386" s="52">
        <f t="shared" si="222"/>
        <v>489.51847246897518</v>
      </c>
      <c r="O386" s="52">
        <f t="shared" si="223"/>
        <v>6210</v>
      </c>
      <c r="P386" s="52">
        <f t="shared" si="224"/>
        <v>678.73834263479796</v>
      </c>
      <c r="Q386" s="66"/>
      <c r="R386" s="39"/>
      <c r="S386" s="74"/>
      <c r="T386" s="81" t="e">
        <f t="shared" si="187"/>
        <v>#DIV/0!</v>
      </c>
      <c r="U386" s="81">
        <f t="shared" si="188"/>
        <v>361</v>
      </c>
      <c r="V386" s="52" t="s">
        <v>102</v>
      </c>
      <c r="W386" s="52" t="s">
        <v>102</v>
      </c>
      <c r="X386" s="52" t="s">
        <v>102</v>
      </c>
      <c r="Y386" s="52" t="s">
        <v>102</v>
      </c>
      <c r="Z386" s="52" t="s">
        <v>102</v>
      </c>
      <c r="AA386" s="52" t="s">
        <v>102</v>
      </c>
      <c r="AB386" s="52" t="s">
        <v>102</v>
      </c>
      <c r="AC386" s="52" t="s">
        <v>102</v>
      </c>
      <c r="AD386" s="52" t="s">
        <v>102</v>
      </c>
      <c r="AE386" s="52" t="s">
        <v>102</v>
      </c>
      <c r="AF386" s="52" t="s">
        <v>263</v>
      </c>
      <c r="AG386" s="144">
        <v>361</v>
      </c>
      <c r="AH386" s="53">
        <v>610</v>
      </c>
      <c r="AI386" s="53">
        <v>565</v>
      </c>
      <c r="AJ386" s="53">
        <v>338</v>
      </c>
      <c r="AK386" s="53">
        <v>69</v>
      </c>
      <c r="AL386" s="89">
        <v>142</v>
      </c>
      <c r="AM386" s="52">
        <v>1050</v>
      </c>
      <c r="AN386" s="52">
        <v>3296</v>
      </c>
      <c r="AO386" s="53">
        <v>1095</v>
      </c>
      <c r="AP386" s="53">
        <v>295</v>
      </c>
      <c r="AQ386" s="53">
        <v>215</v>
      </c>
      <c r="AR386" s="53">
        <v>250</v>
      </c>
      <c r="AS386" s="52">
        <v>300</v>
      </c>
      <c r="AT386" s="52">
        <v>6210</v>
      </c>
      <c r="AU386" s="52">
        <v>1000</v>
      </c>
      <c r="AV386" s="52">
        <v>250</v>
      </c>
      <c r="AW386" s="52" t="s">
        <v>263</v>
      </c>
      <c r="AX386" s="51">
        <v>900</v>
      </c>
      <c r="AY386" s="53">
        <v>2000</v>
      </c>
      <c r="AZ386" s="53">
        <v>1500</v>
      </c>
      <c r="BA386" s="53" t="s">
        <v>102</v>
      </c>
      <c r="BB386" s="53">
        <v>300</v>
      </c>
      <c r="BC386" s="53">
        <v>150</v>
      </c>
      <c r="BD386" s="53">
        <v>150</v>
      </c>
      <c r="BE386" s="53">
        <v>750</v>
      </c>
      <c r="BF386" s="53">
        <v>1700</v>
      </c>
      <c r="BG386" s="53">
        <v>2400</v>
      </c>
      <c r="BH386" s="53">
        <v>100</v>
      </c>
      <c r="BI386" s="53">
        <v>1050</v>
      </c>
      <c r="BJ386" s="53">
        <v>2500</v>
      </c>
      <c r="BK386" s="53">
        <v>1500</v>
      </c>
      <c r="BL386" s="53">
        <v>500</v>
      </c>
      <c r="BM386" s="53">
        <v>110</v>
      </c>
      <c r="BN386" s="53">
        <v>300</v>
      </c>
      <c r="BO386" s="53">
        <v>150</v>
      </c>
      <c r="BP386" s="53" t="s">
        <v>102</v>
      </c>
      <c r="BQ386" s="53">
        <v>75</v>
      </c>
      <c r="BR386" s="53">
        <v>750</v>
      </c>
      <c r="BS386" s="53">
        <v>1500</v>
      </c>
      <c r="BT386" s="53">
        <v>3500</v>
      </c>
      <c r="BU386" s="53">
        <v>200</v>
      </c>
      <c r="BV386" s="53">
        <v>2200</v>
      </c>
      <c r="BW386" s="53">
        <v>750</v>
      </c>
      <c r="BX386" s="53">
        <v>400</v>
      </c>
      <c r="BY386" s="53">
        <v>1500</v>
      </c>
      <c r="BZ386" s="53">
        <v>2000</v>
      </c>
      <c r="CA386" s="53">
        <v>400</v>
      </c>
      <c r="CB386" s="53">
        <v>400</v>
      </c>
      <c r="CC386" s="53">
        <v>700</v>
      </c>
      <c r="CD386" s="53">
        <v>1500</v>
      </c>
      <c r="CE386" s="53">
        <v>750</v>
      </c>
      <c r="CF386" s="53">
        <v>3500</v>
      </c>
      <c r="CG386" s="53">
        <v>400</v>
      </c>
      <c r="CH386" s="53">
        <v>3500</v>
      </c>
      <c r="CI386" s="53">
        <v>1500</v>
      </c>
      <c r="CJ386" s="53">
        <v>3500</v>
      </c>
      <c r="CK386" s="53">
        <v>200</v>
      </c>
      <c r="CL386" s="53">
        <v>900</v>
      </c>
      <c r="CM386" s="53">
        <v>3500</v>
      </c>
      <c r="CN386" s="206"/>
      <c r="CO386" s="206"/>
      <c r="CP386" s="206"/>
      <c r="CQ386" s="8">
        <f t="shared" si="189"/>
        <v>69</v>
      </c>
      <c r="CR386" s="8">
        <f t="shared" si="190"/>
        <v>6210</v>
      </c>
      <c r="CS386" s="8">
        <f t="shared" si="191"/>
        <v>1173.7678571428571</v>
      </c>
      <c r="CT386">
        <f t="shared" si="192"/>
        <v>667.66032292248565</v>
      </c>
      <c r="CU386" s="143" t="e">
        <f t="shared" si="193"/>
        <v>#DIV/0!</v>
      </c>
      <c r="CV386" s="143">
        <f t="shared" si="194"/>
        <v>361</v>
      </c>
      <c r="CX386" s="7">
        <f t="shared" si="195"/>
        <v>107.5</v>
      </c>
      <c r="CY386" s="7">
        <f t="shared" si="196"/>
        <v>200</v>
      </c>
      <c r="CZ386" s="7">
        <f t="shared" si="197"/>
        <v>250</v>
      </c>
      <c r="DA386" s="7">
        <f t="shared" si="198"/>
        <v>298.75</v>
      </c>
      <c r="DB386" s="7">
        <f t="shared" si="199"/>
        <v>750</v>
      </c>
      <c r="DC386" s="7">
        <f t="shared" si="200"/>
        <v>1000</v>
      </c>
      <c r="DD386" s="7">
        <f t="shared" si="201"/>
        <v>1083.75</v>
      </c>
      <c r="DE386" s="7">
        <f t="shared" si="202"/>
        <v>1500</v>
      </c>
      <c r="DF386" s="7">
        <f t="shared" si="203"/>
        <v>2350</v>
      </c>
      <c r="DH386" s="7">
        <f t="shared" si="204"/>
        <v>123.75</v>
      </c>
      <c r="DI386" s="7">
        <f t="shared" si="205"/>
        <v>223.75</v>
      </c>
      <c r="DJ386" s="7">
        <f t="shared" si="206"/>
        <v>250</v>
      </c>
      <c r="DK386" s="7">
        <f t="shared" si="207"/>
        <v>250</v>
      </c>
      <c r="DL386" s="7">
        <f t="shared" si="208"/>
        <v>349.5</v>
      </c>
      <c r="DM386" s="7">
        <f t="shared" si="209"/>
        <v>565</v>
      </c>
      <c r="DN386" s="7">
        <f t="shared" si="210"/>
        <v>598.75</v>
      </c>
      <c r="DO386" s="7">
        <f t="shared" si="211"/>
        <v>1012.5</v>
      </c>
      <c r="DP386" s="7">
        <f t="shared" si="212"/>
        <v>1083.75</v>
      </c>
    </row>
    <row r="387" spans="1:120" ht="25.5" hidden="1" customHeight="1" x14ac:dyDescent="0.25">
      <c r="A387" s="92" t="str">
        <f t="shared" si="220"/>
        <v>CO-WVI [17]</v>
      </c>
      <c r="B387" s="92" t="str">
        <f t="shared" si="221"/>
        <v>West Vancouver Island</v>
      </c>
      <c r="C387" s="93" t="str">
        <f t="shared" si="186"/>
        <v>HOISS CREEK_Coho</v>
      </c>
      <c r="D387" s="128" t="s">
        <v>598</v>
      </c>
      <c r="E387" s="128" t="s">
        <v>598</v>
      </c>
      <c r="F387" s="64">
        <v>25</v>
      </c>
      <c r="G387" s="72" t="s">
        <v>228</v>
      </c>
      <c r="H387" s="65" t="s">
        <v>93</v>
      </c>
      <c r="I387" s="119"/>
      <c r="J387" s="119"/>
      <c r="K387" s="64">
        <v>4</v>
      </c>
      <c r="L387" s="52">
        <v>11</v>
      </c>
      <c r="M387" s="52">
        <v>9</v>
      </c>
      <c r="N387" s="52">
        <f t="shared" si="222"/>
        <v>46.77294447910608</v>
      </c>
      <c r="O387" s="52">
        <f t="shared" si="223"/>
        <v>750</v>
      </c>
      <c r="P387" s="52">
        <f t="shared" si="224"/>
        <v>58.298383597692258</v>
      </c>
      <c r="Q387" s="66"/>
      <c r="R387" s="39"/>
      <c r="S387" s="74"/>
      <c r="T387" s="81" t="e">
        <f t="shared" si="187"/>
        <v>#DIV/0!</v>
      </c>
      <c r="U387" s="81">
        <f t="shared" si="188"/>
        <v>48</v>
      </c>
      <c r="V387" s="52" t="s">
        <v>102</v>
      </c>
      <c r="W387" s="52" t="s">
        <v>102</v>
      </c>
      <c r="X387" s="52" t="s">
        <v>102</v>
      </c>
      <c r="Y387" s="52" t="s">
        <v>102</v>
      </c>
      <c r="Z387" s="52" t="s">
        <v>102</v>
      </c>
      <c r="AA387" s="52" t="s">
        <v>102</v>
      </c>
      <c r="AB387" s="52" t="s">
        <v>102</v>
      </c>
      <c r="AC387" s="52" t="s">
        <v>102</v>
      </c>
      <c r="AD387" s="52" t="s">
        <v>102</v>
      </c>
      <c r="AE387" s="52" t="s">
        <v>102</v>
      </c>
      <c r="AF387" s="52" t="s">
        <v>262</v>
      </c>
      <c r="AG387" s="144">
        <v>48</v>
      </c>
      <c r="AH387" s="53">
        <v>23</v>
      </c>
      <c r="AI387" s="53">
        <v>85</v>
      </c>
      <c r="AJ387" s="53">
        <v>56</v>
      </c>
      <c r="AK387" s="53">
        <v>17</v>
      </c>
      <c r="AL387" s="89">
        <v>20</v>
      </c>
      <c r="AM387" s="52">
        <v>75</v>
      </c>
      <c r="AN387" s="52">
        <v>208</v>
      </c>
      <c r="AO387" s="53">
        <v>20</v>
      </c>
      <c r="AP387" s="53">
        <v>32</v>
      </c>
      <c r="AQ387" s="53">
        <v>120</v>
      </c>
      <c r="AR387" s="53">
        <v>90</v>
      </c>
      <c r="AS387" s="52">
        <v>100</v>
      </c>
      <c r="AT387" s="52">
        <v>89</v>
      </c>
      <c r="AU387" s="52">
        <v>6</v>
      </c>
      <c r="AV387" s="52" t="s">
        <v>262</v>
      </c>
      <c r="AW387" s="52" t="s">
        <v>262</v>
      </c>
      <c r="AX387" s="51" t="s">
        <v>262</v>
      </c>
      <c r="AY387" s="53" t="s">
        <v>262</v>
      </c>
      <c r="AZ387" s="53" t="s">
        <v>102</v>
      </c>
      <c r="BA387" s="53" t="s">
        <v>102</v>
      </c>
      <c r="BB387" s="53" t="s">
        <v>264</v>
      </c>
      <c r="BC387" s="53" t="s">
        <v>264</v>
      </c>
      <c r="BD387" s="53" t="s">
        <v>264</v>
      </c>
      <c r="BE387" s="53" t="s">
        <v>264</v>
      </c>
      <c r="BF387" s="53">
        <v>40</v>
      </c>
      <c r="BG387" s="53">
        <v>50</v>
      </c>
      <c r="BH387" s="53" t="s">
        <v>262</v>
      </c>
      <c r="BI387" s="53" t="s">
        <v>264</v>
      </c>
      <c r="BJ387" s="53" t="s">
        <v>262</v>
      </c>
      <c r="BK387" s="53" t="s">
        <v>264</v>
      </c>
      <c r="BL387" s="53" t="s">
        <v>264</v>
      </c>
      <c r="BM387" s="53" t="s">
        <v>262</v>
      </c>
      <c r="BN387" s="53" t="s">
        <v>264</v>
      </c>
      <c r="BO387" s="53" t="s">
        <v>264</v>
      </c>
      <c r="BP387" s="53" t="s">
        <v>102</v>
      </c>
      <c r="BQ387" s="53">
        <v>200</v>
      </c>
      <c r="BR387" s="53">
        <v>25</v>
      </c>
      <c r="BS387" s="53">
        <v>25</v>
      </c>
      <c r="BT387" s="53">
        <v>25</v>
      </c>
      <c r="BU387" s="53">
        <v>25</v>
      </c>
      <c r="BV387" s="53">
        <v>75</v>
      </c>
      <c r="BW387" s="53">
        <v>75</v>
      </c>
      <c r="BX387" s="53">
        <v>25</v>
      </c>
      <c r="BY387" s="53">
        <v>75</v>
      </c>
      <c r="BZ387" s="53">
        <v>25</v>
      </c>
      <c r="CA387" s="53">
        <v>75</v>
      </c>
      <c r="CB387" s="53">
        <v>200</v>
      </c>
      <c r="CC387" s="53">
        <v>250</v>
      </c>
      <c r="CD387" s="53" t="s">
        <v>264</v>
      </c>
      <c r="CE387" s="53">
        <v>25</v>
      </c>
      <c r="CF387" s="53">
        <v>25</v>
      </c>
      <c r="CG387" s="53">
        <v>25</v>
      </c>
      <c r="CH387" s="53">
        <v>75</v>
      </c>
      <c r="CI387" s="53">
        <v>75</v>
      </c>
      <c r="CJ387" s="53">
        <v>75</v>
      </c>
      <c r="CK387" s="53" t="s">
        <v>262</v>
      </c>
      <c r="CL387" s="53">
        <v>750</v>
      </c>
      <c r="CM387" s="53">
        <v>750</v>
      </c>
      <c r="CN387" s="206"/>
      <c r="CO387" s="206"/>
      <c r="CP387" s="206"/>
      <c r="CQ387" s="8">
        <f t="shared" si="189"/>
        <v>6</v>
      </c>
      <c r="CR387" s="8">
        <f t="shared" si="190"/>
        <v>750</v>
      </c>
      <c r="CS387" s="8">
        <f t="shared" si="191"/>
        <v>104.71052631578948</v>
      </c>
      <c r="CT387">
        <f t="shared" si="192"/>
        <v>57.162984318937319</v>
      </c>
      <c r="CU387" s="143" t="e">
        <f t="shared" si="193"/>
        <v>#DIV/0!</v>
      </c>
      <c r="CV387" s="143">
        <f t="shared" si="194"/>
        <v>48</v>
      </c>
      <c r="CX387" s="7">
        <f t="shared" si="195"/>
        <v>19.55</v>
      </c>
      <c r="CY387" s="7">
        <f t="shared" si="196"/>
        <v>25</v>
      </c>
      <c r="CZ387" s="7">
        <f t="shared" si="197"/>
        <v>25</v>
      </c>
      <c r="DA387" s="7">
        <f t="shared" si="198"/>
        <v>25</v>
      </c>
      <c r="DB387" s="7">
        <f t="shared" si="199"/>
        <v>65.5</v>
      </c>
      <c r="DC387" s="7">
        <f t="shared" si="200"/>
        <v>75</v>
      </c>
      <c r="DD387" s="7">
        <f t="shared" si="201"/>
        <v>75</v>
      </c>
      <c r="DE387" s="7">
        <f t="shared" si="202"/>
        <v>88</v>
      </c>
      <c r="DF387" s="7">
        <f t="shared" si="203"/>
        <v>156.00000000000023</v>
      </c>
      <c r="DH387" s="7">
        <f t="shared" si="204"/>
        <v>13.700000000000003</v>
      </c>
      <c r="DI387" s="7">
        <f t="shared" si="205"/>
        <v>20</v>
      </c>
      <c r="DJ387" s="7">
        <f t="shared" si="206"/>
        <v>20</v>
      </c>
      <c r="DK387" s="7">
        <f t="shared" si="207"/>
        <v>21.5</v>
      </c>
      <c r="DL387" s="7">
        <f t="shared" si="208"/>
        <v>56</v>
      </c>
      <c r="DM387" s="7">
        <f t="shared" si="209"/>
        <v>79</v>
      </c>
      <c r="DN387" s="7">
        <f t="shared" si="210"/>
        <v>85.4</v>
      </c>
      <c r="DO387" s="7">
        <f t="shared" si="211"/>
        <v>89.5</v>
      </c>
      <c r="DP387" s="7">
        <f t="shared" si="212"/>
        <v>99</v>
      </c>
    </row>
    <row r="388" spans="1:120" ht="25.5" hidden="1" customHeight="1" x14ac:dyDescent="0.25">
      <c r="A388" s="92" t="str">
        <f t="shared" si="220"/>
        <v>SK-WVI [R10]</v>
      </c>
      <c r="B388" s="92" t="str">
        <f t="shared" si="221"/>
        <v>West Vancouver Island</v>
      </c>
      <c r="C388" s="93" t="str">
        <f t="shared" si="186"/>
        <v>HOISS CREEK_Sockeye</v>
      </c>
      <c r="D388" s="128" t="s">
        <v>598</v>
      </c>
      <c r="E388" s="128" t="s">
        <v>598</v>
      </c>
      <c r="F388" s="64">
        <v>25</v>
      </c>
      <c r="G388" s="72" t="s">
        <v>228</v>
      </c>
      <c r="H388" s="65" t="s">
        <v>91</v>
      </c>
      <c r="I388" s="119"/>
      <c r="J388" s="119"/>
      <c r="K388" s="64">
        <v>4</v>
      </c>
      <c r="L388" s="52">
        <v>11</v>
      </c>
      <c r="M388" s="52">
        <v>4</v>
      </c>
      <c r="N388" s="52">
        <f t="shared" si="222"/>
        <v>16.41939711447576</v>
      </c>
      <c r="O388" s="52">
        <f t="shared" si="223"/>
        <v>450</v>
      </c>
      <c r="P388" s="52">
        <f t="shared" si="224"/>
        <v>23.604774435999058</v>
      </c>
      <c r="Q388" s="66"/>
      <c r="R388" s="39"/>
      <c r="S388" s="74"/>
      <c r="T388" s="81" t="e">
        <f t="shared" si="187"/>
        <v>#DIV/0!</v>
      </c>
      <c r="U388" s="81">
        <f t="shared" si="188"/>
        <v>4</v>
      </c>
      <c r="V388" s="52" t="s">
        <v>102</v>
      </c>
      <c r="W388" s="52" t="s">
        <v>102</v>
      </c>
      <c r="X388" s="52" t="s">
        <v>102</v>
      </c>
      <c r="Y388" s="52" t="s">
        <v>102</v>
      </c>
      <c r="Z388" s="52" t="s">
        <v>102</v>
      </c>
      <c r="AA388" s="52" t="s">
        <v>102</v>
      </c>
      <c r="AB388" s="52" t="s">
        <v>102</v>
      </c>
      <c r="AC388" s="52" t="s">
        <v>102</v>
      </c>
      <c r="AD388" s="52" t="s">
        <v>102</v>
      </c>
      <c r="AE388" s="52" t="s">
        <v>102</v>
      </c>
      <c r="AF388" s="52" t="s">
        <v>262</v>
      </c>
      <c r="AG388" s="144">
        <v>4</v>
      </c>
      <c r="AH388" s="53">
        <v>3</v>
      </c>
      <c r="AI388" s="52" t="s">
        <v>262</v>
      </c>
      <c r="AJ388" s="53" t="s">
        <v>262</v>
      </c>
      <c r="AK388" s="53">
        <v>1</v>
      </c>
      <c r="AL388" s="89" t="s">
        <v>262</v>
      </c>
      <c r="AM388" s="52" t="s">
        <v>262</v>
      </c>
      <c r="AN388" s="52">
        <v>9</v>
      </c>
      <c r="AO388" s="53" t="s">
        <v>262</v>
      </c>
      <c r="AP388" s="53" t="s">
        <v>262</v>
      </c>
      <c r="AQ388" s="53" t="s">
        <v>262</v>
      </c>
      <c r="AR388" s="53" t="s">
        <v>262</v>
      </c>
      <c r="AS388" s="52">
        <v>40</v>
      </c>
      <c r="AT388" s="52">
        <v>51</v>
      </c>
      <c r="AU388" s="52">
        <v>65</v>
      </c>
      <c r="AV388" s="52" t="s">
        <v>262</v>
      </c>
      <c r="AW388" s="52" t="s">
        <v>262</v>
      </c>
      <c r="AX388" s="51" t="s">
        <v>262</v>
      </c>
      <c r="AY388" s="53">
        <v>10</v>
      </c>
      <c r="AZ388" s="53" t="s">
        <v>102</v>
      </c>
      <c r="BA388" s="53" t="s">
        <v>102</v>
      </c>
      <c r="BB388" s="53" t="s">
        <v>264</v>
      </c>
      <c r="BC388" s="53" t="s">
        <v>264</v>
      </c>
      <c r="BD388" s="53" t="s">
        <v>264</v>
      </c>
      <c r="BE388" s="53" t="s">
        <v>264</v>
      </c>
      <c r="BF388" s="53">
        <v>20</v>
      </c>
      <c r="BG388" s="53">
        <v>450</v>
      </c>
      <c r="BH388" s="53" t="s">
        <v>262</v>
      </c>
      <c r="BI388" s="53">
        <v>10</v>
      </c>
      <c r="BJ388" s="53" t="s">
        <v>264</v>
      </c>
      <c r="BK388" s="53">
        <v>50</v>
      </c>
      <c r="BL388" s="53" t="s">
        <v>264</v>
      </c>
      <c r="BM388" s="53" t="s">
        <v>264</v>
      </c>
      <c r="BN388" s="53" t="s">
        <v>264</v>
      </c>
      <c r="BO388" s="53" t="s">
        <v>264</v>
      </c>
      <c r="BP388" s="53" t="s">
        <v>102</v>
      </c>
      <c r="BQ388" s="53" t="s">
        <v>264</v>
      </c>
      <c r="BR388" s="53" t="s">
        <v>264</v>
      </c>
      <c r="BS388" s="53" t="s">
        <v>264</v>
      </c>
      <c r="BT388" s="53" t="s">
        <v>264</v>
      </c>
      <c r="BU388" s="53" t="s">
        <v>264</v>
      </c>
      <c r="BV388" s="53" t="s">
        <v>264</v>
      </c>
      <c r="BW388" s="53" t="s">
        <v>264</v>
      </c>
      <c r="BX388" s="53" t="s">
        <v>264</v>
      </c>
      <c r="BY388" s="53" t="s">
        <v>264</v>
      </c>
      <c r="BZ388" s="53" t="s">
        <v>264</v>
      </c>
      <c r="CA388" s="53" t="s">
        <v>264</v>
      </c>
      <c r="CB388" s="53" t="s">
        <v>264</v>
      </c>
      <c r="CC388" s="53" t="s">
        <v>264</v>
      </c>
      <c r="CD388" s="53" t="s">
        <v>264</v>
      </c>
      <c r="CE388" s="53" t="s">
        <v>264</v>
      </c>
      <c r="CF388" s="53" t="s">
        <v>264</v>
      </c>
      <c r="CG388" s="53" t="s">
        <v>264</v>
      </c>
      <c r="CH388" s="53" t="s">
        <v>264</v>
      </c>
      <c r="CI388" s="53" t="s">
        <v>264</v>
      </c>
      <c r="CJ388" s="53" t="s">
        <v>264</v>
      </c>
      <c r="CK388" s="53" t="s">
        <v>264</v>
      </c>
      <c r="CL388" s="53" t="s">
        <v>264</v>
      </c>
      <c r="CM388" s="53" t="s">
        <v>264</v>
      </c>
      <c r="CN388" s="206"/>
      <c r="CO388" s="206"/>
      <c r="CP388" s="206"/>
      <c r="CQ388" s="8">
        <f t="shared" si="189"/>
        <v>1</v>
      </c>
      <c r="CR388" s="8">
        <f t="shared" si="190"/>
        <v>450</v>
      </c>
      <c r="CS388" s="8">
        <f t="shared" si="191"/>
        <v>59.416666666666664</v>
      </c>
      <c r="CT388">
        <f t="shared" si="192"/>
        <v>17.143453591621434</v>
      </c>
      <c r="CU388" s="143" t="e">
        <f t="shared" si="193"/>
        <v>#DIV/0!</v>
      </c>
      <c r="CV388" s="143">
        <f t="shared" si="194"/>
        <v>4</v>
      </c>
      <c r="CX388" s="7">
        <f t="shared" si="195"/>
        <v>2.1</v>
      </c>
      <c r="CY388" s="7">
        <f t="shared" si="196"/>
        <v>3.65</v>
      </c>
      <c r="CZ388" s="7">
        <f t="shared" si="197"/>
        <v>5.0000000000000009</v>
      </c>
      <c r="DA388" s="7">
        <f t="shared" si="198"/>
        <v>7.75</v>
      </c>
      <c r="DB388" s="7">
        <f t="shared" si="199"/>
        <v>15</v>
      </c>
      <c r="DC388" s="7">
        <f t="shared" si="200"/>
        <v>31.999999999999993</v>
      </c>
      <c r="DD388" s="7">
        <f t="shared" si="201"/>
        <v>41.5</v>
      </c>
      <c r="DE388" s="7">
        <f t="shared" si="202"/>
        <v>50.25</v>
      </c>
      <c r="DF388" s="7">
        <f t="shared" si="203"/>
        <v>55.899999999999991</v>
      </c>
      <c r="DH388" s="7">
        <f t="shared" si="204"/>
        <v>1.6</v>
      </c>
      <c r="DI388" s="7">
        <f t="shared" si="205"/>
        <v>2.8</v>
      </c>
      <c r="DJ388" s="7">
        <f t="shared" si="206"/>
        <v>3.2</v>
      </c>
      <c r="DK388" s="7">
        <f t="shared" si="207"/>
        <v>3.5</v>
      </c>
      <c r="DL388" s="7">
        <f t="shared" si="208"/>
        <v>9</v>
      </c>
      <c r="DM388" s="7">
        <f t="shared" si="209"/>
        <v>27.599999999999987</v>
      </c>
      <c r="DN388" s="7">
        <f t="shared" si="210"/>
        <v>36.900000000000013</v>
      </c>
      <c r="DO388" s="7">
        <f t="shared" si="211"/>
        <v>45.5</v>
      </c>
      <c r="DP388" s="7">
        <f t="shared" si="212"/>
        <v>52.399999999999991</v>
      </c>
    </row>
    <row r="389" spans="1:120" ht="24" hidden="1" customHeight="1" x14ac:dyDescent="0.25">
      <c r="A389" s="92" t="str">
        <f t="shared" si="220"/>
        <v>CM-SWVI [10]</v>
      </c>
      <c r="B389" s="92" t="str">
        <f t="shared" si="221"/>
        <v>Southwest Vancouver Island</v>
      </c>
      <c r="C389" s="93" t="str">
        <f t="shared" ref="C389:C452" si="225">CONCATENATE(G389,"_",H389)</f>
        <v>INNER BASIN CREEK (Black C)_Chum</v>
      </c>
      <c r="D389" s="128" t="s">
        <v>598</v>
      </c>
      <c r="E389" s="128" t="s">
        <v>598</v>
      </c>
      <c r="F389" s="64">
        <v>25</v>
      </c>
      <c r="G389" s="72" t="s">
        <v>607</v>
      </c>
      <c r="H389" s="65" t="s">
        <v>96</v>
      </c>
      <c r="I389" s="119"/>
      <c r="J389" s="119"/>
      <c r="K389" s="64">
        <v>4</v>
      </c>
      <c r="L389" s="52">
        <v>11</v>
      </c>
      <c r="M389" s="52">
        <v>11</v>
      </c>
      <c r="N389" s="52">
        <f t="shared" si="222"/>
        <v>2936.7627638091526</v>
      </c>
      <c r="O389" s="52">
        <f t="shared" si="223"/>
        <v>20000</v>
      </c>
      <c r="P389" s="52">
        <f t="shared" si="224"/>
        <v>4170.0758467368778</v>
      </c>
      <c r="Q389" s="66"/>
      <c r="R389" s="39"/>
      <c r="S389" s="74" t="s">
        <v>445</v>
      </c>
      <c r="T389" s="81" t="e">
        <f t="shared" si="187"/>
        <v>#DIV/0!</v>
      </c>
      <c r="U389" s="81">
        <f t="shared" si="188"/>
        <v>3362.5</v>
      </c>
      <c r="V389" s="52" t="s">
        <v>102</v>
      </c>
      <c r="W389" s="52" t="s">
        <v>102</v>
      </c>
      <c r="X389" s="52" t="s">
        <v>102</v>
      </c>
      <c r="Y389" s="52" t="s">
        <v>102</v>
      </c>
      <c r="Z389" s="52" t="s">
        <v>102</v>
      </c>
      <c r="AA389" s="52" t="s">
        <v>102</v>
      </c>
      <c r="AB389" s="52" t="s">
        <v>102</v>
      </c>
      <c r="AC389" s="52" t="s">
        <v>102</v>
      </c>
      <c r="AD389" s="144">
        <v>738</v>
      </c>
      <c r="AE389" s="52" t="s">
        <v>102</v>
      </c>
      <c r="AF389" s="52" t="s">
        <v>102</v>
      </c>
      <c r="AG389" s="144">
        <v>5987</v>
      </c>
      <c r="AH389" s="52">
        <v>3747</v>
      </c>
      <c r="AI389" s="53">
        <v>3900</v>
      </c>
      <c r="AJ389" s="53">
        <v>3026</v>
      </c>
      <c r="AK389" s="52">
        <v>801</v>
      </c>
      <c r="AL389" s="89">
        <v>2825</v>
      </c>
      <c r="AM389" s="52">
        <v>150</v>
      </c>
      <c r="AN389" s="52">
        <v>13225</v>
      </c>
      <c r="AO389" s="53">
        <v>15700</v>
      </c>
      <c r="AP389" s="53">
        <v>7711</v>
      </c>
      <c r="AQ389" s="53">
        <v>3000</v>
      </c>
      <c r="AR389" s="53">
        <v>1800</v>
      </c>
      <c r="AS389" s="52">
        <v>2500</v>
      </c>
      <c r="AT389" s="52">
        <v>16315</v>
      </c>
      <c r="AU389" s="52">
        <v>5000</v>
      </c>
      <c r="AV389" s="52">
        <v>2800</v>
      </c>
      <c r="AW389" s="52">
        <v>700</v>
      </c>
      <c r="AX389" s="51">
        <v>20000</v>
      </c>
      <c r="AY389" s="53">
        <v>10000</v>
      </c>
      <c r="AZ389" s="53">
        <v>20000</v>
      </c>
      <c r="BA389" s="53">
        <v>3800</v>
      </c>
      <c r="BB389" s="53">
        <v>1900</v>
      </c>
      <c r="BC389" s="53">
        <v>3000</v>
      </c>
      <c r="BD389" s="53">
        <v>6000</v>
      </c>
      <c r="BE389" s="53">
        <v>7500</v>
      </c>
      <c r="BF389" s="53" t="s">
        <v>102</v>
      </c>
      <c r="BG389" s="53">
        <v>13250</v>
      </c>
      <c r="BH389" s="53" t="s">
        <v>102</v>
      </c>
      <c r="BI389" s="53" t="s">
        <v>102</v>
      </c>
      <c r="BJ389" s="53" t="s">
        <v>102</v>
      </c>
      <c r="BK389" s="53" t="s">
        <v>102</v>
      </c>
      <c r="BL389" s="53" t="s">
        <v>102</v>
      </c>
      <c r="BM389" s="53" t="s">
        <v>102</v>
      </c>
      <c r="BN389" s="53" t="s">
        <v>102</v>
      </c>
      <c r="BO389" s="53" t="s">
        <v>102</v>
      </c>
      <c r="BP389" s="53" t="s">
        <v>102</v>
      </c>
      <c r="BQ389" s="53" t="s">
        <v>102</v>
      </c>
      <c r="BR389" s="53" t="s">
        <v>102</v>
      </c>
      <c r="BS389" s="53" t="s">
        <v>102</v>
      </c>
      <c r="BT389" s="53" t="s">
        <v>102</v>
      </c>
      <c r="BU389" s="53" t="s">
        <v>102</v>
      </c>
      <c r="BV389" s="53" t="s">
        <v>102</v>
      </c>
      <c r="BW389" s="53" t="s">
        <v>102</v>
      </c>
      <c r="BX389" s="53" t="s">
        <v>102</v>
      </c>
      <c r="BY389" s="53" t="s">
        <v>102</v>
      </c>
      <c r="BZ389" s="53" t="s">
        <v>102</v>
      </c>
      <c r="CA389" s="53" t="s">
        <v>102</v>
      </c>
      <c r="CB389" s="53" t="s">
        <v>102</v>
      </c>
      <c r="CC389" s="53" t="s">
        <v>102</v>
      </c>
      <c r="CD389" s="53" t="s">
        <v>102</v>
      </c>
      <c r="CE389" s="53" t="s">
        <v>102</v>
      </c>
      <c r="CF389" s="53" t="s">
        <v>102</v>
      </c>
      <c r="CG389" s="53" t="s">
        <v>102</v>
      </c>
      <c r="CH389" s="53" t="s">
        <v>102</v>
      </c>
      <c r="CI389" s="53" t="s">
        <v>102</v>
      </c>
      <c r="CJ389" s="53" t="s">
        <v>102</v>
      </c>
      <c r="CK389" s="53" t="s">
        <v>102</v>
      </c>
      <c r="CL389" s="53" t="s">
        <v>102</v>
      </c>
      <c r="CM389" s="53" t="s">
        <v>102</v>
      </c>
      <c r="CN389" s="206"/>
      <c r="CO389" s="206"/>
      <c r="CP389" s="206"/>
      <c r="CQ389" s="8">
        <f t="shared" si="189"/>
        <v>150</v>
      </c>
      <c r="CR389" s="8">
        <f t="shared" si="190"/>
        <v>20000</v>
      </c>
      <c r="CS389" s="8">
        <f t="shared" si="191"/>
        <v>6495.3703703703704</v>
      </c>
      <c r="CT389">
        <f t="shared" si="192"/>
        <v>3938.2957642128849</v>
      </c>
      <c r="CU389" s="143" t="e">
        <f t="shared" si="193"/>
        <v>#DIV/0!</v>
      </c>
      <c r="CV389" s="143">
        <f t="shared" si="194"/>
        <v>3362.5</v>
      </c>
      <c r="CX389" s="7">
        <f t="shared" si="195"/>
        <v>711.4</v>
      </c>
      <c r="CY389" s="7">
        <f t="shared" si="196"/>
        <v>1700.1000000000004</v>
      </c>
      <c r="CZ389" s="7">
        <f t="shared" si="197"/>
        <v>2020</v>
      </c>
      <c r="DA389" s="7">
        <f t="shared" si="198"/>
        <v>2650</v>
      </c>
      <c r="DB389" s="7">
        <f t="shared" si="199"/>
        <v>3800</v>
      </c>
      <c r="DC389" s="7">
        <f t="shared" si="200"/>
        <v>5592.2000000000016</v>
      </c>
      <c r="DD389" s="7">
        <f t="shared" si="201"/>
        <v>5998.7</v>
      </c>
      <c r="DE389" s="7">
        <f t="shared" si="202"/>
        <v>8855.5</v>
      </c>
      <c r="DF389" s="7">
        <f t="shared" si="203"/>
        <v>13494.999999999995</v>
      </c>
      <c r="DH389" s="7">
        <f t="shared" si="204"/>
        <v>617.5</v>
      </c>
      <c r="DI389" s="7">
        <f t="shared" si="205"/>
        <v>772.65</v>
      </c>
      <c r="DJ389" s="7">
        <f t="shared" si="206"/>
        <v>1200.6000000000004</v>
      </c>
      <c r="DK389" s="7">
        <f t="shared" si="207"/>
        <v>1975</v>
      </c>
      <c r="DL389" s="7">
        <f t="shared" si="208"/>
        <v>3013</v>
      </c>
      <c r="DM389" s="7">
        <f t="shared" si="209"/>
        <v>3777.6</v>
      </c>
      <c r="DN389" s="7">
        <f t="shared" si="210"/>
        <v>3955.0000000000009</v>
      </c>
      <c r="DO389" s="7">
        <f t="shared" si="211"/>
        <v>5740.25</v>
      </c>
      <c r="DP389" s="7">
        <f t="shared" si="212"/>
        <v>10192.299999999996</v>
      </c>
    </row>
    <row r="390" spans="1:120" ht="24" hidden="1" customHeight="1" x14ac:dyDescent="0.25">
      <c r="A390" s="92" t="str">
        <f t="shared" si="220"/>
        <v>CO-WVI [17]</v>
      </c>
      <c r="B390" s="92" t="str">
        <f t="shared" si="221"/>
        <v>West Vancouver Island</v>
      </c>
      <c r="C390" s="93" t="str">
        <f t="shared" si="225"/>
        <v>INNER BASIN CREEK (Black C)_Coho</v>
      </c>
      <c r="D390" s="128" t="s">
        <v>598</v>
      </c>
      <c r="E390" s="128" t="s">
        <v>598</v>
      </c>
      <c r="F390" s="64">
        <v>25</v>
      </c>
      <c r="G390" s="72" t="s">
        <v>607</v>
      </c>
      <c r="H390" s="65" t="s">
        <v>93</v>
      </c>
      <c r="I390" s="119"/>
      <c r="J390" s="119"/>
      <c r="K390" s="64">
        <v>4</v>
      </c>
      <c r="L390" s="52">
        <v>11</v>
      </c>
      <c r="M390" s="52">
        <v>9</v>
      </c>
      <c r="N390" s="52">
        <f t="shared" si="222"/>
        <v>41.27416708686264</v>
      </c>
      <c r="O390" s="52">
        <f t="shared" si="223"/>
        <v>200</v>
      </c>
      <c r="P390" s="52">
        <f t="shared" si="224"/>
        <v>55.51615816448232</v>
      </c>
      <c r="Q390" s="66"/>
      <c r="R390" s="39"/>
      <c r="S390" s="74" t="s">
        <v>445</v>
      </c>
      <c r="T390" s="81" t="e">
        <f t="shared" ref="T390:T453" si="226">AVERAGE(V390:Y390)</f>
        <v>#DIV/0!</v>
      </c>
      <c r="U390" s="81">
        <f t="shared" ref="U390:U453" si="227">AVERAGE(V390:AG390)</f>
        <v>63.5</v>
      </c>
      <c r="V390" s="52" t="s">
        <v>102</v>
      </c>
      <c r="W390" s="52" t="s">
        <v>102</v>
      </c>
      <c r="X390" s="52" t="s">
        <v>102</v>
      </c>
      <c r="Y390" s="52" t="s">
        <v>102</v>
      </c>
      <c r="Z390" s="52" t="s">
        <v>102</v>
      </c>
      <c r="AA390" s="52" t="s">
        <v>102</v>
      </c>
      <c r="AB390" s="52" t="s">
        <v>102</v>
      </c>
      <c r="AC390" s="52" t="s">
        <v>102</v>
      </c>
      <c r="AD390" s="144">
        <v>63</v>
      </c>
      <c r="AE390" s="52" t="s">
        <v>102</v>
      </c>
      <c r="AF390" s="52" t="s">
        <v>102</v>
      </c>
      <c r="AG390" s="144">
        <v>64</v>
      </c>
      <c r="AH390" s="52">
        <v>44</v>
      </c>
      <c r="AI390" s="53">
        <v>57</v>
      </c>
      <c r="AJ390" s="53">
        <v>95</v>
      </c>
      <c r="AK390" s="52">
        <v>15</v>
      </c>
      <c r="AL390" s="89">
        <v>14</v>
      </c>
      <c r="AM390" s="53" t="s">
        <v>262</v>
      </c>
      <c r="AN390" s="52">
        <v>169</v>
      </c>
      <c r="AO390" s="53">
        <v>20</v>
      </c>
      <c r="AP390" s="53">
        <v>31</v>
      </c>
      <c r="AQ390" s="53">
        <v>100</v>
      </c>
      <c r="AR390" s="53">
        <v>200</v>
      </c>
      <c r="AS390" s="52">
        <v>120</v>
      </c>
      <c r="AT390" s="52">
        <v>116</v>
      </c>
      <c r="AU390" s="52">
        <v>42</v>
      </c>
      <c r="AV390" s="52" t="s">
        <v>263</v>
      </c>
      <c r="AW390" s="52">
        <v>1</v>
      </c>
      <c r="AX390" s="51" t="s">
        <v>264</v>
      </c>
      <c r="AY390" s="53" t="s">
        <v>264</v>
      </c>
      <c r="AZ390" s="53" t="s">
        <v>102</v>
      </c>
      <c r="BA390" s="53" t="s">
        <v>264</v>
      </c>
      <c r="BB390" s="53" t="s">
        <v>262</v>
      </c>
      <c r="BC390" s="53" t="s">
        <v>262</v>
      </c>
      <c r="BD390" s="53">
        <v>150</v>
      </c>
      <c r="BE390" s="53">
        <v>200</v>
      </c>
      <c r="BF390" s="53" t="s">
        <v>102</v>
      </c>
      <c r="BG390" s="53">
        <v>200</v>
      </c>
      <c r="BH390" s="53" t="s">
        <v>102</v>
      </c>
      <c r="BI390" s="53" t="s">
        <v>102</v>
      </c>
      <c r="BJ390" s="53" t="s">
        <v>102</v>
      </c>
      <c r="BK390" s="53" t="s">
        <v>102</v>
      </c>
      <c r="BL390" s="53" t="s">
        <v>102</v>
      </c>
      <c r="BM390" s="53" t="s">
        <v>102</v>
      </c>
      <c r="BN390" s="53" t="s">
        <v>102</v>
      </c>
      <c r="BO390" s="53" t="s">
        <v>102</v>
      </c>
      <c r="BP390" s="53" t="s">
        <v>102</v>
      </c>
      <c r="BQ390" s="53" t="s">
        <v>102</v>
      </c>
      <c r="BR390" s="53" t="s">
        <v>102</v>
      </c>
      <c r="BS390" s="53" t="s">
        <v>102</v>
      </c>
      <c r="BT390" s="53" t="s">
        <v>102</v>
      </c>
      <c r="BU390" s="53" t="s">
        <v>102</v>
      </c>
      <c r="BV390" s="53" t="s">
        <v>102</v>
      </c>
      <c r="BW390" s="53" t="s">
        <v>102</v>
      </c>
      <c r="BX390" s="53" t="s">
        <v>102</v>
      </c>
      <c r="BY390" s="53" t="s">
        <v>102</v>
      </c>
      <c r="BZ390" s="53" t="s">
        <v>102</v>
      </c>
      <c r="CA390" s="53" t="s">
        <v>102</v>
      </c>
      <c r="CB390" s="53" t="s">
        <v>102</v>
      </c>
      <c r="CC390" s="53" t="s">
        <v>102</v>
      </c>
      <c r="CD390" s="53" t="s">
        <v>102</v>
      </c>
      <c r="CE390" s="53" t="s">
        <v>102</v>
      </c>
      <c r="CF390" s="53" t="s">
        <v>102</v>
      </c>
      <c r="CG390" s="53" t="s">
        <v>102</v>
      </c>
      <c r="CH390" s="53" t="s">
        <v>102</v>
      </c>
      <c r="CI390" s="53" t="s">
        <v>102</v>
      </c>
      <c r="CJ390" s="53" t="s">
        <v>102</v>
      </c>
      <c r="CK390" s="53" t="s">
        <v>102</v>
      </c>
      <c r="CL390" s="53" t="s">
        <v>102</v>
      </c>
      <c r="CM390" s="53" t="s">
        <v>102</v>
      </c>
      <c r="CN390" s="206"/>
      <c r="CO390" s="206"/>
      <c r="CP390" s="206"/>
      <c r="CQ390" s="8">
        <f t="shared" ref="CQ390:CQ453" si="228">MIN(V390:CM390)</f>
        <v>1</v>
      </c>
      <c r="CR390" s="8">
        <f t="shared" ref="CR390:CR453" si="229">MAX(V390:CM390)</f>
        <v>200</v>
      </c>
      <c r="CS390" s="8">
        <f t="shared" ref="CS390:CS453" si="230">AVERAGE(V390:CM390)</f>
        <v>89.526315789473685</v>
      </c>
      <c r="CT390">
        <f t="shared" ref="CT390:CT453" si="231">GEOMEAN(V390:CM390)</f>
        <v>55.699260270663586</v>
      </c>
      <c r="CU390" s="143" t="e">
        <f t="shared" ref="CU390:CU453" si="232">AVERAGE(V390:Z390)</f>
        <v>#DIV/0!</v>
      </c>
      <c r="CV390" s="143">
        <f t="shared" ref="CV390:CV453" si="233">AVERAGE(V390:AG390)</f>
        <v>63.5</v>
      </c>
      <c r="CX390" s="7">
        <f t="shared" ref="CX390:CX453" si="234">_xlfn.PERCENTILE.INC(V390:CM390,0.05)</f>
        <v>12.7</v>
      </c>
      <c r="CY390" s="7">
        <f t="shared" ref="CY390:CY453" si="235">_xlfn.PERCENTILE.INC(V390:CM390,0.15)</f>
        <v>18.5</v>
      </c>
      <c r="CZ390" s="7">
        <f t="shared" ref="CZ390:CZ453" si="236">_xlfn.PERCENTILE.INC(V390:CM390,0.2)</f>
        <v>26.599999999999994</v>
      </c>
      <c r="DA390" s="7">
        <f t="shared" ref="DA390:DA453" si="237">_xlfn.PERCENTILE.INC(V390:CM390,0.25)</f>
        <v>36.5</v>
      </c>
      <c r="DB390" s="7">
        <f t="shared" ref="DB390:DB453" si="238">_xlfn.PERCENTILE.INC(V390:CM390,0.5)</f>
        <v>64</v>
      </c>
      <c r="DC390" s="7">
        <f t="shared" ref="DC390:DC453" si="239">_xlfn.PERCENTILE.INC(V390:CM390,0.6)</f>
        <v>99</v>
      </c>
      <c r="DD390" s="7">
        <f t="shared" ref="DD390:DD453" si="240">_xlfn.PERCENTILE.INC(V390:CM390,0.65)</f>
        <v>111.20000000000002</v>
      </c>
      <c r="DE390" s="7">
        <f t="shared" ref="DE390:DE453" si="241">_xlfn.PERCENTILE.INC(V390:CM390,0.75)</f>
        <v>135</v>
      </c>
      <c r="DF390" s="7">
        <f t="shared" ref="DF390:DF453" si="242">_xlfn.PERCENTILE.INC(V390:CM390,0.85)</f>
        <v>178.2999999999999</v>
      </c>
      <c r="DH390" s="7">
        <f t="shared" ref="DH390:DH453" si="243">_xlfn.PERCENTILE.INC(V390:AW390,0.05)</f>
        <v>10.75</v>
      </c>
      <c r="DI390" s="7">
        <f t="shared" ref="DI390:DI453" si="244">_xlfn.PERCENTILE.INC(V390:AW390,0.15)</f>
        <v>16.25</v>
      </c>
      <c r="DJ390" s="7">
        <f t="shared" ref="DJ390:DJ453" si="245">_xlfn.PERCENTILE.INC(V390:AW390,0.2)</f>
        <v>20</v>
      </c>
      <c r="DK390" s="7">
        <f t="shared" ref="DK390:DK453" si="246">_xlfn.PERCENTILE.INC(V390:AW390,0.25)</f>
        <v>28.25</v>
      </c>
      <c r="DL390" s="7">
        <f t="shared" ref="DL390:DL453" si="247">_xlfn.PERCENTILE.INC(V390:AW390,0.5)</f>
        <v>60</v>
      </c>
      <c r="DM390" s="7">
        <f t="shared" ref="DM390:DM453" si="248">_xlfn.PERCENTILE.INC(V390:AW390,0.6)</f>
        <v>64</v>
      </c>
      <c r="DN390" s="7">
        <f t="shared" ref="DN390:DN453" si="249">_xlfn.PERCENTILE.INC(V390:AW390,0.65)</f>
        <v>87.25</v>
      </c>
      <c r="DO390" s="7">
        <f t="shared" ref="DO390:DO453" si="250">_xlfn.PERCENTILE.INC(V390:AW390,0.75)</f>
        <v>104</v>
      </c>
      <c r="DP390" s="7">
        <f t="shared" ref="DP390:DP453" si="251">_xlfn.PERCENTILE.INC(V390:AW390,0.85)</f>
        <v>119</v>
      </c>
    </row>
    <row r="391" spans="1:120" ht="24" hidden="1" customHeight="1" x14ac:dyDescent="0.25">
      <c r="A391" s="92" t="str">
        <f t="shared" si="220"/>
        <v>SK-WVI [R10]</v>
      </c>
      <c r="B391" s="92" t="str">
        <f t="shared" si="221"/>
        <v>West Vancouver Island</v>
      </c>
      <c r="C391" s="93" t="str">
        <f t="shared" si="225"/>
        <v>INNER BASIN CREEK (Black C)_Sockeye</v>
      </c>
      <c r="D391" s="128" t="s">
        <v>598</v>
      </c>
      <c r="E391" s="128" t="s">
        <v>598</v>
      </c>
      <c r="F391" s="64">
        <v>25</v>
      </c>
      <c r="G391" s="72" t="s">
        <v>607</v>
      </c>
      <c r="H391" s="65" t="s">
        <v>91</v>
      </c>
      <c r="I391" s="119"/>
      <c r="J391" s="119"/>
      <c r="K391" s="64">
        <v>4</v>
      </c>
      <c r="L391" s="52">
        <v>11</v>
      </c>
      <c r="M391" s="52">
        <v>2</v>
      </c>
      <c r="N391" s="52">
        <f t="shared" si="222"/>
        <v>54.772255750516614</v>
      </c>
      <c r="O391" s="52">
        <f t="shared" si="223"/>
        <v>150</v>
      </c>
      <c r="P391" s="52">
        <f t="shared" si="224"/>
        <v>54.772255750516614</v>
      </c>
      <c r="Q391" s="66"/>
      <c r="R391" s="39"/>
      <c r="S391" s="74" t="s">
        <v>445</v>
      </c>
      <c r="T391" s="81" t="e">
        <f t="shared" si="226"/>
        <v>#DIV/0!</v>
      </c>
      <c r="U391" s="81">
        <f t="shared" si="227"/>
        <v>14</v>
      </c>
      <c r="V391" s="52" t="s">
        <v>102</v>
      </c>
      <c r="W391" s="52" t="s">
        <v>102</v>
      </c>
      <c r="X391" s="52" t="s">
        <v>102</v>
      </c>
      <c r="Y391" s="52" t="s">
        <v>102</v>
      </c>
      <c r="Z391" s="52" t="s">
        <v>102</v>
      </c>
      <c r="AA391" s="52" t="s">
        <v>102</v>
      </c>
      <c r="AB391" s="52" t="s">
        <v>102</v>
      </c>
      <c r="AC391" s="52" t="s">
        <v>102</v>
      </c>
      <c r="AD391" s="144" t="s">
        <v>263</v>
      </c>
      <c r="AE391" s="52" t="s">
        <v>102</v>
      </c>
      <c r="AF391" s="52" t="s">
        <v>102</v>
      </c>
      <c r="AG391" s="144">
        <v>14</v>
      </c>
      <c r="AH391" s="52" t="s">
        <v>262</v>
      </c>
      <c r="AI391" s="52" t="s">
        <v>262</v>
      </c>
      <c r="AJ391" s="53" t="s">
        <v>262</v>
      </c>
      <c r="AK391" s="53" t="s">
        <v>262</v>
      </c>
      <c r="AL391" s="89" t="s">
        <v>262</v>
      </c>
      <c r="AM391" s="53" t="s">
        <v>262</v>
      </c>
      <c r="AN391" s="53" t="s">
        <v>262</v>
      </c>
      <c r="AO391" s="53" t="s">
        <v>262</v>
      </c>
      <c r="AP391" s="53" t="s">
        <v>262</v>
      </c>
      <c r="AQ391" s="53" t="s">
        <v>262</v>
      </c>
      <c r="AR391" s="53" t="s">
        <v>262</v>
      </c>
      <c r="AS391" s="52" t="s">
        <v>262</v>
      </c>
      <c r="AT391" s="52">
        <v>20</v>
      </c>
      <c r="AU391" s="52">
        <v>150</v>
      </c>
      <c r="AV391" s="52" t="s">
        <v>262</v>
      </c>
      <c r="AW391" s="52" t="s">
        <v>262</v>
      </c>
      <c r="AX391" s="51" t="s">
        <v>264</v>
      </c>
      <c r="AY391" s="53" t="s">
        <v>264</v>
      </c>
      <c r="AZ391" s="53" t="s">
        <v>102</v>
      </c>
      <c r="BA391" s="53" t="s">
        <v>264</v>
      </c>
      <c r="BB391" s="53" t="s">
        <v>264</v>
      </c>
      <c r="BC391" s="53" t="s">
        <v>264</v>
      </c>
      <c r="BD391" s="53" t="s">
        <v>264</v>
      </c>
      <c r="BE391" s="53" t="s">
        <v>264</v>
      </c>
      <c r="BF391" s="53" t="s">
        <v>102</v>
      </c>
      <c r="BG391" s="53" t="s">
        <v>264</v>
      </c>
      <c r="BH391" s="53" t="s">
        <v>102</v>
      </c>
      <c r="BI391" s="53" t="s">
        <v>102</v>
      </c>
      <c r="BJ391" s="53" t="s">
        <v>102</v>
      </c>
      <c r="BK391" s="53" t="s">
        <v>102</v>
      </c>
      <c r="BL391" s="53" t="s">
        <v>102</v>
      </c>
      <c r="BM391" s="53" t="s">
        <v>102</v>
      </c>
      <c r="BN391" s="53" t="s">
        <v>102</v>
      </c>
      <c r="BO391" s="53" t="s">
        <v>102</v>
      </c>
      <c r="BP391" s="53" t="s">
        <v>102</v>
      </c>
      <c r="BQ391" s="53" t="s">
        <v>102</v>
      </c>
      <c r="BR391" s="53" t="s">
        <v>102</v>
      </c>
      <c r="BS391" s="53" t="s">
        <v>102</v>
      </c>
      <c r="BT391" s="53" t="s">
        <v>102</v>
      </c>
      <c r="BU391" s="53" t="s">
        <v>102</v>
      </c>
      <c r="BV391" s="53" t="s">
        <v>102</v>
      </c>
      <c r="BW391" s="53" t="s">
        <v>102</v>
      </c>
      <c r="BX391" s="53" t="s">
        <v>102</v>
      </c>
      <c r="BY391" s="53" t="s">
        <v>102</v>
      </c>
      <c r="BZ391" s="53" t="s">
        <v>102</v>
      </c>
      <c r="CA391" s="53" t="s">
        <v>102</v>
      </c>
      <c r="CB391" s="53" t="s">
        <v>102</v>
      </c>
      <c r="CC391" s="53" t="s">
        <v>102</v>
      </c>
      <c r="CD391" s="53" t="s">
        <v>102</v>
      </c>
      <c r="CE391" s="53" t="s">
        <v>102</v>
      </c>
      <c r="CF391" s="53" t="s">
        <v>102</v>
      </c>
      <c r="CG391" s="53" t="s">
        <v>102</v>
      </c>
      <c r="CH391" s="53" t="s">
        <v>102</v>
      </c>
      <c r="CI391" s="53" t="s">
        <v>102</v>
      </c>
      <c r="CJ391" s="53" t="s">
        <v>102</v>
      </c>
      <c r="CK391" s="53" t="s">
        <v>102</v>
      </c>
      <c r="CL391" s="53" t="s">
        <v>102</v>
      </c>
      <c r="CM391" s="53" t="s">
        <v>102</v>
      </c>
      <c r="CN391" s="206"/>
      <c r="CO391" s="206"/>
      <c r="CP391" s="206"/>
      <c r="CQ391" s="8">
        <f t="shared" si="228"/>
        <v>14</v>
      </c>
      <c r="CR391" s="8">
        <f t="shared" si="229"/>
        <v>150</v>
      </c>
      <c r="CS391" s="8">
        <f t="shared" si="230"/>
        <v>61.333333333333336</v>
      </c>
      <c r="CT391">
        <f t="shared" si="231"/>
        <v>34.760266448864499</v>
      </c>
      <c r="CU391" s="143" t="e">
        <f t="shared" si="232"/>
        <v>#DIV/0!</v>
      </c>
      <c r="CV391" s="143">
        <f t="shared" si="233"/>
        <v>14</v>
      </c>
      <c r="CX391" s="7">
        <f t="shared" si="234"/>
        <v>14.600000000000001</v>
      </c>
      <c r="CY391" s="7">
        <f t="shared" si="235"/>
        <v>15.8</v>
      </c>
      <c r="CZ391" s="7">
        <f t="shared" si="236"/>
        <v>16.399999999999999</v>
      </c>
      <c r="DA391" s="7">
        <f t="shared" si="237"/>
        <v>17</v>
      </c>
      <c r="DB391" s="7">
        <f t="shared" si="238"/>
        <v>20</v>
      </c>
      <c r="DC391" s="7">
        <f t="shared" si="239"/>
        <v>46.000000000000021</v>
      </c>
      <c r="DD391" s="7">
        <f t="shared" si="240"/>
        <v>58.999999999999979</v>
      </c>
      <c r="DE391" s="7">
        <f t="shared" si="241"/>
        <v>85</v>
      </c>
      <c r="DF391" s="7">
        <f t="shared" si="242"/>
        <v>111.00000000000003</v>
      </c>
      <c r="DH391" s="7">
        <f t="shared" si="243"/>
        <v>14.600000000000001</v>
      </c>
      <c r="DI391" s="7">
        <f t="shared" si="244"/>
        <v>15.8</v>
      </c>
      <c r="DJ391" s="7">
        <f t="shared" si="245"/>
        <v>16.399999999999999</v>
      </c>
      <c r="DK391" s="7">
        <f t="shared" si="246"/>
        <v>17</v>
      </c>
      <c r="DL391" s="7">
        <f t="shared" si="247"/>
        <v>20</v>
      </c>
      <c r="DM391" s="7">
        <f t="shared" si="248"/>
        <v>46.000000000000021</v>
      </c>
      <c r="DN391" s="7">
        <f t="shared" si="249"/>
        <v>58.999999999999979</v>
      </c>
      <c r="DO391" s="7">
        <f t="shared" si="250"/>
        <v>85</v>
      </c>
      <c r="DP391" s="7">
        <f t="shared" si="251"/>
        <v>111.00000000000003</v>
      </c>
    </row>
    <row r="392" spans="1:120" ht="24" customHeight="1" x14ac:dyDescent="0.25">
      <c r="A392" s="92" t="str">
        <f t="shared" si="220"/>
        <v>CK-NoKy [32]</v>
      </c>
      <c r="B392" s="92" t="str">
        <f t="shared" si="221"/>
        <v>Nootka and Kyuquot</v>
      </c>
      <c r="C392" s="93" t="str">
        <f t="shared" si="225"/>
        <v>INNER BASIN RIVER (Ransom C)_Chinook</v>
      </c>
      <c r="D392" s="128" t="s">
        <v>598</v>
      </c>
      <c r="E392" s="128" t="s">
        <v>598</v>
      </c>
      <c r="F392" s="64">
        <v>25</v>
      </c>
      <c r="G392" s="72" t="s">
        <v>608</v>
      </c>
      <c r="H392" s="65" t="s">
        <v>97</v>
      </c>
      <c r="I392" s="119"/>
      <c r="J392" s="119"/>
      <c r="K392" s="64">
        <v>5</v>
      </c>
      <c r="L392" s="52">
        <v>10</v>
      </c>
      <c r="M392" s="52">
        <v>0</v>
      </c>
      <c r="N392" s="52" t="e">
        <f t="shared" si="222"/>
        <v>#NUM!</v>
      </c>
      <c r="O392" s="52">
        <f t="shared" si="223"/>
        <v>25</v>
      </c>
      <c r="P392" s="52">
        <f t="shared" si="224"/>
        <v>25</v>
      </c>
      <c r="Q392" s="66"/>
      <c r="R392" s="37"/>
      <c r="S392" s="74"/>
      <c r="T392" s="81" t="e">
        <f t="shared" si="226"/>
        <v>#DIV/0!</v>
      </c>
      <c r="U392" s="81">
        <f t="shared" si="227"/>
        <v>1</v>
      </c>
      <c r="V392" s="52" t="s">
        <v>102</v>
      </c>
      <c r="W392" s="52" t="s">
        <v>102</v>
      </c>
      <c r="X392" s="52" t="s">
        <v>102</v>
      </c>
      <c r="Y392" s="52" t="s">
        <v>102</v>
      </c>
      <c r="Z392" s="52" t="s">
        <v>102</v>
      </c>
      <c r="AA392" s="52" t="s">
        <v>102</v>
      </c>
      <c r="AB392" s="52" t="s">
        <v>102</v>
      </c>
      <c r="AC392" s="52" t="s">
        <v>102</v>
      </c>
      <c r="AD392" s="52" t="s">
        <v>102</v>
      </c>
      <c r="AE392" s="52" t="s">
        <v>102</v>
      </c>
      <c r="AF392" s="52" t="s">
        <v>102</v>
      </c>
      <c r="AG392" s="144">
        <v>1</v>
      </c>
      <c r="AH392" s="53">
        <v>2</v>
      </c>
      <c r="AI392" s="52" t="s">
        <v>262</v>
      </c>
      <c r="AJ392" s="53" t="s">
        <v>262</v>
      </c>
      <c r="AK392" s="53" t="s">
        <v>262</v>
      </c>
      <c r="AL392" s="89" t="s">
        <v>262</v>
      </c>
      <c r="AM392" s="53" t="s">
        <v>262</v>
      </c>
      <c r="AN392" s="53" t="s">
        <v>262</v>
      </c>
      <c r="AO392" s="53" t="s">
        <v>262</v>
      </c>
      <c r="AP392" s="53" t="s">
        <v>262</v>
      </c>
      <c r="AQ392" s="53" t="s">
        <v>262</v>
      </c>
      <c r="AR392" s="53" t="s">
        <v>262</v>
      </c>
      <c r="AS392" s="52" t="s">
        <v>262</v>
      </c>
      <c r="AT392" s="52" t="s">
        <v>262</v>
      </c>
      <c r="AU392" s="52" t="s">
        <v>262</v>
      </c>
      <c r="AV392" s="52" t="s">
        <v>262</v>
      </c>
      <c r="AW392" s="54"/>
      <c r="AX392" s="51" t="s">
        <v>264</v>
      </c>
      <c r="AY392" s="53" t="s">
        <v>264</v>
      </c>
      <c r="AZ392" s="53" t="s">
        <v>102</v>
      </c>
      <c r="BA392" s="53" t="s">
        <v>264</v>
      </c>
      <c r="BB392" s="53" t="s">
        <v>264</v>
      </c>
      <c r="BC392" s="53" t="s">
        <v>264</v>
      </c>
      <c r="BD392" s="53" t="s">
        <v>264</v>
      </c>
      <c r="BE392" s="53" t="s">
        <v>264</v>
      </c>
      <c r="BF392" s="53" t="s">
        <v>264</v>
      </c>
      <c r="BG392" s="53" t="s">
        <v>264</v>
      </c>
      <c r="BH392" s="53" t="s">
        <v>262</v>
      </c>
      <c r="BI392" s="53" t="s">
        <v>264</v>
      </c>
      <c r="BJ392" s="53" t="s">
        <v>264</v>
      </c>
      <c r="BK392" s="53" t="s">
        <v>102</v>
      </c>
      <c r="BL392" s="53" t="s">
        <v>264</v>
      </c>
      <c r="BM392" s="53" t="s">
        <v>264</v>
      </c>
      <c r="BN392" s="53" t="s">
        <v>264</v>
      </c>
      <c r="BO392" s="53" t="s">
        <v>264</v>
      </c>
      <c r="BP392" s="53" t="s">
        <v>264</v>
      </c>
      <c r="BQ392" s="53">
        <v>25</v>
      </c>
      <c r="BR392" s="53" t="s">
        <v>264</v>
      </c>
      <c r="BS392" s="53" t="s">
        <v>264</v>
      </c>
      <c r="BT392" s="53" t="s">
        <v>262</v>
      </c>
      <c r="BU392" s="53" t="s">
        <v>262</v>
      </c>
      <c r="BV392" s="53" t="s">
        <v>264</v>
      </c>
      <c r="BW392" s="53" t="s">
        <v>264</v>
      </c>
      <c r="BX392" s="53" t="s">
        <v>264</v>
      </c>
      <c r="BY392" s="53" t="s">
        <v>264</v>
      </c>
      <c r="BZ392" s="53" t="s">
        <v>264</v>
      </c>
      <c r="CA392" s="53" t="s">
        <v>264</v>
      </c>
      <c r="CB392" s="53" t="s">
        <v>264</v>
      </c>
      <c r="CC392" s="53" t="s">
        <v>264</v>
      </c>
      <c r="CD392" s="53" t="s">
        <v>264</v>
      </c>
      <c r="CE392" s="53" t="s">
        <v>264</v>
      </c>
      <c r="CF392" s="53" t="s">
        <v>264</v>
      </c>
      <c r="CG392" s="53" t="s">
        <v>264</v>
      </c>
      <c r="CH392" s="53" t="s">
        <v>264</v>
      </c>
      <c r="CI392" s="53" t="s">
        <v>264</v>
      </c>
      <c r="CJ392" s="53" t="s">
        <v>264</v>
      </c>
      <c r="CK392" s="53" t="s">
        <v>264</v>
      </c>
      <c r="CL392" s="53" t="s">
        <v>264</v>
      </c>
      <c r="CM392" s="53" t="s">
        <v>264</v>
      </c>
      <c r="CN392" s="206"/>
      <c r="CO392" s="206"/>
      <c r="CP392" s="206"/>
      <c r="CQ392" s="8">
        <f t="shared" si="228"/>
        <v>1</v>
      </c>
      <c r="CR392" s="8">
        <f t="shared" si="229"/>
        <v>25</v>
      </c>
      <c r="CS392" s="8">
        <f t="shared" si="230"/>
        <v>9.3333333333333339</v>
      </c>
      <c r="CT392">
        <f t="shared" si="231"/>
        <v>3.6840314986403864</v>
      </c>
      <c r="CU392" s="143" t="e">
        <f t="shared" si="232"/>
        <v>#DIV/0!</v>
      </c>
      <c r="CV392" s="143">
        <f t="shared" si="233"/>
        <v>1</v>
      </c>
      <c r="CX392" s="7">
        <f t="shared" si="234"/>
        <v>1.1000000000000001</v>
      </c>
      <c r="CY392" s="7">
        <f t="shared" si="235"/>
        <v>1.3</v>
      </c>
      <c r="CZ392" s="7">
        <f t="shared" si="236"/>
        <v>1.4</v>
      </c>
      <c r="DA392" s="7">
        <f t="shared" si="237"/>
        <v>1.5</v>
      </c>
      <c r="DB392" s="7">
        <f t="shared" si="238"/>
        <v>2</v>
      </c>
      <c r="DC392" s="7">
        <f t="shared" si="239"/>
        <v>6.6000000000000041</v>
      </c>
      <c r="DD392" s="7">
        <f t="shared" si="240"/>
        <v>8.899999999999995</v>
      </c>
      <c r="DE392" s="7">
        <f t="shared" si="241"/>
        <v>13.5</v>
      </c>
      <c r="DF392" s="7">
        <f t="shared" si="242"/>
        <v>18.100000000000005</v>
      </c>
      <c r="DH392" s="7">
        <f t="shared" si="243"/>
        <v>1.05</v>
      </c>
      <c r="DI392" s="7">
        <f t="shared" si="244"/>
        <v>1.1499999999999999</v>
      </c>
      <c r="DJ392" s="7">
        <f t="shared" si="245"/>
        <v>1.2</v>
      </c>
      <c r="DK392" s="7">
        <f t="shared" si="246"/>
        <v>1.25</v>
      </c>
      <c r="DL392" s="7">
        <f t="shared" si="247"/>
        <v>1.5</v>
      </c>
      <c r="DM392" s="7">
        <f t="shared" si="248"/>
        <v>1.6</v>
      </c>
      <c r="DN392" s="7">
        <f t="shared" si="249"/>
        <v>1.65</v>
      </c>
      <c r="DO392" s="7">
        <f t="shared" si="250"/>
        <v>1.75</v>
      </c>
      <c r="DP392" s="7">
        <f t="shared" si="251"/>
        <v>1.85</v>
      </c>
    </row>
    <row r="393" spans="1:120" ht="24" hidden="1" customHeight="1" x14ac:dyDescent="0.25">
      <c r="A393" s="92" t="str">
        <f t="shared" si="220"/>
        <v>CM-SWVI [10]</v>
      </c>
      <c r="B393" s="92" t="str">
        <f t="shared" si="221"/>
        <v>Southwest Vancouver Island</v>
      </c>
      <c r="C393" s="93" t="str">
        <f t="shared" si="225"/>
        <v>INNER BASIN RIVER (Ransom C)_Chum</v>
      </c>
      <c r="D393" s="128" t="s">
        <v>598</v>
      </c>
      <c r="E393" s="128" t="s">
        <v>598</v>
      </c>
      <c r="F393" s="64">
        <v>25</v>
      </c>
      <c r="G393" s="72" t="s">
        <v>608</v>
      </c>
      <c r="H393" s="65" t="s">
        <v>96</v>
      </c>
      <c r="I393" s="119"/>
      <c r="J393" s="119"/>
      <c r="K393" s="64">
        <v>5</v>
      </c>
      <c r="L393" s="52">
        <v>10</v>
      </c>
      <c r="M393" s="52">
        <v>9</v>
      </c>
      <c r="N393" s="52">
        <f t="shared" si="222"/>
        <v>193.07671753004723</v>
      </c>
      <c r="O393" s="52">
        <f t="shared" si="223"/>
        <v>35000</v>
      </c>
      <c r="P393" s="52">
        <f t="shared" si="224"/>
        <v>2102.4944393412648</v>
      </c>
      <c r="Q393" s="66"/>
      <c r="R393" s="37"/>
      <c r="S393" s="74"/>
      <c r="T393" s="81" t="e">
        <f t="shared" si="226"/>
        <v>#DIV/0!</v>
      </c>
      <c r="U393" s="81">
        <f t="shared" si="227"/>
        <v>140</v>
      </c>
      <c r="V393" s="52" t="s">
        <v>102</v>
      </c>
      <c r="W393" s="52" t="s">
        <v>102</v>
      </c>
      <c r="X393" s="52" t="s">
        <v>102</v>
      </c>
      <c r="Y393" s="52" t="s">
        <v>102</v>
      </c>
      <c r="Z393" s="52" t="s">
        <v>102</v>
      </c>
      <c r="AA393" s="52" t="s">
        <v>102</v>
      </c>
      <c r="AB393" s="52" t="s">
        <v>102</v>
      </c>
      <c r="AC393" s="52" t="s">
        <v>102</v>
      </c>
      <c r="AD393" s="52" t="s">
        <v>102</v>
      </c>
      <c r="AE393" s="52" t="s">
        <v>102</v>
      </c>
      <c r="AF393" s="52" t="s">
        <v>102</v>
      </c>
      <c r="AG393" s="144">
        <v>140</v>
      </c>
      <c r="AH393" s="53">
        <v>100</v>
      </c>
      <c r="AI393" s="53">
        <v>220</v>
      </c>
      <c r="AJ393" s="53">
        <v>51</v>
      </c>
      <c r="AK393" s="53">
        <v>66</v>
      </c>
      <c r="AL393" s="89">
        <v>32</v>
      </c>
      <c r="AM393" s="53" t="s">
        <v>262</v>
      </c>
      <c r="AN393" s="52">
        <v>490</v>
      </c>
      <c r="AO393" s="53">
        <v>800</v>
      </c>
      <c r="AP393" s="53">
        <v>570</v>
      </c>
      <c r="AQ393" s="53">
        <v>215</v>
      </c>
      <c r="AR393" s="53">
        <v>45</v>
      </c>
      <c r="AS393" s="52">
        <v>50</v>
      </c>
      <c r="AT393" s="52">
        <v>1732</v>
      </c>
      <c r="AU393" s="52">
        <v>524</v>
      </c>
      <c r="AV393" s="52">
        <v>254</v>
      </c>
      <c r="AW393" s="54"/>
      <c r="AX393" s="51">
        <v>1000</v>
      </c>
      <c r="AY393" s="53">
        <v>1500</v>
      </c>
      <c r="AZ393" s="53">
        <v>5400</v>
      </c>
      <c r="BA393" s="53">
        <v>17000</v>
      </c>
      <c r="BB393" s="53">
        <v>100</v>
      </c>
      <c r="BC393" s="53">
        <v>100</v>
      </c>
      <c r="BD393" s="53">
        <v>2000</v>
      </c>
      <c r="BE393" s="53">
        <v>2000</v>
      </c>
      <c r="BF393" s="53">
        <v>2500</v>
      </c>
      <c r="BG393" s="53">
        <v>850</v>
      </c>
      <c r="BH393" s="53">
        <v>6000</v>
      </c>
      <c r="BI393" s="53">
        <v>10500</v>
      </c>
      <c r="BJ393" s="53">
        <v>9000</v>
      </c>
      <c r="BK393" s="53" t="s">
        <v>102</v>
      </c>
      <c r="BL393" s="53">
        <v>4000</v>
      </c>
      <c r="BM393" s="53">
        <v>5300</v>
      </c>
      <c r="BN393" s="53">
        <v>4500</v>
      </c>
      <c r="BO393" s="53" t="s">
        <v>262</v>
      </c>
      <c r="BP393" s="53">
        <v>750</v>
      </c>
      <c r="BQ393" s="53">
        <v>3500</v>
      </c>
      <c r="BR393" s="53">
        <v>3500</v>
      </c>
      <c r="BS393" s="53">
        <v>15000</v>
      </c>
      <c r="BT393" s="53">
        <v>4000</v>
      </c>
      <c r="BU393" s="53">
        <v>7500</v>
      </c>
      <c r="BV393" s="53">
        <v>15000</v>
      </c>
      <c r="BW393" s="53">
        <v>7500</v>
      </c>
      <c r="BX393" s="53">
        <v>7500</v>
      </c>
      <c r="BY393" s="53">
        <v>15000</v>
      </c>
      <c r="BZ393" s="53">
        <v>12000</v>
      </c>
      <c r="CA393" s="53">
        <v>7500</v>
      </c>
      <c r="CB393" s="53">
        <v>15000</v>
      </c>
      <c r="CC393" s="53">
        <v>12000</v>
      </c>
      <c r="CD393" s="53">
        <v>15000</v>
      </c>
      <c r="CE393" s="53">
        <v>7500</v>
      </c>
      <c r="CF393" s="53">
        <v>35000</v>
      </c>
      <c r="CG393" s="53">
        <v>7500</v>
      </c>
      <c r="CH393" s="53">
        <v>1500</v>
      </c>
      <c r="CI393" s="53">
        <v>750</v>
      </c>
      <c r="CJ393" s="53">
        <v>7500</v>
      </c>
      <c r="CK393" s="53">
        <v>7500</v>
      </c>
      <c r="CL393" s="53">
        <v>1500</v>
      </c>
      <c r="CM393" s="53">
        <v>15000</v>
      </c>
      <c r="CN393" s="206"/>
      <c r="CO393" s="206"/>
      <c r="CP393" s="206"/>
      <c r="CQ393" s="8">
        <f t="shared" si="228"/>
        <v>32</v>
      </c>
      <c r="CR393" s="8">
        <f t="shared" si="229"/>
        <v>35000</v>
      </c>
      <c r="CS393" s="8">
        <f t="shared" si="230"/>
        <v>5482.5272727272732</v>
      </c>
      <c r="CT393">
        <f t="shared" si="231"/>
        <v>1817.47490164226</v>
      </c>
      <c r="CU393" s="143" t="e">
        <f t="shared" si="232"/>
        <v>#DIV/0!</v>
      </c>
      <c r="CV393" s="143">
        <f t="shared" si="233"/>
        <v>140</v>
      </c>
      <c r="CX393" s="7">
        <f t="shared" si="234"/>
        <v>50.7</v>
      </c>
      <c r="CY393" s="7">
        <f t="shared" si="235"/>
        <v>147.49999999999997</v>
      </c>
      <c r="CZ393" s="7">
        <f t="shared" si="236"/>
        <v>247.20000000000002</v>
      </c>
      <c r="DA393" s="7">
        <f t="shared" si="237"/>
        <v>547</v>
      </c>
      <c r="DB393" s="7">
        <f t="shared" si="238"/>
        <v>3500</v>
      </c>
      <c r="DC393" s="7">
        <f t="shared" si="239"/>
        <v>5340</v>
      </c>
      <c r="DD393" s="7">
        <f t="shared" si="240"/>
        <v>7500</v>
      </c>
      <c r="DE393" s="7">
        <f t="shared" si="241"/>
        <v>7500</v>
      </c>
      <c r="DF393" s="7">
        <f t="shared" si="242"/>
        <v>12000</v>
      </c>
      <c r="DH393" s="7">
        <f t="shared" si="243"/>
        <v>41.1</v>
      </c>
      <c r="DI393" s="7">
        <f t="shared" si="244"/>
        <v>50.1</v>
      </c>
      <c r="DJ393" s="7">
        <f t="shared" si="245"/>
        <v>50.8</v>
      </c>
      <c r="DK393" s="7">
        <f t="shared" si="246"/>
        <v>58.5</v>
      </c>
      <c r="DL393" s="7">
        <f t="shared" si="247"/>
        <v>215</v>
      </c>
      <c r="DM393" s="7">
        <f t="shared" si="248"/>
        <v>233.60000000000002</v>
      </c>
      <c r="DN393" s="7">
        <f t="shared" si="249"/>
        <v>277.59999999999991</v>
      </c>
      <c r="DO393" s="7">
        <f t="shared" si="250"/>
        <v>507</v>
      </c>
      <c r="DP393" s="7">
        <f t="shared" si="251"/>
        <v>565.4</v>
      </c>
    </row>
    <row r="394" spans="1:120" ht="24" hidden="1" customHeight="1" x14ac:dyDescent="0.25">
      <c r="A394" s="92" t="str">
        <f t="shared" si="220"/>
        <v>CO-WVI [17]</v>
      </c>
      <c r="B394" s="92" t="str">
        <f t="shared" si="221"/>
        <v>West Vancouver Island</v>
      </c>
      <c r="C394" s="93" t="str">
        <f t="shared" si="225"/>
        <v>INNER BASIN RIVER (Ransom C)_Coho</v>
      </c>
      <c r="D394" s="128" t="s">
        <v>598</v>
      </c>
      <c r="E394" s="128" t="s">
        <v>598</v>
      </c>
      <c r="F394" s="64">
        <v>25</v>
      </c>
      <c r="G394" s="72" t="s">
        <v>608</v>
      </c>
      <c r="H394" s="65" t="s">
        <v>93</v>
      </c>
      <c r="I394" s="119"/>
      <c r="J394" s="119"/>
      <c r="K394" s="64">
        <v>5</v>
      </c>
      <c r="L394" s="52">
        <v>10</v>
      </c>
      <c r="M394" s="52">
        <v>7</v>
      </c>
      <c r="N394" s="52">
        <f t="shared" si="222"/>
        <v>44.803680854217006</v>
      </c>
      <c r="O394" s="52">
        <f t="shared" si="223"/>
        <v>1500</v>
      </c>
      <c r="P394" s="52">
        <f t="shared" si="224"/>
        <v>97.760300527492049</v>
      </c>
      <c r="Q394" s="66"/>
      <c r="R394" s="37"/>
      <c r="S394" s="74"/>
      <c r="T394" s="81" t="e">
        <f t="shared" si="226"/>
        <v>#DIV/0!</v>
      </c>
      <c r="U394" s="81">
        <f t="shared" si="227"/>
        <v>145</v>
      </c>
      <c r="V394" s="52" t="s">
        <v>102</v>
      </c>
      <c r="W394" s="52" t="s">
        <v>102</v>
      </c>
      <c r="X394" s="52" t="s">
        <v>102</v>
      </c>
      <c r="Y394" s="52" t="s">
        <v>102</v>
      </c>
      <c r="Z394" s="52" t="s">
        <v>102</v>
      </c>
      <c r="AA394" s="52" t="s">
        <v>102</v>
      </c>
      <c r="AB394" s="52" t="s">
        <v>102</v>
      </c>
      <c r="AC394" s="52" t="s">
        <v>102</v>
      </c>
      <c r="AD394" s="52" t="s">
        <v>102</v>
      </c>
      <c r="AE394" s="52" t="s">
        <v>102</v>
      </c>
      <c r="AF394" s="52" t="s">
        <v>102</v>
      </c>
      <c r="AG394" s="144">
        <v>145</v>
      </c>
      <c r="AH394" s="52">
        <v>170</v>
      </c>
      <c r="AI394" s="53">
        <v>200</v>
      </c>
      <c r="AJ394" s="53" t="s">
        <v>262</v>
      </c>
      <c r="AK394" s="53">
        <v>81</v>
      </c>
      <c r="AL394" s="89">
        <v>48</v>
      </c>
      <c r="AM394" s="53" t="s">
        <v>262</v>
      </c>
      <c r="AN394" s="52">
        <v>45</v>
      </c>
      <c r="AO394" s="53" t="s">
        <v>262</v>
      </c>
      <c r="AP394" s="53">
        <v>15</v>
      </c>
      <c r="AQ394" s="53">
        <v>35</v>
      </c>
      <c r="AR394" s="53">
        <v>90</v>
      </c>
      <c r="AS394" s="52">
        <v>160</v>
      </c>
      <c r="AT394" s="52">
        <v>50</v>
      </c>
      <c r="AU394" s="52">
        <v>11</v>
      </c>
      <c r="AV394" s="52" t="s">
        <v>262</v>
      </c>
      <c r="AW394" s="54"/>
      <c r="AX394" s="51" t="s">
        <v>264</v>
      </c>
      <c r="AY394" s="53" t="s">
        <v>262</v>
      </c>
      <c r="AZ394" s="53" t="s">
        <v>102</v>
      </c>
      <c r="BA394" s="53" t="s">
        <v>262</v>
      </c>
      <c r="BB394" s="52" t="s">
        <v>262</v>
      </c>
      <c r="BC394" s="53" t="s">
        <v>262</v>
      </c>
      <c r="BD394" s="53">
        <v>100</v>
      </c>
      <c r="BE394" s="53">
        <v>100</v>
      </c>
      <c r="BF394" s="53">
        <v>50</v>
      </c>
      <c r="BG394" s="53">
        <v>120</v>
      </c>
      <c r="BH394" s="53" t="s">
        <v>262</v>
      </c>
      <c r="BI394" s="53" t="s">
        <v>264</v>
      </c>
      <c r="BJ394" s="53" t="s">
        <v>264</v>
      </c>
      <c r="BK394" s="53" t="s">
        <v>102</v>
      </c>
      <c r="BL394" s="53" t="s">
        <v>264</v>
      </c>
      <c r="BM394" s="53">
        <v>60</v>
      </c>
      <c r="BN394" s="53" t="s">
        <v>264</v>
      </c>
      <c r="BO394" s="53" t="s">
        <v>262</v>
      </c>
      <c r="BP394" s="53" t="s">
        <v>264</v>
      </c>
      <c r="BQ394" s="53">
        <v>75</v>
      </c>
      <c r="BR394" s="53" t="s">
        <v>264</v>
      </c>
      <c r="BS394" s="53" t="s">
        <v>264</v>
      </c>
      <c r="BT394" s="53" t="s">
        <v>262</v>
      </c>
      <c r="BU394" s="53">
        <v>25</v>
      </c>
      <c r="BV394" s="53">
        <v>200</v>
      </c>
      <c r="BW394" s="53">
        <v>25</v>
      </c>
      <c r="BX394" s="53">
        <v>200</v>
      </c>
      <c r="BY394" s="53">
        <v>400</v>
      </c>
      <c r="BZ394" s="53">
        <v>400</v>
      </c>
      <c r="CA394" s="53">
        <v>400</v>
      </c>
      <c r="CB394" s="53">
        <v>400</v>
      </c>
      <c r="CC394" s="53" t="s">
        <v>264</v>
      </c>
      <c r="CD394" s="53" t="s">
        <v>264</v>
      </c>
      <c r="CE394" s="53" t="s">
        <v>264</v>
      </c>
      <c r="CF394" s="53" t="s">
        <v>262</v>
      </c>
      <c r="CG394" s="53">
        <v>200</v>
      </c>
      <c r="CH394" s="53">
        <v>75</v>
      </c>
      <c r="CI394" s="53">
        <v>25</v>
      </c>
      <c r="CJ394" s="53" t="s">
        <v>264</v>
      </c>
      <c r="CK394" s="53" t="s">
        <v>262</v>
      </c>
      <c r="CL394" s="53">
        <v>750</v>
      </c>
      <c r="CM394" s="53">
        <v>1500</v>
      </c>
      <c r="CN394" s="206"/>
      <c r="CO394" s="206"/>
      <c r="CP394" s="206"/>
      <c r="CQ394" s="8">
        <f t="shared" si="228"/>
        <v>11</v>
      </c>
      <c r="CR394" s="8">
        <f t="shared" si="229"/>
        <v>1500</v>
      </c>
      <c r="CS394" s="8">
        <f t="shared" si="230"/>
        <v>198.54838709677421</v>
      </c>
      <c r="CT394">
        <f t="shared" si="231"/>
        <v>103.14886225678045</v>
      </c>
      <c r="CU394" s="143" t="e">
        <f t="shared" si="232"/>
        <v>#DIV/0!</v>
      </c>
      <c r="CV394" s="143">
        <f t="shared" si="233"/>
        <v>145</v>
      </c>
      <c r="CX394" s="7">
        <f t="shared" si="234"/>
        <v>20</v>
      </c>
      <c r="CY394" s="7">
        <f t="shared" si="235"/>
        <v>30</v>
      </c>
      <c r="CZ394" s="7">
        <f t="shared" si="236"/>
        <v>45</v>
      </c>
      <c r="DA394" s="7">
        <f t="shared" si="237"/>
        <v>49</v>
      </c>
      <c r="DB394" s="7">
        <f t="shared" si="238"/>
        <v>100</v>
      </c>
      <c r="DC394" s="7">
        <f t="shared" si="239"/>
        <v>145</v>
      </c>
      <c r="DD394" s="7">
        <f t="shared" si="240"/>
        <v>165</v>
      </c>
      <c r="DE394" s="7">
        <f t="shared" si="241"/>
        <v>200</v>
      </c>
      <c r="DF394" s="7">
        <f t="shared" si="242"/>
        <v>400</v>
      </c>
      <c r="DH394" s="7">
        <f t="shared" si="243"/>
        <v>13.2</v>
      </c>
      <c r="DI394" s="7">
        <f t="shared" si="244"/>
        <v>28</v>
      </c>
      <c r="DJ394" s="7">
        <f t="shared" si="245"/>
        <v>37</v>
      </c>
      <c r="DK394" s="7">
        <f t="shared" si="246"/>
        <v>42.5</v>
      </c>
      <c r="DL394" s="7">
        <f t="shared" si="247"/>
        <v>65.5</v>
      </c>
      <c r="DM394" s="7">
        <f t="shared" si="248"/>
        <v>86.399999999999991</v>
      </c>
      <c r="DN394" s="7">
        <f t="shared" si="249"/>
        <v>98.250000000000014</v>
      </c>
      <c r="DO394" s="7">
        <f t="shared" si="250"/>
        <v>148.75</v>
      </c>
      <c r="DP394" s="7">
        <f t="shared" si="251"/>
        <v>163.5</v>
      </c>
    </row>
    <row r="395" spans="1:120" ht="24" hidden="1" customHeight="1" x14ac:dyDescent="0.25">
      <c r="A395" s="92" t="str">
        <f t="shared" si="220"/>
        <v>SK-WVI [R10]</v>
      </c>
      <c r="B395" s="92" t="str">
        <f t="shared" si="221"/>
        <v>West Vancouver Island</v>
      </c>
      <c r="C395" s="93" t="str">
        <f t="shared" si="225"/>
        <v>INNER BASIN RIVER (Ransom C)_Sockeye</v>
      </c>
      <c r="D395" s="128" t="s">
        <v>598</v>
      </c>
      <c r="E395" s="128" t="s">
        <v>598</v>
      </c>
      <c r="F395" s="64">
        <v>25</v>
      </c>
      <c r="G395" s="72" t="s">
        <v>608</v>
      </c>
      <c r="H395" s="65" t="s">
        <v>91</v>
      </c>
      <c r="I395" s="119"/>
      <c r="J395" s="119"/>
      <c r="K395" s="64">
        <v>5</v>
      </c>
      <c r="L395" s="52">
        <v>10</v>
      </c>
      <c r="M395" s="52">
        <v>3</v>
      </c>
      <c r="N395" s="52">
        <f t="shared" si="222"/>
        <v>18.171205928321395</v>
      </c>
      <c r="O395" s="52">
        <f t="shared" si="223"/>
        <v>60</v>
      </c>
      <c r="P395" s="52">
        <f t="shared" si="224"/>
        <v>18.171205928321395</v>
      </c>
      <c r="Q395" s="66"/>
      <c r="R395" s="37"/>
      <c r="S395" s="74"/>
      <c r="T395" s="81" t="e">
        <f t="shared" si="226"/>
        <v>#DIV/0!</v>
      </c>
      <c r="U395" s="81" t="e">
        <f t="shared" si="227"/>
        <v>#DIV/0!</v>
      </c>
      <c r="V395" s="52" t="s">
        <v>102</v>
      </c>
      <c r="W395" s="52" t="s">
        <v>102</v>
      </c>
      <c r="X395" s="52" t="s">
        <v>102</v>
      </c>
      <c r="Y395" s="52" t="s">
        <v>102</v>
      </c>
      <c r="Z395" s="52" t="s">
        <v>102</v>
      </c>
      <c r="AA395" s="52" t="s">
        <v>102</v>
      </c>
      <c r="AB395" s="52" t="s">
        <v>102</v>
      </c>
      <c r="AC395" s="52" t="s">
        <v>102</v>
      </c>
      <c r="AD395" s="144" t="s">
        <v>102</v>
      </c>
      <c r="AE395" s="52" t="s">
        <v>102</v>
      </c>
      <c r="AF395" s="52" t="s">
        <v>102</v>
      </c>
      <c r="AG395" s="52" t="s">
        <v>262</v>
      </c>
      <c r="AH395" s="52" t="s">
        <v>262</v>
      </c>
      <c r="AI395" s="53">
        <v>6</v>
      </c>
      <c r="AJ395" s="53" t="s">
        <v>262</v>
      </c>
      <c r="AK395" s="53" t="s">
        <v>262</v>
      </c>
      <c r="AL395" s="89" t="s">
        <v>262</v>
      </c>
      <c r="AM395" s="53" t="s">
        <v>262</v>
      </c>
      <c r="AN395" s="53" t="s">
        <v>262</v>
      </c>
      <c r="AO395" s="53" t="s">
        <v>262</v>
      </c>
      <c r="AP395" s="53">
        <v>4</v>
      </c>
      <c r="AQ395" s="53" t="s">
        <v>262</v>
      </c>
      <c r="AR395" s="53" t="s">
        <v>262</v>
      </c>
      <c r="AS395" s="52" t="s">
        <v>262</v>
      </c>
      <c r="AT395" s="52">
        <v>25</v>
      </c>
      <c r="AU395" s="52">
        <v>60</v>
      </c>
      <c r="AV395" s="52" t="s">
        <v>262</v>
      </c>
      <c r="AW395" s="54"/>
      <c r="AX395" s="51" t="s">
        <v>264</v>
      </c>
      <c r="AY395" s="53" t="s">
        <v>264</v>
      </c>
      <c r="AZ395" s="53" t="s">
        <v>102</v>
      </c>
      <c r="BA395" s="53" t="s">
        <v>264</v>
      </c>
      <c r="BB395" s="53" t="s">
        <v>264</v>
      </c>
      <c r="BC395" s="53" t="s">
        <v>264</v>
      </c>
      <c r="BD395" s="53" t="s">
        <v>264</v>
      </c>
      <c r="BE395" s="53" t="s">
        <v>264</v>
      </c>
      <c r="BF395" s="53" t="s">
        <v>264</v>
      </c>
      <c r="BG395" s="53" t="s">
        <v>264</v>
      </c>
      <c r="BH395" s="53" t="s">
        <v>262</v>
      </c>
      <c r="BI395" s="53" t="s">
        <v>264</v>
      </c>
      <c r="BJ395" s="53" t="s">
        <v>264</v>
      </c>
      <c r="BK395" s="53" t="s">
        <v>102</v>
      </c>
      <c r="BL395" s="53" t="s">
        <v>264</v>
      </c>
      <c r="BM395" s="53" t="s">
        <v>264</v>
      </c>
      <c r="BN395" s="53" t="s">
        <v>264</v>
      </c>
      <c r="BO395" s="53" t="s">
        <v>264</v>
      </c>
      <c r="BP395" s="53" t="s">
        <v>264</v>
      </c>
      <c r="BQ395" s="53" t="s">
        <v>264</v>
      </c>
      <c r="BR395" s="53" t="s">
        <v>264</v>
      </c>
      <c r="BS395" s="53" t="s">
        <v>264</v>
      </c>
      <c r="BT395" s="53" t="s">
        <v>264</v>
      </c>
      <c r="BU395" s="53" t="s">
        <v>264</v>
      </c>
      <c r="BV395" s="53" t="s">
        <v>264</v>
      </c>
      <c r="BW395" s="53" t="s">
        <v>264</v>
      </c>
      <c r="BX395" s="53" t="s">
        <v>264</v>
      </c>
      <c r="BY395" s="53" t="s">
        <v>264</v>
      </c>
      <c r="BZ395" s="53" t="s">
        <v>264</v>
      </c>
      <c r="CA395" s="53" t="s">
        <v>264</v>
      </c>
      <c r="CB395" s="53" t="s">
        <v>264</v>
      </c>
      <c r="CC395" s="53" t="s">
        <v>264</v>
      </c>
      <c r="CD395" s="53" t="s">
        <v>264</v>
      </c>
      <c r="CE395" s="53" t="s">
        <v>264</v>
      </c>
      <c r="CF395" s="53" t="s">
        <v>264</v>
      </c>
      <c r="CG395" s="53" t="s">
        <v>264</v>
      </c>
      <c r="CH395" s="53" t="s">
        <v>264</v>
      </c>
      <c r="CI395" s="53" t="s">
        <v>264</v>
      </c>
      <c r="CJ395" s="53" t="s">
        <v>264</v>
      </c>
      <c r="CK395" s="53" t="s">
        <v>264</v>
      </c>
      <c r="CL395" s="53" t="s">
        <v>264</v>
      </c>
      <c r="CM395" s="53" t="s">
        <v>264</v>
      </c>
      <c r="CN395" s="206"/>
      <c r="CO395" s="206"/>
      <c r="CP395" s="206"/>
      <c r="CQ395" s="8">
        <f t="shared" si="228"/>
        <v>4</v>
      </c>
      <c r="CR395" s="8">
        <f t="shared" si="229"/>
        <v>60</v>
      </c>
      <c r="CS395" s="8">
        <f t="shared" si="230"/>
        <v>23.75</v>
      </c>
      <c r="CT395">
        <f t="shared" si="231"/>
        <v>13.774493079968597</v>
      </c>
      <c r="CU395" s="143" t="e">
        <f t="shared" si="232"/>
        <v>#DIV/0!</v>
      </c>
      <c r="CV395" s="143" t="e">
        <f t="shared" si="233"/>
        <v>#DIV/0!</v>
      </c>
      <c r="CX395" s="7">
        <f t="shared" si="234"/>
        <v>4.3</v>
      </c>
      <c r="CY395" s="7">
        <f t="shared" si="235"/>
        <v>4.9000000000000004</v>
      </c>
      <c r="CZ395" s="7">
        <f t="shared" si="236"/>
        <v>5.2</v>
      </c>
      <c r="DA395" s="7">
        <f t="shared" si="237"/>
        <v>5.5</v>
      </c>
      <c r="DB395" s="7">
        <f t="shared" si="238"/>
        <v>15.5</v>
      </c>
      <c r="DC395" s="7">
        <f t="shared" si="239"/>
        <v>21.199999999999996</v>
      </c>
      <c r="DD395" s="7">
        <f t="shared" si="240"/>
        <v>24.050000000000004</v>
      </c>
      <c r="DE395" s="7">
        <f t="shared" si="241"/>
        <v>33.75</v>
      </c>
      <c r="DF395" s="7">
        <f t="shared" si="242"/>
        <v>44.249999999999993</v>
      </c>
      <c r="DH395" s="7">
        <f t="shared" si="243"/>
        <v>4.3</v>
      </c>
      <c r="DI395" s="7">
        <f t="shared" si="244"/>
        <v>4.9000000000000004</v>
      </c>
      <c r="DJ395" s="7">
        <f t="shared" si="245"/>
        <v>5.2</v>
      </c>
      <c r="DK395" s="7">
        <f t="shared" si="246"/>
        <v>5.5</v>
      </c>
      <c r="DL395" s="7">
        <f t="shared" si="247"/>
        <v>15.5</v>
      </c>
      <c r="DM395" s="7">
        <f t="shared" si="248"/>
        <v>21.199999999999996</v>
      </c>
      <c r="DN395" s="7">
        <f t="shared" si="249"/>
        <v>24.050000000000004</v>
      </c>
      <c r="DO395" s="7">
        <f t="shared" si="250"/>
        <v>33.75</v>
      </c>
      <c r="DP395" s="7">
        <f t="shared" si="251"/>
        <v>44.249999999999993</v>
      </c>
    </row>
    <row r="396" spans="1:120" ht="24" hidden="1" customHeight="1" x14ac:dyDescent="0.25">
      <c r="A396" s="92" t="str">
        <f t="shared" si="220"/>
        <v>CM-SWVI [10]</v>
      </c>
      <c r="B396" s="92" t="str">
        <f t="shared" si="221"/>
        <v>Southwest Vancouver Island</v>
      </c>
      <c r="C396" s="93" t="str">
        <f t="shared" si="225"/>
        <v>KENDRICK CREEK_Chum</v>
      </c>
      <c r="D396" s="128" t="s">
        <v>598</v>
      </c>
      <c r="E396" s="128" t="s">
        <v>598</v>
      </c>
      <c r="F396" s="64">
        <v>25</v>
      </c>
      <c r="G396" s="72" t="s">
        <v>232</v>
      </c>
      <c r="H396" s="65" t="s">
        <v>96</v>
      </c>
      <c r="I396" s="119"/>
      <c r="J396" s="119"/>
      <c r="K396" s="64">
        <v>4</v>
      </c>
      <c r="L396" s="52">
        <v>5</v>
      </c>
      <c r="M396" s="52">
        <v>5</v>
      </c>
      <c r="N396" s="52">
        <f t="shared" si="222"/>
        <v>288.44991406148165</v>
      </c>
      <c r="O396" s="52">
        <f t="shared" si="223"/>
        <v>4000</v>
      </c>
      <c r="P396" s="52">
        <f t="shared" si="224"/>
        <v>485.59658150967755</v>
      </c>
      <c r="Q396" s="66"/>
      <c r="R396" s="39"/>
      <c r="S396" s="76" t="s">
        <v>456</v>
      </c>
      <c r="T396" s="81" t="e">
        <f t="shared" si="226"/>
        <v>#DIV/0!</v>
      </c>
      <c r="U396" s="81">
        <f t="shared" si="227"/>
        <v>656</v>
      </c>
      <c r="V396" s="52" t="s">
        <v>102</v>
      </c>
      <c r="W396" s="52" t="s">
        <v>102</v>
      </c>
      <c r="X396" s="52" t="s">
        <v>102</v>
      </c>
      <c r="Y396" s="52" t="s">
        <v>102</v>
      </c>
      <c r="Z396" s="52" t="s">
        <v>102</v>
      </c>
      <c r="AA396" s="52" t="s">
        <v>102</v>
      </c>
      <c r="AB396" s="52" t="s">
        <v>102</v>
      </c>
      <c r="AC396" s="52" t="s">
        <v>102</v>
      </c>
      <c r="AD396" s="52" t="s">
        <v>102</v>
      </c>
      <c r="AE396" s="52" t="s">
        <v>102</v>
      </c>
      <c r="AF396" s="52" t="s">
        <v>102</v>
      </c>
      <c r="AG396" s="144">
        <v>656</v>
      </c>
      <c r="AH396" s="52" t="s">
        <v>102</v>
      </c>
      <c r="AI396" s="52" t="s">
        <v>102</v>
      </c>
      <c r="AJ396" s="52" t="s">
        <v>102</v>
      </c>
      <c r="AK396" s="52" t="s">
        <v>102</v>
      </c>
      <c r="AL396" s="52" t="s">
        <v>102</v>
      </c>
      <c r="AM396" s="52" t="s">
        <v>102</v>
      </c>
      <c r="AN396" s="52" t="s">
        <v>102</v>
      </c>
      <c r="AO396" s="52" t="s">
        <v>102</v>
      </c>
      <c r="AP396" s="53" t="s">
        <v>102</v>
      </c>
      <c r="AQ396" s="52">
        <v>200</v>
      </c>
      <c r="AR396" s="53" t="s">
        <v>102</v>
      </c>
      <c r="AS396" s="52" t="s">
        <v>263</v>
      </c>
      <c r="AT396" s="52" t="s">
        <v>102</v>
      </c>
      <c r="AU396" s="52">
        <v>800</v>
      </c>
      <c r="AV396" s="52">
        <v>150</v>
      </c>
      <c r="AW396" s="52" t="s">
        <v>263</v>
      </c>
      <c r="AX396" s="51" t="s">
        <v>102</v>
      </c>
      <c r="AY396" s="53" t="s">
        <v>102</v>
      </c>
      <c r="AZ396" s="53">
        <v>565</v>
      </c>
      <c r="BA396" s="53">
        <v>14</v>
      </c>
      <c r="BB396" s="53" t="s">
        <v>102</v>
      </c>
      <c r="BC396" s="53" t="s">
        <v>102</v>
      </c>
      <c r="BD396" s="53" t="s">
        <v>102</v>
      </c>
      <c r="BE396" s="53">
        <v>200</v>
      </c>
      <c r="BF396" s="53">
        <v>1150</v>
      </c>
      <c r="BG396" s="53">
        <v>1200</v>
      </c>
      <c r="BH396" s="53">
        <v>500</v>
      </c>
      <c r="BI396" s="53" t="s">
        <v>102</v>
      </c>
      <c r="BJ396" s="53" t="s">
        <v>102</v>
      </c>
      <c r="BK396" s="53" t="s">
        <v>102</v>
      </c>
      <c r="BL396" s="53" t="s">
        <v>102</v>
      </c>
      <c r="BM396" s="53" t="s">
        <v>102</v>
      </c>
      <c r="BN396" s="53" t="s">
        <v>102</v>
      </c>
      <c r="BO396" s="53">
        <v>500</v>
      </c>
      <c r="BP396" s="53">
        <v>25</v>
      </c>
      <c r="BQ396" s="53">
        <v>200</v>
      </c>
      <c r="BR396" s="53">
        <v>400</v>
      </c>
      <c r="BS396" s="53">
        <v>750</v>
      </c>
      <c r="BT396" s="53">
        <v>2100</v>
      </c>
      <c r="BU396" s="53">
        <v>750</v>
      </c>
      <c r="BV396" s="53">
        <v>4000</v>
      </c>
      <c r="BW396" s="53">
        <v>1500</v>
      </c>
      <c r="BX396" s="53">
        <v>1500</v>
      </c>
      <c r="BY396" s="53">
        <v>750</v>
      </c>
      <c r="BZ396" s="53" t="s">
        <v>102</v>
      </c>
      <c r="CA396" s="53" t="s">
        <v>102</v>
      </c>
      <c r="CB396" s="53" t="s">
        <v>102</v>
      </c>
      <c r="CC396" s="53" t="s">
        <v>102</v>
      </c>
      <c r="CD396" s="53" t="s">
        <v>102</v>
      </c>
      <c r="CE396" s="53" t="s">
        <v>102</v>
      </c>
      <c r="CF396" s="53" t="s">
        <v>102</v>
      </c>
      <c r="CG396" s="53">
        <v>400</v>
      </c>
      <c r="CH396" s="53">
        <v>1500</v>
      </c>
      <c r="CI396" s="53" t="s">
        <v>102</v>
      </c>
      <c r="CJ396" s="53" t="s">
        <v>102</v>
      </c>
      <c r="CK396" s="53" t="s">
        <v>102</v>
      </c>
      <c r="CL396" s="53" t="s">
        <v>102</v>
      </c>
      <c r="CM396" s="53" t="s">
        <v>102</v>
      </c>
      <c r="CN396" s="206"/>
      <c r="CO396" s="206"/>
      <c r="CP396" s="206"/>
      <c r="CQ396" s="8">
        <f t="shared" si="228"/>
        <v>14</v>
      </c>
      <c r="CR396" s="8">
        <f t="shared" si="229"/>
        <v>4000</v>
      </c>
      <c r="CS396" s="8">
        <f t="shared" si="230"/>
        <v>861.304347826087</v>
      </c>
      <c r="CT396">
        <f t="shared" si="231"/>
        <v>491.98867791671051</v>
      </c>
      <c r="CU396" s="143" t="e">
        <f t="shared" si="232"/>
        <v>#DIV/0!</v>
      </c>
      <c r="CV396" s="143">
        <f t="shared" si="233"/>
        <v>656</v>
      </c>
      <c r="CX396" s="7">
        <f t="shared" si="234"/>
        <v>37.500000000000014</v>
      </c>
      <c r="CY396" s="7">
        <f t="shared" si="235"/>
        <v>200</v>
      </c>
      <c r="CZ396" s="7">
        <f t="shared" si="236"/>
        <v>200</v>
      </c>
      <c r="DA396" s="7">
        <f t="shared" si="237"/>
        <v>300</v>
      </c>
      <c r="DB396" s="7">
        <f t="shared" si="238"/>
        <v>656</v>
      </c>
      <c r="DC396" s="7">
        <f t="shared" si="239"/>
        <v>750</v>
      </c>
      <c r="DD396" s="7">
        <f t="shared" si="240"/>
        <v>765</v>
      </c>
      <c r="DE396" s="7">
        <f t="shared" si="241"/>
        <v>1175</v>
      </c>
      <c r="DF396" s="7">
        <f t="shared" si="242"/>
        <v>1500</v>
      </c>
      <c r="DH396" s="7">
        <f t="shared" si="243"/>
        <v>157.5</v>
      </c>
      <c r="DI396" s="7">
        <f t="shared" si="244"/>
        <v>172.5</v>
      </c>
      <c r="DJ396" s="7">
        <f t="shared" si="245"/>
        <v>180</v>
      </c>
      <c r="DK396" s="7">
        <f t="shared" si="246"/>
        <v>187.5</v>
      </c>
      <c r="DL396" s="7">
        <f t="shared" si="247"/>
        <v>428</v>
      </c>
      <c r="DM396" s="7">
        <f t="shared" si="248"/>
        <v>564.79999999999995</v>
      </c>
      <c r="DN396" s="7">
        <f t="shared" si="249"/>
        <v>633.20000000000005</v>
      </c>
      <c r="DO396" s="7">
        <f t="shared" si="250"/>
        <v>692</v>
      </c>
      <c r="DP396" s="7">
        <f t="shared" si="251"/>
        <v>735.19999999999993</v>
      </c>
    </row>
    <row r="397" spans="1:120" ht="24" hidden="1" customHeight="1" x14ac:dyDescent="0.25">
      <c r="A397" s="92" t="str">
        <f t="shared" si="220"/>
        <v>CO-WVI [17]</v>
      </c>
      <c r="B397" s="92" t="str">
        <f t="shared" si="221"/>
        <v>West Vancouver Island</v>
      </c>
      <c r="C397" s="93" t="str">
        <f t="shared" si="225"/>
        <v>KENDRICK CREEK_Coho</v>
      </c>
      <c r="D397" s="128" t="s">
        <v>598</v>
      </c>
      <c r="E397" s="128" t="s">
        <v>598</v>
      </c>
      <c r="F397" s="64">
        <v>25</v>
      </c>
      <c r="G397" s="72" t="s">
        <v>232</v>
      </c>
      <c r="H397" s="65" t="s">
        <v>93</v>
      </c>
      <c r="I397" s="119"/>
      <c r="J397" s="119"/>
      <c r="K397" s="64">
        <v>4</v>
      </c>
      <c r="L397" s="52">
        <v>5</v>
      </c>
      <c r="M397" s="52">
        <v>0</v>
      </c>
      <c r="N397" s="52" t="e">
        <f t="shared" si="222"/>
        <v>#NUM!</v>
      </c>
      <c r="O397" s="52">
        <f t="shared" si="223"/>
        <v>110</v>
      </c>
      <c r="P397" s="52">
        <f t="shared" si="224"/>
        <v>41.052515840380934</v>
      </c>
      <c r="Q397" s="66"/>
      <c r="R397" s="39"/>
      <c r="S397" s="76" t="s">
        <v>455</v>
      </c>
      <c r="T397" s="81" t="e">
        <f t="shared" si="226"/>
        <v>#DIV/0!</v>
      </c>
      <c r="U397" s="81">
        <f t="shared" si="227"/>
        <v>28</v>
      </c>
      <c r="V397" s="52" t="s">
        <v>102</v>
      </c>
      <c r="W397" s="52" t="s">
        <v>102</v>
      </c>
      <c r="X397" s="52" t="s">
        <v>102</v>
      </c>
      <c r="Y397" s="52" t="s">
        <v>102</v>
      </c>
      <c r="Z397" s="52" t="s">
        <v>102</v>
      </c>
      <c r="AA397" s="52" t="s">
        <v>102</v>
      </c>
      <c r="AB397" s="52" t="s">
        <v>102</v>
      </c>
      <c r="AC397" s="52" t="s">
        <v>102</v>
      </c>
      <c r="AD397" s="52" t="s">
        <v>102</v>
      </c>
      <c r="AE397" s="52" t="s">
        <v>102</v>
      </c>
      <c r="AF397" s="52" t="s">
        <v>102</v>
      </c>
      <c r="AG397" s="144">
        <v>28</v>
      </c>
      <c r="AH397" s="52" t="s">
        <v>102</v>
      </c>
      <c r="AI397" s="52" t="s">
        <v>102</v>
      </c>
      <c r="AJ397" s="52" t="s">
        <v>102</v>
      </c>
      <c r="AK397" s="52" t="s">
        <v>102</v>
      </c>
      <c r="AL397" s="52" t="s">
        <v>102</v>
      </c>
      <c r="AM397" s="52" t="s">
        <v>102</v>
      </c>
      <c r="AN397" s="52" t="s">
        <v>102</v>
      </c>
      <c r="AO397" s="52" t="s">
        <v>102</v>
      </c>
      <c r="AP397" s="53" t="s">
        <v>102</v>
      </c>
      <c r="AQ397" s="52" t="s">
        <v>262</v>
      </c>
      <c r="AR397" s="53" t="s">
        <v>102</v>
      </c>
      <c r="AS397" s="52" t="s">
        <v>262</v>
      </c>
      <c r="AT397" s="52" t="s">
        <v>102</v>
      </c>
      <c r="AU397" s="52" t="s">
        <v>262</v>
      </c>
      <c r="AV397" s="52" t="s">
        <v>262</v>
      </c>
      <c r="AW397" s="52" t="s">
        <v>262</v>
      </c>
      <c r="AX397" s="51" t="s">
        <v>102</v>
      </c>
      <c r="AY397" s="53" t="s">
        <v>102</v>
      </c>
      <c r="AZ397" s="53" t="s">
        <v>102</v>
      </c>
      <c r="BA397" s="53">
        <v>110</v>
      </c>
      <c r="BB397" s="53" t="s">
        <v>102</v>
      </c>
      <c r="BC397" s="53" t="s">
        <v>102</v>
      </c>
      <c r="BD397" s="53" t="s">
        <v>102</v>
      </c>
      <c r="BE397" s="53" t="s">
        <v>264</v>
      </c>
      <c r="BF397" s="53">
        <v>30</v>
      </c>
      <c r="BG397" s="53">
        <v>25</v>
      </c>
      <c r="BH397" s="53" t="s">
        <v>262</v>
      </c>
      <c r="BI397" s="53" t="s">
        <v>102</v>
      </c>
      <c r="BJ397" s="53" t="s">
        <v>102</v>
      </c>
      <c r="BK397" s="53" t="s">
        <v>102</v>
      </c>
      <c r="BL397" s="53" t="s">
        <v>102</v>
      </c>
      <c r="BM397" s="53" t="s">
        <v>102</v>
      </c>
      <c r="BN397" s="53" t="s">
        <v>102</v>
      </c>
      <c r="BO397" s="53" t="s">
        <v>264</v>
      </c>
      <c r="BP397" s="53" t="s">
        <v>264</v>
      </c>
      <c r="BQ397" s="53">
        <v>75</v>
      </c>
      <c r="BR397" s="53">
        <v>25</v>
      </c>
      <c r="BS397" s="53">
        <v>25</v>
      </c>
      <c r="BT397" s="53">
        <v>25</v>
      </c>
      <c r="BU397" s="53">
        <v>25</v>
      </c>
      <c r="BV397" s="53" t="s">
        <v>262</v>
      </c>
      <c r="BW397" s="53">
        <v>75</v>
      </c>
      <c r="BX397" s="53">
        <v>75</v>
      </c>
      <c r="BY397" s="53" t="s">
        <v>264</v>
      </c>
      <c r="BZ397" s="53" t="s">
        <v>102</v>
      </c>
      <c r="CA397" s="53" t="s">
        <v>102</v>
      </c>
      <c r="CB397" s="53" t="s">
        <v>102</v>
      </c>
      <c r="CC397" s="53" t="s">
        <v>102</v>
      </c>
      <c r="CD397" s="53" t="s">
        <v>102</v>
      </c>
      <c r="CE397" s="53" t="s">
        <v>102</v>
      </c>
      <c r="CF397" s="53" t="s">
        <v>102</v>
      </c>
      <c r="CG397" s="53" t="s">
        <v>264</v>
      </c>
      <c r="CH397" s="53" t="s">
        <v>264</v>
      </c>
      <c r="CI397" s="53" t="s">
        <v>102</v>
      </c>
      <c r="CJ397" s="53" t="s">
        <v>102</v>
      </c>
      <c r="CK397" s="53" t="s">
        <v>102</v>
      </c>
      <c r="CL397" s="53" t="s">
        <v>102</v>
      </c>
      <c r="CM397" s="53" t="s">
        <v>102</v>
      </c>
      <c r="CN397" s="206"/>
      <c r="CO397" s="206"/>
      <c r="CP397" s="206"/>
      <c r="CQ397" s="8">
        <f t="shared" si="228"/>
        <v>25</v>
      </c>
      <c r="CR397" s="8">
        <f t="shared" si="229"/>
        <v>110</v>
      </c>
      <c r="CS397" s="8">
        <f t="shared" si="230"/>
        <v>47.090909090909093</v>
      </c>
      <c r="CT397">
        <f t="shared" si="231"/>
        <v>39.649009820984048</v>
      </c>
      <c r="CU397" s="143" t="e">
        <f t="shared" si="232"/>
        <v>#DIV/0!</v>
      </c>
      <c r="CV397" s="143">
        <f t="shared" si="233"/>
        <v>28</v>
      </c>
      <c r="CX397" s="7">
        <f t="shared" si="234"/>
        <v>25</v>
      </c>
      <c r="CY397" s="7">
        <f t="shared" si="235"/>
        <v>25</v>
      </c>
      <c r="CZ397" s="7">
        <f t="shared" si="236"/>
        <v>25</v>
      </c>
      <c r="DA397" s="7">
        <f t="shared" si="237"/>
        <v>25</v>
      </c>
      <c r="DB397" s="7">
        <f t="shared" si="238"/>
        <v>28</v>
      </c>
      <c r="DC397" s="7">
        <f t="shared" si="239"/>
        <v>30</v>
      </c>
      <c r="DD397" s="7">
        <f t="shared" si="240"/>
        <v>52.5</v>
      </c>
      <c r="DE397" s="7">
        <f t="shared" si="241"/>
        <v>75</v>
      </c>
      <c r="DF397" s="7">
        <f t="shared" si="242"/>
        <v>75</v>
      </c>
      <c r="DH397" s="7">
        <f t="shared" si="243"/>
        <v>28</v>
      </c>
      <c r="DI397" s="7">
        <f t="shared" si="244"/>
        <v>28</v>
      </c>
      <c r="DJ397" s="7">
        <f t="shared" si="245"/>
        <v>28</v>
      </c>
      <c r="DK397" s="7">
        <f t="shared" si="246"/>
        <v>28</v>
      </c>
      <c r="DL397" s="7">
        <f t="shared" si="247"/>
        <v>28</v>
      </c>
      <c r="DM397" s="7">
        <f t="shared" si="248"/>
        <v>28</v>
      </c>
      <c r="DN397" s="7">
        <f t="shared" si="249"/>
        <v>28</v>
      </c>
      <c r="DO397" s="7">
        <f t="shared" si="250"/>
        <v>28</v>
      </c>
      <c r="DP397" s="7">
        <f t="shared" si="251"/>
        <v>28</v>
      </c>
    </row>
    <row r="398" spans="1:120" ht="24" customHeight="1" x14ac:dyDescent="0.25">
      <c r="A398" s="92" t="str">
        <f t="shared" si="220"/>
        <v>CK-NoKy [32]</v>
      </c>
      <c r="B398" s="92" t="str">
        <f t="shared" si="221"/>
        <v>Nootka and Kyuquot</v>
      </c>
      <c r="C398" s="93" t="str">
        <f t="shared" si="225"/>
        <v>KLEEPTEE CREEK_Chinook</v>
      </c>
      <c r="D398" s="128" t="s">
        <v>598</v>
      </c>
      <c r="E398" s="128" t="s">
        <v>598</v>
      </c>
      <c r="F398" s="64">
        <v>25</v>
      </c>
      <c r="G398" s="72" t="s">
        <v>221</v>
      </c>
      <c r="H398" s="65" t="s">
        <v>97</v>
      </c>
      <c r="I398" s="119"/>
      <c r="J398" s="119"/>
      <c r="K398" s="64">
        <v>4</v>
      </c>
      <c r="L398" s="52">
        <v>9</v>
      </c>
      <c r="M398" s="52">
        <v>5</v>
      </c>
      <c r="N398" s="52">
        <f t="shared" si="222"/>
        <v>42.08862706137068</v>
      </c>
      <c r="O398" s="52">
        <f t="shared" si="223"/>
        <v>300</v>
      </c>
      <c r="P398" s="52">
        <f t="shared" si="224"/>
        <v>33.879188393865981</v>
      </c>
      <c r="Q398" s="66"/>
      <c r="R398" s="39"/>
      <c r="S398" s="74" t="s">
        <v>445</v>
      </c>
      <c r="T398" s="81">
        <f t="shared" si="226"/>
        <v>23</v>
      </c>
      <c r="U398" s="81">
        <f t="shared" si="227"/>
        <v>28.333333333333332</v>
      </c>
      <c r="V398" s="233">
        <v>23</v>
      </c>
      <c r="W398" s="52" t="s">
        <v>102</v>
      </c>
      <c r="X398" s="52" t="s">
        <v>102</v>
      </c>
      <c r="Y398" s="52" t="s">
        <v>102</v>
      </c>
      <c r="Z398" s="52" t="s">
        <v>102</v>
      </c>
      <c r="AA398" s="52" t="s">
        <v>102</v>
      </c>
      <c r="AB398" s="52">
        <v>23</v>
      </c>
      <c r="AC398" s="52" t="s">
        <v>102</v>
      </c>
      <c r="AD398" s="52" t="s">
        <v>102</v>
      </c>
      <c r="AE398" s="52" t="s">
        <v>102</v>
      </c>
      <c r="AF398" s="52" t="s">
        <v>262</v>
      </c>
      <c r="AG398" s="144">
        <v>39</v>
      </c>
      <c r="AH398" s="53">
        <v>280</v>
      </c>
      <c r="AI398" s="53">
        <v>60</v>
      </c>
      <c r="AJ398" s="53">
        <v>20</v>
      </c>
      <c r="AK398" s="53">
        <v>11</v>
      </c>
      <c r="AL398" s="89">
        <v>32</v>
      </c>
      <c r="AM398" s="53" t="s">
        <v>262</v>
      </c>
      <c r="AN398" s="52">
        <v>39</v>
      </c>
      <c r="AO398" s="53">
        <v>75</v>
      </c>
      <c r="AP398" s="53">
        <v>247</v>
      </c>
      <c r="AQ398" s="52" t="s">
        <v>262</v>
      </c>
      <c r="AR398" s="53" t="s">
        <v>263</v>
      </c>
      <c r="AS398" s="52" t="s">
        <v>262</v>
      </c>
      <c r="AT398" s="52" t="s">
        <v>102</v>
      </c>
      <c r="AU398" s="52" t="s">
        <v>102</v>
      </c>
      <c r="AV398" s="52" t="s">
        <v>262</v>
      </c>
      <c r="AW398" s="52">
        <v>46</v>
      </c>
      <c r="AX398" s="51" t="s">
        <v>264</v>
      </c>
      <c r="AY398" s="53" t="s">
        <v>264</v>
      </c>
      <c r="AZ398" s="53">
        <v>300</v>
      </c>
      <c r="BA398" s="53" t="s">
        <v>262</v>
      </c>
      <c r="BB398" s="53">
        <v>20</v>
      </c>
      <c r="BC398" s="53">
        <v>4</v>
      </c>
      <c r="BD398" s="53" t="s">
        <v>264</v>
      </c>
      <c r="BE398" s="53" t="s">
        <v>264</v>
      </c>
      <c r="BF398" s="53" t="s">
        <v>264</v>
      </c>
      <c r="BG398" s="53" t="s">
        <v>264</v>
      </c>
      <c r="BH398" s="53">
        <v>1</v>
      </c>
      <c r="BI398" s="53" t="s">
        <v>264</v>
      </c>
      <c r="BJ398" s="53" t="s">
        <v>264</v>
      </c>
      <c r="BK398" s="53" t="s">
        <v>264</v>
      </c>
      <c r="BL398" s="53" t="s">
        <v>264</v>
      </c>
      <c r="BM398" s="53" t="s">
        <v>264</v>
      </c>
      <c r="BN398" s="53">
        <v>5</v>
      </c>
      <c r="BO398" s="53" t="s">
        <v>264</v>
      </c>
      <c r="BP398" s="53" t="s">
        <v>102</v>
      </c>
      <c r="BQ398" s="53">
        <v>25</v>
      </c>
      <c r="BR398" s="53">
        <v>25</v>
      </c>
      <c r="BS398" s="53">
        <v>75</v>
      </c>
      <c r="BT398" s="53">
        <v>25</v>
      </c>
      <c r="BU398" s="53">
        <v>50</v>
      </c>
      <c r="BV398" s="53">
        <v>25</v>
      </c>
      <c r="BW398" s="53">
        <v>25</v>
      </c>
      <c r="BX398" s="53">
        <v>75</v>
      </c>
      <c r="BY398" s="53">
        <v>200</v>
      </c>
      <c r="BZ398" s="53">
        <v>75</v>
      </c>
      <c r="CA398" s="53">
        <v>75</v>
      </c>
      <c r="CB398" s="53">
        <v>25</v>
      </c>
      <c r="CC398" s="53">
        <v>50</v>
      </c>
      <c r="CD398" s="53">
        <v>25</v>
      </c>
      <c r="CE398" s="53">
        <v>75</v>
      </c>
      <c r="CF398" s="53" t="s">
        <v>264</v>
      </c>
      <c r="CG398" s="53" t="s">
        <v>264</v>
      </c>
      <c r="CH398" s="53" t="s">
        <v>264</v>
      </c>
      <c r="CI398" s="53" t="s">
        <v>264</v>
      </c>
      <c r="CJ398" s="53" t="s">
        <v>264</v>
      </c>
      <c r="CK398" s="53" t="s">
        <v>264</v>
      </c>
      <c r="CL398" s="53" t="s">
        <v>264</v>
      </c>
      <c r="CM398" s="53" t="s">
        <v>264</v>
      </c>
      <c r="CN398" s="206"/>
      <c r="CO398" s="206"/>
      <c r="CP398" s="206"/>
      <c r="CQ398" s="8">
        <f t="shared" si="228"/>
        <v>1</v>
      </c>
      <c r="CR398" s="8">
        <f t="shared" si="229"/>
        <v>300</v>
      </c>
      <c r="CS398" s="8">
        <f t="shared" si="230"/>
        <v>64.84375</v>
      </c>
      <c r="CT398">
        <f t="shared" si="231"/>
        <v>36.120241116118194</v>
      </c>
      <c r="CU398" s="143">
        <f t="shared" si="232"/>
        <v>23</v>
      </c>
      <c r="CV398" s="143">
        <f t="shared" si="233"/>
        <v>28.333333333333332</v>
      </c>
      <c r="CX398" s="7">
        <f t="shared" si="234"/>
        <v>4.55</v>
      </c>
      <c r="CY398" s="7">
        <f t="shared" si="235"/>
        <v>20</v>
      </c>
      <c r="CZ398" s="7">
        <f t="shared" si="236"/>
        <v>23</v>
      </c>
      <c r="DA398" s="7">
        <f t="shared" si="237"/>
        <v>24.5</v>
      </c>
      <c r="DB398" s="7">
        <f t="shared" si="238"/>
        <v>35.5</v>
      </c>
      <c r="DC398" s="7">
        <f t="shared" si="239"/>
        <v>48.399999999999991</v>
      </c>
      <c r="DD398" s="7">
        <f t="shared" si="240"/>
        <v>51.500000000000021</v>
      </c>
      <c r="DE398" s="7">
        <f t="shared" si="241"/>
        <v>75</v>
      </c>
      <c r="DF398" s="7">
        <f t="shared" si="242"/>
        <v>75</v>
      </c>
      <c r="DH398" s="7">
        <f t="shared" si="243"/>
        <v>15.95</v>
      </c>
      <c r="DI398" s="7">
        <f t="shared" si="244"/>
        <v>21.95</v>
      </c>
      <c r="DJ398" s="7">
        <f t="shared" si="245"/>
        <v>23</v>
      </c>
      <c r="DK398" s="7">
        <f t="shared" si="246"/>
        <v>23</v>
      </c>
      <c r="DL398" s="7">
        <f t="shared" si="247"/>
        <v>39</v>
      </c>
      <c r="DM398" s="7">
        <f t="shared" si="248"/>
        <v>43.199999999999996</v>
      </c>
      <c r="DN398" s="7">
        <f t="shared" si="249"/>
        <v>48.100000000000009</v>
      </c>
      <c r="DO398" s="7">
        <f t="shared" si="250"/>
        <v>63.75</v>
      </c>
      <c r="DP398" s="7">
        <f t="shared" si="251"/>
        <v>135.19999999999993</v>
      </c>
    </row>
    <row r="399" spans="1:120" ht="24" hidden="1" customHeight="1" x14ac:dyDescent="0.25">
      <c r="A399" s="92" t="str">
        <f t="shared" si="220"/>
        <v>CM-SWVI [10]</v>
      </c>
      <c r="B399" s="92" t="str">
        <f t="shared" si="221"/>
        <v>Southwest Vancouver Island</v>
      </c>
      <c r="C399" s="93" t="str">
        <f t="shared" si="225"/>
        <v>KLEEPTEE CREEK_Chum</v>
      </c>
      <c r="D399" s="128" t="s">
        <v>598</v>
      </c>
      <c r="E399" s="128" t="s">
        <v>598</v>
      </c>
      <c r="F399" s="64">
        <v>25</v>
      </c>
      <c r="G399" s="72" t="s">
        <v>221</v>
      </c>
      <c r="H399" s="65" t="s">
        <v>96</v>
      </c>
      <c r="I399" s="119"/>
      <c r="J399" s="119"/>
      <c r="K399" s="64">
        <v>4</v>
      </c>
      <c r="L399" s="52">
        <v>9</v>
      </c>
      <c r="M399" s="52">
        <v>9</v>
      </c>
      <c r="N399" s="52">
        <f t="shared" si="222"/>
        <v>1789.213310494373</v>
      </c>
      <c r="O399" s="52">
        <f t="shared" si="223"/>
        <v>15000</v>
      </c>
      <c r="P399" s="52">
        <f t="shared" si="224"/>
        <v>1487.5425064438775</v>
      </c>
      <c r="Q399" s="66"/>
      <c r="R399" s="39"/>
      <c r="S399" s="74" t="s">
        <v>445</v>
      </c>
      <c r="T399" s="81">
        <f t="shared" si="226"/>
        <v>16</v>
      </c>
      <c r="U399" s="81">
        <f t="shared" si="227"/>
        <v>820.75</v>
      </c>
      <c r="V399" s="233">
        <v>16</v>
      </c>
      <c r="W399" s="52" t="s">
        <v>102</v>
      </c>
      <c r="X399" s="52" t="s">
        <v>102</v>
      </c>
      <c r="Y399" s="52" t="s">
        <v>102</v>
      </c>
      <c r="Z399" s="52" t="s">
        <v>102</v>
      </c>
      <c r="AA399" s="52" t="s">
        <v>102</v>
      </c>
      <c r="AB399" s="52">
        <v>616</v>
      </c>
      <c r="AC399" s="52" t="s">
        <v>102</v>
      </c>
      <c r="AD399" s="52" t="s">
        <v>102</v>
      </c>
      <c r="AE399" s="52" t="s">
        <v>102</v>
      </c>
      <c r="AF399" s="52">
        <v>1934</v>
      </c>
      <c r="AG399" s="144">
        <v>717</v>
      </c>
      <c r="AH399" s="53">
        <v>6585</v>
      </c>
      <c r="AI399" s="53">
        <v>3130</v>
      </c>
      <c r="AJ399" s="53">
        <v>1553</v>
      </c>
      <c r="AK399" s="53">
        <v>464</v>
      </c>
      <c r="AL399" s="89">
        <v>3607</v>
      </c>
      <c r="AM399" s="52">
        <v>1390</v>
      </c>
      <c r="AN399" s="52">
        <v>3693</v>
      </c>
      <c r="AO399" s="53">
        <v>2423</v>
      </c>
      <c r="AP399" s="53">
        <v>6021</v>
      </c>
      <c r="AQ399" s="53">
        <v>1000</v>
      </c>
      <c r="AR399" s="53">
        <v>1800</v>
      </c>
      <c r="AS399" s="52">
        <v>2500</v>
      </c>
      <c r="AT399" s="52" t="s">
        <v>102</v>
      </c>
      <c r="AU399" s="52" t="s">
        <v>102</v>
      </c>
      <c r="AV399" s="52">
        <v>1600</v>
      </c>
      <c r="AW399" s="52">
        <v>768</v>
      </c>
      <c r="AX399" s="51">
        <v>1600</v>
      </c>
      <c r="AY399" s="53">
        <v>11000</v>
      </c>
      <c r="AZ399" s="53">
        <v>15000</v>
      </c>
      <c r="BA399" s="53">
        <v>10000</v>
      </c>
      <c r="BB399" s="53">
        <v>200</v>
      </c>
      <c r="BC399" s="53">
        <v>188</v>
      </c>
      <c r="BD399" s="53">
        <v>700</v>
      </c>
      <c r="BE399" s="53">
        <v>265</v>
      </c>
      <c r="BF399" s="53">
        <v>2250</v>
      </c>
      <c r="BG399" s="53">
        <v>1000</v>
      </c>
      <c r="BH399" s="53">
        <v>1400</v>
      </c>
      <c r="BI399" s="53">
        <v>1700</v>
      </c>
      <c r="BJ399" s="53">
        <v>3500</v>
      </c>
      <c r="BK399" s="53">
        <v>1000</v>
      </c>
      <c r="BL399" s="53">
        <v>400</v>
      </c>
      <c r="BM399" s="53">
        <v>250</v>
      </c>
      <c r="BN399" s="53">
        <v>850</v>
      </c>
      <c r="BO399" s="53">
        <v>500</v>
      </c>
      <c r="BP399" s="53" t="s">
        <v>102</v>
      </c>
      <c r="BQ399" s="53">
        <v>200</v>
      </c>
      <c r="BR399" s="53">
        <v>1500</v>
      </c>
      <c r="BS399" s="53">
        <v>1500</v>
      </c>
      <c r="BT399" s="53">
        <v>3500</v>
      </c>
      <c r="BU399" s="53">
        <v>750</v>
      </c>
      <c r="BV399" s="53">
        <v>5000</v>
      </c>
      <c r="BW399" s="53">
        <v>1500</v>
      </c>
      <c r="BX399" s="53">
        <v>1500</v>
      </c>
      <c r="BY399" s="53">
        <v>1500</v>
      </c>
      <c r="BZ399" s="53">
        <v>3000</v>
      </c>
      <c r="CA399" s="53">
        <v>3500</v>
      </c>
      <c r="CB399" s="53">
        <v>1500</v>
      </c>
      <c r="CC399" s="53">
        <v>800</v>
      </c>
      <c r="CD399" s="53">
        <v>750</v>
      </c>
      <c r="CE399" s="53">
        <v>3500</v>
      </c>
      <c r="CF399" s="53">
        <v>15000</v>
      </c>
      <c r="CG399" s="53">
        <v>400</v>
      </c>
      <c r="CH399" s="53">
        <v>750</v>
      </c>
      <c r="CI399" s="53">
        <v>3500</v>
      </c>
      <c r="CJ399" s="53">
        <v>7500</v>
      </c>
      <c r="CK399" s="53">
        <v>750</v>
      </c>
      <c r="CL399" s="53">
        <v>1000</v>
      </c>
      <c r="CM399" s="53">
        <v>1500</v>
      </c>
      <c r="CN399" s="206"/>
      <c r="CO399" s="206"/>
      <c r="CP399" s="206"/>
      <c r="CQ399" s="8">
        <f t="shared" si="228"/>
        <v>16</v>
      </c>
      <c r="CR399" s="8">
        <f t="shared" si="229"/>
        <v>15000</v>
      </c>
      <c r="CS399" s="8">
        <f t="shared" si="230"/>
        <v>2576.6101694915255</v>
      </c>
      <c r="CT399">
        <f t="shared" si="231"/>
        <v>1398.3126996139681</v>
      </c>
      <c r="CU399" s="143">
        <f t="shared" si="232"/>
        <v>16</v>
      </c>
      <c r="CV399" s="143">
        <f t="shared" si="233"/>
        <v>820.75</v>
      </c>
      <c r="CX399" s="7">
        <f t="shared" si="234"/>
        <v>200</v>
      </c>
      <c r="CY399" s="7">
        <f t="shared" si="235"/>
        <v>489.2</v>
      </c>
      <c r="CZ399" s="7">
        <f t="shared" si="236"/>
        <v>710.2</v>
      </c>
      <c r="DA399" s="7">
        <f t="shared" si="237"/>
        <v>750</v>
      </c>
      <c r="DB399" s="7">
        <f t="shared" si="238"/>
        <v>1500</v>
      </c>
      <c r="DC399" s="7">
        <f t="shared" si="239"/>
        <v>1600</v>
      </c>
      <c r="DD399" s="7">
        <f t="shared" si="240"/>
        <v>1893.8000000000004</v>
      </c>
      <c r="DE399" s="7">
        <f t="shared" si="241"/>
        <v>3315</v>
      </c>
      <c r="DF399" s="7">
        <f t="shared" si="242"/>
        <v>3632.7999999999997</v>
      </c>
      <c r="DH399" s="7">
        <f t="shared" si="243"/>
        <v>396.80000000000007</v>
      </c>
      <c r="DI399" s="7">
        <f t="shared" si="244"/>
        <v>671.55</v>
      </c>
      <c r="DJ399" s="7">
        <f t="shared" si="245"/>
        <v>737.4</v>
      </c>
      <c r="DK399" s="7">
        <f t="shared" si="246"/>
        <v>826</v>
      </c>
      <c r="DL399" s="7">
        <f t="shared" si="247"/>
        <v>1700</v>
      </c>
      <c r="DM399" s="7">
        <f t="shared" si="248"/>
        <v>2031.7999999999997</v>
      </c>
      <c r="DN399" s="7">
        <f t="shared" si="249"/>
        <v>2426.85</v>
      </c>
      <c r="DO399" s="7">
        <f t="shared" si="250"/>
        <v>2972.5</v>
      </c>
      <c r="DP399" s="7">
        <f t="shared" si="251"/>
        <v>3645.7</v>
      </c>
    </row>
    <row r="400" spans="1:120" ht="24" hidden="1" customHeight="1" x14ac:dyDescent="0.25">
      <c r="A400" s="92" t="str">
        <f t="shared" si="220"/>
        <v>CO-WVI [17]</v>
      </c>
      <c r="B400" s="92" t="str">
        <f t="shared" si="221"/>
        <v>West Vancouver Island</v>
      </c>
      <c r="C400" s="93" t="str">
        <f t="shared" si="225"/>
        <v>KLEEPTEE CREEK_Coho</v>
      </c>
      <c r="D400" s="128" t="s">
        <v>598</v>
      </c>
      <c r="E400" s="128" t="s">
        <v>598</v>
      </c>
      <c r="F400" s="64">
        <v>25</v>
      </c>
      <c r="G400" s="72" t="s">
        <v>221</v>
      </c>
      <c r="H400" s="65" t="s">
        <v>93</v>
      </c>
      <c r="I400" s="119"/>
      <c r="J400" s="119"/>
      <c r="K400" s="64">
        <v>4</v>
      </c>
      <c r="L400" s="52">
        <v>9</v>
      </c>
      <c r="M400" s="52">
        <v>8</v>
      </c>
      <c r="N400" s="52">
        <f t="shared" si="222"/>
        <v>122.99315787121138</v>
      </c>
      <c r="O400" s="52">
        <f t="shared" si="223"/>
        <v>400</v>
      </c>
      <c r="P400" s="52">
        <f t="shared" si="224"/>
        <v>87.677487213331474</v>
      </c>
      <c r="Q400" s="66"/>
      <c r="R400" s="39"/>
      <c r="S400" s="74" t="s">
        <v>445</v>
      </c>
      <c r="T400" s="81" t="e">
        <f t="shared" si="226"/>
        <v>#DIV/0!</v>
      </c>
      <c r="U400" s="81">
        <f t="shared" si="227"/>
        <v>148</v>
      </c>
      <c r="V400" s="232" t="s">
        <v>262</v>
      </c>
      <c r="W400" s="52" t="s">
        <v>102</v>
      </c>
      <c r="X400" s="52" t="s">
        <v>102</v>
      </c>
      <c r="Y400" s="52" t="s">
        <v>102</v>
      </c>
      <c r="Z400" s="52" t="s">
        <v>102</v>
      </c>
      <c r="AA400" s="52" t="s">
        <v>102</v>
      </c>
      <c r="AB400" s="52">
        <v>12</v>
      </c>
      <c r="AC400" s="52" t="s">
        <v>102</v>
      </c>
      <c r="AD400" s="52" t="s">
        <v>102</v>
      </c>
      <c r="AE400" s="52" t="s">
        <v>102</v>
      </c>
      <c r="AF400" s="52" t="s">
        <v>263</v>
      </c>
      <c r="AG400" s="144">
        <v>284</v>
      </c>
      <c r="AH400" s="53">
        <v>475</v>
      </c>
      <c r="AI400" s="53">
        <v>330</v>
      </c>
      <c r="AJ400" s="53">
        <v>203</v>
      </c>
      <c r="AK400" s="53">
        <v>224</v>
      </c>
      <c r="AL400" s="89">
        <v>84</v>
      </c>
      <c r="AM400" s="52">
        <v>110</v>
      </c>
      <c r="AN400" s="52">
        <v>235</v>
      </c>
      <c r="AO400" s="53">
        <v>65</v>
      </c>
      <c r="AP400" s="53">
        <v>173</v>
      </c>
      <c r="AQ400" s="53">
        <v>180</v>
      </c>
      <c r="AR400" s="53">
        <v>250</v>
      </c>
      <c r="AS400" s="52">
        <v>150</v>
      </c>
      <c r="AT400" s="52" t="s">
        <v>102</v>
      </c>
      <c r="AU400" s="52" t="s">
        <v>102</v>
      </c>
      <c r="AV400" s="52" t="s">
        <v>262</v>
      </c>
      <c r="AW400" s="52">
        <v>13</v>
      </c>
      <c r="AX400" s="51">
        <v>20</v>
      </c>
      <c r="AY400" s="53" t="s">
        <v>262</v>
      </c>
      <c r="AZ400" s="53" t="s">
        <v>102</v>
      </c>
      <c r="BA400" s="53">
        <v>100</v>
      </c>
      <c r="BB400" s="53">
        <v>30</v>
      </c>
      <c r="BC400" s="53">
        <v>15</v>
      </c>
      <c r="BD400" s="53">
        <v>50</v>
      </c>
      <c r="BE400" s="53">
        <v>150</v>
      </c>
      <c r="BF400" s="53">
        <v>50</v>
      </c>
      <c r="BG400" s="53">
        <v>50</v>
      </c>
      <c r="BH400" s="53">
        <v>15</v>
      </c>
      <c r="BI400" s="53" t="s">
        <v>264</v>
      </c>
      <c r="BJ400" s="53" t="s">
        <v>264</v>
      </c>
      <c r="BK400" s="53">
        <v>60</v>
      </c>
      <c r="BL400" s="53" t="s">
        <v>264</v>
      </c>
      <c r="BM400" s="53">
        <v>50</v>
      </c>
      <c r="BN400" s="53">
        <v>20</v>
      </c>
      <c r="BO400" s="53">
        <v>30</v>
      </c>
      <c r="BP400" s="53" t="s">
        <v>102</v>
      </c>
      <c r="BQ400" s="53" t="s">
        <v>264</v>
      </c>
      <c r="BR400" s="53">
        <v>75</v>
      </c>
      <c r="BS400" s="53">
        <v>25</v>
      </c>
      <c r="BT400" s="53">
        <v>75</v>
      </c>
      <c r="BU400" s="53">
        <v>200</v>
      </c>
      <c r="BV400" s="53">
        <v>200</v>
      </c>
      <c r="BW400" s="53">
        <v>75</v>
      </c>
      <c r="BX400" s="53">
        <v>200</v>
      </c>
      <c r="BY400" s="53">
        <v>400</v>
      </c>
      <c r="BZ400" s="53">
        <v>400</v>
      </c>
      <c r="CA400" s="53">
        <v>400</v>
      </c>
      <c r="CB400" s="53">
        <v>200</v>
      </c>
      <c r="CC400" s="53">
        <v>350</v>
      </c>
      <c r="CD400" s="53">
        <v>200</v>
      </c>
      <c r="CE400" s="53">
        <v>200</v>
      </c>
      <c r="CF400" s="53">
        <v>25</v>
      </c>
      <c r="CG400" s="53">
        <v>25</v>
      </c>
      <c r="CH400" s="53">
        <v>25</v>
      </c>
      <c r="CI400" s="53">
        <v>75</v>
      </c>
      <c r="CJ400" s="53">
        <v>200</v>
      </c>
      <c r="CK400" s="53">
        <v>25</v>
      </c>
      <c r="CL400" s="53">
        <v>300</v>
      </c>
      <c r="CM400" s="53">
        <v>200</v>
      </c>
      <c r="CN400" s="206"/>
      <c r="CO400" s="206"/>
      <c r="CP400" s="206"/>
      <c r="CQ400" s="8">
        <f t="shared" si="228"/>
        <v>12</v>
      </c>
      <c r="CR400" s="8">
        <f t="shared" si="229"/>
        <v>475</v>
      </c>
      <c r="CS400" s="8">
        <f t="shared" si="230"/>
        <v>146.06</v>
      </c>
      <c r="CT400">
        <f t="shared" si="231"/>
        <v>91.624409732529685</v>
      </c>
      <c r="CU400" s="143" t="e">
        <f t="shared" si="232"/>
        <v>#DIV/0!</v>
      </c>
      <c r="CV400" s="143">
        <f t="shared" si="233"/>
        <v>148</v>
      </c>
      <c r="CX400" s="7">
        <f t="shared" si="234"/>
        <v>15</v>
      </c>
      <c r="CY400" s="7">
        <f t="shared" si="235"/>
        <v>25</v>
      </c>
      <c r="CZ400" s="7">
        <f t="shared" si="236"/>
        <v>25</v>
      </c>
      <c r="DA400" s="7">
        <f t="shared" si="237"/>
        <v>35</v>
      </c>
      <c r="DB400" s="7">
        <f t="shared" si="238"/>
        <v>105</v>
      </c>
      <c r="DC400" s="7">
        <f t="shared" si="239"/>
        <v>187.99999999999997</v>
      </c>
      <c r="DD400" s="7">
        <f t="shared" si="240"/>
        <v>200</v>
      </c>
      <c r="DE400" s="7">
        <f t="shared" si="241"/>
        <v>200</v>
      </c>
      <c r="DF400" s="7">
        <f t="shared" si="242"/>
        <v>272.09999999999997</v>
      </c>
      <c r="DH400" s="7">
        <f t="shared" si="243"/>
        <v>12.7</v>
      </c>
      <c r="DI400" s="7">
        <f t="shared" si="244"/>
        <v>66.900000000000006</v>
      </c>
      <c r="DJ400" s="7">
        <f t="shared" si="245"/>
        <v>80.2</v>
      </c>
      <c r="DK400" s="7">
        <f t="shared" si="246"/>
        <v>97</v>
      </c>
      <c r="DL400" s="7">
        <f t="shared" si="247"/>
        <v>180</v>
      </c>
      <c r="DM400" s="7">
        <f t="shared" si="248"/>
        <v>211.4</v>
      </c>
      <c r="DN400" s="7">
        <f t="shared" si="249"/>
        <v>225.1</v>
      </c>
      <c r="DO400" s="7">
        <f t="shared" si="250"/>
        <v>242.5</v>
      </c>
      <c r="DP400" s="7">
        <f t="shared" si="251"/>
        <v>280.60000000000002</v>
      </c>
    </row>
    <row r="401" spans="1:130" ht="24" hidden="1" customHeight="1" x14ac:dyDescent="0.25">
      <c r="A401" s="92" t="str">
        <f t="shared" si="220"/>
        <v>SK-WVI [R10]</v>
      </c>
      <c r="B401" s="92" t="str">
        <f t="shared" si="221"/>
        <v>West Vancouver Island</v>
      </c>
      <c r="C401" s="93" t="str">
        <f t="shared" si="225"/>
        <v>KLEEPTEE CREEK_Sockeye</v>
      </c>
      <c r="D401" s="128" t="s">
        <v>598</v>
      </c>
      <c r="E401" s="128" t="s">
        <v>598</v>
      </c>
      <c r="F401" s="64">
        <v>25</v>
      </c>
      <c r="G401" s="72" t="s">
        <v>221</v>
      </c>
      <c r="H401" s="65" t="s">
        <v>91</v>
      </c>
      <c r="I401" s="119"/>
      <c r="J401" s="119"/>
      <c r="K401" s="64">
        <v>4</v>
      </c>
      <c r="L401" s="52">
        <v>9</v>
      </c>
      <c r="M401" s="52">
        <v>5</v>
      </c>
      <c r="N401" s="52">
        <f t="shared" si="222"/>
        <v>16.54544252816958</v>
      </c>
      <c r="O401" s="52">
        <f t="shared" si="223"/>
        <v>250</v>
      </c>
      <c r="P401" s="52">
        <f t="shared" si="224"/>
        <v>21.711865484129785</v>
      </c>
      <c r="Q401" s="66"/>
      <c r="R401" s="39"/>
      <c r="S401" s="74" t="s">
        <v>445</v>
      </c>
      <c r="T401" s="81" t="e">
        <f t="shared" si="226"/>
        <v>#DIV/0!</v>
      </c>
      <c r="U401" s="81">
        <f t="shared" si="227"/>
        <v>26.5</v>
      </c>
      <c r="V401" s="232" t="s">
        <v>263</v>
      </c>
      <c r="W401" s="52" t="s">
        <v>102</v>
      </c>
      <c r="X401" s="52" t="s">
        <v>102</v>
      </c>
      <c r="Y401" s="52" t="s">
        <v>102</v>
      </c>
      <c r="Z401" s="52" t="s">
        <v>102</v>
      </c>
      <c r="AA401" s="52" t="s">
        <v>102</v>
      </c>
      <c r="AB401" s="52">
        <v>9</v>
      </c>
      <c r="AC401" s="52" t="s">
        <v>102</v>
      </c>
      <c r="AD401" s="52" t="s">
        <v>102</v>
      </c>
      <c r="AE401" s="52" t="s">
        <v>102</v>
      </c>
      <c r="AF401" s="52" t="s">
        <v>263</v>
      </c>
      <c r="AG401" s="144">
        <v>44</v>
      </c>
      <c r="AH401" s="53">
        <v>52</v>
      </c>
      <c r="AI401" s="53">
        <v>30</v>
      </c>
      <c r="AJ401" s="53">
        <v>25</v>
      </c>
      <c r="AK401" s="53">
        <v>2</v>
      </c>
      <c r="AL401" s="89">
        <v>4</v>
      </c>
      <c r="AM401" s="53" t="s">
        <v>262</v>
      </c>
      <c r="AN401" s="52">
        <v>15</v>
      </c>
      <c r="AO401" s="53">
        <v>8</v>
      </c>
      <c r="AP401" s="53">
        <v>39</v>
      </c>
      <c r="AQ401" s="53" t="s">
        <v>262</v>
      </c>
      <c r="AR401" s="53">
        <v>40</v>
      </c>
      <c r="AS401" s="52">
        <v>150</v>
      </c>
      <c r="AT401" s="52" t="s">
        <v>102</v>
      </c>
      <c r="AU401" s="52" t="s">
        <v>102</v>
      </c>
      <c r="AV401" s="52" t="s">
        <v>262</v>
      </c>
      <c r="AW401" s="52" t="s">
        <v>262</v>
      </c>
      <c r="AX401" s="51" t="s">
        <v>264</v>
      </c>
      <c r="AY401" s="53">
        <v>250</v>
      </c>
      <c r="AZ401" s="53" t="s">
        <v>102</v>
      </c>
      <c r="BA401" s="53">
        <v>4</v>
      </c>
      <c r="BB401" s="53" t="s">
        <v>264</v>
      </c>
      <c r="BC401" s="53" t="s">
        <v>264</v>
      </c>
      <c r="BD401" s="53" t="s">
        <v>264</v>
      </c>
      <c r="BE401" s="53" t="s">
        <v>264</v>
      </c>
      <c r="BF401" s="53" t="s">
        <v>264</v>
      </c>
      <c r="BG401" s="53" t="s">
        <v>264</v>
      </c>
      <c r="BH401" s="53" t="s">
        <v>262</v>
      </c>
      <c r="BI401" s="53" t="s">
        <v>264</v>
      </c>
      <c r="BJ401" s="53" t="s">
        <v>264</v>
      </c>
      <c r="BK401" s="53">
        <v>80</v>
      </c>
      <c r="BL401" s="53" t="s">
        <v>264</v>
      </c>
      <c r="BM401" s="53">
        <v>10</v>
      </c>
      <c r="BN401" s="53">
        <v>25</v>
      </c>
      <c r="BO401" s="53">
        <v>40</v>
      </c>
      <c r="BP401" s="53" t="s">
        <v>102</v>
      </c>
      <c r="BQ401" s="53" t="s">
        <v>264</v>
      </c>
      <c r="BR401" s="53">
        <v>25</v>
      </c>
      <c r="BS401" s="53" t="s">
        <v>264</v>
      </c>
      <c r="BT401" s="53" t="s">
        <v>264</v>
      </c>
      <c r="BU401" s="53" t="s">
        <v>262</v>
      </c>
      <c r="BV401" s="53" t="s">
        <v>264</v>
      </c>
      <c r="BW401" s="53" t="s">
        <v>264</v>
      </c>
      <c r="BX401" s="53" t="s">
        <v>264</v>
      </c>
      <c r="BY401" s="53" t="s">
        <v>264</v>
      </c>
      <c r="BZ401" s="53" t="s">
        <v>264</v>
      </c>
      <c r="CA401" s="53" t="s">
        <v>264</v>
      </c>
      <c r="CB401" s="53" t="s">
        <v>264</v>
      </c>
      <c r="CC401" s="53" t="s">
        <v>264</v>
      </c>
      <c r="CD401" s="53" t="s">
        <v>264</v>
      </c>
      <c r="CE401" s="53" t="s">
        <v>264</v>
      </c>
      <c r="CF401" s="53" t="s">
        <v>264</v>
      </c>
      <c r="CG401" s="53" t="s">
        <v>264</v>
      </c>
      <c r="CH401" s="53" t="s">
        <v>264</v>
      </c>
      <c r="CI401" s="53" t="s">
        <v>264</v>
      </c>
      <c r="CJ401" s="53" t="s">
        <v>264</v>
      </c>
      <c r="CK401" s="53" t="s">
        <v>264</v>
      </c>
      <c r="CL401" s="53" t="s">
        <v>264</v>
      </c>
      <c r="CM401" s="53" t="s">
        <v>264</v>
      </c>
      <c r="CN401" s="206"/>
      <c r="CO401" s="206"/>
      <c r="CP401" s="206"/>
      <c r="CQ401" s="8">
        <f t="shared" si="228"/>
        <v>2</v>
      </c>
      <c r="CR401" s="8">
        <f t="shared" si="229"/>
        <v>250</v>
      </c>
      <c r="CS401" s="8">
        <f t="shared" si="230"/>
        <v>44.842105263157897</v>
      </c>
      <c r="CT401">
        <f t="shared" si="231"/>
        <v>22.912221766178842</v>
      </c>
      <c r="CU401" s="143" t="e">
        <f t="shared" si="232"/>
        <v>#DIV/0!</v>
      </c>
      <c r="CV401" s="143">
        <f t="shared" si="233"/>
        <v>26.5</v>
      </c>
      <c r="CX401" s="7">
        <f t="shared" si="234"/>
        <v>3.8</v>
      </c>
      <c r="CY401" s="7">
        <f t="shared" si="235"/>
        <v>6.7999999999999989</v>
      </c>
      <c r="CZ401" s="7">
        <f t="shared" si="236"/>
        <v>8.6</v>
      </c>
      <c r="DA401" s="7">
        <f t="shared" si="237"/>
        <v>9.5</v>
      </c>
      <c r="DB401" s="7">
        <f t="shared" si="238"/>
        <v>25</v>
      </c>
      <c r="DC401" s="7">
        <f t="shared" si="239"/>
        <v>37.199999999999989</v>
      </c>
      <c r="DD401" s="7">
        <f t="shared" si="240"/>
        <v>39.700000000000003</v>
      </c>
      <c r="DE401" s="7">
        <f t="shared" si="241"/>
        <v>42</v>
      </c>
      <c r="DF401" s="7">
        <f t="shared" si="242"/>
        <v>60.39999999999992</v>
      </c>
      <c r="DH401" s="7">
        <f t="shared" si="243"/>
        <v>3.1</v>
      </c>
      <c r="DI401" s="7">
        <f t="shared" si="244"/>
        <v>6.6</v>
      </c>
      <c r="DJ401" s="7">
        <f t="shared" si="245"/>
        <v>8.1999999999999993</v>
      </c>
      <c r="DK401" s="7">
        <f t="shared" si="246"/>
        <v>8.75</v>
      </c>
      <c r="DL401" s="7">
        <f t="shared" si="247"/>
        <v>27.5</v>
      </c>
      <c r="DM401" s="7">
        <f t="shared" si="248"/>
        <v>35.4</v>
      </c>
      <c r="DN401" s="7">
        <f t="shared" si="249"/>
        <v>39.15</v>
      </c>
      <c r="DO401" s="7">
        <f t="shared" si="250"/>
        <v>41</v>
      </c>
      <c r="DP401" s="7">
        <f t="shared" si="251"/>
        <v>46.8</v>
      </c>
    </row>
    <row r="402" spans="1:130" ht="25.5" customHeight="1" x14ac:dyDescent="0.25">
      <c r="A402" s="92" t="str">
        <f t="shared" ref="A402:A433" si="252">VLOOKUP(C402,CU,6,FALSE)</f>
        <v>CK-NoKy [32]</v>
      </c>
      <c r="B402" s="92" t="str">
        <f t="shared" ref="B402:B433" si="253">VLOOKUP(C402,CU,7,FALSE)</f>
        <v>Nootka and Kyuquot</v>
      </c>
      <c r="C402" s="93" t="str">
        <f t="shared" si="225"/>
        <v>LEINER RIVER_Chinook</v>
      </c>
      <c r="D402" s="128" t="s">
        <v>598</v>
      </c>
      <c r="E402" s="128" t="s">
        <v>599</v>
      </c>
      <c r="F402" s="64">
        <v>25</v>
      </c>
      <c r="G402" s="72" t="s">
        <v>230</v>
      </c>
      <c r="H402" s="65" t="s">
        <v>97</v>
      </c>
      <c r="I402" s="119"/>
      <c r="J402" s="119"/>
      <c r="K402" s="64">
        <v>3</v>
      </c>
      <c r="L402" s="52">
        <v>11</v>
      </c>
      <c r="M402" s="52">
        <v>11</v>
      </c>
      <c r="N402" s="52">
        <f t="shared" ref="N402:N433" si="254">GEOMEAN(AJ402:AW402)</f>
        <v>361.74817644155593</v>
      </c>
      <c r="O402" s="52">
        <f t="shared" ref="O402:O433" si="255">MAX(AJ402:CM402)</f>
        <v>1500</v>
      </c>
      <c r="P402" s="52">
        <f t="shared" ref="P402:P433" si="256">GEOMEAN(AJ402:CM402)</f>
        <v>184.74876285443739</v>
      </c>
      <c r="Q402" s="66" t="s">
        <v>268</v>
      </c>
      <c r="R402" s="37"/>
      <c r="S402" s="74" t="s">
        <v>1</v>
      </c>
      <c r="T402" s="81">
        <f t="shared" si="226"/>
        <v>704.5</v>
      </c>
      <c r="U402" s="81">
        <f t="shared" si="227"/>
        <v>762.83333333333337</v>
      </c>
      <c r="V402" s="228">
        <v>466</v>
      </c>
      <c r="W402" s="52">
        <v>759</v>
      </c>
      <c r="X402" s="52">
        <v>952</v>
      </c>
      <c r="Y402" s="52">
        <v>641</v>
      </c>
      <c r="Z402" s="52">
        <v>695</v>
      </c>
      <c r="AA402" s="52">
        <v>1759</v>
      </c>
      <c r="AB402" s="52">
        <v>1466</v>
      </c>
      <c r="AC402" s="52">
        <v>797</v>
      </c>
      <c r="AD402" s="52">
        <v>303</v>
      </c>
      <c r="AE402" s="180">
        <v>358</v>
      </c>
      <c r="AF402" s="52">
        <v>566</v>
      </c>
      <c r="AG402" s="144">
        <v>392</v>
      </c>
      <c r="AH402" s="53">
        <v>430</v>
      </c>
      <c r="AI402" s="53">
        <v>678</v>
      </c>
      <c r="AJ402" s="53">
        <v>214</v>
      </c>
      <c r="AK402" s="53">
        <v>142</v>
      </c>
      <c r="AL402" s="89">
        <v>133</v>
      </c>
      <c r="AM402" s="52">
        <v>325</v>
      </c>
      <c r="AN402" s="53">
        <v>702</v>
      </c>
      <c r="AO402" s="179">
        <v>401</v>
      </c>
      <c r="AP402" s="53">
        <v>944</v>
      </c>
      <c r="AQ402" s="179">
        <v>394</v>
      </c>
      <c r="AR402" s="53">
        <v>132</v>
      </c>
      <c r="AS402" s="52">
        <v>762</v>
      </c>
      <c r="AT402" s="177">
        <v>344</v>
      </c>
      <c r="AU402" s="177">
        <v>503</v>
      </c>
      <c r="AV402" s="52">
        <v>683</v>
      </c>
      <c r="AW402" s="177">
        <v>402</v>
      </c>
      <c r="AX402" s="178">
        <v>300</v>
      </c>
      <c r="AY402" s="179">
        <v>500</v>
      </c>
      <c r="AZ402" s="179">
        <v>350</v>
      </c>
      <c r="BA402" s="179">
        <v>300</v>
      </c>
      <c r="BB402" s="179">
        <v>450</v>
      </c>
      <c r="BC402" s="179">
        <v>500</v>
      </c>
      <c r="BD402" s="179">
        <v>300</v>
      </c>
      <c r="BE402" s="179">
        <v>125</v>
      </c>
      <c r="BF402" s="179">
        <v>190</v>
      </c>
      <c r="BG402" s="179">
        <v>100</v>
      </c>
      <c r="BH402" s="179">
        <v>195</v>
      </c>
      <c r="BI402" s="179">
        <v>50</v>
      </c>
      <c r="BJ402" s="179">
        <v>15</v>
      </c>
      <c r="BK402" s="179" t="s">
        <v>264</v>
      </c>
      <c r="BL402" s="179">
        <v>400</v>
      </c>
      <c r="BM402" s="179">
        <v>200</v>
      </c>
      <c r="BN402" s="179">
        <v>60</v>
      </c>
      <c r="BO402" s="179">
        <v>70</v>
      </c>
      <c r="BP402" s="179">
        <v>25</v>
      </c>
      <c r="BQ402" s="179">
        <v>200</v>
      </c>
      <c r="BR402" s="179">
        <v>1500</v>
      </c>
      <c r="BS402" s="179">
        <v>750</v>
      </c>
      <c r="BT402" s="179">
        <v>120</v>
      </c>
      <c r="BU402" s="179">
        <v>200</v>
      </c>
      <c r="BV402" s="179">
        <v>75</v>
      </c>
      <c r="BW402" s="179">
        <v>200</v>
      </c>
      <c r="BX402" s="179">
        <v>75</v>
      </c>
      <c r="BY402" s="179">
        <v>75</v>
      </c>
      <c r="BZ402" s="179">
        <v>400</v>
      </c>
      <c r="CA402" s="179">
        <v>750</v>
      </c>
      <c r="CB402" s="179">
        <v>750</v>
      </c>
      <c r="CC402" s="179">
        <v>400</v>
      </c>
      <c r="CD402" s="179">
        <v>75</v>
      </c>
      <c r="CE402" s="179">
        <v>75</v>
      </c>
      <c r="CF402" s="179">
        <v>25</v>
      </c>
      <c r="CG402" s="179">
        <v>25</v>
      </c>
      <c r="CH402" s="179">
        <v>25</v>
      </c>
      <c r="CI402" s="179">
        <v>25</v>
      </c>
      <c r="CJ402" s="179">
        <v>25</v>
      </c>
      <c r="CK402" s="179">
        <v>200</v>
      </c>
      <c r="CL402" s="179">
        <v>250</v>
      </c>
      <c r="CM402" s="179">
        <v>200</v>
      </c>
      <c r="CN402" s="206"/>
      <c r="CO402" s="206"/>
      <c r="CP402" s="206"/>
      <c r="CQ402" s="8">
        <f t="shared" si="228"/>
        <v>15</v>
      </c>
      <c r="CR402" s="8">
        <f t="shared" si="229"/>
        <v>1759</v>
      </c>
      <c r="CS402" s="8">
        <f t="shared" si="230"/>
        <v>389.75362318840581</v>
      </c>
      <c r="CT402">
        <f t="shared" si="231"/>
        <v>238.1053892712298</v>
      </c>
      <c r="CU402" s="143">
        <f t="shared" si="232"/>
        <v>702.6</v>
      </c>
      <c r="CV402" s="143">
        <f t="shared" si="233"/>
        <v>762.83333333333337</v>
      </c>
      <c r="CX402" s="7">
        <f t="shared" si="234"/>
        <v>25</v>
      </c>
      <c r="CY402" s="7">
        <f t="shared" si="235"/>
        <v>75</v>
      </c>
      <c r="CZ402" s="7">
        <f t="shared" si="236"/>
        <v>75</v>
      </c>
      <c r="DA402" s="7">
        <f t="shared" si="237"/>
        <v>125</v>
      </c>
      <c r="DB402" s="7">
        <f t="shared" si="238"/>
        <v>303</v>
      </c>
      <c r="DC402" s="7">
        <f t="shared" si="239"/>
        <v>398.79999999999995</v>
      </c>
      <c r="DD402" s="7">
        <f t="shared" si="240"/>
        <v>401.2</v>
      </c>
      <c r="DE402" s="7">
        <f t="shared" si="241"/>
        <v>503</v>
      </c>
      <c r="DF402" s="7">
        <f t="shared" si="242"/>
        <v>740.39999999999986</v>
      </c>
      <c r="DH402" s="7">
        <f t="shared" si="243"/>
        <v>136.15</v>
      </c>
      <c r="DI402" s="7">
        <f t="shared" si="244"/>
        <v>304.10000000000002</v>
      </c>
      <c r="DJ402" s="7">
        <f t="shared" si="245"/>
        <v>332.6</v>
      </c>
      <c r="DK402" s="7">
        <f t="shared" si="246"/>
        <v>354.5</v>
      </c>
      <c r="DL402" s="7">
        <f t="shared" si="247"/>
        <v>484.5</v>
      </c>
      <c r="DM402" s="7">
        <f t="shared" si="248"/>
        <v>648.4</v>
      </c>
      <c r="DN402" s="7">
        <f t="shared" si="249"/>
        <v>680.75</v>
      </c>
      <c r="DO402" s="7">
        <f t="shared" si="250"/>
        <v>716.25</v>
      </c>
      <c r="DP402" s="7">
        <f t="shared" si="251"/>
        <v>795.25</v>
      </c>
    </row>
    <row r="403" spans="1:130" ht="25.5" hidden="1" customHeight="1" x14ac:dyDescent="0.25">
      <c r="A403" s="92" t="str">
        <f t="shared" si="252"/>
        <v>CM-SWVI [10]</v>
      </c>
      <c r="B403" s="92" t="str">
        <f t="shared" si="253"/>
        <v>Southwest Vancouver Island</v>
      </c>
      <c r="C403" s="93" t="str">
        <f t="shared" si="225"/>
        <v>LEINER RIVER_Chum</v>
      </c>
      <c r="D403" s="128" t="s">
        <v>598</v>
      </c>
      <c r="E403" s="128" t="s">
        <v>598</v>
      </c>
      <c r="F403" s="64">
        <v>25</v>
      </c>
      <c r="G403" s="72" t="s">
        <v>230</v>
      </c>
      <c r="H403" s="65" t="s">
        <v>96</v>
      </c>
      <c r="I403" s="119"/>
      <c r="J403" s="119"/>
      <c r="K403" s="64">
        <v>3</v>
      </c>
      <c r="L403" s="52">
        <v>11</v>
      </c>
      <c r="M403" s="52">
        <v>11</v>
      </c>
      <c r="N403" s="52">
        <f t="shared" si="254"/>
        <v>3653.6015168048866</v>
      </c>
      <c r="O403" s="52">
        <f t="shared" si="255"/>
        <v>22052</v>
      </c>
      <c r="P403" s="52">
        <f t="shared" si="256"/>
        <v>4511.8918316804311</v>
      </c>
      <c r="Q403" s="66" t="s">
        <v>268</v>
      </c>
      <c r="R403" s="37"/>
      <c r="S403" s="74" t="s">
        <v>1</v>
      </c>
      <c r="T403" s="81">
        <f t="shared" si="226"/>
        <v>1162.75</v>
      </c>
      <c r="U403" s="81">
        <f t="shared" si="227"/>
        <v>2380.75</v>
      </c>
      <c r="V403" s="228">
        <v>1348</v>
      </c>
      <c r="W403" s="52">
        <v>455</v>
      </c>
      <c r="X403" s="52">
        <v>1301</v>
      </c>
      <c r="Y403" s="52">
        <v>1547</v>
      </c>
      <c r="Z403" s="52">
        <v>1700</v>
      </c>
      <c r="AA403" s="52">
        <v>1650</v>
      </c>
      <c r="AB403" s="52">
        <v>8018</v>
      </c>
      <c r="AC403" s="52">
        <v>4168</v>
      </c>
      <c r="AD403" s="52">
        <v>1661</v>
      </c>
      <c r="AE403" s="144">
        <v>1933</v>
      </c>
      <c r="AF403" s="52">
        <v>3560</v>
      </c>
      <c r="AG403" s="144">
        <v>1228</v>
      </c>
      <c r="AH403" s="53">
        <v>1235</v>
      </c>
      <c r="AI403" s="53">
        <v>2570</v>
      </c>
      <c r="AJ403" s="53">
        <v>2084</v>
      </c>
      <c r="AK403" s="53">
        <v>1082</v>
      </c>
      <c r="AL403" s="89">
        <v>5138</v>
      </c>
      <c r="AM403" s="52">
        <v>3699</v>
      </c>
      <c r="AN403" s="52">
        <v>22052</v>
      </c>
      <c r="AO403" s="53">
        <v>1569</v>
      </c>
      <c r="AP403" s="53">
        <v>5719</v>
      </c>
      <c r="AQ403" s="53">
        <v>1963</v>
      </c>
      <c r="AR403" s="53">
        <v>2229</v>
      </c>
      <c r="AS403" s="52">
        <v>7867</v>
      </c>
      <c r="AT403" s="52">
        <v>15713</v>
      </c>
      <c r="AU403" s="52">
        <v>3573</v>
      </c>
      <c r="AV403" s="52">
        <v>1643</v>
      </c>
      <c r="AW403" s="52">
        <v>2805</v>
      </c>
      <c r="AX403" s="51">
        <v>20000</v>
      </c>
      <c r="AY403" s="53">
        <v>6000</v>
      </c>
      <c r="AZ403" s="53">
        <v>14000</v>
      </c>
      <c r="BA403" s="53">
        <v>14000</v>
      </c>
      <c r="BB403" s="53">
        <v>3600</v>
      </c>
      <c r="BC403" s="53">
        <v>3000</v>
      </c>
      <c r="BD403" s="53">
        <v>3000</v>
      </c>
      <c r="BE403" s="53">
        <v>7000</v>
      </c>
      <c r="BF403" s="53">
        <v>11650</v>
      </c>
      <c r="BG403" s="53">
        <v>5500</v>
      </c>
      <c r="BH403" s="53">
        <v>4200</v>
      </c>
      <c r="BI403" s="53">
        <v>6500</v>
      </c>
      <c r="BJ403" s="53">
        <v>7500</v>
      </c>
      <c r="BK403" s="53">
        <v>5000</v>
      </c>
      <c r="BL403" s="53">
        <v>5000</v>
      </c>
      <c r="BM403" s="53">
        <v>3750</v>
      </c>
      <c r="BN403" s="53">
        <v>9000</v>
      </c>
      <c r="BO403" s="53">
        <v>4700</v>
      </c>
      <c r="BP403" s="53">
        <v>7500</v>
      </c>
      <c r="BQ403" s="53">
        <v>3500</v>
      </c>
      <c r="BR403" s="53">
        <v>15000</v>
      </c>
      <c r="BS403" s="53">
        <v>15000</v>
      </c>
      <c r="BT403" s="53">
        <v>17500</v>
      </c>
      <c r="BU403" s="53">
        <v>13000</v>
      </c>
      <c r="BV403" s="53">
        <v>15000</v>
      </c>
      <c r="BW403" s="53">
        <v>7500</v>
      </c>
      <c r="BX403" s="53">
        <v>5000</v>
      </c>
      <c r="BY403" s="53">
        <v>1500</v>
      </c>
      <c r="BZ403" s="53">
        <v>6000</v>
      </c>
      <c r="CA403" s="53">
        <v>1500</v>
      </c>
      <c r="CB403" s="53">
        <v>7500</v>
      </c>
      <c r="CC403" s="53">
        <v>5000</v>
      </c>
      <c r="CD403" s="53">
        <v>750</v>
      </c>
      <c r="CE403" s="53">
        <v>1500</v>
      </c>
      <c r="CF403" s="53">
        <v>3500</v>
      </c>
      <c r="CG403" s="53">
        <v>3500</v>
      </c>
      <c r="CH403" s="53">
        <v>3500</v>
      </c>
      <c r="CI403" s="53">
        <v>1500</v>
      </c>
      <c r="CJ403" s="53">
        <v>750</v>
      </c>
      <c r="CK403" s="53">
        <v>1500</v>
      </c>
      <c r="CL403" s="53">
        <v>4500</v>
      </c>
      <c r="CM403" s="53">
        <v>1500</v>
      </c>
      <c r="CN403" s="206"/>
      <c r="CO403" s="206"/>
      <c r="CP403" s="206"/>
      <c r="CQ403" s="8">
        <f t="shared" si="228"/>
        <v>455</v>
      </c>
      <c r="CR403" s="8">
        <f t="shared" si="229"/>
        <v>22052</v>
      </c>
      <c r="CS403" s="8">
        <f t="shared" si="230"/>
        <v>5513</v>
      </c>
      <c r="CT403">
        <f t="shared" si="231"/>
        <v>3771.5426342530604</v>
      </c>
      <c r="CU403" s="143">
        <f t="shared" si="232"/>
        <v>1270.2</v>
      </c>
      <c r="CV403" s="143">
        <f t="shared" si="233"/>
        <v>2380.75</v>
      </c>
      <c r="CX403" s="7">
        <f t="shared" si="234"/>
        <v>1147.7</v>
      </c>
      <c r="CY403" s="7">
        <f t="shared" si="235"/>
        <v>1500</v>
      </c>
      <c r="CZ403" s="7">
        <f t="shared" si="236"/>
        <v>1537.6000000000001</v>
      </c>
      <c r="DA403" s="7">
        <f t="shared" si="237"/>
        <v>1652.75</v>
      </c>
      <c r="DB403" s="7">
        <f t="shared" si="238"/>
        <v>3649.5</v>
      </c>
      <c r="DC403" s="7">
        <f t="shared" si="239"/>
        <v>5000</v>
      </c>
      <c r="DD403" s="7">
        <f t="shared" si="240"/>
        <v>5117.3</v>
      </c>
      <c r="DE403" s="7">
        <f t="shared" si="241"/>
        <v>7375</v>
      </c>
      <c r="DF403" s="7">
        <f t="shared" si="242"/>
        <v>10722.499999999996</v>
      </c>
      <c r="DH403" s="7">
        <f t="shared" si="243"/>
        <v>1133.0999999999999</v>
      </c>
      <c r="DI403" s="7">
        <f t="shared" si="244"/>
        <v>1303.3499999999999</v>
      </c>
      <c r="DJ403" s="7">
        <f t="shared" si="245"/>
        <v>1427.6000000000001</v>
      </c>
      <c r="DK403" s="7">
        <f t="shared" si="246"/>
        <v>1563.5</v>
      </c>
      <c r="DL403" s="7">
        <f t="shared" si="247"/>
        <v>2023.5</v>
      </c>
      <c r="DM403" s="7">
        <f t="shared" si="248"/>
        <v>2617</v>
      </c>
      <c r="DN403" s="7">
        <f t="shared" si="249"/>
        <v>3220.2500000000005</v>
      </c>
      <c r="DO403" s="7">
        <f t="shared" si="250"/>
        <v>3816.25</v>
      </c>
      <c r="DP403" s="7">
        <f t="shared" si="251"/>
        <v>5689.95</v>
      </c>
    </row>
    <row r="404" spans="1:130" ht="25.5" hidden="1" customHeight="1" x14ac:dyDescent="0.25">
      <c r="A404" s="92" t="str">
        <f t="shared" si="252"/>
        <v>CO-WVI [17]</v>
      </c>
      <c r="B404" s="92" t="str">
        <f t="shared" si="253"/>
        <v>West Vancouver Island</v>
      </c>
      <c r="C404" s="93" t="str">
        <f t="shared" si="225"/>
        <v>LEINER RIVER_Coho</v>
      </c>
      <c r="D404" s="128" t="s">
        <v>598</v>
      </c>
      <c r="E404" s="128" t="s">
        <v>598</v>
      </c>
      <c r="F404" s="64">
        <v>25</v>
      </c>
      <c r="G404" s="72" t="s">
        <v>230</v>
      </c>
      <c r="H404" s="65" t="s">
        <v>93</v>
      </c>
      <c r="I404" s="119"/>
      <c r="J404" s="119"/>
      <c r="K404" s="64">
        <v>3</v>
      </c>
      <c r="L404" s="52">
        <v>11</v>
      </c>
      <c r="M404" s="52">
        <v>11</v>
      </c>
      <c r="N404" s="52">
        <f t="shared" si="254"/>
        <v>457.43469984563575</v>
      </c>
      <c r="O404" s="52">
        <f t="shared" si="255"/>
        <v>7500</v>
      </c>
      <c r="P404" s="52">
        <f t="shared" si="256"/>
        <v>371.36360288402523</v>
      </c>
      <c r="Q404" s="66" t="s">
        <v>268</v>
      </c>
      <c r="R404" s="37"/>
      <c r="S404" s="74" t="s">
        <v>1</v>
      </c>
      <c r="T404" s="81">
        <f t="shared" si="226"/>
        <v>691.75</v>
      </c>
      <c r="U404" s="81">
        <f t="shared" si="227"/>
        <v>945.91666666666663</v>
      </c>
      <c r="V404" s="228">
        <v>1364</v>
      </c>
      <c r="W404" s="52">
        <v>678</v>
      </c>
      <c r="X404" s="52">
        <v>407</v>
      </c>
      <c r="Y404" s="52">
        <v>318</v>
      </c>
      <c r="Z404" s="52">
        <v>915</v>
      </c>
      <c r="AA404" s="52">
        <v>906</v>
      </c>
      <c r="AB404" s="52">
        <v>1564</v>
      </c>
      <c r="AC404" s="52">
        <v>812</v>
      </c>
      <c r="AD404" s="52">
        <v>1011</v>
      </c>
      <c r="AE404" s="144">
        <v>358</v>
      </c>
      <c r="AF404" s="52">
        <v>1263</v>
      </c>
      <c r="AG404" s="144">
        <v>1755</v>
      </c>
      <c r="AH404" s="53">
        <v>680</v>
      </c>
      <c r="AI404" s="53">
        <v>1320</v>
      </c>
      <c r="AJ404" s="53">
        <v>1051</v>
      </c>
      <c r="AK404" s="53">
        <v>440</v>
      </c>
      <c r="AL404" s="89">
        <v>746</v>
      </c>
      <c r="AM404" s="52">
        <v>232</v>
      </c>
      <c r="AN404" s="52">
        <v>575</v>
      </c>
      <c r="AO404" s="53">
        <v>497</v>
      </c>
      <c r="AP404" s="53">
        <v>886</v>
      </c>
      <c r="AQ404" s="53">
        <v>434</v>
      </c>
      <c r="AR404" s="53">
        <v>1122</v>
      </c>
      <c r="AS404" s="52">
        <v>692</v>
      </c>
      <c r="AT404" s="52">
        <v>507</v>
      </c>
      <c r="AU404" s="52">
        <v>181</v>
      </c>
      <c r="AV404" s="52">
        <v>196</v>
      </c>
      <c r="AW404" s="52">
        <v>143</v>
      </c>
      <c r="AX404" s="51">
        <v>100</v>
      </c>
      <c r="AY404" s="53">
        <v>150</v>
      </c>
      <c r="AZ404" s="53">
        <v>100</v>
      </c>
      <c r="BA404" s="53">
        <v>300</v>
      </c>
      <c r="BB404" s="53">
        <v>275</v>
      </c>
      <c r="BC404" s="53">
        <v>500</v>
      </c>
      <c r="BD404" s="53">
        <v>400</v>
      </c>
      <c r="BE404" s="53">
        <v>700</v>
      </c>
      <c r="BF404" s="53">
        <v>250</v>
      </c>
      <c r="BG404" s="53">
        <v>200</v>
      </c>
      <c r="BH404" s="53">
        <v>130</v>
      </c>
      <c r="BI404" s="53">
        <v>200</v>
      </c>
      <c r="BJ404" s="53">
        <v>300</v>
      </c>
      <c r="BK404" s="53" t="s">
        <v>264</v>
      </c>
      <c r="BL404" s="53">
        <v>400</v>
      </c>
      <c r="BM404" s="53">
        <v>50</v>
      </c>
      <c r="BN404" s="53">
        <v>500</v>
      </c>
      <c r="BO404" s="53">
        <v>200</v>
      </c>
      <c r="BP404" s="53">
        <v>750</v>
      </c>
      <c r="BQ404" s="53">
        <v>750</v>
      </c>
      <c r="BR404" s="53">
        <v>3500</v>
      </c>
      <c r="BS404" s="53">
        <v>7500</v>
      </c>
      <c r="BT404" s="53">
        <v>2700</v>
      </c>
      <c r="BU404" s="53">
        <v>2000</v>
      </c>
      <c r="BV404" s="53">
        <v>750</v>
      </c>
      <c r="BW404" s="53">
        <v>75</v>
      </c>
      <c r="BX404" s="53">
        <v>400</v>
      </c>
      <c r="BY404" s="53">
        <v>400</v>
      </c>
      <c r="BZ404" s="53">
        <v>600</v>
      </c>
      <c r="CA404" s="53">
        <v>750</v>
      </c>
      <c r="CB404" s="53">
        <v>1500</v>
      </c>
      <c r="CC404" s="53">
        <v>600</v>
      </c>
      <c r="CD404" s="53">
        <v>750</v>
      </c>
      <c r="CE404" s="53">
        <v>200</v>
      </c>
      <c r="CF404" s="53">
        <v>200</v>
      </c>
      <c r="CG404" s="53">
        <v>200</v>
      </c>
      <c r="CH404" s="53">
        <v>200</v>
      </c>
      <c r="CI404" s="53">
        <v>75</v>
      </c>
      <c r="CJ404" s="53">
        <v>75</v>
      </c>
      <c r="CK404" s="53">
        <v>25</v>
      </c>
      <c r="CL404" s="53">
        <v>250</v>
      </c>
      <c r="CM404" s="53">
        <v>750</v>
      </c>
      <c r="CN404" s="206"/>
      <c r="CO404" s="206"/>
      <c r="CP404" s="206"/>
      <c r="CQ404" s="8">
        <f t="shared" si="228"/>
        <v>25</v>
      </c>
      <c r="CR404" s="8">
        <f t="shared" si="229"/>
        <v>7500</v>
      </c>
      <c r="CS404" s="8">
        <f t="shared" si="230"/>
        <v>736.3478260869565</v>
      </c>
      <c r="CT404">
        <f t="shared" si="231"/>
        <v>438.51267873315214</v>
      </c>
      <c r="CU404" s="143">
        <f t="shared" si="232"/>
        <v>736.4</v>
      </c>
      <c r="CV404" s="143">
        <f t="shared" si="233"/>
        <v>945.91666666666663</v>
      </c>
      <c r="CX404" s="7">
        <f t="shared" si="234"/>
        <v>75</v>
      </c>
      <c r="CY404" s="7">
        <f t="shared" si="235"/>
        <v>184</v>
      </c>
      <c r="CZ404" s="7">
        <f t="shared" si="236"/>
        <v>200</v>
      </c>
      <c r="DA404" s="7">
        <f t="shared" si="237"/>
        <v>200</v>
      </c>
      <c r="DB404" s="7">
        <f t="shared" si="238"/>
        <v>497</v>
      </c>
      <c r="DC404" s="7">
        <f t="shared" si="239"/>
        <v>662.39999999999975</v>
      </c>
      <c r="DD404" s="7">
        <f t="shared" si="240"/>
        <v>709.20000000000016</v>
      </c>
      <c r="DE404" s="7">
        <f t="shared" si="241"/>
        <v>750</v>
      </c>
      <c r="DF404" s="7">
        <f t="shared" si="242"/>
        <v>1107.7999999999997</v>
      </c>
      <c r="DH404" s="7">
        <f t="shared" si="243"/>
        <v>186.25</v>
      </c>
      <c r="DI404" s="7">
        <f t="shared" si="244"/>
        <v>320</v>
      </c>
      <c r="DJ404" s="7">
        <f t="shared" si="245"/>
        <v>377.6</v>
      </c>
      <c r="DK404" s="7">
        <f t="shared" si="246"/>
        <v>427.25</v>
      </c>
      <c r="DL404" s="7">
        <f t="shared" si="247"/>
        <v>686</v>
      </c>
      <c r="DM404" s="7">
        <f t="shared" si="248"/>
        <v>826.8</v>
      </c>
      <c r="DN404" s="7">
        <f t="shared" si="249"/>
        <v>897</v>
      </c>
      <c r="DO404" s="7">
        <f t="shared" si="250"/>
        <v>1021</v>
      </c>
      <c r="DP404" s="7">
        <f t="shared" si="251"/>
        <v>1255.9499999999998</v>
      </c>
    </row>
    <row r="405" spans="1:130" ht="25.5" hidden="1" customHeight="1" x14ac:dyDescent="0.25">
      <c r="A405" s="92" t="str">
        <f t="shared" si="252"/>
        <v>Pkodd-WVI [6]</v>
      </c>
      <c r="B405" s="92" t="str">
        <f t="shared" si="253"/>
        <v>West Vancouver Island</v>
      </c>
      <c r="C405" s="93" t="str">
        <f t="shared" si="225"/>
        <v>LEINER RIVER_Pink</v>
      </c>
      <c r="D405" s="128" t="s">
        <v>598</v>
      </c>
      <c r="E405" s="128" t="s">
        <v>598</v>
      </c>
      <c r="F405" s="64">
        <v>25</v>
      </c>
      <c r="G405" s="72" t="s">
        <v>230</v>
      </c>
      <c r="H405" s="65" t="s">
        <v>95</v>
      </c>
      <c r="I405" s="119"/>
      <c r="J405" s="119"/>
      <c r="K405" s="64">
        <v>3</v>
      </c>
      <c r="L405" s="52">
        <v>11</v>
      </c>
      <c r="M405" s="52">
        <v>8</v>
      </c>
      <c r="N405" s="52">
        <f t="shared" si="254"/>
        <v>4.0959098577410735</v>
      </c>
      <c r="O405" s="52">
        <f t="shared" si="255"/>
        <v>15000</v>
      </c>
      <c r="P405" s="52">
        <f t="shared" si="256"/>
        <v>109.68816004041288</v>
      </c>
      <c r="Q405" s="66" t="s">
        <v>268</v>
      </c>
      <c r="R405" s="37"/>
      <c r="S405" s="74"/>
      <c r="T405" s="81">
        <f t="shared" si="226"/>
        <v>3</v>
      </c>
      <c r="U405" s="81">
        <f t="shared" si="227"/>
        <v>4</v>
      </c>
      <c r="V405" s="228">
        <v>2</v>
      </c>
      <c r="W405" s="52">
        <v>6</v>
      </c>
      <c r="X405" s="52">
        <v>3</v>
      </c>
      <c r="Y405" s="52">
        <v>1</v>
      </c>
      <c r="Z405" s="52" t="s">
        <v>262</v>
      </c>
      <c r="AA405" s="52">
        <v>4</v>
      </c>
      <c r="AB405" s="52" t="s">
        <v>263</v>
      </c>
      <c r="AC405" s="52">
        <v>6</v>
      </c>
      <c r="AD405" s="52">
        <v>4</v>
      </c>
      <c r="AE405" s="144">
        <v>4</v>
      </c>
      <c r="AF405" s="52">
        <v>6</v>
      </c>
      <c r="AG405" s="144">
        <v>4</v>
      </c>
      <c r="AH405" s="53">
        <v>10</v>
      </c>
      <c r="AI405" s="52" t="s">
        <v>263</v>
      </c>
      <c r="AJ405" s="53">
        <v>1</v>
      </c>
      <c r="AK405" s="53">
        <v>3</v>
      </c>
      <c r="AL405" s="89">
        <v>1</v>
      </c>
      <c r="AM405" s="52">
        <v>2</v>
      </c>
      <c r="AN405" s="52" t="s">
        <v>262</v>
      </c>
      <c r="AO405" s="53">
        <v>5</v>
      </c>
      <c r="AP405" s="53">
        <v>4</v>
      </c>
      <c r="AQ405" s="53">
        <v>2</v>
      </c>
      <c r="AR405" s="53" t="s">
        <v>262</v>
      </c>
      <c r="AS405" s="52">
        <v>6</v>
      </c>
      <c r="AT405" s="52">
        <v>6</v>
      </c>
      <c r="AU405" s="52">
        <v>7</v>
      </c>
      <c r="AV405" s="52">
        <v>90</v>
      </c>
      <c r="AW405" s="52" t="s">
        <v>262</v>
      </c>
      <c r="AX405" s="51" t="s">
        <v>264</v>
      </c>
      <c r="AY405" s="53">
        <v>100</v>
      </c>
      <c r="AZ405" s="53" t="s">
        <v>102</v>
      </c>
      <c r="BA405" s="53">
        <v>130</v>
      </c>
      <c r="BB405" s="53" t="s">
        <v>264</v>
      </c>
      <c r="BC405" s="53" t="s">
        <v>264</v>
      </c>
      <c r="BD405" s="53" t="s">
        <v>262</v>
      </c>
      <c r="BE405" s="53" t="s">
        <v>262</v>
      </c>
      <c r="BF405" s="53">
        <v>90</v>
      </c>
      <c r="BG405" s="53">
        <v>20</v>
      </c>
      <c r="BH405" s="53">
        <v>5</v>
      </c>
      <c r="BI405" s="53" t="s">
        <v>264</v>
      </c>
      <c r="BJ405" s="53">
        <v>100</v>
      </c>
      <c r="BK405" s="53" t="s">
        <v>264</v>
      </c>
      <c r="BL405" s="53">
        <v>2500</v>
      </c>
      <c r="BM405" s="53" t="s">
        <v>264</v>
      </c>
      <c r="BN405" s="53">
        <v>15000</v>
      </c>
      <c r="BO405" s="53" t="s">
        <v>264</v>
      </c>
      <c r="BP405" s="53">
        <v>1500</v>
      </c>
      <c r="BQ405" s="53" t="s">
        <v>264</v>
      </c>
      <c r="BR405" s="53">
        <v>7500</v>
      </c>
      <c r="BS405" s="53" t="s">
        <v>264</v>
      </c>
      <c r="BT405" s="53">
        <v>4500</v>
      </c>
      <c r="BU405" s="53" t="s">
        <v>262</v>
      </c>
      <c r="BV405" s="53">
        <v>3500</v>
      </c>
      <c r="BW405" s="53" t="s">
        <v>262</v>
      </c>
      <c r="BX405" s="53">
        <v>12000</v>
      </c>
      <c r="BY405" s="53" t="s">
        <v>262</v>
      </c>
      <c r="BZ405" s="53">
        <v>1500</v>
      </c>
      <c r="CA405" s="53">
        <v>25</v>
      </c>
      <c r="CB405" s="53">
        <v>1500</v>
      </c>
      <c r="CC405" s="53" t="s">
        <v>264</v>
      </c>
      <c r="CD405" s="53">
        <v>7500</v>
      </c>
      <c r="CE405" s="53">
        <v>200</v>
      </c>
      <c r="CF405" s="53">
        <v>1500</v>
      </c>
      <c r="CG405" s="53" t="s">
        <v>262</v>
      </c>
      <c r="CH405" s="53">
        <v>1500</v>
      </c>
      <c r="CI405" s="53" t="s">
        <v>264</v>
      </c>
      <c r="CJ405" s="53">
        <v>200</v>
      </c>
      <c r="CK405" s="53" t="s">
        <v>264</v>
      </c>
      <c r="CL405" s="53" t="s">
        <v>264</v>
      </c>
      <c r="CM405" s="53" t="s">
        <v>264</v>
      </c>
      <c r="CN405" s="206"/>
      <c r="CO405" s="206"/>
      <c r="CP405" s="206"/>
      <c r="CQ405" s="8">
        <f t="shared" si="228"/>
        <v>1</v>
      </c>
      <c r="CR405" s="8">
        <f t="shared" si="229"/>
        <v>15000</v>
      </c>
      <c r="CS405" s="8">
        <f t="shared" si="230"/>
        <v>1419.6976744186047</v>
      </c>
      <c r="CT405">
        <f t="shared" si="231"/>
        <v>46.763388956764011</v>
      </c>
      <c r="CU405" s="143">
        <f t="shared" si="232"/>
        <v>3</v>
      </c>
      <c r="CV405" s="143">
        <f t="shared" si="233"/>
        <v>4</v>
      </c>
      <c r="CX405" s="7">
        <f t="shared" si="234"/>
        <v>1.1000000000000001</v>
      </c>
      <c r="CY405" s="7">
        <f t="shared" si="235"/>
        <v>3</v>
      </c>
      <c r="CZ405" s="7">
        <f t="shared" si="236"/>
        <v>4</v>
      </c>
      <c r="DA405" s="7">
        <f t="shared" si="237"/>
        <v>4</v>
      </c>
      <c r="DB405" s="7">
        <f t="shared" si="238"/>
        <v>10</v>
      </c>
      <c r="DC405" s="7">
        <f t="shared" si="239"/>
        <v>92</v>
      </c>
      <c r="DD405" s="7">
        <f t="shared" si="240"/>
        <v>109.00000000000003</v>
      </c>
      <c r="DE405" s="7">
        <f t="shared" si="241"/>
        <v>1500</v>
      </c>
      <c r="DF405" s="7">
        <f t="shared" si="242"/>
        <v>2199.9999999999955</v>
      </c>
      <c r="DH405" s="7">
        <f t="shared" si="243"/>
        <v>1</v>
      </c>
      <c r="DI405" s="7">
        <f t="shared" si="244"/>
        <v>2</v>
      </c>
      <c r="DJ405" s="7">
        <f t="shared" si="245"/>
        <v>2</v>
      </c>
      <c r="DK405" s="7">
        <f t="shared" si="246"/>
        <v>2.25</v>
      </c>
      <c r="DL405" s="7">
        <f t="shared" si="247"/>
        <v>4</v>
      </c>
      <c r="DM405" s="7">
        <f t="shared" si="248"/>
        <v>4.5999999999999996</v>
      </c>
      <c r="DN405" s="7">
        <f t="shared" si="249"/>
        <v>5.65</v>
      </c>
      <c r="DO405" s="7">
        <f t="shared" si="250"/>
        <v>6</v>
      </c>
      <c r="DP405" s="7">
        <f t="shared" si="251"/>
        <v>6</v>
      </c>
    </row>
    <row r="406" spans="1:130" ht="25.5" hidden="1" customHeight="1" x14ac:dyDescent="0.25">
      <c r="A406" s="92" t="str">
        <f t="shared" si="252"/>
        <v>SK-WVI [R10]</v>
      </c>
      <c r="B406" s="92" t="str">
        <f t="shared" si="253"/>
        <v>West Vancouver Island</v>
      </c>
      <c r="C406" s="93" t="str">
        <f t="shared" si="225"/>
        <v>LEINER RIVER_Sockeye</v>
      </c>
      <c r="D406" s="128" t="s">
        <v>598</v>
      </c>
      <c r="E406" s="128" t="s">
        <v>598</v>
      </c>
      <c r="F406" s="64">
        <v>25</v>
      </c>
      <c r="G406" s="72" t="s">
        <v>230</v>
      </c>
      <c r="H406" s="65" t="s">
        <v>91</v>
      </c>
      <c r="I406" s="119"/>
      <c r="J406" s="119"/>
      <c r="K406" s="64">
        <v>3</v>
      </c>
      <c r="L406" s="52">
        <v>11</v>
      </c>
      <c r="M406" s="52">
        <v>11</v>
      </c>
      <c r="N406" s="52">
        <f t="shared" si="254"/>
        <v>581.33504645730352</v>
      </c>
      <c r="O406" s="52">
        <f t="shared" si="255"/>
        <v>6417</v>
      </c>
      <c r="P406" s="52">
        <f t="shared" si="256"/>
        <v>390.40221869231522</v>
      </c>
      <c r="Q406" s="66" t="s">
        <v>268</v>
      </c>
      <c r="R406" s="37"/>
      <c r="S406" s="74"/>
      <c r="T406" s="81">
        <f t="shared" si="226"/>
        <v>684.25</v>
      </c>
      <c r="U406" s="81">
        <f t="shared" si="227"/>
        <v>825.66666666666663</v>
      </c>
      <c r="V406" s="228">
        <v>820</v>
      </c>
      <c r="W406" s="52">
        <v>736</v>
      </c>
      <c r="X406" s="52">
        <v>1121</v>
      </c>
      <c r="Y406" s="52">
        <v>60</v>
      </c>
      <c r="Z406" s="52">
        <v>138</v>
      </c>
      <c r="AA406" s="52">
        <v>172</v>
      </c>
      <c r="AB406" s="52">
        <v>2507</v>
      </c>
      <c r="AC406" s="52">
        <v>311</v>
      </c>
      <c r="AD406" s="52">
        <v>738</v>
      </c>
      <c r="AE406" s="144">
        <v>266</v>
      </c>
      <c r="AF406" s="52">
        <v>456</v>
      </c>
      <c r="AG406" s="144">
        <v>2583</v>
      </c>
      <c r="AH406" s="53">
        <v>1475</v>
      </c>
      <c r="AI406" s="53">
        <v>1120</v>
      </c>
      <c r="AJ406" s="53">
        <v>521</v>
      </c>
      <c r="AK406" s="53">
        <v>504</v>
      </c>
      <c r="AL406" s="89">
        <v>163</v>
      </c>
      <c r="AM406" s="52">
        <v>500</v>
      </c>
      <c r="AN406" s="52">
        <v>536</v>
      </c>
      <c r="AO406" s="53">
        <v>165</v>
      </c>
      <c r="AP406" s="53">
        <v>549</v>
      </c>
      <c r="AQ406" s="53">
        <v>560</v>
      </c>
      <c r="AR406" s="53">
        <v>366</v>
      </c>
      <c r="AS406" s="52">
        <v>2436</v>
      </c>
      <c r="AT406" s="52">
        <v>1683</v>
      </c>
      <c r="AU406" s="52">
        <v>6417</v>
      </c>
      <c r="AV406" s="52">
        <v>231</v>
      </c>
      <c r="AW406" s="52">
        <v>389</v>
      </c>
      <c r="AX406" s="51">
        <v>2500</v>
      </c>
      <c r="AY406" s="53">
        <v>1200</v>
      </c>
      <c r="AZ406" s="53">
        <v>500</v>
      </c>
      <c r="BA406" s="53">
        <v>1000</v>
      </c>
      <c r="BB406" s="53">
        <v>250</v>
      </c>
      <c r="BC406" s="53">
        <v>440</v>
      </c>
      <c r="BD406" s="53">
        <v>750</v>
      </c>
      <c r="BE406" s="53">
        <v>400</v>
      </c>
      <c r="BF406" s="53">
        <v>100</v>
      </c>
      <c r="BG406" s="53">
        <v>200</v>
      </c>
      <c r="BH406" s="53">
        <v>500</v>
      </c>
      <c r="BI406" s="53">
        <v>600</v>
      </c>
      <c r="BJ406" s="53">
        <v>200</v>
      </c>
      <c r="BK406" s="53">
        <v>60</v>
      </c>
      <c r="BL406" s="53">
        <v>50</v>
      </c>
      <c r="BM406" s="53">
        <v>41</v>
      </c>
      <c r="BN406" s="53">
        <v>300</v>
      </c>
      <c r="BO406" s="53">
        <v>150</v>
      </c>
      <c r="BP406" s="53">
        <v>200</v>
      </c>
      <c r="BQ406" s="53" t="s">
        <v>264</v>
      </c>
      <c r="BR406" s="53" t="s">
        <v>264</v>
      </c>
      <c r="BS406" s="53" t="s">
        <v>264</v>
      </c>
      <c r="BT406" s="53" t="s">
        <v>264</v>
      </c>
      <c r="BU406" s="53" t="s">
        <v>264</v>
      </c>
      <c r="BV406" s="53" t="s">
        <v>264</v>
      </c>
      <c r="BW406" s="53" t="s">
        <v>264</v>
      </c>
      <c r="BX406" s="53" t="s">
        <v>264</v>
      </c>
      <c r="BY406" s="53" t="s">
        <v>264</v>
      </c>
      <c r="BZ406" s="53" t="s">
        <v>264</v>
      </c>
      <c r="CA406" s="53" t="s">
        <v>264</v>
      </c>
      <c r="CB406" s="53" t="s">
        <v>264</v>
      </c>
      <c r="CC406" s="53" t="s">
        <v>264</v>
      </c>
      <c r="CD406" s="53" t="s">
        <v>264</v>
      </c>
      <c r="CE406" s="53" t="s">
        <v>264</v>
      </c>
      <c r="CF406" s="53" t="s">
        <v>264</v>
      </c>
      <c r="CG406" s="53" t="s">
        <v>264</v>
      </c>
      <c r="CH406" s="53" t="s">
        <v>264</v>
      </c>
      <c r="CI406" s="53" t="s">
        <v>264</v>
      </c>
      <c r="CJ406" s="53" t="s">
        <v>264</v>
      </c>
      <c r="CK406" s="53" t="s">
        <v>264</v>
      </c>
      <c r="CL406" s="53" t="s">
        <v>264</v>
      </c>
      <c r="CM406" s="53" t="s">
        <v>264</v>
      </c>
      <c r="CN406" s="209"/>
      <c r="CO406" s="209"/>
      <c r="CP406" s="209"/>
      <c r="CQ406" s="8">
        <f t="shared" si="228"/>
        <v>41</v>
      </c>
      <c r="CR406" s="8">
        <f t="shared" si="229"/>
        <v>6417</v>
      </c>
      <c r="CS406" s="8">
        <f t="shared" si="230"/>
        <v>786.468085106383</v>
      </c>
      <c r="CT406">
        <f t="shared" si="231"/>
        <v>434.33385795825006</v>
      </c>
      <c r="CU406" s="143">
        <f t="shared" si="232"/>
        <v>575</v>
      </c>
      <c r="CV406" s="143">
        <f t="shared" si="233"/>
        <v>825.66666666666663</v>
      </c>
      <c r="CX406" s="7">
        <f t="shared" si="234"/>
        <v>60</v>
      </c>
      <c r="CY406" s="7">
        <f t="shared" si="235"/>
        <v>161.69999999999999</v>
      </c>
      <c r="CZ406" s="7">
        <f t="shared" si="236"/>
        <v>177.60000000000002</v>
      </c>
      <c r="DA406" s="7">
        <f t="shared" si="237"/>
        <v>200</v>
      </c>
      <c r="DB406" s="7">
        <f t="shared" si="238"/>
        <v>500</v>
      </c>
      <c r="DC406" s="7">
        <f t="shared" si="239"/>
        <v>530</v>
      </c>
      <c r="DD406" s="7">
        <f t="shared" si="240"/>
        <v>558.9</v>
      </c>
      <c r="DE406" s="7">
        <f t="shared" si="241"/>
        <v>785</v>
      </c>
      <c r="DF406" s="7">
        <f t="shared" si="242"/>
        <v>1227.5000000000005</v>
      </c>
      <c r="DH406" s="7">
        <f t="shared" si="243"/>
        <v>146.75</v>
      </c>
      <c r="DI406" s="7">
        <f t="shared" si="244"/>
        <v>174.95</v>
      </c>
      <c r="DJ406" s="7">
        <f t="shared" si="245"/>
        <v>245</v>
      </c>
      <c r="DK406" s="7">
        <f t="shared" si="246"/>
        <v>299.75</v>
      </c>
      <c r="DL406" s="7">
        <f t="shared" si="247"/>
        <v>528.5</v>
      </c>
      <c r="DM406" s="7">
        <f t="shared" si="248"/>
        <v>595.19999999999982</v>
      </c>
      <c r="DN406" s="7">
        <f t="shared" si="249"/>
        <v>737.1</v>
      </c>
      <c r="DO406" s="7">
        <f t="shared" si="250"/>
        <v>1120.25</v>
      </c>
      <c r="DP406" s="7">
        <f t="shared" si="251"/>
        <v>1672.6</v>
      </c>
      <c r="DR406" s="7">
        <f>_xlfn.PERCENTILE.INC((Y406:AD406,AF406:AN406,AP406,AR406:AS406,AV406),0.05)</f>
        <v>130.19999999999999</v>
      </c>
      <c r="DS406" s="7">
        <f>_xlfn.PERCENTILE.INC((Y406:AD406,AF406:AN406,AP406,AR406:AS406,AV406),0.15)</f>
        <v>169.3</v>
      </c>
      <c r="DT406" s="7">
        <f>_xlfn.PERCENTILE.INC((Y406:AD406,AF406:AN406,AP406,AR406:AS406,AV406),0.2)</f>
        <v>207.39999999999998</v>
      </c>
      <c r="DU406" s="7">
        <f>_xlfn.PERCENTILE.INC((Y406:AD406,AF406:AN406,AP406,AR406:AS406,AV406),0.25)</f>
        <v>271</v>
      </c>
      <c r="DV406" s="7">
        <f>_xlfn.PERCENTILE.INC((Y406:AD406,AF406:AN406,AP406,AR406:AS406,AV406),0.5)</f>
        <v>504</v>
      </c>
      <c r="DW406" s="7">
        <f>_xlfn.PERCENTILE.INC((Y406:AD406,AF406:AN406,AP406,AR406:AS406,AV406),0.6)</f>
        <v>533</v>
      </c>
      <c r="DX406" s="7">
        <f>_xlfn.PERCENTILE.INC((Y406:AD406,AF406:AN406,AP406,AR406:AS406,AV406),0.65)</f>
        <v>545.1</v>
      </c>
      <c r="DY406" s="7">
        <f>_xlfn.PERCENTILE.INC((Y406:AD406,AF406:AN406,AP406,AR406:AS406,AV406),0.75)</f>
        <v>929</v>
      </c>
      <c r="DZ406" s="7">
        <f>_xlfn.PERCENTILE.INC((Y406:AD406,AF406:AN406,AP406,AR406:AS406,AV406),0.85)</f>
        <v>1763.2999999999972</v>
      </c>
    </row>
    <row r="407" spans="1:130" ht="25.5" customHeight="1" x14ac:dyDescent="0.25">
      <c r="A407" s="92" t="str">
        <f t="shared" si="252"/>
        <v>CK-NoKy [32]</v>
      </c>
      <c r="B407" s="92" t="str">
        <f t="shared" si="253"/>
        <v>Nootka and Kyuquot</v>
      </c>
      <c r="C407" s="93" t="str">
        <f t="shared" si="225"/>
        <v>LITTLE ZEBALLOS RIVER_Chinook</v>
      </c>
      <c r="D407" s="128" t="s">
        <v>598</v>
      </c>
      <c r="E407" s="128" t="s">
        <v>598</v>
      </c>
      <c r="F407" s="64">
        <v>25</v>
      </c>
      <c r="G407" s="72" t="s">
        <v>240</v>
      </c>
      <c r="H407" s="65" t="s">
        <v>97</v>
      </c>
      <c r="I407" s="119"/>
      <c r="J407" s="119"/>
      <c r="K407" s="64">
        <v>4</v>
      </c>
      <c r="L407" s="52">
        <v>10</v>
      </c>
      <c r="M407" s="52">
        <v>8</v>
      </c>
      <c r="N407" s="52">
        <f t="shared" si="254"/>
        <v>16.615695711315105</v>
      </c>
      <c r="O407" s="52">
        <f t="shared" si="255"/>
        <v>900</v>
      </c>
      <c r="P407" s="52">
        <f t="shared" si="256"/>
        <v>31.983203592092615</v>
      </c>
      <c r="Q407" s="66"/>
      <c r="R407" s="39"/>
      <c r="S407" s="74"/>
      <c r="T407" s="81">
        <f t="shared" si="226"/>
        <v>30</v>
      </c>
      <c r="U407" s="81">
        <f t="shared" si="227"/>
        <v>33.5</v>
      </c>
      <c r="V407" s="52" t="s">
        <v>102</v>
      </c>
      <c r="W407" s="52" t="s">
        <v>102</v>
      </c>
      <c r="X407" s="52">
        <v>13</v>
      </c>
      <c r="Y407" s="52">
        <v>47</v>
      </c>
      <c r="Z407" s="52" t="s">
        <v>263</v>
      </c>
      <c r="AA407" s="52">
        <v>11</v>
      </c>
      <c r="AB407" s="52">
        <v>106</v>
      </c>
      <c r="AC407" s="52">
        <v>10</v>
      </c>
      <c r="AD407" s="52" t="s">
        <v>262</v>
      </c>
      <c r="AE407" s="53">
        <v>14</v>
      </c>
      <c r="AF407" s="52">
        <v>21</v>
      </c>
      <c r="AG407" s="144">
        <v>46</v>
      </c>
      <c r="AH407" s="53">
        <v>15</v>
      </c>
      <c r="AI407" s="53">
        <v>35</v>
      </c>
      <c r="AJ407" s="53">
        <v>5</v>
      </c>
      <c r="AK407" s="53">
        <v>7</v>
      </c>
      <c r="AL407" s="89" t="s">
        <v>262</v>
      </c>
      <c r="AM407" s="52">
        <v>26</v>
      </c>
      <c r="AN407" s="52">
        <v>17</v>
      </c>
      <c r="AO407" s="53">
        <v>8</v>
      </c>
      <c r="AP407" s="53">
        <v>25</v>
      </c>
      <c r="AQ407" s="53">
        <v>15</v>
      </c>
      <c r="AR407" s="53">
        <v>12</v>
      </c>
      <c r="AS407" s="52">
        <v>30</v>
      </c>
      <c r="AT407" s="52">
        <v>96</v>
      </c>
      <c r="AU407" s="52" t="s">
        <v>262</v>
      </c>
      <c r="AV407" s="52" t="s">
        <v>262</v>
      </c>
      <c r="AW407" s="52" t="s">
        <v>102</v>
      </c>
      <c r="AX407" s="51" t="s">
        <v>264</v>
      </c>
      <c r="AY407" s="53" t="s">
        <v>262</v>
      </c>
      <c r="AZ407" s="53" t="s">
        <v>102</v>
      </c>
      <c r="BA407" s="53" t="s">
        <v>262</v>
      </c>
      <c r="BB407" s="53" t="s">
        <v>264</v>
      </c>
      <c r="BC407" s="53" t="s">
        <v>264</v>
      </c>
      <c r="BD407" s="53" t="s">
        <v>102</v>
      </c>
      <c r="BE407" s="53" t="s">
        <v>264</v>
      </c>
      <c r="BF407" s="53" t="s">
        <v>264</v>
      </c>
      <c r="BG407" s="53" t="s">
        <v>262</v>
      </c>
      <c r="BH407" s="53" t="s">
        <v>262</v>
      </c>
      <c r="BI407" s="53" t="s">
        <v>264</v>
      </c>
      <c r="BJ407" s="53" t="s">
        <v>264</v>
      </c>
      <c r="BK407" s="53" t="s">
        <v>264</v>
      </c>
      <c r="BL407" s="53" t="s">
        <v>264</v>
      </c>
      <c r="BM407" s="53">
        <v>15</v>
      </c>
      <c r="BN407" s="53">
        <v>10</v>
      </c>
      <c r="BO407" s="53">
        <v>10</v>
      </c>
      <c r="BP407" s="53">
        <v>25</v>
      </c>
      <c r="BQ407" s="53">
        <v>25</v>
      </c>
      <c r="BR407" s="53">
        <v>25</v>
      </c>
      <c r="BS407" s="53">
        <v>25</v>
      </c>
      <c r="BT407" s="53">
        <v>25</v>
      </c>
      <c r="BU407" s="53">
        <v>25</v>
      </c>
      <c r="BV407" s="53">
        <v>25</v>
      </c>
      <c r="BW407" s="53">
        <v>25</v>
      </c>
      <c r="BX407" s="53">
        <v>75</v>
      </c>
      <c r="BY407" s="53">
        <v>75</v>
      </c>
      <c r="BZ407" s="53">
        <v>900</v>
      </c>
      <c r="CA407" s="53">
        <v>200</v>
      </c>
      <c r="CB407" s="53">
        <v>200</v>
      </c>
      <c r="CC407" s="53">
        <v>100</v>
      </c>
      <c r="CD407" s="53">
        <v>75</v>
      </c>
      <c r="CE407" s="53">
        <v>75</v>
      </c>
      <c r="CF407" s="53">
        <v>25</v>
      </c>
      <c r="CG407" s="53">
        <v>25</v>
      </c>
      <c r="CH407" s="53" t="s">
        <v>262</v>
      </c>
      <c r="CI407" s="53" t="s">
        <v>262</v>
      </c>
      <c r="CJ407" s="53" t="s">
        <v>262</v>
      </c>
      <c r="CK407" s="53">
        <v>25</v>
      </c>
      <c r="CL407" s="53">
        <v>30</v>
      </c>
      <c r="CM407" s="53">
        <v>75</v>
      </c>
      <c r="CN407" s="206"/>
      <c r="CO407" s="206"/>
      <c r="CP407" s="206"/>
      <c r="CQ407" s="8">
        <f t="shared" si="228"/>
        <v>5</v>
      </c>
      <c r="CR407" s="8">
        <f t="shared" si="229"/>
        <v>900</v>
      </c>
      <c r="CS407" s="8">
        <f t="shared" si="230"/>
        <v>60.772727272727273</v>
      </c>
      <c r="CT407">
        <f t="shared" si="231"/>
        <v>29.809101468099662</v>
      </c>
      <c r="CU407" s="143">
        <f t="shared" si="232"/>
        <v>30</v>
      </c>
      <c r="CV407" s="143">
        <f t="shared" si="233"/>
        <v>33.5</v>
      </c>
      <c r="CX407" s="7">
        <f t="shared" si="234"/>
        <v>8.3000000000000007</v>
      </c>
      <c r="CY407" s="7">
        <f t="shared" si="235"/>
        <v>11.45</v>
      </c>
      <c r="CZ407" s="7">
        <f t="shared" si="236"/>
        <v>13.6</v>
      </c>
      <c r="DA407" s="7">
        <f t="shared" si="237"/>
        <v>15</v>
      </c>
      <c r="DB407" s="7">
        <f t="shared" si="238"/>
        <v>25</v>
      </c>
      <c r="DC407" s="7">
        <f t="shared" si="239"/>
        <v>25</v>
      </c>
      <c r="DD407" s="7">
        <f t="shared" si="240"/>
        <v>29.799999999999997</v>
      </c>
      <c r="DE407" s="7">
        <f t="shared" si="241"/>
        <v>54</v>
      </c>
      <c r="DF407" s="7">
        <f t="shared" si="242"/>
        <v>75</v>
      </c>
      <c r="DH407" s="7">
        <f t="shared" si="243"/>
        <v>6.9</v>
      </c>
      <c r="DI407" s="7">
        <f t="shared" si="244"/>
        <v>9.6999999999999993</v>
      </c>
      <c r="DJ407" s="7">
        <f t="shared" si="245"/>
        <v>10.8</v>
      </c>
      <c r="DK407" s="7">
        <f t="shared" si="246"/>
        <v>11.75</v>
      </c>
      <c r="DL407" s="7">
        <f t="shared" si="247"/>
        <v>16</v>
      </c>
      <c r="DM407" s="7">
        <f t="shared" si="248"/>
        <v>22.6</v>
      </c>
      <c r="DN407" s="7">
        <f t="shared" si="249"/>
        <v>25.35</v>
      </c>
      <c r="DO407" s="7">
        <f t="shared" si="250"/>
        <v>31.25</v>
      </c>
      <c r="DP407" s="7">
        <f t="shared" si="251"/>
        <v>46.15</v>
      </c>
    </row>
    <row r="408" spans="1:130" ht="25.5" hidden="1" customHeight="1" x14ac:dyDescent="0.25">
      <c r="A408" s="92" t="str">
        <f t="shared" si="252"/>
        <v>CM-SWVI [10]</v>
      </c>
      <c r="B408" s="92" t="str">
        <f t="shared" si="253"/>
        <v>Southwest Vancouver Island</v>
      </c>
      <c r="C408" s="93" t="str">
        <f t="shared" si="225"/>
        <v>LITTLE ZEBALLOS RIVER_Chum</v>
      </c>
      <c r="D408" s="128" t="s">
        <v>598</v>
      </c>
      <c r="E408" s="128" t="s">
        <v>598</v>
      </c>
      <c r="F408" s="64">
        <v>25</v>
      </c>
      <c r="G408" s="72" t="s">
        <v>240</v>
      </c>
      <c r="H408" s="67" t="s">
        <v>96</v>
      </c>
      <c r="I408" s="119"/>
      <c r="J408" s="119"/>
      <c r="K408" s="64">
        <v>4</v>
      </c>
      <c r="L408" s="52">
        <v>10</v>
      </c>
      <c r="M408" s="52">
        <v>10</v>
      </c>
      <c r="N408" s="52">
        <f t="shared" si="254"/>
        <v>1484.7447120462298</v>
      </c>
      <c r="O408" s="52">
        <f t="shared" si="255"/>
        <v>23580</v>
      </c>
      <c r="P408" s="52">
        <f t="shared" si="256"/>
        <v>1190.031548695827</v>
      </c>
      <c r="Q408" s="66"/>
      <c r="R408" s="39"/>
      <c r="S408" s="75"/>
      <c r="T408" s="81">
        <f t="shared" si="226"/>
        <v>608</v>
      </c>
      <c r="U408" s="81">
        <f t="shared" si="227"/>
        <v>2564.4</v>
      </c>
      <c r="V408" s="52" t="s">
        <v>102</v>
      </c>
      <c r="W408" s="52" t="s">
        <v>102</v>
      </c>
      <c r="X408" s="52">
        <v>382</v>
      </c>
      <c r="Y408" s="52">
        <v>834</v>
      </c>
      <c r="Z408" s="52">
        <v>711</v>
      </c>
      <c r="AA408" s="52">
        <v>300</v>
      </c>
      <c r="AB408" s="52">
        <v>986</v>
      </c>
      <c r="AC408" s="52">
        <v>3837</v>
      </c>
      <c r="AD408" s="52">
        <v>247</v>
      </c>
      <c r="AE408" s="53">
        <v>2322</v>
      </c>
      <c r="AF408" s="52">
        <v>3430</v>
      </c>
      <c r="AG408" s="144">
        <v>12595</v>
      </c>
      <c r="AH408" s="53">
        <v>4930</v>
      </c>
      <c r="AI408" s="53">
        <v>4900</v>
      </c>
      <c r="AJ408" s="53">
        <v>2231</v>
      </c>
      <c r="AK408" s="53">
        <v>3845</v>
      </c>
      <c r="AL408" s="89">
        <v>12</v>
      </c>
      <c r="AM408" s="52">
        <v>1507</v>
      </c>
      <c r="AN408" s="52">
        <v>7184</v>
      </c>
      <c r="AO408" s="53">
        <v>920</v>
      </c>
      <c r="AP408" s="52">
        <v>1383</v>
      </c>
      <c r="AQ408" s="52">
        <v>900</v>
      </c>
      <c r="AR408" s="53">
        <v>800</v>
      </c>
      <c r="AS408" s="52">
        <v>3277</v>
      </c>
      <c r="AT408" s="52">
        <v>23580</v>
      </c>
      <c r="AU408" s="52">
        <v>1200</v>
      </c>
      <c r="AV408" s="52">
        <v>1800</v>
      </c>
      <c r="AW408" s="52" t="s">
        <v>102</v>
      </c>
      <c r="AX408" s="51">
        <v>2200</v>
      </c>
      <c r="AY408" s="53">
        <v>7500</v>
      </c>
      <c r="AZ408" s="53">
        <v>9800</v>
      </c>
      <c r="BA408" s="53">
        <v>10900</v>
      </c>
      <c r="BB408" s="53">
        <v>900</v>
      </c>
      <c r="BC408" s="53">
        <v>1000</v>
      </c>
      <c r="BD408" s="53" t="s">
        <v>102</v>
      </c>
      <c r="BE408" s="53">
        <v>1200</v>
      </c>
      <c r="BF408" s="53">
        <v>1800</v>
      </c>
      <c r="BG408" s="53">
        <v>3500</v>
      </c>
      <c r="BH408" s="53">
        <v>4000</v>
      </c>
      <c r="BI408" s="53">
        <v>2050</v>
      </c>
      <c r="BJ408" s="53">
        <v>1500</v>
      </c>
      <c r="BK408" s="53">
        <v>200</v>
      </c>
      <c r="BL408" s="53">
        <v>3200</v>
      </c>
      <c r="BM408" s="53">
        <v>400</v>
      </c>
      <c r="BN408" s="53">
        <v>2000</v>
      </c>
      <c r="BO408" s="53">
        <v>500</v>
      </c>
      <c r="BP408" s="53">
        <v>1500</v>
      </c>
      <c r="BQ408" s="53">
        <v>75</v>
      </c>
      <c r="BR408" s="53">
        <v>3500</v>
      </c>
      <c r="BS408" s="53">
        <v>1500</v>
      </c>
      <c r="BT408" s="53">
        <v>1200</v>
      </c>
      <c r="BU408" s="53">
        <v>25</v>
      </c>
      <c r="BV408" s="53">
        <v>400</v>
      </c>
      <c r="BW408" s="53">
        <v>400</v>
      </c>
      <c r="BX408" s="53">
        <v>1500</v>
      </c>
      <c r="BY408" s="53">
        <v>400</v>
      </c>
      <c r="BZ408" s="53">
        <v>600</v>
      </c>
      <c r="CA408" s="53">
        <v>750</v>
      </c>
      <c r="CB408" s="53">
        <v>3500</v>
      </c>
      <c r="CC408" s="53">
        <v>1500</v>
      </c>
      <c r="CD408" s="53">
        <v>400</v>
      </c>
      <c r="CE408" s="53">
        <v>750</v>
      </c>
      <c r="CF408" s="53">
        <v>3500</v>
      </c>
      <c r="CG408" s="53">
        <v>400</v>
      </c>
      <c r="CH408" s="53">
        <v>750</v>
      </c>
      <c r="CI408" s="53">
        <v>750</v>
      </c>
      <c r="CJ408" s="53">
        <v>750</v>
      </c>
      <c r="CK408" s="53">
        <v>750</v>
      </c>
      <c r="CL408" s="53">
        <v>1000</v>
      </c>
      <c r="CM408" s="53">
        <v>3500</v>
      </c>
      <c r="CN408" s="206"/>
      <c r="CO408" s="206"/>
      <c r="CP408" s="206"/>
      <c r="CQ408" s="8">
        <f t="shared" si="228"/>
        <v>12</v>
      </c>
      <c r="CR408" s="8">
        <f t="shared" si="229"/>
        <v>23580</v>
      </c>
      <c r="CS408" s="8">
        <f t="shared" si="230"/>
        <v>2517.621212121212</v>
      </c>
      <c r="CT408">
        <f t="shared" si="231"/>
        <v>1244.3991722839949</v>
      </c>
      <c r="CU408" s="143">
        <f t="shared" si="232"/>
        <v>642.33333333333337</v>
      </c>
      <c r="CV408" s="143">
        <f t="shared" si="233"/>
        <v>2564.4</v>
      </c>
      <c r="CX408" s="7">
        <f t="shared" si="234"/>
        <v>211.75</v>
      </c>
      <c r="CY408" s="7">
        <f t="shared" si="235"/>
        <v>400</v>
      </c>
      <c r="CZ408" s="7">
        <f t="shared" si="236"/>
        <v>500</v>
      </c>
      <c r="DA408" s="7">
        <f t="shared" si="237"/>
        <v>750</v>
      </c>
      <c r="DB408" s="7">
        <f t="shared" si="238"/>
        <v>1291.5</v>
      </c>
      <c r="DC408" s="7">
        <f t="shared" si="239"/>
        <v>1507</v>
      </c>
      <c r="DD408" s="7">
        <f t="shared" si="240"/>
        <v>2012.5</v>
      </c>
      <c r="DE408" s="7">
        <f t="shared" si="241"/>
        <v>3391.75</v>
      </c>
      <c r="DF408" s="7">
        <f t="shared" si="242"/>
        <v>3839</v>
      </c>
      <c r="DH408" s="7">
        <f t="shared" si="243"/>
        <v>257.60000000000002</v>
      </c>
      <c r="DI408" s="7">
        <f t="shared" si="244"/>
        <v>579.39999999999986</v>
      </c>
      <c r="DJ408" s="7">
        <f t="shared" si="245"/>
        <v>782.2</v>
      </c>
      <c r="DK408" s="7">
        <f t="shared" si="246"/>
        <v>834</v>
      </c>
      <c r="DL408" s="7">
        <f t="shared" si="247"/>
        <v>1507</v>
      </c>
      <c r="DM408" s="7">
        <f t="shared" si="248"/>
        <v>2267.4</v>
      </c>
      <c r="DN408" s="7">
        <f t="shared" si="249"/>
        <v>2895.0000000000014</v>
      </c>
      <c r="DO408" s="7">
        <f t="shared" si="250"/>
        <v>3837</v>
      </c>
      <c r="DP408" s="7">
        <f t="shared" si="251"/>
        <v>4912</v>
      </c>
    </row>
    <row r="409" spans="1:130" ht="25.5" hidden="1" customHeight="1" x14ac:dyDescent="0.25">
      <c r="A409" s="92" t="str">
        <f t="shared" si="252"/>
        <v>CO-WVI [17]</v>
      </c>
      <c r="B409" s="92" t="str">
        <f t="shared" si="253"/>
        <v>West Vancouver Island</v>
      </c>
      <c r="C409" s="93" t="str">
        <f t="shared" si="225"/>
        <v>LITTLE ZEBALLOS RIVER_Coho</v>
      </c>
      <c r="D409" s="128" t="s">
        <v>598</v>
      </c>
      <c r="E409" s="128" t="s">
        <v>598</v>
      </c>
      <c r="F409" s="64">
        <v>25</v>
      </c>
      <c r="G409" s="72" t="s">
        <v>240</v>
      </c>
      <c r="H409" s="65" t="s">
        <v>93</v>
      </c>
      <c r="I409" s="119"/>
      <c r="J409" s="119"/>
      <c r="K409" s="64">
        <v>4</v>
      </c>
      <c r="L409" s="52">
        <v>10</v>
      </c>
      <c r="M409" s="52">
        <v>10</v>
      </c>
      <c r="N409" s="52">
        <f t="shared" si="254"/>
        <v>395.59648098658727</v>
      </c>
      <c r="O409" s="52">
        <f t="shared" si="255"/>
        <v>3500</v>
      </c>
      <c r="P409" s="52">
        <f t="shared" si="256"/>
        <v>225.89383620733105</v>
      </c>
      <c r="Q409" s="66"/>
      <c r="R409" s="39"/>
      <c r="S409" s="74"/>
      <c r="T409" s="81">
        <f t="shared" si="226"/>
        <v>72</v>
      </c>
      <c r="U409" s="81">
        <f t="shared" si="227"/>
        <v>329.9</v>
      </c>
      <c r="V409" s="52" t="s">
        <v>102</v>
      </c>
      <c r="W409" s="52" t="s">
        <v>102</v>
      </c>
      <c r="X409" s="52">
        <v>44</v>
      </c>
      <c r="Y409" s="52">
        <v>100</v>
      </c>
      <c r="Z409" s="52">
        <v>116</v>
      </c>
      <c r="AA409" s="52">
        <v>583</v>
      </c>
      <c r="AB409" s="52">
        <v>618</v>
      </c>
      <c r="AC409" s="52">
        <v>109</v>
      </c>
      <c r="AD409" s="52">
        <v>213</v>
      </c>
      <c r="AE409" s="53">
        <v>476</v>
      </c>
      <c r="AF409" s="52">
        <v>323</v>
      </c>
      <c r="AG409" s="144">
        <v>717</v>
      </c>
      <c r="AH409" s="53">
        <v>800</v>
      </c>
      <c r="AI409" s="53">
        <v>835</v>
      </c>
      <c r="AJ409" s="53">
        <v>531</v>
      </c>
      <c r="AK409" s="53">
        <v>164</v>
      </c>
      <c r="AL409" s="89" t="s">
        <v>262</v>
      </c>
      <c r="AM409" s="52">
        <v>125</v>
      </c>
      <c r="AN409" s="52">
        <v>750</v>
      </c>
      <c r="AO409" s="53">
        <v>410</v>
      </c>
      <c r="AP409" s="53">
        <v>558</v>
      </c>
      <c r="AQ409" s="53">
        <v>850</v>
      </c>
      <c r="AR409" s="53">
        <v>550</v>
      </c>
      <c r="AS409" s="52">
        <v>461</v>
      </c>
      <c r="AT409" s="52">
        <v>615</v>
      </c>
      <c r="AU409" s="52">
        <v>150</v>
      </c>
      <c r="AV409" s="52" t="s">
        <v>263</v>
      </c>
      <c r="AW409" s="52" t="s">
        <v>102</v>
      </c>
      <c r="AX409" s="51" t="s">
        <v>262</v>
      </c>
      <c r="AY409" s="53">
        <v>100</v>
      </c>
      <c r="AZ409" s="53" t="s">
        <v>102</v>
      </c>
      <c r="BA409" s="53">
        <v>30</v>
      </c>
      <c r="BB409" s="53">
        <v>40</v>
      </c>
      <c r="BC409" s="53" t="s">
        <v>262</v>
      </c>
      <c r="BD409" s="53" t="s">
        <v>102</v>
      </c>
      <c r="BE409" s="53">
        <v>300</v>
      </c>
      <c r="BF409" s="53">
        <v>50</v>
      </c>
      <c r="BG409" s="53">
        <v>50</v>
      </c>
      <c r="BH409" s="53" t="s">
        <v>262</v>
      </c>
      <c r="BI409" s="53" t="s">
        <v>264</v>
      </c>
      <c r="BJ409" s="53" t="s">
        <v>264</v>
      </c>
      <c r="BK409" s="53" t="s">
        <v>264</v>
      </c>
      <c r="BL409" s="53" t="s">
        <v>264</v>
      </c>
      <c r="BM409" s="53">
        <v>120</v>
      </c>
      <c r="BN409" s="53">
        <v>100</v>
      </c>
      <c r="BO409" s="53">
        <v>200</v>
      </c>
      <c r="BP409" s="53">
        <v>25</v>
      </c>
      <c r="BQ409" s="53">
        <v>200</v>
      </c>
      <c r="BR409" s="53">
        <v>25</v>
      </c>
      <c r="BS409" s="53">
        <v>25</v>
      </c>
      <c r="BT409" s="53">
        <v>1200</v>
      </c>
      <c r="BU409" s="53">
        <v>750</v>
      </c>
      <c r="BV409" s="53">
        <v>400</v>
      </c>
      <c r="BW409" s="53">
        <v>200</v>
      </c>
      <c r="BX409" s="53">
        <v>750</v>
      </c>
      <c r="BY409" s="53">
        <v>200</v>
      </c>
      <c r="BZ409" s="53">
        <v>2500</v>
      </c>
      <c r="CA409" s="53">
        <v>3500</v>
      </c>
      <c r="CB409" s="53">
        <v>3500</v>
      </c>
      <c r="CC409" s="53">
        <v>250</v>
      </c>
      <c r="CD409" s="53">
        <v>200</v>
      </c>
      <c r="CE409" s="53">
        <v>200</v>
      </c>
      <c r="CF409" s="53">
        <v>200</v>
      </c>
      <c r="CG409" s="53">
        <v>200</v>
      </c>
      <c r="CH409" s="53">
        <v>25</v>
      </c>
      <c r="CI409" s="53">
        <v>200</v>
      </c>
      <c r="CJ409" s="53">
        <v>75</v>
      </c>
      <c r="CK409" s="53">
        <v>200</v>
      </c>
      <c r="CL409" s="53">
        <v>100</v>
      </c>
      <c r="CM409" s="53">
        <v>1500</v>
      </c>
      <c r="CN409" s="206"/>
      <c r="CO409" s="206"/>
      <c r="CP409" s="206"/>
      <c r="CQ409" s="8">
        <f t="shared" si="228"/>
        <v>25</v>
      </c>
      <c r="CR409" s="8">
        <f t="shared" si="229"/>
        <v>3500</v>
      </c>
      <c r="CS409" s="8">
        <f t="shared" si="230"/>
        <v>491.30357142857144</v>
      </c>
      <c r="CT409">
        <f t="shared" si="231"/>
        <v>237.81376778613756</v>
      </c>
      <c r="CU409" s="143">
        <f t="shared" si="232"/>
        <v>86.666666666666671</v>
      </c>
      <c r="CV409" s="143">
        <f t="shared" si="233"/>
        <v>329.9</v>
      </c>
      <c r="CX409" s="7">
        <f t="shared" si="234"/>
        <v>25</v>
      </c>
      <c r="CY409" s="7">
        <f t="shared" si="235"/>
        <v>56.25</v>
      </c>
      <c r="CZ409" s="7">
        <f t="shared" si="236"/>
        <v>100</v>
      </c>
      <c r="DA409" s="7">
        <f t="shared" si="237"/>
        <v>106.75</v>
      </c>
      <c r="DB409" s="7">
        <f t="shared" si="238"/>
        <v>200</v>
      </c>
      <c r="DC409" s="7">
        <f t="shared" si="239"/>
        <v>323</v>
      </c>
      <c r="DD409" s="7">
        <f t="shared" si="240"/>
        <v>448.25</v>
      </c>
      <c r="DE409" s="7">
        <f t="shared" si="241"/>
        <v>591</v>
      </c>
      <c r="DF409" s="7">
        <f t="shared" si="242"/>
        <v>750</v>
      </c>
      <c r="DH409" s="7">
        <f t="shared" si="243"/>
        <v>100.9</v>
      </c>
      <c r="DI409" s="7">
        <f t="shared" si="244"/>
        <v>118.7</v>
      </c>
      <c r="DJ409" s="7">
        <f t="shared" si="245"/>
        <v>135</v>
      </c>
      <c r="DK409" s="7">
        <f t="shared" si="246"/>
        <v>157</v>
      </c>
      <c r="DL409" s="7">
        <f t="shared" si="247"/>
        <v>476</v>
      </c>
      <c r="DM409" s="7">
        <f t="shared" si="248"/>
        <v>551.6</v>
      </c>
      <c r="DN409" s="7">
        <f t="shared" si="249"/>
        <v>565.5</v>
      </c>
      <c r="DO409" s="7">
        <f t="shared" si="250"/>
        <v>616.5</v>
      </c>
      <c r="DP409" s="7">
        <f t="shared" si="251"/>
        <v>740.1</v>
      </c>
    </row>
    <row r="410" spans="1:130" ht="25.5" hidden="1" customHeight="1" x14ac:dyDescent="0.25">
      <c r="A410" s="92" t="str">
        <f t="shared" si="252"/>
        <v>SK-WVI [R10]</v>
      </c>
      <c r="B410" s="92" t="str">
        <f t="shared" si="253"/>
        <v>West Vancouver Island</v>
      </c>
      <c r="C410" s="93" t="str">
        <f t="shared" si="225"/>
        <v>LITTLE ZEBALLOS RIVER_Sockeye</v>
      </c>
      <c r="D410" s="128" t="s">
        <v>598</v>
      </c>
      <c r="E410" s="128" t="s">
        <v>598</v>
      </c>
      <c r="F410" s="64">
        <v>25</v>
      </c>
      <c r="G410" s="72" t="s">
        <v>240</v>
      </c>
      <c r="H410" s="65" t="s">
        <v>91</v>
      </c>
      <c r="I410" s="119"/>
      <c r="J410" s="119"/>
      <c r="K410" s="64">
        <v>4</v>
      </c>
      <c r="L410" s="52">
        <v>10</v>
      </c>
      <c r="M410" s="52">
        <v>9</v>
      </c>
      <c r="N410" s="52">
        <f t="shared" si="254"/>
        <v>49.199633350250835</v>
      </c>
      <c r="O410" s="52">
        <f t="shared" si="255"/>
        <v>1629</v>
      </c>
      <c r="P410" s="52">
        <f t="shared" si="256"/>
        <v>53.928299200015317</v>
      </c>
      <c r="Q410" s="66"/>
      <c r="R410" s="39"/>
      <c r="S410" s="74"/>
      <c r="T410" s="81">
        <f t="shared" si="226"/>
        <v>21</v>
      </c>
      <c r="U410" s="81">
        <f t="shared" si="227"/>
        <v>55.285714285714285</v>
      </c>
      <c r="V410" s="52" t="s">
        <v>102</v>
      </c>
      <c r="W410" s="52" t="s">
        <v>102</v>
      </c>
      <c r="X410" s="52">
        <v>38</v>
      </c>
      <c r="Y410" s="52">
        <v>4</v>
      </c>
      <c r="Z410" s="52">
        <v>44</v>
      </c>
      <c r="AA410" s="52" t="s">
        <v>263</v>
      </c>
      <c r="AB410" s="52">
        <v>126</v>
      </c>
      <c r="AC410" s="52">
        <v>11</v>
      </c>
      <c r="AD410" s="52">
        <v>34</v>
      </c>
      <c r="AE410" s="53" t="s">
        <v>263</v>
      </c>
      <c r="AF410" s="52" t="s">
        <v>263</v>
      </c>
      <c r="AG410" s="144">
        <v>130</v>
      </c>
      <c r="AH410" s="53">
        <v>150</v>
      </c>
      <c r="AI410" s="53">
        <v>65</v>
      </c>
      <c r="AJ410" s="53">
        <v>83</v>
      </c>
      <c r="AK410" s="53">
        <v>22</v>
      </c>
      <c r="AL410" s="89" t="s">
        <v>262</v>
      </c>
      <c r="AM410" s="52">
        <v>6</v>
      </c>
      <c r="AN410" s="52">
        <v>39</v>
      </c>
      <c r="AO410" s="53">
        <v>18</v>
      </c>
      <c r="AP410" s="53">
        <v>18</v>
      </c>
      <c r="AQ410" s="53">
        <v>35</v>
      </c>
      <c r="AR410" s="53">
        <v>35</v>
      </c>
      <c r="AS410" s="52">
        <v>74</v>
      </c>
      <c r="AT410" s="52">
        <v>1629</v>
      </c>
      <c r="AU410" s="52">
        <v>200</v>
      </c>
      <c r="AV410" s="52" t="s">
        <v>262</v>
      </c>
      <c r="AW410" s="52" t="s">
        <v>102</v>
      </c>
      <c r="AX410" s="51" t="s">
        <v>264</v>
      </c>
      <c r="AY410" s="53">
        <v>750</v>
      </c>
      <c r="AZ410" s="53" t="s">
        <v>102</v>
      </c>
      <c r="BA410" s="53">
        <v>20</v>
      </c>
      <c r="BB410" s="53" t="s">
        <v>264</v>
      </c>
      <c r="BC410" s="53" t="s">
        <v>264</v>
      </c>
      <c r="BD410" s="53" t="s">
        <v>102</v>
      </c>
      <c r="BE410" s="53" t="s">
        <v>264</v>
      </c>
      <c r="BF410" s="53" t="s">
        <v>264</v>
      </c>
      <c r="BG410" s="53" t="s">
        <v>264</v>
      </c>
      <c r="BH410" s="53" t="s">
        <v>262</v>
      </c>
      <c r="BI410" s="53">
        <v>150</v>
      </c>
      <c r="BJ410" s="53" t="s">
        <v>264</v>
      </c>
      <c r="BK410" s="53">
        <v>50</v>
      </c>
      <c r="BL410" s="53" t="s">
        <v>264</v>
      </c>
      <c r="BM410" s="53">
        <v>60</v>
      </c>
      <c r="BN410" s="53">
        <v>10</v>
      </c>
      <c r="BO410" s="53" t="s">
        <v>264</v>
      </c>
      <c r="BP410" s="53" t="s">
        <v>264</v>
      </c>
      <c r="BQ410" s="53" t="s">
        <v>264</v>
      </c>
      <c r="BR410" s="53" t="s">
        <v>264</v>
      </c>
      <c r="BS410" s="53" t="s">
        <v>264</v>
      </c>
      <c r="BT410" s="53" t="s">
        <v>264</v>
      </c>
      <c r="BU410" s="53" t="s">
        <v>264</v>
      </c>
      <c r="BV410" s="53" t="s">
        <v>264</v>
      </c>
      <c r="BW410" s="53" t="s">
        <v>264</v>
      </c>
      <c r="BX410" s="53" t="s">
        <v>264</v>
      </c>
      <c r="BY410" s="53" t="s">
        <v>264</v>
      </c>
      <c r="BZ410" s="53" t="s">
        <v>264</v>
      </c>
      <c r="CA410" s="53" t="s">
        <v>264</v>
      </c>
      <c r="CB410" s="53" t="s">
        <v>264</v>
      </c>
      <c r="CC410" s="53" t="s">
        <v>264</v>
      </c>
      <c r="CD410" s="53" t="s">
        <v>264</v>
      </c>
      <c r="CE410" s="53" t="s">
        <v>264</v>
      </c>
      <c r="CF410" s="53" t="s">
        <v>264</v>
      </c>
      <c r="CG410" s="53" t="s">
        <v>264</v>
      </c>
      <c r="CH410" s="53" t="s">
        <v>264</v>
      </c>
      <c r="CI410" s="53" t="s">
        <v>264</v>
      </c>
      <c r="CJ410" s="53" t="s">
        <v>264</v>
      </c>
      <c r="CK410" s="53" t="s">
        <v>264</v>
      </c>
      <c r="CL410" s="53" t="s">
        <v>264</v>
      </c>
      <c r="CM410" s="53" t="s">
        <v>264</v>
      </c>
      <c r="CN410" s="206"/>
      <c r="CO410" s="206"/>
      <c r="CP410" s="206"/>
      <c r="CQ410" s="8">
        <f t="shared" si="228"/>
        <v>4</v>
      </c>
      <c r="CR410" s="8">
        <f t="shared" si="229"/>
        <v>1629</v>
      </c>
      <c r="CS410" s="8">
        <f t="shared" si="230"/>
        <v>146.19230769230768</v>
      </c>
      <c r="CT410">
        <f t="shared" si="231"/>
        <v>49.423936607029617</v>
      </c>
      <c r="CU410" s="143">
        <f t="shared" si="232"/>
        <v>28.666666666666668</v>
      </c>
      <c r="CV410" s="143">
        <f t="shared" si="233"/>
        <v>55.285714285714285</v>
      </c>
      <c r="CX410" s="7">
        <f t="shared" si="234"/>
        <v>7</v>
      </c>
      <c r="CY410" s="7">
        <f t="shared" si="235"/>
        <v>16.25</v>
      </c>
      <c r="CZ410" s="7">
        <f t="shared" si="236"/>
        <v>18</v>
      </c>
      <c r="DA410" s="7">
        <f t="shared" si="237"/>
        <v>20.5</v>
      </c>
      <c r="DB410" s="7">
        <f t="shared" si="238"/>
        <v>41.5</v>
      </c>
      <c r="DC410" s="7">
        <f t="shared" si="239"/>
        <v>60</v>
      </c>
      <c r="DD410" s="7">
        <f t="shared" si="240"/>
        <v>67.25</v>
      </c>
      <c r="DE410" s="7">
        <f t="shared" si="241"/>
        <v>115.25</v>
      </c>
      <c r="DF410" s="7">
        <f t="shared" si="242"/>
        <v>150</v>
      </c>
      <c r="DH410" s="7">
        <f t="shared" si="243"/>
        <v>5.9</v>
      </c>
      <c r="DI410" s="7">
        <f t="shared" si="244"/>
        <v>16.950000000000003</v>
      </c>
      <c r="DJ410" s="7">
        <f t="shared" si="245"/>
        <v>18</v>
      </c>
      <c r="DK410" s="7">
        <f t="shared" si="246"/>
        <v>21</v>
      </c>
      <c r="DL410" s="7">
        <f t="shared" si="247"/>
        <v>38.5</v>
      </c>
      <c r="DM410" s="7">
        <f t="shared" si="248"/>
        <v>52.400000000000006</v>
      </c>
      <c r="DN410" s="7">
        <f t="shared" si="249"/>
        <v>68.149999999999991</v>
      </c>
      <c r="DO410" s="7">
        <f t="shared" si="250"/>
        <v>93.75</v>
      </c>
      <c r="DP410" s="7">
        <f t="shared" si="251"/>
        <v>132.99999999999997</v>
      </c>
    </row>
    <row r="411" spans="1:130" ht="25.5" hidden="1" customHeight="1" x14ac:dyDescent="0.25">
      <c r="A411" s="92" t="str">
        <f t="shared" si="252"/>
        <v>CM-SWVI [10]</v>
      </c>
      <c r="B411" s="92" t="str">
        <f t="shared" si="253"/>
        <v>Southwest Vancouver Island</v>
      </c>
      <c r="C411" s="93" t="str">
        <f t="shared" si="225"/>
        <v>LORD CREEK_Chum</v>
      </c>
      <c r="D411" s="128" t="s">
        <v>598</v>
      </c>
      <c r="E411" s="128" t="s">
        <v>598</v>
      </c>
      <c r="F411" s="64">
        <v>25</v>
      </c>
      <c r="G411" s="72" t="s">
        <v>239</v>
      </c>
      <c r="H411" s="67" t="s">
        <v>96</v>
      </c>
      <c r="I411" s="119"/>
      <c r="J411" s="119"/>
      <c r="K411" s="64">
        <v>4</v>
      </c>
      <c r="L411" s="52">
        <v>10</v>
      </c>
      <c r="M411" s="52">
        <v>10</v>
      </c>
      <c r="N411" s="52">
        <f t="shared" si="254"/>
        <v>170.9076443547153</v>
      </c>
      <c r="O411" s="52">
        <f t="shared" si="255"/>
        <v>3500</v>
      </c>
      <c r="P411" s="52">
        <f t="shared" si="256"/>
        <v>340.24800237545634</v>
      </c>
      <c r="Q411" s="66"/>
      <c r="R411" s="39"/>
      <c r="S411" s="75" t="s">
        <v>445</v>
      </c>
      <c r="T411" s="81" t="e">
        <f t="shared" si="226"/>
        <v>#DIV/0!</v>
      </c>
      <c r="U411" s="81">
        <f t="shared" si="227"/>
        <v>68</v>
      </c>
      <c r="V411" s="52" t="s">
        <v>102</v>
      </c>
      <c r="W411" s="52" t="s">
        <v>102</v>
      </c>
      <c r="X411" s="52" t="s">
        <v>102</v>
      </c>
      <c r="Y411" s="52" t="s">
        <v>102</v>
      </c>
      <c r="Z411" s="52" t="s">
        <v>102</v>
      </c>
      <c r="AA411" s="52" t="s">
        <v>102</v>
      </c>
      <c r="AB411" s="52" t="s">
        <v>102</v>
      </c>
      <c r="AC411" s="52" t="s">
        <v>102</v>
      </c>
      <c r="AD411" s="52" t="s">
        <v>102</v>
      </c>
      <c r="AE411" s="52" t="s">
        <v>102</v>
      </c>
      <c r="AF411" s="52" t="s">
        <v>102</v>
      </c>
      <c r="AG411" s="144">
        <v>68</v>
      </c>
      <c r="AH411" s="53">
        <v>670</v>
      </c>
      <c r="AI411" s="53">
        <v>215</v>
      </c>
      <c r="AJ411" s="53">
        <v>51</v>
      </c>
      <c r="AK411" s="53">
        <v>9</v>
      </c>
      <c r="AL411" s="89">
        <v>77</v>
      </c>
      <c r="AM411" s="52" t="s">
        <v>102</v>
      </c>
      <c r="AN411" s="52">
        <v>700</v>
      </c>
      <c r="AO411" s="53">
        <v>557</v>
      </c>
      <c r="AP411" s="53">
        <v>208</v>
      </c>
      <c r="AQ411" s="52">
        <v>250</v>
      </c>
      <c r="AR411" s="53">
        <v>200</v>
      </c>
      <c r="AS411" s="52">
        <v>250</v>
      </c>
      <c r="AT411" s="52">
        <v>3135</v>
      </c>
      <c r="AU411" s="52">
        <v>450</v>
      </c>
      <c r="AV411" s="52">
        <v>175</v>
      </c>
      <c r="AW411" s="52">
        <v>12</v>
      </c>
      <c r="AX411" s="51" t="s">
        <v>102</v>
      </c>
      <c r="AY411" s="53">
        <v>100</v>
      </c>
      <c r="AZ411" s="53">
        <v>900</v>
      </c>
      <c r="BA411" s="53">
        <v>1000</v>
      </c>
      <c r="BB411" s="53" t="s">
        <v>102</v>
      </c>
      <c r="BC411" s="53" t="s">
        <v>102</v>
      </c>
      <c r="BD411" s="53" t="s">
        <v>102</v>
      </c>
      <c r="BE411" s="53">
        <v>1000</v>
      </c>
      <c r="BF411" s="53">
        <v>1000</v>
      </c>
      <c r="BG411" s="53">
        <v>3000</v>
      </c>
      <c r="BH411" s="53">
        <v>500</v>
      </c>
      <c r="BI411" s="53">
        <v>500</v>
      </c>
      <c r="BJ411" s="53">
        <v>1500</v>
      </c>
      <c r="BK411" s="53" t="s">
        <v>102</v>
      </c>
      <c r="BL411" s="53" t="s">
        <v>102</v>
      </c>
      <c r="BM411" s="53" t="s">
        <v>102</v>
      </c>
      <c r="BN411" s="53" t="s">
        <v>102</v>
      </c>
      <c r="BO411" s="53">
        <v>800</v>
      </c>
      <c r="BP411" s="53">
        <v>400</v>
      </c>
      <c r="BQ411" s="53">
        <v>75</v>
      </c>
      <c r="BR411" s="53">
        <v>750</v>
      </c>
      <c r="BS411" s="53">
        <v>400</v>
      </c>
      <c r="BT411" s="53">
        <v>1000</v>
      </c>
      <c r="BU411" s="53">
        <v>750</v>
      </c>
      <c r="BV411" s="53">
        <v>400</v>
      </c>
      <c r="BW411" s="53">
        <v>750</v>
      </c>
      <c r="BX411" s="53">
        <v>400</v>
      </c>
      <c r="BY411" s="53">
        <v>400</v>
      </c>
      <c r="BZ411" s="53">
        <v>400</v>
      </c>
      <c r="CA411" s="53">
        <v>25</v>
      </c>
      <c r="CB411" s="53">
        <v>25</v>
      </c>
      <c r="CC411" s="53">
        <v>300</v>
      </c>
      <c r="CD411" s="53">
        <v>200</v>
      </c>
      <c r="CE411" s="53">
        <v>200</v>
      </c>
      <c r="CF411" s="53">
        <v>3500</v>
      </c>
      <c r="CG411" s="53">
        <v>400</v>
      </c>
      <c r="CH411" s="53">
        <v>1500</v>
      </c>
      <c r="CI411" s="53">
        <v>750</v>
      </c>
      <c r="CJ411" s="53">
        <v>200</v>
      </c>
      <c r="CK411" s="53">
        <v>25</v>
      </c>
      <c r="CL411" s="53">
        <v>1000</v>
      </c>
      <c r="CM411" s="53">
        <v>1500</v>
      </c>
      <c r="CN411" s="206"/>
      <c r="CO411" s="206"/>
      <c r="CP411" s="206"/>
      <c r="CQ411" s="8">
        <f t="shared" si="228"/>
        <v>9</v>
      </c>
      <c r="CR411" s="8">
        <f t="shared" si="229"/>
        <v>3500</v>
      </c>
      <c r="CS411" s="8">
        <f t="shared" si="230"/>
        <v>653.54</v>
      </c>
      <c r="CT411">
        <f t="shared" si="231"/>
        <v>330.90878161461171</v>
      </c>
      <c r="CU411" s="143" t="e">
        <f t="shared" si="232"/>
        <v>#DIV/0!</v>
      </c>
      <c r="CV411" s="143">
        <f t="shared" si="233"/>
        <v>68</v>
      </c>
      <c r="CX411" s="7">
        <f t="shared" si="234"/>
        <v>25</v>
      </c>
      <c r="CY411" s="7">
        <f t="shared" si="235"/>
        <v>75.7</v>
      </c>
      <c r="CZ411" s="7">
        <f t="shared" si="236"/>
        <v>160.00000000000006</v>
      </c>
      <c r="DA411" s="7">
        <f t="shared" si="237"/>
        <v>200</v>
      </c>
      <c r="DB411" s="7">
        <f t="shared" si="238"/>
        <v>400</v>
      </c>
      <c r="DC411" s="7">
        <f t="shared" si="239"/>
        <v>522.79999999999995</v>
      </c>
      <c r="DD411" s="7">
        <f t="shared" si="240"/>
        <v>695.5</v>
      </c>
      <c r="DE411" s="7">
        <f t="shared" si="241"/>
        <v>787.5</v>
      </c>
      <c r="DF411" s="7">
        <f t="shared" si="242"/>
        <v>1000</v>
      </c>
      <c r="DH411" s="7">
        <f t="shared" si="243"/>
        <v>11.25</v>
      </c>
      <c r="DI411" s="7">
        <f t="shared" si="244"/>
        <v>55.25</v>
      </c>
      <c r="DJ411" s="7">
        <f t="shared" si="245"/>
        <v>68</v>
      </c>
      <c r="DK411" s="7">
        <f t="shared" si="246"/>
        <v>74.75</v>
      </c>
      <c r="DL411" s="7">
        <f t="shared" si="247"/>
        <v>211.5</v>
      </c>
      <c r="DM411" s="7">
        <f t="shared" si="248"/>
        <v>250</v>
      </c>
      <c r="DN411" s="7">
        <f t="shared" si="249"/>
        <v>250</v>
      </c>
      <c r="DO411" s="7">
        <f t="shared" si="250"/>
        <v>476.75</v>
      </c>
      <c r="DP411" s="7">
        <f t="shared" si="251"/>
        <v>641.75</v>
      </c>
    </row>
    <row r="412" spans="1:130" ht="25.5" hidden="1" customHeight="1" x14ac:dyDescent="0.25">
      <c r="A412" s="92" t="str">
        <f t="shared" si="252"/>
        <v>CO-WVI [17]</v>
      </c>
      <c r="B412" s="92" t="str">
        <f t="shared" si="253"/>
        <v>West Vancouver Island</v>
      </c>
      <c r="C412" s="93" t="str">
        <f t="shared" si="225"/>
        <v>LORD CREEK_Coho</v>
      </c>
      <c r="D412" s="128" t="s">
        <v>598</v>
      </c>
      <c r="E412" s="128" t="s">
        <v>598</v>
      </c>
      <c r="F412" s="64">
        <v>25</v>
      </c>
      <c r="G412" s="72" t="s">
        <v>239</v>
      </c>
      <c r="H412" s="65" t="s">
        <v>93</v>
      </c>
      <c r="I412" s="119"/>
      <c r="J412" s="119"/>
      <c r="K412" s="64">
        <v>4</v>
      </c>
      <c r="L412" s="52">
        <v>10</v>
      </c>
      <c r="M412" s="52">
        <v>6</v>
      </c>
      <c r="N412" s="52">
        <f t="shared" si="254"/>
        <v>13.335841376699976</v>
      </c>
      <c r="O412" s="52">
        <f t="shared" si="255"/>
        <v>75</v>
      </c>
      <c r="P412" s="52">
        <f t="shared" si="256"/>
        <v>24.558138359066991</v>
      </c>
      <c r="Q412" s="66"/>
      <c r="R412" s="39"/>
      <c r="S412" s="75" t="s">
        <v>445</v>
      </c>
      <c r="T412" s="81" t="e">
        <f t="shared" si="226"/>
        <v>#DIV/0!</v>
      </c>
      <c r="U412" s="81">
        <f t="shared" si="227"/>
        <v>205</v>
      </c>
      <c r="V412" s="52" t="s">
        <v>102</v>
      </c>
      <c r="W412" s="52" t="s">
        <v>102</v>
      </c>
      <c r="X412" s="52" t="s">
        <v>102</v>
      </c>
      <c r="Y412" s="52" t="s">
        <v>102</v>
      </c>
      <c r="Z412" s="52" t="s">
        <v>102</v>
      </c>
      <c r="AA412" s="52" t="s">
        <v>102</v>
      </c>
      <c r="AB412" s="52" t="s">
        <v>102</v>
      </c>
      <c r="AC412" s="52" t="s">
        <v>102</v>
      </c>
      <c r="AD412" s="52" t="s">
        <v>102</v>
      </c>
      <c r="AE412" s="52" t="s">
        <v>102</v>
      </c>
      <c r="AF412" s="52" t="s">
        <v>102</v>
      </c>
      <c r="AG412" s="144">
        <v>205</v>
      </c>
      <c r="AH412" s="52" t="s">
        <v>262</v>
      </c>
      <c r="AI412" s="52" t="s">
        <v>263</v>
      </c>
      <c r="AJ412" s="53" t="s">
        <v>262</v>
      </c>
      <c r="AK412" s="53" t="s">
        <v>262</v>
      </c>
      <c r="AL412" s="89" t="s">
        <v>262</v>
      </c>
      <c r="AM412" s="52" t="s">
        <v>102</v>
      </c>
      <c r="AN412" s="52">
        <v>25</v>
      </c>
      <c r="AO412" s="53" t="s">
        <v>262</v>
      </c>
      <c r="AP412" s="53">
        <v>15</v>
      </c>
      <c r="AQ412" s="53">
        <v>12</v>
      </c>
      <c r="AR412" s="53">
        <v>50</v>
      </c>
      <c r="AS412" s="52" t="s">
        <v>262</v>
      </c>
      <c r="AT412" s="52">
        <v>25</v>
      </c>
      <c r="AU412" s="52" t="s">
        <v>262</v>
      </c>
      <c r="AV412" s="52">
        <v>1</v>
      </c>
      <c r="AW412" s="52" t="s">
        <v>262</v>
      </c>
      <c r="AX412" s="51" t="s">
        <v>102</v>
      </c>
      <c r="AY412" s="53" t="s">
        <v>262</v>
      </c>
      <c r="AZ412" s="53" t="s">
        <v>102</v>
      </c>
      <c r="BA412" s="53" t="s">
        <v>264</v>
      </c>
      <c r="BB412" s="53" t="s">
        <v>102</v>
      </c>
      <c r="BC412" s="53" t="s">
        <v>102</v>
      </c>
      <c r="BD412" s="53" t="s">
        <v>102</v>
      </c>
      <c r="BE412" s="53" t="s">
        <v>102</v>
      </c>
      <c r="BF412" s="53">
        <v>50</v>
      </c>
      <c r="BG412" s="53">
        <v>50</v>
      </c>
      <c r="BH412" s="53" t="s">
        <v>262</v>
      </c>
      <c r="BI412" s="53">
        <v>30</v>
      </c>
      <c r="BJ412" s="53">
        <v>25</v>
      </c>
      <c r="BK412" s="53" t="s">
        <v>102</v>
      </c>
      <c r="BL412" s="53" t="s">
        <v>102</v>
      </c>
      <c r="BM412" s="53" t="s">
        <v>102</v>
      </c>
      <c r="BN412" s="53" t="s">
        <v>102</v>
      </c>
      <c r="BO412" s="53" t="s">
        <v>264</v>
      </c>
      <c r="BP412" s="53" t="s">
        <v>264</v>
      </c>
      <c r="BQ412" s="53">
        <v>25</v>
      </c>
      <c r="BR412" s="53" t="s">
        <v>264</v>
      </c>
      <c r="BS412" s="53">
        <v>25</v>
      </c>
      <c r="BT412" s="53" t="s">
        <v>262</v>
      </c>
      <c r="BU412" s="53" t="s">
        <v>262</v>
      </c>
      <c r="BV412" s="53">
        <v>25</v>
      </c>
      <c r="BW412" s="53">
        <v>25</v>
      </c>
      <c r="BX412" s="53">
        <v>25</v>
      </c>
      <c r="BY412" s="53">
        <v>25</v>
      </c>
      <c r="BZ412" s="53">
        <v>25</v>
      </c>
      <c r="CA412" s="53">
        <v>25</v>
      </c>
      <c r="CB412" s="53">
        <v>25</v>
      </c>
      <c r="CC412" s="53">
        <v>50</v>
      </c>
      <c r="CD412" s="53">
        <v>75</v>
      </c>
      <c r="CE412" s="53" t="s">
        <v>264</v>
      </c>
      <c r="CF412" s="53" t="s">
        <v>262</v>
      </c>
      <c r="CG412" s="53">
        <v>25</v>
      </c>
      <c r="CH412" s="53">
        <v>25</v>
      </c>
      <c r="CI412" s="53" t="s">
        <v>264</v>
      </c>
      <c r="CJ412" s="53" t="s">
        <v>264</v>
      </c>
      <c r="CK412" s="53" t="s">
        <v>264</v>
      </c>
      <c r="CL412" s="53" t="s">
        <v>264</v>
      </c>
      <c r="CM412" s="53" t="s">
        <v>264</v>
      </c>
      <c r="CN412" s="206"/>
      <c r="CO412" s="206"/>
      <c r="CP412" s="206"/>
      <c r="CQ412" s="8">
        <f t="shared" si="228"/>
        <v>1</v>
      </c>
      <c r="CR412" s="8">
        <f t="shared" si="229"/>
        <v>205</v>
      </c>
      <c r="CS412" s="8">
        <f t="shared" si="230"/>
        <v>37</v>
      </c>
      <c r="CT412">
        <f t="shared" si="231"/>
        <v>26.828334298407171</v>
      </c>
      <c r="CU412" s="143" t="e">
        <f t="shared" si="232"/>
        <v>#DIV/0!</v>
      </c>
      <c r="CV412" s="143">
        <f t="shared" si="233"/>
        <v>205</v>
      </c>
      <c r="CX412" s="7">
        <f t="shared" si="234"/>
        <v>12.450000000000001</v>
      </c>
      <c r="CY412" s="7">
        <f t="shared" si="235"/>
        <v>25</v>
      </c>
      <c r="CZ412" s="7">
        <f t="shared" si="236"/>
        <v>25</v>
      </c>
      <c r="DA412" s="7">
        <f t="shared" si="237"/>
        <v>25</v>
      </c>
      <c r="DB412" s="7">
        <f t="shared" si="238"/>
        <v>25</v>
      </c>
      <c r="DC412" s="7">
        <f t="shared" si="239"/>
        <v>25</v>
      </c>
      <c r="DD412" s="7">
        <f t="shared" si="240"/>
        <v>25</v>
      </c>
      <c r="DE412" s="7">
        <f t="shared" si="241"/>
        <v>35</v>
      </c>
      <c r="DF412" s="7">
        <f t="shared" si="242"/>
        <v>50</v>
      </c>
      <c r="DH412" s="7">
        <f t="shared" si="243"/>
        <v>4.3000000000000007</v>
      </c>
      <c r="DI412" s="7">
        <f t="shared" si="244"/>
        <v>10.899999999999999</v>
      </c>
      <c r="DJ412" s="7">
        <f t="shared" si="245"/>
        <v>12.600000000000001</v>
      </c>
      <c r="DK412" s="7">
        <f t="shared" si="246"/>
        <v>13.5</v>
      </c>
      <c r="DL412" s="7">
        <f t="shared" si="247"/>
        <v>25</v>
      </c>
      <c r="DM412" s="7">
        <f t="shared" si="248"/>
        <v>25</v>
      </c>
      <c r="DN412" s="7">
        <f t="shared" si="249"/>
        <v>25</v>
      </c>
      <c r="DO412" s="7">
        <f t="shared" si="250"/>
        <v>37.5</v>
      </c>
      <c r="DP412" s="7">
        <f t="shared" si="251"/>
        <v>65.499999999999943</v>
      </c>
    </row>
    <row r="413" spans="1:130" ht="25.5" hidden="1" customHeight="1" x14ac:dyDescent="0.25">
      <c r="A413" s="92" t="str">
        <f t="shared" si="252"/>
        <v>SK-WVI [R10]</v>
      </c>
      <c r="B413" s="92" t="str">
        <f t="shared" si="253"/>
        <v>West Vancouver Island</v>
      </c>
      <c r="C413" s="93" t="str">
        <f t="shared" si="225"/>
        <v>LORD CREEK_Sockeye</v>
      </c>
      <c r="D413" s="128" t="s">
        <v>598</v>
      </c>
      <c r="E413" s="128" t="s">
        <v>598</v>
      </c>
      <c r="F413" s="64">
        <v>25</v>
      </c>
      <c r="G413" s="72" t="s">
        <v>239</v>
      </c>
      <c r="H413" s="65" t="s">
        <v>91</v>
      </c>
      <c r="I413" s="119"/>
      <c r="J413" s="119"/>
      <c r="K413" s="64">
        <v>4</v>
      </c>
      <c r="L413" s="52">
        <v>10</v>
      </c>
      <c r="M413" s="52">
        <v>2</v>
      </c>
      <c r="N413" s="52">
        <f t="shared" si="254"/>
        <v>18.165902124584949</v>
      </c>
      <c r="O413" s="52">
        <f t="shared" si="255"/>
        <v>30</v>
      </c>
      <c r="P413" s="52">
        <f t="shared" si="256"/>
        <v>18.757774553669034</v>
      </c>
      <c r="Q413" s="66"/>
      <c r="R413" s="39"/>
      <c r="S413" s="75" t="s">
        <v>445</v>
      </c>
      <c r="T413" s="81" t="e">
        <f t="shared" si="226"/>
        <v>#DIV/0!</v>
      </c>
      <c r="U413" s="81">
        <f t="shared" si="227"/>
        <v>8</v>
      </c>
      <c r="V413" s="52" t="s">
        <v>102</v>
      </c>
      <c r="W413" s="52" t="s">
        <v>102</v>
      </c>
      <c r="X413" s="52" t="s">
        <v>102</v>
      </c>
      <c r="Y413" s="52" t="s">
        <v>102</v>
      </c>
      <c r="Z413" s="52" t="s">
        <v>102</v>
      </c>
      <c r="AA413" s="52" t="s">
        <v>102</v>
      </c>
      <c r="AB413" s="52" t="s">
        <v>102</v>
      </c>
      <c r="AC413" s="52" t="s">
        <v>102</v>
      </c>
      <c r="AD413" s="52" t="s">
        <v>102</v>
      </c>
      <c r="AE413" s="52" t="s">
        <v>102</v>
      </c>
      <c r="AF413" s="52" t="s">
        <v>102</v>
      </c>
      <c r="AG413" s="144">
        <v>8</v>
      </c>
      <c r="AH413" s="52" t="s">
        <v>262</v>
      </c>
      <c r="AI413" s="52" t="s">
        <v>262</v>
      </c>
      <c r="AJ413" s="53" t="s">
        <v>262</v>
      </c>
      <c r="AK413" s="53" t="s">
        <v>262</v>
      </c>
      <c r="AL413" s="89" t="s">
        <v>262</v>
      </c>
      <c r="AM413" s="52" t="s">
        <v>102</v>
      </c>
      <c r="AN413" s="52" t="s">
        <v>262</v>
      </c>
      <c r="AO413" s="53" t="s">
        <v>262</v>
      </c>
      <c r="AP413" s="53" t="s">
        <v>262</v>
      </c>
      <c r="AQ413" s="53" t="s">
        <v>262</v>
      </c>
      <c r="AR413" s="53" t="s">
        <v>262</v>
      </c>
      <c r="AS413" s="52" t="s">
        <v>262</v>
      </c>
      <c r="AT413" s="52">
        <v>11</v>
      </c>
      <c r="AU413" s="52">
        <v>30</v>
      </c>
      <c r="AV413" s="52" t="s">
        <v>262</v>
      </c>
      <c r="AW413" s="52" t="s">
        <v>262</v>
      </c>
      <c r="AX413" s="51" t="s">
        <v>102</v>
      </c>
      <c r="AY413" s="53">
        <v>20</v>
      </c>
      <c r="AZ413" s="53" t="s">
        <v>102</v>
      </c>
      <c r="BA413" s="53" t="s">
        <v>264</v>
      </c>
      <c r="BB413" s="53" t="s">
        <v>102</v>
      </c>
      <c r="BC413" s="53" t="s">
        <v>102</v>
      </c>
      <c r="BD413" s="53" t="s">
        <v>102</v>
      </c>
      <c r="BE413" s="53" t="s">
        <v>102</v>
      </c>
      <c r="BF413" s="53" t="s">
        <v>264</v>
      </c>
      <c r="BG413" s="53" t="s">
        <v>262</v>
      </c>
      <c r="BH413" s="53" t="s">
        <v>262</v>
      </c>
      <c r="BI413" s="53" t="s">
        <v>264</v>
      </c>
      <c r="BJ413" s="53" t="s">
        <v>264</v>
      </c>
      <c r="BK413" s="53" t="s">
        <v>102</v>
      </c>
      <c r="BL413" s="53" t="s">
        <v>102</v>
      </c>
      <c r="BM413" s="53" t="s">
        <v>102</v>
      </c>
      <c r="BN413" s="53" t="s">
        <v>102</v>
      </c>
      <c r="BO413" s="53" t="s">
        <v>264</v>
      </c>
      <c r="BP413" s="53" t="s">
        <v>264</v>
      </c>
      <c r="BQ413" s="53" t="s">
        <v>264</v>
      </c>
      <c r="BR413" s="53" t="s">
        <v>264</v>
      </c>
      <c r="BS413" s="53" t="s">
        <v>264</v>
      </c>
      <c r="BT413" s="53" t="s">
        <v>264</v>
      </c>
      <c r="BU413" s="53" t="s">
        <v>264</v>
      </c>
      <c r="BV413" s="53" t="s">
        <v>264</v>
      </c>
      <c r="BW413" s="53" t="s">
        <v>264</v>
      </c>
      <c r="BX413" s="53" t="s">
        <v>264</v>
      </c>
      <c r="BY413" s="53" t="s">
        <v>264</v>
      </c>
      <c r="BZ413" s="53" t="s">
        <v>264</v>
      </c>
      <c r="CA413" s="53" t="s">
        <v>264</v>
      </c>
      <c r="CB413" s="53" t="s">
        <v>264</v>
      </c>
      <c r="CC413" s="53" t="s">
        <v>264</v>
      </c>
      <c r="CD413" s="53" t="s">
        <v>264</v>
      </c>
      <c r="CE413" s="53" t="s">
        <v>264</v>
      </c>
      <c r="CF413" s="53" t="s">
        <v>264</v>
      </c>
      <c r="CG413" s="53" t="s">
        <v>264</v>
      </c>
      <c r="CH413" s="53" t="s">
        <v>264</v>
      </c>
      <c r="CI413" s="53" t="s">
        <v>264</v>
      </c>
      <c r="CJ413" s="53" t="s">
        <v>264</v>
      </c>
      <c r="CK413" s="53" t="s">
        <v>264</v>
      </c>
      <c r="CL413" s="53" t="s">
        <v>264</v>
      </c>
      <c r="CM413" s="53" t="s">
        <v>264</v>
      </c>
      <c r="CN413" s="206"/>
      <c r="CO413" s="206"/>
      <c r="CP413" s="206"/>
      <c r="CQ413" s="8">
        <f t="shared" si="228"/>
        <v>8</v>
      </c>
      <c r="CR413" s="8">
        <f t="shared" si="229"/>
        <v>30</v>
      </c>
      <c r="CS413" s="8">
        <f t="shared" si="230"/>
        <v>17.25</v>
      </c>
      <c r="CT413">
        <f t="shared" si="231"/>
        <v>15.158578622731129</v>
      </c>
      <c r="CU413" s="143" t="e">
        <f t="shared" si="232"/>
        <v>#DIV/0!</v>
      </c>
      <c r="CV413" s="143">
        <f t="shared" si="233"/>
        <v>8</v>
      </c>
      <c r="CX413" s="7">
        <f t="shared" si="234"/>
        <v>8.4499999999999993</v>
      </c>
      <c r="CY413" s="7">
        <f t="shared" si="235"/>
        <v>9.35</v>
      </c>
      <c r="CZ413" s="7">
        <f t="shared" si="236"/>
        <v>9.8000000000000007</v>
      </c>
      <c r="DA413" s="7">
        <f t="shared" si="237"/>
        <v>10.25</v>
      </c>
      <c r="DB413" s="7">
        <f t="shared" si="238"/>
        <v>15.5</v>
      </c>
      <c r="DC413" s="7">
        <f t="shared" si="239"/>
        <v>18.2</v>
      </c>
      <c r="DD413" s="7">
        <f t="shared" si="240"/>
        <v>19.55</v>
      </c>
      <c r="DE413" s="7">
        <f t="shared" si="241"/>
        <v>22.5</v>
      </c>
      <c r="DF413" s="7">
        <f t="shared" si="242"/>
        <v>25.5</v>
      </c>
      <c r="DH413" s="7">
        <f t="shared" si="243"/>
        <v>8.3000000000000007</v>
      </c>
      <c r="DI413" s="7">
        <f t="shared" si="244"/>
        <v>8.9</v>
      </c>
      <c r="DJ413" s="7">
        <f t="shared" si="245"/>
        <v>9.1999999999999993</v>
      </c>
      <c r="DK413" s="7">
        <f t="shared" si="246"/>
        <v>9.5</v>
      </c>
      <c r="DL413" s="7">
        <f t="shared" si="247"/>
        <v>11</v>
      </c>
      <c r="DM413" s="7">
        <f t="shared" si="248"/>
        <v>14.800000000000004</v>
      </c>
      <c r="DN413" s="7">
        <f t="shared" si="249"/>
        <v>16.699999999999996</v>
      </c>
      <c r="DO413" s="7">
        <f t="shared" si="250"/>
        <v>20.5</v>
      </c>
      <c r="DP413" s="7">
        <f t="shared" si="251"/>
        <v>24.300000000000004</v>
      </c>
    </row>
    <row r="414" spans="1:130" ht="25.5" customHeight="1" x14ac:dyDescent="0.25">
      <c r="A414" s="92" t="str">
        <f t="shared" si="252"/>
        <v>CK-NoKy [32]</v>
      </c>
      <c r="B414" s="92" t="str">
        <f t="shared" si="253"/>
        <v>Nootka and Kyuquot</v>
      </c>
      <c r="C414" s="93" t="str">
        <f t="shared" si="225"/>
        <v>MAMAT CREEK_Chinook</v>
      </c>
      <c r="D414" s="128" t="s">
        <v>598</v>
      </c>
      <c r="E414" s="128" t="s">
        <v>598</v>
      </c>
      <c r="F414" s="64">
        <v>25</v>
      </c>
      <c r="G414" s="72" t="s">
        <v>242</v>
      </c>
      <c r="H414" s="65" t="s">
        <v>97</v>
      </c>
      <c r="I414" s="119"/>
      <c r="J414" s="119"/>
      <c r="K414" s="64">
        <v>4</v>
      </c>
      <c r="L414" s="52">
        <v>9</v>
      </c>
      <c r="M414" s="52">
        <v>0</v>
      </c>
      <c r="N414" s="52" t="e">
        <f t="shared" si="254"/>
        <v>#NUM!</v>
      </c>
      <c r="O414" s="52">
        <f t="shared" si="255"/>
        <v>75</v>
      </c>
      <c r="P414" s="52">
        <f t="shared" si="256"/>
        <v>32.292708552268664</v>
      </c>
      <c r="Q414" s="66"/>
      <c r="R414" s="39"/>
      <c r="S414" s="76" t="s">
        <v>457</v>
      </c>
      <c r="T414" s="81" t="e">
        <f t="shared" si="226"/>
        <v>#DIV/0!</v>
      </c>
      <c r="U414" s="81" t="e">
        <f t="shared" si="227"/>
        <v>#DIV/0!</v>
      </c>
      <c r="V414" s="52" t="s">
        <v>102</v>
      </c>
      <c r="W414" s="52" t="s">
        <v>102</v>
      </c>
      <c r="X414" s="52" t="s">
        <v>102</v>
      </c>
      <c r="Y414" s="52" t="s">
        <v>102</v>
      </c>
      <c r="Z414" s="52" t="s">
        <v>263</v>
      </c>
      <c r="AA414" s="52" t="s">
        <v>102</v>
      </c>
      <c r="AB414" s="52" t="s">
        <v>102</v>
      </c>
      <c r="AC414" s="52" t="s">
        <v>102</v>
      </c>
      <c r="AD414" s="52" t="s">
        <v>102</v>
      </c>
      <c r="AE414" s="52" t="s">
        <v>102</v>
      </c>
      <c r="AF414" s="52" t="s">
        <v>102</v>
      </c>
      <c r="AG414" s="52" t="s">
        <v>262</v>
      </c>
      <c r="AH414" s="52" t="s">
        <v>102</v>
      </c>
      <c r="AI414" s="52" t="s">
        <v>102</v>
      </c>
      <c r="AJ414" s="52" t="s">
        <v>102</v>
      </c>
      <c r="AK414" s="52" t="s">
        <v>262</v>
      </c>
      <c r="AL414" s="52" t="s">
        <v>102</v>
      </c>
      <c r="AM414" s="52" t="s">
        <v>102</v>
      </c>
      <c r="AN414" s="52" t="s">
        <v>262</v>
      </c>
      <c r="AO414" s="53" t="s">
        <v>262</v>
      </c>
      <c r="AP414" s="53" t="s">
        <v>102</v>
      </c>
      <c r="AQ414" s="53" t="s">
        <v>262</v>
      </c>
      <c r="AR414" s="53" t="s">
        <v>262</v>
      </c>
      <c r="AS414" s="52" t="s">
        <v>262</v>
      </c>
      <c r="AT414" s="52" t="s">
        <v>262</v>
      </c>
      <c r="AU414" s="52" t="s">
        <v>262</v>
      </c>
      <c r="AV414" s="52" t="s">
        <v>262</v>
      </c>
      <c r="AW414" s="52" t="s">
        <v>262</v>
      </c>
      <c r="AX414" s="51" t="s">
        <v>264</v>
      </c>
      <c r="AY414" s="53" t="s">
        <v>264</v>
      </c>
      <c r="AZ414" s="53" t="s">
        <v>102</v>
      </c>
      <c r="BA414" s="53" t="s">
        <v>264</v>
      </c>
      <c r="BB414" s="53" t="s">
        <v>264</v>
      </c>
      <c r="BC414" s="53" t="s">
        <v>264</v>
      </c>
      <c r="BD414" s="53" t="s">
        <v>102</v>
      </c>
      <c r="BE414" s="53" t="s">
        <v>264</v>
      </c>
      <c r="BF414" s="53" t="s">
        <v>264</v>
      </c>
      <c r="BG414" s="53" t="s">
        <v>264</v>
      </c>
      <c r="BH414" s="53" t="s">
        <v>262</v>
      </c>
      <c r="BI414" s="53" t="s">
        <v>264</v>
      </c>
      <c r="BJ414" s="53" t="s">
        <v>264</v>
      </c>
      <c r="BK414" s="53" t="s">
        <v>264</v>
      </c>
      <c r="BL414" s="53" t="s">
        <v>264</v>
      </c>
      <c r="BM414" s="53" t="s">
        <v>264</v>
      </c>
      <c r="BN414" s="53" t="s">
        <v>264</v>
      </c>
      <c r="BO414" s="53" t="s">
        <v>264</v>
      </c>
      <c r="BP414" s="53" t="s">
        <v>102</v>
      </c>
      <c r="BQ414" s="53">
        <v>25</v>
      </c>
      <c r="BR414" s="53" t="s">
        <v>264</v>
      </c>
      <c r="BS414" s="53" t="s">
        <v>264</v>
      </c>
      <c r="BT414" s="53" t="s">
        <v>262</v>
      </c>
      <c r="BU414" s="53" t="s">
        <v>262</v>
      </c>
      <c r="BV414" s="53" t="s">
        <v>262</v>
      </c>
      <c r="BW414" s="53" t="s">
        <v>262</v>
      </c>
      <c r="BX414" s="53" t="s">
        <v>262</v>
      </c>
      <c r="BY414" s="53">
        <v>25</v>
      </c>
      <c r="BZ414" s="53">
        <v>25</v>
      </c>
      <c r="CA414" s="53">
        <v>75</v>
      </c>
      <c r="CB414" s="53">
        <v>25</v>
      </c>
      <c r="CC414" s="53">
        <v>50</v>
      </c>
      <c r="CD414" s="53">
        <v>25</v>
      </c>
      <c r="CE414" s="53" t="s">
        <v>264</v>
      </c>
      <c r="CF414" s="53" t="s">
        <v>264</v>
      </c>
      <c r="CG414" s="53" t="s">
        <v>264</v>
      </c>
      <c r="CH414" s="53" t="s">
        <v>264</v>
      </c>
      <c r="CI414" s="53" t="s">
        <v>264</v>
      </c>
      <c r="CJ414" s="53" t="s">
        <v>264</v>
      </c>
      <c r="CK414" s="53" t="s">
        <v>264</v>
      </c>
      <c r="CL414" s="53" t="s">
        <v>264</v>
      </c>
      <c r="CM414" s="53" t="s">
        <v>264</v>
      </c>
      <c r="CN414" s="206"/>
      <c r="CO414" s="206"/>
      <c r="CP414" s="206"/>
      <c r="CQ414" s="8">
        <f t="shared" si="228"/>
        <v>25</v>
      </c>
      <c r="CR414" s="8">
        <f t="shared" si="229"/>
        <v>75</v>
      </c>
      <c r="CS414" s="8">
        <f t="shared" si="230"/>
        <v>35.714285714285715</v>
      </c>
      <c r="CT414">
        <f t="shared" si="231"/>
        <v>32.292708552268664</v>
      </c>
      <c r="CU414" s="143" t="e">
        <f t="shared" si="232"/>
        <v>#DIV/0!</v>
      </c>
      <c r="CV414" s="143" t="e">
        <f t="shared" si="233"/>
        <v>#DIV/0!</v>
      </c>
      <c r="CX414" s="7">
        <f t="shared" si="234"/>
        <v>25</v>
      </c>
      <c r="CY414" s="7">
        <f t="shared" si="235"/>
        <v>25</v>
      </c>
      <c r="CZ414" s="7">
        <f t="shared" si="236"/>
        <v>25</v>
      </c>
      <c r="DA414" s="7">
        <f t="shared" si="237"/>
        <v>25</v>
      </c>
      <c r="DB414" s="7">
        <f t="shared" si="238"/>
        <v>25</v>
      </c>
      <c r="DC414" s="7">
        <f t="shared" si="239"/>
        <v>25</v>
      </c>
      <c r="DD414" s="7">
        <f t="shared" si="240"/>
        <v>25</v>
      </c>
      <c r="DE414" s="7">
        <f t="shared" si="241"/>
        <v>37.5</v>
      </c>
      <c r="DF414" s="7">
        <f t="shared" si="242"/>
        <v>52.499999999999993</v>
      </c>
      <c r="DH414" s="7" t="e">
        <f t="shared" si="243"/>
        <v>#NUM!</v>
      </c>
      <c r="DI414" s="7" t="e">
        <f t="shared" si="244"/>
        <v>#NUM!</v>
      </c>
      <c r="DJ414" s="7" t="e">
        <f t="shared" si="245"/>
        <v>#NUM!</v>
      </c>
      <c r="DK414" s="7" t="e">
        <f t="shared" si="246"/>
        <v>#NUM!</v>
      </c>
      <c r="DL414" s="7" t="e">
        <f t="shared" si="247"/>
        <v>#NUM!</v>
      </c>
      <c r="DM414" s="7" t="e">
        <f t="shared" si="248"/>
        <v>#NUM!</v>
      </c>
      <c r="DN414" s="7" t="e">
        <f t="shared" si="249"/>
        <v>#NUM!</v>
      </c>
      <c r="DO414" s="7" t="e">
        <f t="shared" si="250"/>
        <v>#NUM!</v>
      </c>
      <c r="DP414" s="7" t="e">
        <f t="shared" si="251"/>
        <v>#NUM!</v>
      </c>
    </row>
    <row r="415" spans="1:130" ht="25.5" hidden="1" customHeight="1" x14ac:dyDescent="0.25">
      <c r="A415" s="92" t="str">
        <f t="shared" si="252"/>
        <v>CM-SWVI [10]</v>
      </c>
      <c r="B415" s="92" t="str">
        <f t="shared" si="253"/>
        <v>Southwest Vancouver Island</v>
      </c>
      <c r="C415" s="93" t="str">
        <f t="shared" si="225"/>
        <v>MAMAT CREEK_Chum</v>
      </c>
      <c r="D415" s="128" t="s">
        <v>598</v>
      </c>
      <c r="E415" s="128" t="s">
        <v>598</v>
      </c>
      <c r="F415" s="64">
        <v>25</v>
      </c>
      <c r="G415" s="72" t="s">
        <v>242</v>
      </c>
      <c r="H415" s="67" t="s">
        <v>96</v>
      </c>
      <c r="I415" s="119"/>
      <c r="J415" s="119"/>
      <c r="K415" s="64">
        <v>4</v>
      </c>
      <c r="L415" s="52">
        <v>9</v>
      </c>
      <c r="M415" s="52">
        <v>9</v>
      </c>
      <c r="N415" s="52">
        <f t="shared" si="254"/>
        <v>391.44562968477527</v>
      </c>
      <c r="O415" s="52">
        <f t="shared" si="255"/>
        <v>7500</v>
      </c>
      <c r="P415" s="52">
        <f t="shared" si="256"/>
        <v>549.4612696873595</v>
      </c>
      <c r="Q415" s="66"/>
      <c r="R415" s="39"/>
      <c r="S415" s="76" t="s">
        <v>457</v>
      </c>
      <c r="T415" s="81" t="e">
        <f t="shared" si="226"/>
        <v>#DIV/0!</v>
      </c>
      <c r="U415" s="81">
        <f t="shared" si="227"/>
        <v>1698.5</v>
      </c>
      <c r="V415" s="52" t="s">
        <v>102</v>
      </c>
      <c r="W415" s="52" t="s">
        <v>102</v>
      </c>
      <c r="X415" s="52" t="s">
        <v>102</v>
      </c>
      <c r="Y415" s="52" t="s">
        <v>102</v>
      </c>
      <c r="Z415" s="52">
        <v>972</v>
      </c>
      <c r="AA415" s="52" t="s">
        <v>102</v>
      </c>
      <c r="AB415" s="52" t="s">
        <v>102</v>
      </c>
      <c r="AC415" s="52" t="s">
        <v>102</v>
      </c>
      <c r="AD415" s="52" t="s">
        <v>102</v>
      </c>
      <c r="AE415" s="52" t="s">
        <v>102</v>
      </c>
      <c r="AF415" s="52" t="s">
        <v>102</v>
      </c>
      <c r="AG415" s="144">
        <v>2425</v>
      </c>
      <c r="AH415" s="52" t="s">
        <v>102</v>
      </c>
      <c r="AI415" s="52" t="s">
        <v>102</v>
      </c>
      <c r="AJ415" s="52" t="s">
        <v>102</v>
      </c>
      <c r="AK415" s="52" t="s">
        <v>102</v>
      </c>
      <c r="AL415" s="52" t="s">
        <v>102</v>
      </c>
      <c r="AM415" s="52" t="s">
        <v>102</v>
      </c>
      <c r="AN415" s="52">
        <v>449</v>
      </c>
      <c r="AO415" s="53">
        <v>374</v>
      </c>
      <c r="AP415" s="53" t="s">
        <v>102</v>
      </c>
      <c r="AQ415" s="52">
        <v>750</v>
      </c>
      <c r="AR415" s="53">
        <v>100</v>
      </c>
      <c r="AS415" s="52">
        <v>400</v>
      </c>
      <c r="AT415" s="52">
        <v>2505</v>
      </c>
      <c r="AU415" s="52">
        <v>3000</v>
      </c>
      <c r="AV415" s="52">
        <v>950</v>
      </c>
      <c r="AW415" s="52">
        <v>6</v>
      </c>
      <c r="AX415" s="51">
        <v>250</v>
      </c>
      <c r="AY415" s="53">
        <v>300</v>
      </c>
      <c r="AZ415" s="53">
        <v>308</v>
      </c>
      <c r="BA415" s="53">
        <v>850</v>
      </c>
      <c r="BB415" s="53">
        <v>230</v>
      </c>
      <c r="BC415" s="53">
        <v>75</v>
      </c>
      <c r="BD415" s="53" t="s">
        <v>102</v>
      </c>
      <c r="BE415" s="53">
        <v>1000</v>
      </c>
      <c r="BF415" s="53">
        <v>1800</v>
      </c>
      <c r="BG415" s="53">
        <v>1000</v>
      </c>
      <c r="BH415" s="53">
        <v>750</v>
      </c>
      <c r="BI415" s="53">
        <v>800</v>
      </c>
      <c r="BJ415" s="53">
        <v>1750</v>
      </c>
      <c r="BK415" s="53">
        <v>280</v>
      </c>
      <c r="BL415" s="53">
        <v>1100</v>
      </c>
      <c r="BM415" s="53">
        <v>94</v>
      </c>
      <c r="BN415" s="53">
        <v>550</v>
      </c>
      <c r="BO415" s="53">
        <v>300</v>
      </c>
      <c r="BP415" s="53" t="s">
        <v>102</v>
      </c>
      <c r="BQ415" s="53">
        <v>200</v>
      </c>
      <c r="BR415" s="53">
        <v>750</v>
      </c>
      <c r="BS415" s="53">
        <v>7500</v>
      </c>
      <c r="BT415" s="53">
        <v>20</v>
      </c>
      <c r="BU415" s="53">
        <v>750</v>
      </c>
      <c r="BV415" s="53">
        <v>1500</v>
      </c>
      <c r="BW415" s="53">
        <v>400</v>
      </c>
      <c r="BX415" s="53">
        <v>750</v>
      </c>
      <c r="BY415" s="53">
        <v>750</v>
      </c>
      <c r="BZ415" s="53">
        <v>3500</v>
      </c>
      <c r="CA415" s="53">
        <v>400</v>
      </c>
      <c r="CB415" s="53">
        <v>750</v>
      </c>
      <c r="CC415" s="53">
        <v>700</v>
      </c>
      <c r="CD415" s="53">
        <v>750</v>
      </c>
      <c r="CE415" s="53">
        <v>1500</v>
      </c>
      <c r="CF415" s="53">
        <v>3500</v>
      </c>
      <c r="CG415" s="53">
        <v>1500</v>
      </c>
      <c r="CH415" s="53">
        <v>1500</v>
      </c>
      <c r="CI415" s="53">
        <v>750</v>
      </c>
      <c r="CJ415" s="53">
        <v>75</v>
      </c>
      <c r="CK415" s="53">
        <v>25</v>
      </c>
      <c r="CL415" s="53">
        <v>1500</v>
      </c>
      <c r="CM415" s="53">
        <v>3500</v>
      </c>
      <c r="CN415" s="206"/>
      <c r="CO415" s="206"/>
      <c r="CP415" s="206"/>
      <c r="CQ415" s="8">
        <f t="shared" si="228"/>
        <v>6</v>
      </c>
      <c r="CR415" s="8">
        <f t="shared" si="229"/>
        <v>7500</v>
      </c>
      <c r="CS415" s="8">
        <f t="shared" si="230"/>
        <v>1096.8235294117646</v>
      </c>
      <c r="CT415">
        <f t="shared" si="231"/>
        <v>572.05417641217707</v>
      </c>
      <c r="CU415" s="143">
        <f t="shared" si="232"/>
        <v>972</v>
      </c>
      <c r="CV415" s="143">
        <f t="shared" si="233"/>
        <v>1698.5</v>
      </c>
      <c r="CX415" s="7">
        <f t="shared" si="234"/>
        <v>50</v>
      </c>
      <c r="CY415" s="7">
        <f t="shared" si="235"/>
        <v>215</v>
      </c>
      <c r="CZ415" s="7">
        <f t="shared" si="236"/>
        <v>280</v>
      </c>
      <c r="DA415" s="7">
        <f t="shared" si="237"/>
        <v>304</v>
      </c>
      <c r="DB415" s="7">
        <f t="shared" si="238"/>
        <v>750</v>
      </c>
      <c r="DC415" s="7">
        <f t="shared" si="239"/>
        <v>800</v>
      </c>
      <c r="DD415" s="7">
        <f t="shared" si="240"/>
        <v>961</v>
      </c>
      <c r="DE415" s="7">
        <f t="shared" si="241"/>
        <v>1500</v>
      </c>
      <c r="DF415" s="7">
        <f t="shared" si="242"/>
        <v>1775</v>
      </c>
      <c r="DH415" s="7">
        <f t="shared" si="243"/>
        <v>53</v>
      </c>
      <c r="DI415" s="7">
        <f t="shared" si="244"/>
        <v>237</v>
      </c>
      <c r="DJ415" s="7">
        <f t="shared" si="245"/>
        <v>374</v>
      </c>
      <c r="DK415" s="7">
        <f t="shared" si="246"/>
        <v>387</v>
      </c>
      <c r="DL415" s="7">
        <f t="shared" si="247"/>
        <v>750</v>
      </c>
      <c r="DM415" s="7">
        <f t="shared" si="248"/>
        <v>950</v>
      </c>
      <c r="DN415" s="7">
        <f t="shared" si="249"/>
        <v>961</v>
      </c>
      <c r="DO415" s="7">
        <f t="shared" si="250"/>
        <v>1698.5</v>
      </c>
      <c r="DP415" s="7">
        <f t="shared" si="251"/>
        <v>2465</v>
      </c>
    </row>
    <row r="416" spans="1:130" ht="25.5" hidden="1" customHeight="1" x14ac:dyDescent="0.25">
      <c r="A416" s="92" t="str">
        <f t="shared" si="252"/>
        <v>CO-WVI [17]</v>
      </c>
      <c r="B416" s="92" t="str">
        <f t="shared" si="253"/>
        <v>West Vancouver Island</v>
      </c>
      <c r="C416" s="93" t="str">
        <f t="shared" si="225"/>
        <v>MAMAT CREEK_Coho</v>
      </c>
      <c r="D416" s="128" t="s">
        <v>598</v>
      </c>
      <c r="E416" s="128" t="s">
        <v>598</v>
      </c>
      <c r="F416" s="64">
        <v>25</v>
      </c>
      <c r="G416" s="72" t="s">
        <v>242</v>
      </c>
      <c r="H416" s="65" t="s">
        <v>93</v>
      </c>
      <c r="I416" s="119"/>
      <c r="J416" s="119"/>
      <c r="K416" s="64">
        <v>4</v>
      </c>
      <c r="L416" s="52">
        <v>9</v>
      </c>
      <c r="M416" s="52">
        <v>7</v>
      </c>
      <c r="N416" s="52">
        <f t="shared" si="254"/>
        <v>29.033059524329214</v>
      </c>
      <c r="O416" s="52">
        <f t="shared" si="255"/>
        <v>3500</v>
      </c>
      <c r="P416" s="52">
        <f t="shared" si="256"/>
        <v>82.989987360628419</v>
      </c>
      <c r="Q416" s="66"/>
      <c r="R416" s="39"/>
      <c r="S416" s="76" t="s">
        <v>457</v>
      </c>
      <c r="T416" s="81" t="e">
        <f t="shared" si="226"/>
        <v>#DIV/0!</v>
      </c>
      <c r="U416" s="81">
        <f t="shared" si="227"/>
        <v>117.5</v>
      </c>
      <c r="V416" s="52" t="s">
        <v>102</v>
      </c>
      <c r="W416" s="52" t="s">
        <v>102</v>
      </c>
      <c r="X416" s="52" t="s">
        <v>102</v>
      </c>
      <c r="Y416" s="52" t="s">
        <v>102</v>
      </c>
      <c r="Z416" s="52">
        <v>106</v>
      </c>
      <c r="AA416" s="52" t="s">
        <v>102</v>
      </c>
      <c r="AB416" s="52" t="s">
        <v>102</v>
      </c>
      <c r="AC416" s="52" t="s">
        <v>102</v>
      </c>
      <c r="AD416" s="52" t="s">
        <v>102</v>
      </c>
      <c r="AE416" s="52" t="s">
        <v>102</v>
      </c>
      <c r="AF416" s="52" t="s">
        <v>102</v>
      </c>
      <c r="AG416" s="144">
        <v>129</v>
      </c>
      <c r="AH416" s="52" t="s">
        <v>102</v>
      </c>
      <c r="AI416" s="52" t="s">
        <v>102</v>
      </c>
      <c r="AJ416" s="52" t="s">
        <v>102</v>
      </c>
      <c r="AK416" s="52" t="s">
        <v>102</v>
      </c>
      <c r="AL416" s="52" t="s">
        <v>102</v>
      </c>
      <c r="AM416" s="52" t="s">
        <v>102</v>
      </c>
      <c r="AN416" s="52">
        <v>20</v>
      </c>
      <c r="AO416" s="53">
        <v>10</v>
      </c>
      <c r="AP416" s="53" t="s">
        <v>102</v>
      </c>
      <c r="AQ416" s="53">
        <v>90</v>
      </c>
      <c r="AR416" s="53">
        <v>35</v>
      </c>
      <c r="AS416" s="52">
        <v>30</v>
      </c>
      <c r="AT416" s="52">
        <v>46</v>
      </c>
      <c r="AU416" s="52">
        <v>20</v>
      </c>
      <c r="AV416" s="52" t="s">
        <v>262</v>
      </c>
      <c r="AW416" s="52" t="s">
        <v>262</v>
      </c>
      <c r="AX416" s="51" t="s">
        <v>262</v>
      </c>
      <c r="AY416" s="53" t="s">
        <v>264</v>
      </c>
      <c r="AZ416" s="53" t="s">
        <v>102</v>
      </c>
      <c r="BA416" s="53" t="s">
        <v>262</v>
      </c>
      <c r="BB416" s="52" t="s">
        <v>262</v>
      </c>
      <c r="BC416" s="53">
        <v>20</v>
      </c>
      <c r="BD416" s="53" t="s">
        <v>102</v>
      </c>
      <c r="BE416" s="53">
        <v>250</v>
      </c>
      <c r="BF416" s="53">
        <v>75</v>
      </c>
      <c r="BG416" s="53">
        <v>50</v>
      </c>
      <c r="BH416" s="53" t="s">
        <v>262</v>
      </c>
      <c r="BI416" s="53" t="s">
        <v>264</v>
      </c>
      <c r="BJ416" s="53" t="s">
        <v>264</v>
      </c>
      <c r="BK416" s="53">
        <v>4</v>
      </c>
      <c r="BL416" s="53" t="s">
        <v>264</v>
      </c>
      <c r="BM416" s="53">
        <v>71</v>
      </c>
      <c r="BN416" s="53" t="s">
        <v>264</v>
      </c>
      <c r="BO416" s="53">
        <v>40</v>
      </c>
      <c r="BP416" s="53" t="s">
        <v>102</v>
      </c>
      <c r="BQ416" s="53">
        <v>25</v>
      </c>
      <c r="BR416" s="53" t="s">
        <v>264</v>
      </c>
      <c r="BS416" s="53">
        <v>25</v>
      </c>
      <c r="BT416" s="53" t="s">
        <v>262</v>
      </c>
      <c r="BU416" s="53">
        <v>200</v>
      </c>
      <c r="BV416" s="53">
        <v>25</v>
      </c>
      <c r="BW416" s="53">
        <v>25</v>
      </c>
      <c r="BX416" s="53">
        <v>200</v>
      </c>
      <c r="BY416" s="53">
        <v>400</v>
      </c>
      <c r="BZ416" s="53">
        <v>750</v>
      </c>
      <c r="CA416" s="53">
        <v>3500</v>
      </c>
      <c r="CB416" s="53">
        <v>750</v>
      </c>
      <c r="CC416" s="53">
        <v>400</v>
      </c>
      <c r="CD416" s="53">
        <v>200</v>
      </c>
      <c r="CE416" s="53" t="s">
        <v>264</v>
      </c>
      <c r="CF416" s="53" t="s">
        <v>262</v>
      </c>
      <c r="CG416" s="53">
        <v>400</v>
      </c>
      <c r="CH416" s="53">
        <v>75</v>
      </c>
      <c r="CI416" s="53">
        <v>25</v>
      </c>
      <c r="CJ416" s="53">
        <v>25</v>
      </c>
      <c r="CK416" s="53" t="s">
        <v>262</v>
      </c>
      <c r="CL416" s="53">
        <v>500</v>
      </c>
      <c r="CM416" s="53">
        <v>750</v>
      </c>
      <c r="CN416" s="206"/>
      <c r="CO416" s="206"/>
      <c r="CP416" s="206"/>
      <c r="CQ416" s="8">
        <f t="shared" si="228"/>
        <v>4</v>
      </c>
      <c r="CR416" s="8">
        <f t="shared" si="229"/>
        <v>3500</v>
      </c>
      <c r="CS416" s="8">
        <f t="shared" si="230"/>
        <v>272.6764705882353</v>
      </c>
      <c r="CT416">
        <f t="shared" si="231"/>
        <v>84.680969460395715</v>
      </c>
      <c r="CU416" s="143">
        <f t="shared" si="232"/>
        <v>106</v>
      </c>
      <c r="CV416" s="143">
        <f t="shared" si="233"/>
        <v>117.5</v>
      </c>
      <c r="CX416" s="7">
        <f t="shared" si="234"/>
        <v>16.500000000000004</v>
      </c>
      <c r="CY416" s="7">
        <f t="shared" si="235"/>
        <v>24.75</v>
      </c>
      <c r="CZ416" s="7">
        <f t="shared" si="236"/>
        <v>25</v>
      </c>
      <c r="DA416" s="7">
        <f t="shared" si="237"/>
        <v>25</v>
      </c>
      <c r="DB416" s="7">
        <f t="shared" si="238"/>
        <v>73</v>
      </c>
      <c r="DC416" s="7">
        <f t="shared" si="239"/>
        <v>102.80000000000001</v>
      </c>
      <c r="DD416" s="7">
        <f t="shared" si="240"/>
        <v>160.94999999999996</v>
      </c>
      <c r="DE416" s="7">
        <f t="shared" si="241"/>
        <v>237.5</v>
      </c>
      <c r="DF416" s="7">
        <f t="shared" si="242"/>
        <v>405.00000000000006</v>
      </c>
      <c r="DH416" s="7">
        <f t="shared" si="243"/>
        <v>14</v>
      </c>
      <c r="DI416" s="7">
        <f t="shared" si="244"/>
        <v>20</v>
      </c>
      <c r="DJ416" s="7">
        <f t="shared" si="245"/>
        <v>20</v>
      </c>
      <c r="DK416" s="7">
        <f t="shared" si="246"/>
        <v>20</v>
      </c>
      <c r="DL416" s="7">
        <f t="shared" si="247"/>
        <v>35</v>
      </c>
      <c r="DM416" s="7">
        <f t="shared" si="248"/>
        <v>43.8</v>
      </c>
      <c r="DN416" s="7">
        <f t="shared" si="249"/>
        <v>54.800000000000011</v>
      </c>
      <c r="DO416" s="7">
        <f t="shared" si="250"/>
        <v>90</v>
      </c>
      <c r="DP416" s="7">
        <f t="shared" si="251"/>
        <v>102.8</v>
      </c>
    </row>
    <row r="417" spans="1:120" ht="25.5" customHeight="1" x14ac:dyDescent="0.25">
      <c r="A417" s="92" t="str">
        <f t="shared" si="252"/>
        <v>CK-NoKy [32]</v>
      </c>
      <c r="B417" s="92" t="str">
        <f t="shared" si="253"/>
        <v>Nootka and Kyuquot</v>
      </c>
      <c r="C417" s="93" t="str">
        <f t="shared" si="225"/>
        <v>MARVINAS BAY CREEK_Chinook</v>
      </c>
      <c r="D417" s="128" t="s">
        <v>598</v>
      </c>
      <c r="E417" s="128" t="s">
        <v>598</v>
      </c>
      <c r="F417" s="64">
        <v>25</v>
      </c>
      <c r="G417" s="72" t="s">
        <v>233</v>
      </c>
      <c r="H417" s="65" t="s">
        <v>97</v>
      </c>
      <c r="I417" s="119"/>
      <c r="J417" s="119"/>
      <c r="K417" s="64">
        <v>4</v>
      </c>
      <c r="L417" s="52">
        <v>11</v>
      </c>
      <c r="M417" s="52">
        <v>4</v>
      </c>
      <c r="N417" s="52">
        <f t="shared" si="254"/>
        <v>9.715595521393098</v>
      </c>
      <c r="O417" s="52">
        <f t="shared" si="255"/>
        <v>22</v>
      </c>
      <c r="P417" s="52">
        <f t="shared" si="256"/>
        <v>9.715595521393098</v>
      </c>
      <c r="Q417" s="66"/>
      <c r="R417" s="39"/>
      <c r="S417" s="74"/>
      <c r="T417" s="81" t="e">
        <f t="shared" si="226"/>
        <v>#DIV/0!</v>
      </c>
      <c r="U417" s="81">
        <f t="shared" si="227"/>
        <v>3</v>
      </c>
      <c r="V417" s="52" t="s">
        <v>102</v>
      </c>
      <c r="W417" s="52" t="s">
        <v>102</v>
      </c>
      <c r="X417" s="52" t="s">
        <v>102</v>
      </c>
      <c r="Y417" s="52" t="s">
        <v>102</v>
      </c>
      <c r="Z417" s="52" t="s">
        <v>102</v>
      </c>
      <c r="AA417" s="52" t="s">
        <v>102</v>
      </c>
      <c r="AB417" s="52" t="s">
        <v>102</v>
      </c>
      <c r="AC417" s="52" t="s">
        <v>102</v>
      </c>
      <c r="AD417" s="52" t="s">
        <v>102</v>
      </c>
      <c r="AE417" s="52" t="s">
        <v>102</v>
      </c>
      <c r="AF417" s="52" t="s">
        <v>262</v>
      </c>
      <c r="AG417" s="144">
        <v>3</v>
      </c>
      <c r="AH417" s="52" t="s">
        <v>263</v>
      </c>
      <c r="AI417" s="52" t="s">
        <v>262</v>
      </c>
      <c r="AJ417" s="53" t="s">
        <v>262</v>
      </c>
      <c r="AK417" s="53" t="s">
        <v>262</v>
      </c>
      <c r="AL417" s="89" t="s">
        <v>262</v>
      </c>
      <c r="AM417" s="53">
        <v>3</v>
      </c>
      <c r="AN417" s="53" t="s">
        <v>262</v>
      </c>
      <c r="AO417" s="53" t="s">
        <v>262</v>
      </c>
      <c r="AP417" s="53">
        <v>22</v>
      </c>
      <c r="AQ417" s="53">
        <v>9</v>
      </c>
      <c r="AR417" s="53" t="s">
        <v>262</v>
      </c>
      <c r="AS417" s="53">
        <v>15</v>
      </c>
      <c r="AT417" s="53" t="s">
        <v>262</v>
      </c>
      <c r="AU417" s="53" t="s">
        <v>262</v>
      </c>
      <c r="AV417" s="53" t="s">
        <v>262</v>
      </c>
      <c r="AW417" s="53" t="s">
        <v>262</v>
      </c>
      <c r="AX417" s="51" t="s">
        <v>264</v>
      </c>
      <c r="AY417" s="53" t="s">
        <v>102</v>
      </c>
      <c r="AZ417" s="53" t="s">
        <v>102</v>
      </c>
      <c r="BA417" s="53" t="s">
        <v>102</v>
      </c>
      <c r="BB417" s="53" t="s">
        <v>102</v>
      </c>
      <c r="BC417" s="53" t="s">
        <v>102</v>
      </c>
      <c r="BD417" s="53" t="s">
        <v>102</v>
      </c>
      <c r="BE417" s="53" t="s">
        <v>102</v>
      </c>
      <c r="BF417" s="53" t="s">
        <v>264</v>
      </c>
      <c r="BG417" s="53" t="s">
        <v>262</v>
      </c>
      <c r="BH417" s="53" t="s">
        <v>262</v>
      </c>
      <c r="BI417" s="53" t="s">
        <v>264</v>
      </c>
      <c r="BJ417" s="53" t="s">
        <v>264</v>
      </c>
      <c r="BK417" s="53" t="s">
        <v>102</v>
      </c>
      <c r="BL417" s="53" t="s">
        <v>102</v>
      </c>
      <c r="BM417" s="53" t="s">
        <v>102</v>
      </c>
      <c r="BN417" s="53" t="s">
        <v>264</v>
      </c>
      <c r="BO417" s="53" t="s">
        <v>264</v>
      </c>
      <c r="BP417" s="53" t="s">
        <v>264</v>
      </c>
      <c r="BQ417" s="53" t="s">
        <v>264</v>
      </c>
      <c r="BR417" s="53" t="s">
        <v>264</v>
      </c>
      <c r="BS417" s="53" t="s">
        <v>102</v>
      </c>
      <c r="BT417" s="53" t="s">
        <v>262</v>
      </c>
      <c r="BU417" s="53" t="s">
        <v>264</v>
      </c>
      <c r="BV417" s="53" t="s">
        <v>264</v>
      </c>
      <c r="BW417" s="53" t="s">
        <v>264</v>
      </c>
      <c r="BX417" s="53" t="s">
        <v>264</v>
      </c>
      <c r="BY417" s="53" t="s">
        <v>264</v>
      </c>
      <c r="BZ417" s="53" t="s">
        <v>264</v>
      </c>
      <c r="CA417" s="53" t="s">
        <v>264</v>
      </c>
      <c r="CB417" s="53" t="s">
        <v>264</v>
      </c>
      <c r="CC417" s="53" t="s">
        <v>264</v>
      </c>
      <c r="CD417" s="53" t="s">
        <v>264</v>
      </c>
      <c r="CE417" s="53" t="s">
        <v>264</v>
      </c>
      <c r="CF417" s="53" t="s">
        <v>264</v>
      </c>
      <c r="CG417" s="53" t="s">
        <v>264</v>
      </c>
      <c r="CH417" s="53" t="s">
        <v>264</v>
      </c>
      <c r="CI417" s="53" t="s">
        <v>264</v>
      </c>
      <c r="CJ417" s="53" t="s">
        <v>264</v>
      </c>
      <c r="CK417" s="53" t="s">
        <v>264</v>
      </c>
      <c r="CL417" s="53" t="s">
        <v>264</v>
      </c>
      <c r="CM417" s="53" t="s">
        <v>264</v>
      </c>
      <c r="CN417" s="206"/>
      <c r="CO417" s="206"/>
      <c r="CP417" s="206"/>
      <c r="CQ417" s="8">
        <f t="shared" si="228"/>
        <v>3</v>
      </c>
      <c r="CR417" s="8">
        <f t="shared" si="229"/>
        <v>22</v>
      </c>
      <c r="CS417" s="8">
        <f t="shared" si="230"/>
        <v>10.4</v>
      </c>
      <c r="CT417">
        <f t="shared" si="231"/>
        <v>7.680682126933644</v>
      </c>
      <c r="CU417" s="143" t="e">
        <f t="shared" si="232"/>
        <v>#DIV/0!</v>
      </c>
      <c r="CV417" s="143">
        <f t="shared" si="233"/>
        <v>3</v>
      </c>
      <c r="CX417" s="7">
        <f t="shared" si="234"/>
        <v>3</v>
      </c>
      <c r="CY417" s="7">
        <f t="shared" si="235"/>
        <v>3</v>
      </c>
      <c r="CZ417" s="7">
        <f t="shared" si="236"/>
        <v>3</v>
      </c>
      <c r="DA417" s="7">
        <f t="shared" si="237"/>
        <v>3</v>
      </c>
      <c r="DB417" s="7">
        <f t="shared" si="238"/>
        <v>9</v>
      </c>
      <c r="DC417" s="7">
        <f t="shared" si="239"/>
        <v>11.399999999999999</v>
      </c>
      <c r="DD417" s="7">
        <f t="shared" si="240"/>
        <v>12.600000000000001</v>
      </c>
      <c r="DE417" s="7">
        <f t="shared" si="241"/>
        <v>15</v>
      </c>
      <c r="DF417" s="7">
        <f t="shared" si="242"/>
        <v>17.800000000000004</v>
      </c>
      <c r="DH417" s="7">
        <f t="shared" si="243"/>
        <v>3</v>
      </c>
      <c r="DI417" s="7">
        <f t="shared" si="244"/>
        <v>3</v>
      </c>
      <c r="DJ417" s="7">
        <f t="shared" si="245"/>
        <v>3</v>
      </c>
      <c r="DK417" s="7">
        <f t="shared" si="246"/>
        <v>3</v>
      </c>
      <c r="DL417" s="7">
        <f t="shared" si="247"/>
        <v>9</v>
      </c>
      <c r="DM417" s="7">
        <f t="shared" si="248"/>
        <v>11.399999999999999</v>
      </c>
      <c r="DN417" s="7">
        <f t="shared" si="249"/>
        <v>12.600000000000001</v>
      </c>
      <c r="DO417" s="7">
        <f t="shared" si="250"/>
        <v>15</v>
      </c>
      <c r="DP417" s="7">
        <f t="shared" si="251"/>
        <v>17.800000000000004</v>
      </c>
    </row>
    <row r="418" spans="1:120" ht="25.5" hidden="1" customHeight="1" x14ac:dyDescent="0.25">
      <c r="A418" s="92" t="str">
        <f t="shared" si="252"/>
        <v>CM-SWVI [10]</v>
      </c>
      <c r="B418" s="92" t="str">
        <f t="shared" si="253"/>
        <v>Southwest Vancouver Island</v>
      </c>
      <c r="C418" s="93" t="str">
        <f t="shared" si="225"/>
        <v>MARVINAS BAY CREEK_Chum</v>
      </c>
      <c r="D418" s="128" t="s">
        <v>598</v>
      </c>
      <c r="E418" s="128" t="s">
        <v>598</v>
      </c>
      <c r="F418" s="64">
        <v>25</v>
      </c>
      <c r="G418" s="72" t="s">
        <v>233</v>
      </c>
      <c r="H418" s="67" t="s">
        <v>96</v>
      </c>
      <c r="I418" s="119"/>
      <c r="J418" s="119"/>
      <c r="K418" s="64">
        <v>4</v>
      </c>
      <c r="L418" s="52">
        <v>11</v>
      </c>
      <c r="M418" s="52">
        <v>10</v>
      </c>
      <c r="N418" s="52">
        <f t="shared" si="254"/>
        <v>151.09436348855141</v>
      </c>
      <c r="O418" s="52">
        <f t="shared" si="255"/>
        <v>7500</v>
      </c>
      <c r="P418" s="52">
        <f t="shared" si="256"/>
        <v>289.61031024680375</v>
      </c>
      <c r="Q418" s="66"/>
      <c r="R418" s="39"/>
      <c r="S418" s="75"/>
      <c r="T418" s="81" t="e">
        <f t="shared" si="226"/>
        <v>#DIV/0!</v>
      </c>
      <c r="U418" s="81">
        <f t="shared" si="227"/>
        <v>135</v>
      </c>
      <c r="V418" s="52" t="s">
        <v>102</v>
      </c>
      <c r="W418" s="52" t="s">
        <v>102</v>
      </c>
      <c r="X418" s="52" t="s">
        <v>102</v>
      </c>
      <c r="Y418" s="52" t="s">
        <v>102</v>
      </c>
      <c r="Z418" s="52" t="s">
        <v>102</v>
      </c>
      <c r="AA418" s="52" t="s">
        <v>102</v>
      </c>
      <c r="AB418" s="52" t="s">
        <v>102</v>
      </c>
      <c r="AC418" s="52" t="s">
        <v>102</v>
      </c>
      <c r="AD418" s="52" t="s">
        <v>102</v>
      </c>
      <c r="AE418" s="52" t="s">
        <v>102</v>
      </c>
      <c r="AF418" s="52" t="s">
        <v>262</v>
      </c>
      <c r="AG418" s="144">
        <v>135</v>
      </c>
      <c r="AH418" s="53">
        <v>80</v>
      </c>
      <c r="AI418" s="53">
        <v>65</v>
      </c>
      <c r="AJ418" s="53">
        <v>7</v>
      </c>
      <c r="AK418" s="53" t="s">
        <v>262</v>
      </c>
      <c r="AL418" s="89">
        <v>50</v>
      </c>
      <c r="AM418" s="53">
        <v>632</v>
      </c>
      <c r="AN418" s="53">
        <v>183</v>
      </c>
      <c r="AO418" s="53">
        <v>575</v>
      </c>
      <c r="AP418" s="53">
        <v>13</v>
      </c>
      <c r="AQ418" s="53">
        <v>350</v>
      </c>
      <c r="AR418" s="53">
        <v>40</v>
      </c>
      <c r="AS418" s="53">
        <v>180</v>
      </c>
      <c r="AT418" s="53">
        <v>4045</v>
      </c>
      <c r="AU418" s="53">
        <v>270</v>
      </c>
      <c r="AV418" s="53">
        <v>170</v>
      </c>
      <c r="AW418" s="53" t="s">
        <v>262</v>
      </c>
      <c r="AX418" s="51">
        <v>125</v>
      </c>
      <c r="AY418" s="53" t="s">
        <v>102</v>
      </c>
      <c r="AZ418" s="53">
        <v>175</v>
      </c>
      <c r="BA418" s="53" t="s">
        <v>102</v>
      </c>
      <c r="BB418" s="53" t="s">
        <v>102</v>
      </c>
      <c r="BC418" s="53" t="s">
        <v>102</v>
      </c>
      <c r="BD418" s="53" t="s">
        <v>102</v>
      </c>
      <c r="BE418" s="53" t="s">
        <v>102</v>
      </c>
      <c r="BF418" s="53">
        <v>300</v>
      </c>
      <c r="BG418" s="53">
        <v>500</v>
      </c>
      <c r="BH418" s="53">
        <v>500</v>
      </c>
      <c r="BI418" s="53">
        <v>220</v>
      </c>
      <c r="BJ418" s="53">
        <v>75</v>
      </c>
      <c r="BK418" s="53" t="s">
        <v>102</v>
      </c>
      <c r="BL418" s="53" t="s">
        <v>102</v>
      </c>
      <c r="BM418" s="53" t="s">
        <v>102</v>
      </c>
      <c r="BN418" s="53">
        <v>75</v>
      </c>
      <c r="BO418" s="53">
        <v>75</v>
      </c>
      <c r="BP418" s="53">
        <v>25</v>
      </c>
      <c r="BQ418" s="53">
        <v>75</v>
      </c>
      <c r="BR418" s="53">
        <v>25</v>
      </c>
      <c r="BS418" s="53" t="s">
        <v>102</v>
      </c>
      <c r="BT418" s="53">
        <v>1500</v>
      </c>
      <c r="BU418" s="53">
        <v>200</v>
      </c>
      <c r="BV418" s="53">
        <v>2000</v>
      </c>
      <c r="BW418" s="53">
        <v>400</v>
      </c>
      <c r="BX418" s="53">
        <v>750</v>
      </c>
      <c r="BY418" s="53">
        <v>750</v>
      </c>
      <c r="BZ418" s="53">
        <v>1800</v>
      </c>
      <c r="CA418" s="53">
        <v>400</v>
      </c>
      <c r="CB418" s="53">
        <v>750</v>
      </c>
      <c r="CC418" s="53">
        <v>400</v>
      </c>
      <c r="CD418" s="53">
        <v>400</v>
      </c>
      <c r="CE418" s="53">
        <v>1500</v>
      </c>
      <c r="CF418" s="53">
        <v>7500</v>
      </c>
      <c r="CG418" s="53">
        <v>200</v>
      </c>
      <c r="CH418" s="53">
        <v>1500</v>
      </c>
      <c r="CI418" s="53">
        <v>400</v>
      </c>
      <c r="CJ418" s="53">
        <v>750</v>
      </c>
      <c r="CK418" s="53">
        <v>25</v>
      </c>
      <c r="CL418" s="53">
        <v>2000</v>
      </c>
      <c r="CM418" s="53">
        <v>3500</v>
      </c>
      <c r="CN418" s="206"/>
      <c r="CO418" s="206"/>
      <c r="CP418" s="206"/>
      <c r="CQ418" s="8">
        <f t="shared" si="228"/>
        <v>7</v>
      </c>
      <c r="CR418" s="8">
        <f t="shared" si="229"/>
        <v>7500</v>
      </c>
      <c r="CS418" s="8">
        <f t="shared" si="230"/>
        <v>759.36170212765956</v>
      </c>
      <c r="CT418">
        <f t="shared" si="231"/>
        <v>268.5759404577077</v>
      </c>
      <c r="CU418" s="143" t="e">
        <f t="shared" si="232"/>
        <v>#DIV/0!</v>
      </c>
      <c r="CV418" s="143">
        <f t="shared" si="233"/>
        <v>135</v>
      </c>
      <c r="CX418" s="7">
        <f t="shared" si="234"/>
        <v>25</v>
      </c>
      <c r="CY418" s="7">
        <f t="shared" si="235"/>
        <v>63.499999999999993</v>
      </c>
      <c r="CZ418" s="7">
        <f t="shared" si="236"/>
        <v>75</v>
      </c>
      <c r="DA418" s="7">
        <f t="shared" si="237"/>
        <v>77.5</v>
      </c>
      <c r="DB418" s="7">
        <f t="shared" si="238"/>
        <v>300</v>
      </c>
      <c r="DC418" s="7">
        <f t="shared" si="239"/>
        <v>400</v>
      </c>
      <c r="DD418" s="7">
        <f t="shared" si="240"/>
        <v>490.00000000000023</v>
      </c>
      <c r="DE418" s="7">
        <f t="shared" si="241"/>
        <v>750</v>
      </c>
      <c r="DF418" s="7">
        <f t="shared" si="242"/>
        <v>1500</v>
      </c>
      <c r="DH418" s="7">
        <f t="shared" si="243"/>
        <v>11.200000000000001</v>
      </c>
      <c r="DI418" s="7">
        <f t="shared" si="244"/>
        <v>41</v>
      </c>
      <c r="DJ418" s="7">
        <f t="shared" si="245"/>
        <v>48</v>
      </c>
      <c r="DK418" s="7">
        <f t="shared" si="246"/>
        <v>57.5</v>
      </c>
      <c r="DL418" s="7">
        <f t="shared" si="247"/>
        <v>170</v>
      </c>
      <c r="DM418" s="7">
        <f t="shared" si="248"/>
        <v>181.2</v>
      </c>
      <c r="DN418" s="7">
        <f t="shared" si="249"/>
        <v>191.69999999999996</v>
      </c>
      <c r="DO418" s="7">
        <f t="shared" si="250"/>
        <v>310</v>
      </c>
      <c r="DP418" s="7">
        <f t="shared" si="251"/>
        <v>552.50000000000011</v>
      </c>
    </row>
    <row r="419" spans="1:120" ht="25.5" hidden="1" customHeight="1" x14ac:dyDescent="0.25">
      <c r="A419" s="92" t="str">
        <f t="shared" si="252"/>
        <v>CO-WVI [17]</v>
      </c>
      <c r="B419" s="92" t="str">
        <f t="shared" si="253"/>
        <v>West Vancouver Island</v>
      </c>
      <c r="C419" s="93" t="str">
        <f t="shared" si="225"/>
        <v>MARVINAS BAY CREEK_Coho</v>
      </c>
      <c r="D419" s="128" t="s">
        <v>598</v>
      </c>
      <c r="E419" s="128" t="s">
        <v>598</v>
      </c>
      <c r="F419" s="64">
        <v>25</v>
      </c>
      <c r="G419" s="72" t="s">
        <v>233</v>
      </c>
      <c r="H419" s="65" t="s">
        <v>93</v>
      </c>
      <c r="I419" s="119"/>
      <c r="J419" s="119"/>
      <c r="K419" s="64">
        <v>4</v>
      </c>
      <c r="L419" s="52">
        <v>11</v>
      </c>
      <c r="M419" s="52">
        <v>8</v>
      </c>
      <c r="N419" s="52">
        <f t="shared" si="254"/>
        <v>57.983814175240518</v>
      </c>
      <c r="O419" s="52">
        <f t="shared" si="255"/>
        <v>750</v>
      </c>
      <c r="P419" s="52">
        <f t="shared" si="256"/>
        <v>62.720956201598575</v>
      </c>
      <c r="Q419" s="66"/>
      <c r="R419" s="39"/>
      <c r="S419" s="74"/>
      <c r="T419" s="81" t="e">
        <f t="shared" si="226"/>
        <v>#DIV/0!</v>
      </c>
      <c r="U419" s="81">
        <f t="shared" si="227"/>
        <v>94</v>
      </c>
      <c r="V419" s="52" t="s">
        <v>102</v>
      </c>
      <c r="W419" s="52" t="s">
        <v>102</v>
      </c>
      <c r="X419" s="52" t="s">
        <v>102</v>
      </c>
      <c r="Y419" s="52" t="s">
        <v>102</v>
      </c>
      <c r="Z419" s="52" t="s">
        <v>102</v>
      </c>
      <c r="AA419" s="52" t="s">
        <v>102</v>
      </c>
      <c r="AB419" s="52" t="s">
        <v>102</v>
      </c>
      <c r="AC419" s="52" t="s">
        <v>102</v>
      </c>
      <c r="AD419" s="52" t="s">
        <v>102</v>
      </c>
      <c r="AE419" s="52" t="s">
        <v>102</v>
      </c>
      <c r="AF419" s="52" t="s">
        <v>262</v>
      </c>
      <c r="AG419" s="144">
        <v>94</v>
      </c>
      <c r="AH419" s="53">
        <v>87</v>
      </c>
      <c r="AI419" s="53">
        <v>29</v>
      </c>
      <c r="AJ419" s="53">
        <v>100</v>
      </c>
      <c r="AK419" s="53">
        <v>35</v>
      </c>
      <c r="AL419" s="89">
        <v>29</v>
      </c>
      <c r="AM419" s="53">
        <v>46</v>
      </c>
      <c r="AN419" s="53">
        <v>100</v>
      </c>
      <c r="AO419" s="53">
        <v>25</v>
      </c>
      <c r="AP419" s="53">
        <v>18</v>
      </c>
      <c r="AQ419" s="53">
        <v>160</v>
      </c>
      <c r="AR419" s="53">
        <v>95</v>
      </c>
      <c r="AS419" s="53">
        <v>75</v>
      </c>
      <c r="AT419" s="53">
        <v>104</v>
      </c>
      <c r="AU419" s="53" t="s">
        <v>262</v>
      </c>
      <c r="AV419" s="53" t="s">
        <v>262</v>
      </c>
      <c r="AW419" s="53" t="s">
        <v>262</v>
      </c>
      <c r="AX419" s="51" t="s">
        <v>262</v>
      </c>
      <c r="AY419" s="53" t="s">
        <v>102</v>
      </c>
      <c r="AZ419" s="53" t="s">
        <v>102</v>
      </c>
      <c r="BA419" s="53" t="s">
        <v>102</v>
      </c>
      <c r="BB419" s="53" t="s">
        <v>102</v>
      </c>
      <c r="BC419" s="53" t="s">
        <v>102</v>
      </c>
      <c r="BD419" s="53" t="s">
        <v>102</v>
      </c>
      <c r="BE419" s="53" t="s">
        <v>102</v>
      </c>
      <c r="BF419" s="53">
        <v>50</v>
      </c>
      <c r="BG419" s="53">
        <v>25</v>
      </c>
      <c r="BH419" s="53" t="s">
        <v>262</v>
      </c>
      <c r="BI419" s="53" t="s">
        <v>264</v>
      </c>
      <c r="BJ419" s="53" t="s">
        <v>264</v>
      </c>
      <c r="BK419" s="53" t="s">
        <v>102</v>
      </c>
      <c r="BL419" s="53" t="s">
        <v>102</v>
      </c>
      <c r="BM419" s="53" t="s">
        <v>102</v>
      </c>
      <c r="BN419" s="53">
        <v>20</v>
      </c>
      <c r="BO419" s="53">
        <v>50</v>
      </c>
      <c r="BP419" s="53" t="s">
        <v>264</v>
      </c>
      <c r="BQ419" s="53">
        <v>25</v>
      </c>
      <c r="BR419" s="53" t="s">
        <v>264</v>
      </c>
      <c r="BS419" s="53" t="s">
        <v>102</v>
      </c>
      <c r="BT419" s="53">
        <v>20</v>
      </c>
      <c r="BU419" s="53">
        <v>25</v>
      </c>
      <c r="BV419" s="53">
        <v>25</v>
      </c>
      <c r="BW419" s="53">
        <v>75</v>
      </c>
      <c r="BX419" s="53">
        <v>200</v>
      </c>
      <c r="BY419" s="53">
        <v>75</v>
      </c>
      <c r="BZ419" s="53">
        <v>400</v>
      </c>
      <c r="CA419" s="53">
        <v>400</v>
      </c>
      <c r="CB419" s="53">
        <v>750</v>
      </c>
      <c r="CC419" s="53">
        <v>150</v>
      </c>
      <c r="CD419" s="53">
        <v>25</v>
      </c>
      <c r="CE419" s="53">
        <v>25</v>
      </c>
      <c r="CF419" s="53">
        <v>25</v>
      </c>
      <c r="CG419" s="53">
        <v>25</v>
      </c>
      <c r="CH419" s="53">
        <v>25</v>
      </c>
      <c r="CI419" s="53">
        <v>25</v>
      </c>
      <c r="CJ419" s="53">
        <v>75</v>
      </c>
      <c r="CK419" s="53" t="s">
        <v>262</v>
      </c>
      <c r="CL419" s="53">
        <v>300</v>
      </c>
      <c r="CM419" s="53">
        <v>750</v>
      </c>
      <c r="CN419" s="206"/>
      <c r="CO419" s="206"/>
      <c r="CP419" s="206"/>
      <c r="CQ419" s="8">
        <f t="shared" si="228"/>
        <v>18</v>
      </c>
      <c r="CR419" s="8">
        <f t="shared" si="229"/>
        <v>750</v>
      </c>
      <c r="CS419" s="8">
        <f t="shared" si="230"/>
        <v>120.05263157894737</v>
      </c>
      <c r="CT419">
        <f t="shared" si="231"/>
        <v>62.655647973950174</v>
      </c>
      <c r="CU419" s="143" t="e">
        <f t="shared" si="232"/>
        <v>#DIV/0!</v>
      </c>
      <c r="CV419" s="143">
        <f t="shared" si="233"/>
        <v>94</v>
      </c>
      <c r="CX419" s="7">
        <f t="shared" si="234"/>
        <v>20</v>
      </c>
      <c r="CY419" s="7">
        <f t="shared" si="235"/>
        <v>25</v>
      </c>
      <c r="CZ419" s="7">
        <f t="shared" si="236"/>
        <v>25</v>
      </c>
      <c r="DA419" s="7">
        <f t="shared" si="237"/>
        <v>25</v>
      </c>
      <c r="DB419" s="7">
        <f t="shared" si="238"/>
        <v>50</v>
      </c>
      <c r="DC419" s="7">
        <f t="shared" si="239"/>
        <v>75</v>
      </c>
      <c r="DD419" s="7">
        <f t="shared" si="240"/>
        <v>87.350000000000009</v>
      </c>
      <c r="DE419" s="7">
        <f t="shared" si="241"/>
        <v>100</v>
      </c>
      <c r="DF419" s="7">
        <f t="shared" si="242"/>
        <v>178.00000000000011</v>
      </c>
      <c r="DH419" s="7">
        <f t="shared" si="243"/>
        <v>22.549999999999997</v>
      </c>
      <c r="DI419" s="7">
        <f t="shared" si="244"/>
        <v>28.8</v>
      </c>
      <c r="DJ419" s="7">
        <f t="shared" si="245"/>
        <v>29</v>
      </c>
      <c r="DK419" s="7">
        <f t="shared" si="246"/>
        <v>30.5</v>
      </c>
      <c r="DL419" s="7">
        <f t="shared" si="247"/>
        <v>81</v>
      </c>
      <c r="DM419" s="7">
        <f t="shared" si="248"/>
        <v>92.600000000000009</v>
      </c>
      <c r="DN419" s="7">
        <f t="shared" si="249"/>
        <v>94.45</v>
      </c>
      <c r="DO419" s="7">
        <f t="shared" si="250"/>
        <v>98.75</v>
      </c>
      <c r="DP419" s="7">
        <f t="shared" si="251"/>
        <v>100.19999999999999</v>
      </c>
    </row>
    <row r="420" spans="1:120" ht="25.5" hidden="1" customHeight="1" x14ac:dyDescent="0.25">
      <c r="A420" s="92" t="str">
        <f t="shared" si="252"/>
        <v>SK-WVI [R10]</v>
      </c>
      <c r="B420" s="92" t="str">
        <f t="shared" si="253"/>
        <v>West Vancouver Island</v>
      </c>
      <c r="C420" s="93" t="str">
        <f t="shared" si="225"/>
        <v>MARVINAS BAY CREEK_Sockeye</v>
      </c>
      <c r="D420" s="128" t="s">
        <v>598</v>
      </c>
      <c r="E420" s="128" t="s">
        <v>598</v>
      </c>
      <c r="F420" s="64">
        <v>25</v>
      </c>
      <c r="G420" s="72" t="s">
        <v>233</v>
      </c>
      <c r="H420" s="65" t="s">
        <v>91</v>
      </c>
      <c r="I420" s="119"/>
      <c r="J420" s="119"/>
      <c r="K420" s="64">
        <v>4</v>
      </c>
      <c r="L420" s="52">
        <v>11</v>
      </c>
      <c r="M420" s="52">
        <v>8</v>
      </c>
      <c r="N420" s="52">
        <f t="shared" si="254"/>
        <v>19.490506543992538</v>
      </c>
      <c r="O420" s="52">
        <f t="shared" si="255"/>
        <v>100</v>
      </c>
      <c r="P420" s="52">
        <f t="shared" si="256"/>
        <v>13.398915851389605</v>
      </c>
      <c r="Q420" s="66"/>
      <c r="R420" s="39"/>
      <c r="S420" s="74"/>
      <c r="T420" s="81" t="e">
        <f t="shared" si="226"/>
        <v>#DIV/0!</v>
      </c>
      <c r="U420" s="81" t="e">
        <f t="shared" si="227"/>
        <v>#DIV/0!</v>
      </c>
      <c r="V420" s="52" t="s">
        <v>102</v>
      </c>
      <c r="W420" s="52" t="s">
        <v>102</v>
      </c>
      <c r="X420" s="52" t="s">
        <v>102</v>
      </c>
      <c r="Y420" s="52" t="s">
        <v>102</v>
      </c>
      <c r="Z420" s="52" t="s">
        <v>102</v>
      </c>
      <c r="AA420" s="52" t="s">
        <v>102</v>
      </c>
      <c r="AB420" s="52" t="s">
        <v>102</v>
      </c>
      <c r="AC420" s="52" t="s">
        <v>102</v>
      </c>
      <c r="AD420" s="52" t="s">
        <v>102</v>
      </c>
      <c r="AE420" s="52" t="s">
        <v>102</v>
      </c>
      <c r="AF420" s="52" t="s">
        <v>262</v>
      </c>
      <c r="AG420" s="52" t="s">
        <v>262</v>
      </c>
      <c r="AH420" s="53">
        <v>4</v>
      </c>
      <c r="AI420" s="52" t="s">
        <v>263</v>
      </c>
      <c r="AJ420" s="53" t="s">
        <v>262</v>
      </c>
      <c r="AK420" s="53" t="s">
        <v>262</v>
      </c>
      <c r="AL420" s="89" t="s">
        <v>262</v>
      </c>
      <c r="AM420" s="53">
        <v>5</v>
      </c>
      <c r="AN420" s="53" t="s">
        <v>262</v>
      </c>
      <c r="AO420" s="53">
        <v>7</v>
      </c>
      <c r="AP420" s="53">
        <v>10</v>
      </c>
      <c r="AQ420" s="53">
        <v>8</v>
      </c>
      <c r="AR420" s="53">
        <v>35</v>
      </c>
      <c r="AS420" s="53">
        <v>25</v>
      </c>
      <c r="AT420" s="53">
        <v>85</v>
      </c>
      <c r="AU420" s="53">
        <v>100</v>
      </c>
      <c r="AV420" s="53" t="s">
        <v>262</v>
      </c>
      <c r="AW420" s="53" t="s">
        <v>262</v>
      </c>
      <c r="AX420" s="51" t="s">
        <v>264</v>
      </c>
      <c r="AY420" s="53" t="s">
        <v>102</v>
      </c>
      <c r="AZ420" s="53" t="s">
        <v>102</v>
      </c>
      <c r="BA420" s="53" t="s">
        <v>102</v>
      </c>
      <c r="BB420" s="53" t="s">
        <v>102</v>
      </c>
      <c r="BC420" s="53" t="s">
        <v>102</v>
      </c>
      <c r="BD420" s="53" t="s">
        <v>102</v>
      </c>
      <c r="BE420" s="53" t="s">
        <v>102</v>
      </c>
      <c r="BF420" s="53">
        <v>3</v>
      </c>
      <c r="BG420" s="53" t="s">
        <v>262</v>
      </c>
      <c r="BH420" s="53" t="s">
        <v>262</v>
      </c>
      <c r="BI420" s="53">
        <v>20</v>
      </c>
      <c r="BJ420" s="53" t="s">
        <v>264</v>
      </c>
      <c r="BK420" s="53" t="s">
        <v>102</v>
      </c>
      <c r="BL420" s="53" t="s">
        <v>102</v>
      </c>
      <c r="BM420" s="53" t="s">
        <v>102</v>
      </c>
      <c r="BN420" s="53">
        <v>2</v>
      </c>
      <c r="BO420" s="53" t="s">
        <v>262</v>
      </c>
      <c r="BP420" s="53" t="s">
        <v>264</v>
      </c>
      <c r="BQ420" s="53" t="s">
        <v>264</v>
      </c>
      <c r="BR420" s="53" t="s">
        <v>264</v>
      </c>
      <c r="BS420" s="53" t="s">
        <v>102</v>
      </c>
      <c r="BT420" s="53" t="s">
        <v>264</v>
      </c>
      <c r="BU420" s="53" t="s">
        <v>264</v>
      </c>
      <c r="BV420" s="53" t="s">
        <v>264</v>
      </c>
      <c r="BW420" s="53" t="s">
        <v>264</v>
      </c>
      <c r="BX420" s="53" t="s">
        <v>264</v>
      </c>
      <c r="BY420" s="53" t="s">
        <v>264</v>
      </c>
      <c r="BZ420" s="53" t="s">
        <v>264</v>
      </c>
      <c r="CA420" s="53" t="s">
        <v>264</v>
      </c>
      <c r="CB420" s="53" t="s">
        <v>264</v>
      </c>
      <c r="CC420" s="53" t="s">
        <v>264</v>
      </c>
      <c r="CD420" s="53" t="s">
        <v>264</v>
      </c>
      <c r="CE420" s="53" t="s">
        <v>264</v>
      </c>
      <c r="CF420" s="53" t="s">
        <v>264</v>
      </c>
      <c r="CG420" s="53" t="s">
        <v>264</v>
      </c>
      <c r="CH420" s="53" t="s">
        <v>264</v>
      </c>
      <c r="CI420" s="53" t="s">
        <v>264</v>
      </c>
      <c r="CJ420" s="53" t="s">
        <v>264</v>
      </c>
      <c r="CK420" s="53" t="s">
        <v>264</v>
      </c>
      <c r="CL420" s="53" t="s">
        <v>264</v>
      </c>
      <c r="CM420" s="53" t="s">
        <v>264</v>
      </c>
      <c r="CN420" s="206"/>
      <c r="CO420" s="206"/>
      <c r="CP420" s="206"/>
      <c r="CQ420" s="8">
        <f t="shared" si="228"/>
        <v>2</v>
      </c>
      <c r="CR420" s="8">
        <f t="shared" si="229"/>
        <v>100</v>
      </c>
      <c r="CS420" s="8">
        <f t="shared" si="230"/>
        <v>25.333333333333332</v>
      </c>
      <c r="CT420">
        <f t="shared" si="231"/>
        <v>12.114872669676279</v>
      </c>
      <c r="CU420" s="143" t="e">
        <f t="shared" si="232"/>
        <v>#DIV/0!</v>
      </c>
      <c r="CV420" s="143" t="e">
        <f t="shared" si="233"/>
        <v>#DIV/0!</v>
      </c>
      <c r="CX420" s="7">
        <f t="shared" si="234"/>
        <v>2.5499999999999998</v>
      </c>
      <c r="CY420" s="7">
        <f t="shared" si="235"/>
        <v>3.65</v>
      </c>
      <c r="CZ420" s="7">
        <f t="shared" si="236"/>
        <v>4.2</v>
      </c>
      <c r="DA420" s="7">
        <f t="shared" si="237"/>
        <v>4.75</v>
      </c>
      <c r="DB420" s="7">
        <f t="shared" si="238"/>
        <v>9</v>
      </c>
      <c r="DC420" s="7">
        <f t="shared" si="239"/>
        <v>15.999999999999996</v>
      </c>
      <c r="DD420" s="7">
        <f t="shared" si="240"/>
        <v>20.75</v>
      </c>
      <c r="DE420" s="7">
        <f t="shared" si="241"/>
        <v>27.5</v>
      </c>
      <c r="DF420" s="7">
        <f t="shared" si="242"/>
        <v>52.499999999999986</v>
      </c>
      <c r="DH420" s="7">
        <f t="shared" si="243"/>
        <v>4.4000000000000004</v>
      </c>
      <c r="DI420" s="7">
        <f t="shared" si="244"/>
        <v>5.4</v>
      </c>
      <c r="DJ420" s="7">
        <f t="shared" si="245"/>
        <v>6.2</v>
      </c>
      <c r="DK420" s="7">
        <f t="shared" si="246"/>
        <v>7</v>
      </c>
      <c r="DL420" s="7">
        <f t="shared" si="247"/>
        <v>10</v>
      </c>
      <c r="DM420" s="7">
        <f t="shared" si="248"/>
        <v>21.999999999999996</v>
      </c>
      <c r="DN420" s="7">
        <f t="shared" si="249"/>
        <v>27</v>
      </c>
      <c r="DO420" s="7">
        <f t="shared" si="250"/>
        <v>35</v>
      </c>
      <c r="DP420" s="7">
        <f t="shared" si="251"/>
        <v>75</v>
      </c>
    </row>
    <row r="421" spans="1:120" ht="25.5" hidden="1" customHeight="1" x14ac:dyDescent="0.25">
      <c r="A421" s="92" t="str">
        <f t="shared" si="252"/>
        <v>CM-SWVI [10]</v>
      </c>
      <c r="B421" s="92" t="str">
        <f t="shared" si="253"/>
        <v>Southwest Vancouver Island</v>
      </c>
      <c r="C421" s="93" t="str">
        <f t="shared" si="225"/>
        <v>MCCURDY CREEK_Chum</v>
      </c>
      <c r="D421" s="128" t="s">
        <v>598</v>
      </c>
      <c r="E421" s="128" t="s">
        <v>598</v>
      </c>
      <c r="F421" s="64">
        <v>25</v>
      </c>
      <c r="G421" s="72" t="s">
        <v>220</v>
      </c>
      <c r="H421" s="65" t="s">
        <v>96</v>
      </c>
      <c r="I421" s="119"/>
      <c r="J421" s="119"/>
      <c r="K421" s="64">
        <v>5</v>
      </c>
      <c r="L421" s="52">
        <v>1</v>
      </c>
      <c r="M421" s="52">
        <v>0</v>
      </c>
      <c r="N421" s="52" t="e">
        <f t="shared" si="254"/>
        <v>#NUM!</v>
      </c>
      <c r="O421" s="52">
        <f t="shared" si="255"/>
        <v>300</v>
      </c>
      <c r="P421" s="52">
        <f t="shared" si="256"/>
        <v>64.863948349011622</v>
      </c>
      <c r="Q421" s="66"/>
      <c r="R421" s="37"/>
      <c r="S421" s="222" t="s">
        <v>102</v>
      </c>
      <c r="T421" s="81" t="e">
        <f t="shared" si="226"/>
        <v>#DIV/0!</v>
      </c>
      <c r="U421" s="81">
        <f t="shared" si="227"/>
        <v>13</v>
      </c>
      <c r="V421" s="52" t="s">
        <v>102</v>
      </c>
      <c r="W421" s="52" t="s">
        <v>102</v>
      </c>
      <c r="X421" s="52" t="s">
        <v>102</v>
      </c>
      <c r="Y421" s="52" t="s">
        <v>102</v>
      </c>
      <c r="Z421" s="52" t="s">
        <v>102</v>
      </c>
      <c r="AA421" s="52" t="s">
        <v>102</v>
      </c>
      <c r="AB421" s="52" t="s">
        <v>102</v>
      </c>
      <c r="AC421" s="52" t="s">
        <v>102</v>
      </c>
      <c r="AD421" s="52" t="s">
        <v>102</v>
      </c>
      <c r="AE421" s="52" t="s">
        <v>102</v>
      </c>
      <c r="AF421" s="52" t="s">
        <v>102</v>
      </c>
      <c r="AG421" s="52">
        <v>13</v>
      </c>
      <c r="AH421" s="52" t="s">
        <v>102</v>
      </c>
      <c r="AI421" s="52" t="s">
        <v>102</v>
      </c>
      <c r="AJ421" s="52" t="s">
        <v>102</v>
      </c>
      <c r="AK421" s="52" t="s">
        <v>102</v>
      </c>
      <c r="AL421" s="52" t="s">
        <v>102</v>
      </c>
      <c r="AM421" s="52" t="s">
        <v>102</v>
      </c>
      <c r="AN421" s="52" t="s">
        <v>102</v>
      </c>
      <c r="AO421" s="52" t="s">
        <v>102</v>
      </c>
      <c r="AP421" s="53" t="s">
        <v>102</v>
      </c>
      <c r="AQ421" s="53" t="s">
        <v>102</v>
      </c>
      <c r="AR421" s="53" t="s">
        <v>102</v>
      </c>
      <c r="AS421" s="52" t="s">
        <v>263</v>
      </c>
      <c r="AT421" s="53" t="s">
        <v>102</v>
      </c>
      <c r="AU421" s="53" t="s">
        <v>102</v>
      </c>
      <c r="AV421" s="53" t="s">
        <v>102</v>
      </c>
      <c r="AW421" s="53" t="s">
        <v>102</v>
      </c>
      <c r="AX421" s="51" t="s">
        <v>102</v>
      </c>
      <c r="AY421" s="53" t="s">
        <v>102</v>
      </c>
      <c r="AZ421" s="53" t="s">
        <v>102</v>
      </c>
      <c r="BA421" s="53">
        <v>300</v>
      </c>
      <c r="BB421" s="53" t="s">
        <v>102</v>
      </c>
      <c r="BC421" s="53" t="s">
        <v>102</v>
      </c>
      <c r="BD421" s="53" t="s">
        <v>102</v>
      </c>
      <c r="BE421" s="53" t="s">
        <v>102</v>
      </c>
      <c r="BF421" s="53" t="s">
        <v>102</v>
      </c>
      <c r="BG421" s="53" t="s">
        <v>102</v>
      </c>
      <c r="BH421" s="53" t="s">
        <v>262</v>
      </c>
      <c r="BI421" s="53" t="s">
        <v>102</v>
      </c>
      <c r="BJ421" s="53" t="s">
        <v>102</v>
      </c>
      <c r="BK421" s="53" t="s">
        <v>102</v>
      </c>
      <c r="BL421" s="53" t="s">
        <v>102</v>
      </c>
      <c r="BM421" s="53" t="s">
        <v>102</v>
      </c>
      <c r="BN421" s="53" t="s">
        <v>102</v>
      </c>
      <c r="BO421" s="53" t="s">
        <v>102</v>
      </c>
      <c r="BP421" s="53" t="s">
        <v>102</v>
      </c>
      <c r="BQ421" s="53" t="s">
        <v>102</v>
      </c>
      <c r="BR421" s="53" t="s">
        <v>102</v>
      </c>
      <c r="BS421" s="53" t="s">
        <v>102</v>
      </c>
      <c r="BT421" s="53" t="s">
        <v>102</v>
      </c>
      <c r="BU421" s="53" t="s">
        <v>102</v>
      </c>
      <c r="BV421" s="53" t="s">
        <v>102</v>
      </c>
      <c r="BW421" s="53" t="s">
        <v>102</v>
      </c>
      <c r="BX421" s="53" t="s">
        <v>262</v>
      </c>
      <c r="BY421" s="53" t="s">
        <v>262</v>
      </c>
      <c r="BZ421" s="53">
        <v>25</v>
      </c>
      <c r="CA421" s="53" t="s">
        <v>262</v>
      </c>
      <c r="CB421" s="53">
        <v>25</v>
      </c>
      <c r="CC421" s="53" t="s">
        <v>264</v>
      </c>
      <c r="CD421" s="53" t="s">
        <v>102</v>
      </c>
      <c r="CE421" s="53" t="s">
        <v>262</v>
      </c>
      <c r="CF421" s="53">
        <v>200</v>
      </c>
      <c r="CG421" s="53">
        <v>25</v>
      </c>
      <c r="CH421" s="53">
        <v>25</v>
      </c>
      <c r="CI421" s="53">
        <v>75</v>
      </c>
      <c r="CJ421" s="53">
        <v>25</v>
      </c>
      <c r="CK421" s="53" t="s">
        <v>262</v>
      </c>
      <c r="CL421" s="53">
        <v>150</v>
      </c>
      <c r="CM421" s="53">
        <v>200</v>
      </c>
      <c r="CN421" s="206"/>
      <c r="CO421" s="206"/>
      <c r="CP421" s="206"/>
      <c r="CQ421" s="8">
        <f t="shared" si="228"/>
        <v>13</v>
      </c>
      <c r="CR421" s="8">
        <f t="shared" si="229"/>
        <v>300</v>
      </c>
      <c r="CS421" s="8">
        <f t="shared" si="230"/>
        <v>96.63636363636364</v>
      </c>
      <c r="CT421">
        <f t="shared" si="231"/>
        <v>56.045839473689128</v>
      </c>
      <c r="CU421" s="143" t="e">
        <f t="shared" si="232"/>
        <v>#DIV/0!</v>
      </c>
      <c r="CV421" s="143">
        <f t="shared" si="233"/>
        <v>13</v>
      </c>
      <c r="CX421" s="7">
        <f t="shared" si="234"/>
        <v>19</v>
      </c>
      <c r="CY421" s="7">
        <f t="shared" si="235"/>
        <v>25</v>
      </c>
      <c r="CZ421" s="7">
        <f t="shared" si="236"/>
        <v>25</v>
      </c>
      <c r="DA421" s="7">
        <f t="shared" si="237"/>
        <v>25</v>
      </c>
      <c r="DB421" s="7">
        <f t="shared" si="238"/>
        <v>25</v>
      </c>
      <c r="DC421" s="7">
        <f t="shared" si="239"/>
        <v>75</v>
      </c>
      <c r="DD421" s="7">
        <f t="shared" si="240"/>
        <v>112.5</v>
      </c>
      <c r="DE421" s="7">
        <f t="shared" si="241"/>
        <v>175</v>
      </c>
      <c r="DF421" s="7">
        <f t="shared" si="242"/>
        <v>200</v>
      </c>
      <c r="DH421" s="7">
        <f t="shared" si="243"/>
        <v>13</v>
      </c>
      <c r="DI421" s="7">
        <f t="shared" si="244"/>
        <v>13</v>
      </c>
      <c r="DJ421" s="7">
        <f t="shared" si="245"/>
        <v>13</v>
      </c>
      <c r="DK421" s="7">
        <f t="shared" si="246"/>
        <v>13</v>
      </c>
      <c r="DL421" s="7">
        <f t="shared" si="247"/>
        <v>13</v>
      </c>
      <c r="DM421" s="7">
        <f t="shared" si="248"/>
        <v>13</v>
      </c>
      <c r="DN421" s="7">
        <f t="shared" si="249"/>
        <v>13</v>
      </c>
      <c r="DO421" s="7">
        <f t="shared" si="250"/>
        <v>13</v>
      </c>
      <c r="DP421" s="7">
        <f t="shared" si="251"/>
        <v>13</v>
      </c>
    </row>
    <row r="422" spans="1:120" ht="25.5" hidden="1" customHeight="1" x14ac:dyDescent="0.25">
      <c r="A422" s="92" t="str">
        <f t="shared" si="252"/>
        <v>CO-WVI [17]</v>
      </c>
      <c r="B422" s="92" t="str">
        <f t="shared" si="253"/>
        <v>West Vancouver Island</v>
      </c>
      <c r="C422" s="93" t="str">
        <f t="shared" si="225"/>
        <v>MCCURDY CREEK_Coho</v>
      </c>
      <c r="D422" s="128" t="s">
        <v>598</v>
      </c>
      <c r="E422" s="128" t="s">
        <v>598</v>
      </c>
      <c r="F422" s="64">
        <v>25</v>
      </c>
      <c r="G422" s="72" t="s">
        <v>220</v>
      </c>
      <c r="H422" s="65" t="s">
        <v>93</v>
      </c>
      <c r="I422" s="119"/>
      <c r="J422" s="119"/>
      <c r="K422" s="64">
        <v>5</v>
      </c>
      <c r="L422" s="52">
        <v>1</v>
      </c>
      <c r="M422" s="52">
        <v>0</v>
      </c>
      <c r="N422" s="52" t="e">
        <f t="shared" si="254"/>
        <v>#NUM!</v>
      </c>
      <c r="O422" s="52">
        <f t="shared" si="255"/>
        <v>100</v>
      </c>
      <c r="P422" s="52">
        <f t="shared" si="256"/>
        <v>37.827143735572541</v>
      </c>
      <c r="Q422" s="66"/>
      <c r="R422" s="37"/>
      <c r="S422" s="37" t="s">
        <v>458</v>
      </c>
      <c r="T422" s="81" t="e">
        <f t="shared" si="226"/>
        <v>#DIV/0!</v>
      </c>
      <c r="U422" s="81" t="e">
        <f t="shared" si="227"/>
        <v>#DIV/0!</v>
      </c>
      <c r="V422" s="52" t="s">
        <v>102</v>
      </c>
      <c r="W422" s="52" t="s">
        <v>102</v>
      </c>
      <c r="X422" s="52" t="s">
        <v>102</v>
      </c>
      <c r="Y422" s="52" t="s">
        <v>102</v>
      </c>
      <c r="Z422" s="52" t="s">
        <v>102</v>
      </c>
      <c r="AA422" s="52" t="s">
        <v>102</v>
      </c>
      <c r="AB422" s="52" t="s">
        <v>102</v>
      </c>
      <c r="AC422" s="52" t="s">
        <v>102</v>
      </c>
      <c r="AD422" s="52" t="s">
        <v>102</v>
      </c>
      <c r="AE422" s="52" t="s">
        <v>102</v>
      </c>
      <c r="AF422" s="52" t="s">
        <v>102</v>
      </c>
      <c r="AG422" s="52" t="s">
        <v>262</v>
      </c>
      <c r="AH422" s="52" t="s">
        <v>102</v>
      </c>
      <c r="AI422" s="52" t="s">
        <v>102</v>
      </c>
      <c r="AJ422" s="52" t="s">
        <v>102</v>
      </c>
      <c r="AK422" s="52" t="s">
        <v>102</v>
      </c>
      <c r="AL422" s="52" t="s">
        <v>102</v>
      </c>
      <c r="AM422" s="52" t="s">
        <v>102</v>
      </c>
      <c r="AN422" s="52" t="s">
        <v>102</v>
      </c>
      <c r="AO422" s="52" t="s">
        <v>102</v>
      </c>
      <c r="AP422" s="53" t="s">
        <v>102</v>
      </c>
      <c r="AQ422" s="53" t="s">
        <v>102</v>
      </c>
      <c r="AR422" s="53" t="s">
        <v>102</v>
      </c>
      <c r="AS422" s="52" t="s">
        <v>262</v>
      </c>
      <c r="AT422" s="53" t="s">
        <v>102</v>
      </c>
      <c r="AU422" s="53" t="s">
        <v>102</v>
      </c>
      <c r="AV422" s="53" t="s">
        <v>102</v>
      </c>
      <c r="AW422" s="53" t="s">
        <v>102</v>
      </c>
      <c r="AX422" s="51" t="s">
        <v>102</v>
      </c>
      <c r="AY422" s="53" t="s">
        <v>102</v>
      </c>
      <c r="AZ422" s="53" t="s">
        <v>102</v>
      </c>
      <c r="BA422" s="53" t="s">
        <v>264</v>
      </c>
      <c r="BB422" s="53" t="s">
        <v>102</v>
      </c>
      <c r="BC422" s="53" t="s">
        <v>102</v>
      </c>
      <c r="BD422" s="53" t="s">
        <v>102</v>
      </c>
      <c r="BE422" s="53" t="s">
        <v>102</v>
      </c>
      <c r="BF422" s="53" t="s">
        <v>102</v>
      </c>
      <c r="BG422" s="53" t="s">
        <v>102</v>
      </c>
      <c r="BH422" s="53" t="s">
        <v>262</v>
      </c>
      <c r="BI422" s="53" t="s">
        <v>102</v>
      </c>
      <c r="BJ422" s="53" t="s">
        <v>102</v>
      </c>
      <c r="BK422" s="53" t="s">
        <v>102</v>
      </c>
      <c r="BL422" s="53" t="s">
        <v>102</v>
      </c>
      <c r="BM422" s="53" t="s">
        <v>102</v>
      </c>
      <c r="BN422" s="53" t="s">
        <v>102</v>
      </c>
      <c r="BO422" s="53" t="s">
        <v>102</v>
      </c>
      <c r="BP422" s="53" t="s">
        <v>102</v>
      </c>
      <c r="BQ422" s="53" t="s">
        <v>102</v>
      </c>
      <c r="BR422" s="53" t="s">
        <v>102</v>
      </c>
      <c r="BS422" s="53" t="s">
        <v>102</v>
      </c>
      <c r="BT422" s="53" t="s">
        <v>102</v>
      </c>
      <c r="BU422" s="53" t="s">
        <v>102</v>
      </c>
      <c r="BV422" s="53" t="s">
        <v>102</v>
      </c>
      <c r="BW422" s="53" t="s">
        <v>102</v>
      </c>
      <c r="BX422" s="53" t="s">
        <v>262</v>
      </c>
      <c r="BY422" s="53" t="s">
        <v>262</v>
      </c>
      <c r="BZ422" s="53">
        <v>25</v>
      </c>
      <c r="CA422" s="53" t="s">
        <v>262</v>
      </c>
      <c r="CB422" s="53">
        <v>25</v>
      </c>
      <c r="CC422" s="53" t="s">
        <v>264</v>
      </c>
      <c r="CD422" s="53" t="s">
        <v>102</v>
      </c>
      <c r="CE422" s="53" t="s">
        <v>262</v>
      </c>
      <c r="CF422" s="53" t="s">
        <v>262</v>
      </c>
      <c r="CG422" s="53">
        <v>25</v>
      </c>
      <c r="CH422" s="53" t="s">
        <v>262</v>
      </c>
      <c r="CI422" s="53">
        <v>25</v>
      </c>
      <c r="CJ422" s="53" t="s">
        <v>264</v>
      </c>
      <c r="CK422" s="53" t="s">
        <v>262</v>
      </c>
      <c r="CL422" s="53">
        <v>100</v>
      </c>
      <c r="CM422" s="53">
        <v>75</v>
      </c>
      <c r="CN422" s="206"/>
      <c r="CO422" s="206"/>
      <c r="CP422" s="206"/>
      <c r="CQ422" s="8">
        <f t="shared" si="228"/>
        <v>25</v>
      </c>
      <c r="CR422" s="8">
        <f t="shared" si="229"/>
        <v>100</v>
      </c>
      <c r="CS422" s="8">
        <f t="shared" si="230"/>
        <v>45.833333333333336</v>
      </c>
      <c r="CT422">
        <f t="shared" si="231"/>
        <v>37.827143735572541</v>
      </c>
      <c r="CU422" s="143" t="e">
        <f t="shared" si="232"/>
        <v>#DIV/0!</v>
      </c>
      <c r="CV422" s="143" t="e">
        <f t="shared" si="233"/>
        <v>#DIV/0!</v>
      </c>
      <c r="CX422" s="7">
        <f t="shared" si="234"/>
        <v>25</v>
      </c>
      <c r="CY422" s="7">
        <f t="shared" si="235"/>
        <v>25</v>
      </c>
      <c r="CZ422" s="7">
        <f t="shared" si="236"/>
        <v>25</v>
      </c>
      <c r="DA422" s="7">
        <f t="shared" si="237"/>
        <v>25</v>
      </c>
      <c r="DB422" s="7">
        <f t="shared" si="238"/>
        <v>25</v>
      </c>
      <c r="DC422" s="7">
        <f t="shared" si="239"/>
        <v>25</v>
      </c>
      <c r="DD422" s="7">
        <f t="shared" si="240"/>
        <v>37.5</v>
      </c>
      <c r="DE422" s="7">
        <f t="shared" si="241"/>
        <v>62.5</v>
      </c>
      <c r="DF422" s="7">
        <f t="shared" si="242"/>
        <v>81.25</v>
      </c>
      <c r="DH422" s="7" t="e">
        <f t="shared" si="243"/>
        <v>#NUM!</v>
      </c>
      <c r="DI422" s="7" t="e">
        <f t="shared" si="244"/>
        <v>#NUM!</v>
      </c>
      <c r="DJ422" s="7" t="e">
        <f t="shared" si="245"/>
        <v>#NUM!</v>
      </c>
      <c r="DK422" s="7" t="e">
        <f t="shared" si="246"/>
        <v>#NUM!</v>
      </c>
      <c r="DL422" s="7" t="e">
        <f t="shared" si="247"/>
        <v>#NUM!</v>
      </c>
      <c r="DM422" s="7" t="e">
        <f t="shared" si="248"/>
        <v>#NUM!</v>
      </c>
      <c r="DN422" s="7" t="e">
        <f t="shared" si="249"/>
        <v>#NUM!</v>
      </c>
      <c r="DO422" s="7" t="e">
        <f t="shared" si="250"/>
        <v>#NUM!</v>
      </c>
      <c r="DP422" s="7" t="e">
        <f t="shared" si="251"/>
        <v>#NUM!</v>
      </c>
    </row>
    <row r="423" spans="1:120" ht="25.5" hidden="1" customHeight="1" x14ac:dyDescent="0.25">
      <c r="A423" s="92" t="str">
        <f t="shared" si="252"/>
        <v>CM-SWVI [10]</v>
      </c>
      <c r="B423" s="92" t="str">
        <f t="shared" si="253"/>
        <v>Southwest Vancouver Island</v>
      </c>
      <c r="C423" s="93" t="str">
        <f t="shared" si="225"/>
        <v>MIDDLE ELIZA CREEK_Chum</v>
      </c>
      <c r="D423" s="128" t="s">
        <v>598</v>
      </c>
      <c r="E423" s="128" t="s">
        <v>598</v>
      </c>
      <c r="F423" s="64">
        <v>25</v>
      </c>
      <c r="G423" s="72" t="s">
        <v>247</v>
      </c>
      <c r="H423" s="67" t="s">
        <v>96</v>
      </c>
      <c r="I423" s="119"/>
      <c r="J423" s="119"/>
      <c r="K423" s="64">
        <v>5</v>
      </c>
      <c r="L423" s="52">
        <v>2</v>
      </c>
      <c r="M423" s="52">
        <v>2</v>
      </c>
      <c r="N423" s="52">
        <f t="shared" si="254"/>
        <v>351.78118198675719</v>
      </c>
      <c r="O423" s="52">
        <f t="shared" si="255"/>
        <v>825</v>
      </c>
      <c r="P423" s="52">
        <f t="shared" si="256"/>
        <v>351.78118198675719</v>
      </c>
      <c r="Q423" s="66"/>
      <c r="R423" s="37"/>
      <c r="S423" s="77" t="s">
        <v>459</v>
      </c>
      <c r="T423" s="81" t="e">
        <f t="shared" si="226"/>
        <v>#DIV/0!</v>
      </c>
      <c r="U423" s="81" t="e">
        <f t="shared" si="227"/>
        <v>#DIV/0!</v>
      </c>
      <c r="V423" s="52" t="s">
        <v>102</v>
      </c>
      <c r="W423" s="52" t="s">
        <v>102</v>
      </c>
      <c r="X423" s="52" t="s">
        <v>102</v>
      </c>
      <c r="Y423" s="52" t="s">
        <v>102</v>
      </c>
      <c r="Z423" s="52" t="s">
        <v>102</v>
      </c>
      <c r="AA423" s="52" t="s">
        <v>102</v>
      </c>
      <c r="AB423" s="52" t="s">
        <v>102</v>
      </c>
      <c r="AC423" s="52" t="s">
        <v>102</v>
      </c>
      <c r="AD423" s="52" t="s">
        <v>102</v>
      </c>
      <c r="AE423" s="52" t="s">
        <v>102</v>
      </c>
      <c r="AF423" s="52" t="s">
        <v>262</v>
      </c>
      <c r="AG423" s="52" t="s">
        <v>102</v>
      </c>
      <c r="AH423" s="52" t="s">
        <v>102</v>
      </c>
      <c r="AI423" s="52" t="s">
        <v>102</v>
      </c>
      <c r="AJ423" s="52" t="s">
        <v>102</v>
      </c>
      <c r="AK423" s="52" t="s">
        <v>102</v>
      </c>
      <c r="AL423" s="52" t="s">
        <v>102</v>
      </c>
      <c r="AM423" s="52" t="s">
        <v>102</v>
      </c>
      <c r="AN423" s="52" t="s">
        <v>102</v>
      </c>
      <c r="AO423" s="52" t="s">
        <v>102</v>
      </c>
      <c r="AP423" s="53" t="s">
        <v>102</v>
      </c>
      <c r="AQ423" s="52" t="s">
        <v>102</v>
      </c>
      <c r="AR423" s="53" t="s">
        <v>102</v>
      </c>
      <c r="AS423" s="52" t="s">
        <v>102</v>
      </c>
      <c r="AT423" s="52" t="s">
        <v>102</v>
      </c>
      <c r="AU423" s="52">
        <v>825</v>
      </c>
      <c r="AV423" s="52">
        <v>150</v>
      </c>
      <c r="AW423" s="53" t="s">
        <v>102</v>
      </c>
      <c r="AX423" s="51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206"/>
      <c r="CO423" s="206"/>
      <c r="CP423" s="206"/>
      <c r="CQ423" s="8">
        <f t="shared" si="228"/>
        <v>150</v>
      </c>
      <c r="CR423" s="8">
        <f t="shared" si="229"/>
        <v>825</v>
      </c>
      <c r="CS423" s="8">
        <f t="shared" si="230"/>
        <v>487.5</v>
      </c>
      <c r="CT423">
        <f t="shared" si="231"/>
        <v>351.78118198675719</v>
      </c>
      <c r="CU423" s="143" t="e">
        <f t="shared" si="232"/>
        <v>#DIV/0!</v>
      </c>
      <c r="CV423" s="143" t="e">
        <f t="shared" si="233"/>
        <v>#DIV/0!</v>
      </c>
      <c r="CX423" s="7">
        <f t="shared" si="234"/>
        <v>183.75000000000003</v>
      </c>
      <c r="CY423" s="7">
        <f t="shared" si="235"/>
        <v>251.24999999999994</v>
      </c>
      <c r="CZ423" s="7">
        <f t="shared" si="236"/>
        <v>285</v>
      </c>
      <c r="DA423" s="7">
        <f t="shared" si="237"/>
        <v>318.75</v>
      </c>
      <c r="DB423" s="7">
        <f t="shared" si="238"/>
        <v>487.5</v>
      </c>
      <c r="DC423" s="7">
        <f t="shared" si="239"/>
        <v>555</v>
      </c>
      <c r="DD423" s="7">
        <f t="shared" si="240"/>
        <v>588.75</v>
      </c>
      <c r="DE423" s="7">
        <f t="shared" si="241"/>
        <v>656.25</v>
      </c>
      <c r="DF423" s="7">
        <f t="shared" si="242"/>
        <v>723.75000000000011</v>
      </c>
      <c r="DH423" s="7">
        <f t="shared" si="243"/>
        <v>183.75000000000003</v>
      </c>
      <c r="DI423" s="7">
        <f t="shared" si="244"/>
        <v>251.24999999999994</v>
      </c>
      <c r="DJ423" s="7">
        <f t="shared" si="245"/>
        <v>285</v>
      </c>
      <c r="DK423" s="7">
        <f t="shared" si="246"/>
        <v>318.75</v>
      </c>
      <c r="DL423" s="7">
        <f t="shared" si="247"/>
        <v>487.5</v>
      </c>
      <c r="DM423" s="7">
        <f t="shared" si="248"/>
        <v>555</v>
      </c>
      <c r="DN423" s="7">
        <f t="shared" si="249"/>
        <v>588.75</v>
      </c>
      <c r="DO423" s="7">
        <f t="shared" si="250"/>
        <v>656.25</v>
      </c>
      <c r="DP423" s="7">
        <f t="shared" si="251"/>
        <v>723.75000000000011</v>
      </c>
    </row>
    <row r="424" spans="1:120" ht="25.5" hidden="1" customHeight="1" x14ac:dyDescent="0.25">
      <c r="A424" s="92" t="str">
        <f t="shared" si="252"/>
        <v>CO-WVI [17]</v>
      </c>
      <c r="B424" s="92" t="str">
        <f t="shared" si="253"/>
        <v>West Vancouver Island</v>
      </c>
      <c r="C424" s="93" t="str">
        <f t="shared" si="225"/>
        <v>MIDDLE ELIZA CREEK_Coho</v>
      </c>
      <c r="D424" s="128" t="s">
        <v>598</v>
      </c>
      <c r="E424" s="128" t="s">
        <v>598</v>
      </c>
      <c r="F424" s="64">
        <v>25</v>
      </c>
      <c r="G424" s="72" t="s">
        <v>247</v>
      </c>
      <c r="H424" s="65" t="s">
        <v>93</v>
      </c>
      <c r="I424" s="119"/>
      <c r="J424" s="119"/>
      <c r="K424" s="64">
        <v>5</v>
      </c>
      <c r="L424" s="52">
        <v>2</v>
      </c>
      <c r="M424" s="52">
        <v>2</v>
      </c>
      <c r="N424" s="52">
        <f t="shared" si="254"/>
        <v>52.915026221291818</v>
      </c>
      <c r="O424" s="52">
        <f t="shared" si="255"/>
        <v>80</v>
      </c>
      <c r="P424" s="52">
        <f t="shared" si="256"/>
        <v>52.915026221291818</v>
      </c>
      <c r="Q424" s="66"/>
      <c r="R424" s="37"/>
      <c r="S424" s="77" t="s">
        <v>459</v>
      </c>
      <c r="T424" s="81" t="e">
        <f t="shared" si="226"/>
        <v>#DIV/0!</v>
      </c>
      <c r="U424" s="81" t="e">
        <f t="shared" si="227"/>
        <v>#DIV/0!</v>
      </c>
      <c r="V424" s="52" t="s">
        <v>102</v>
      </c>
      <c r="W424" s="52" t="s">
        <v>102</v>
      </c>
      <c r="X424" s="52" t="s">
        <v>102</v>
      </c>
      <c r="Y424" s="52" t="s">
        <v>102</v>
      </c>
      <c r="Z424" s="52" t="s">
        <v>102</v>
      </c>
      <c r="AA424" s="52" t="s">
        <v>102</v>
      </c>
      <c r="AB424" s="52" t="s">
        <v>102</v>
      </c>
      <c r="AC424" s="52" t="s">
        <v>102</v>
      </c>
      <c r="AD424" s="52" t="s">
        <v>102</v>
      </c>
      <c r="AE424" s="52" t="s">
        <v>102</v>
      </c>
      <c r="AF424" s="52" t="s">
        <v>262</v>
      </c>
      <c r="AG424" s="52" t="s">
        <v>102</v>
      </c>
      <c r="AH424" s="52" t="s">
        <v>102</v>
      </c>
      <c r="AI424" s="52" t="s">
        <v>102</v>
      </c>
      <c r="AJ424" s="52" t="s">
        <v>102</v>
      </c>
      <c r="AK424" s="52" t="s">
        <v>102</v>
      </c>
      <c r="AL424" s="52" t="s">
        <v>102</v>
      </c>
      <c r="AM424" s="52" t="s">
        <v>102</v>
      </c>
      <c r="AN424" s="52" t="s">
        <v>102</v>
      </c>
      <c r="AO424" s="52" t="s">
        <v>102</v>
      </c>
      <c r="AP424" s="53" t="s">
        <v>102</v>
      </c>
      <c r="AQ424" s="53" t="s">
        <v>102</v>
      </c>
      <c r="AR424" s="53" t="s">
        <v>102</v>
      </c>
      <c r="AS424" s="52" t="s">
        <v>102</v>
      </c>
      <c r="AT424" s="52" t="s">
        <v>102</v>
      </c>
      <c r="AU424" s="52">
        <v>35</v>
      </c>
      <c r="AV424" s="52">
        <v>80</v>
      </c>
      <c r="AW424" s="53" t="s">
        <v>102</v>
      </c>
      <c r="AX424" s="51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206"/>
      <c r="CO424" s="206"/>
      <c r="CP424" s="206"/>
      <c r="CQ424" s="8">
        <f t="shared" si="228"/>
        <v>35</v>
      </c>
      <c r="CR424" s="8">
        <f t="shared" si="229"/>
        <v>80</v>
      </c>
      <c r="CS424" s="8">
        <f t="shared" si="230"/>
        <v>57.5</v>
      </c>
      <c r="CT424">
        <f t="shared" si="231"/>
        <v>52.915026221291818</v>
      </c>
      <c r="CU424" s="143" t="e">
        <f t="shared" si="232"/>
        <v>#DIV/0!</v>
      </c>
      <c r="CV424" s="143" t="e">
        <f t="shared" si="233"/>
        <v>#DIV/0!</v>
      </c>
      <c r="CX424" s="7">
        <f t="shared" si="234"/>
        <v>37.25</v>
      </c>
      <c r="CY424" s="7">
        <f t="shared" si="235"/>
        <v>41.75</v>
      </c>
      <c r="CZ424" s="7">
        <f t="shared" si="236"/>
        <v>44</v>
      </c>
      <c r="DA424" s="7">
        <f t="shared" si="237"/>
        <v>46.25</v>
      </c>
      <c r="DB424" s="7">
        <f t="shared" si="238"/>
        <v>57.5</v>
      </c>
      <c r="DC424" s="7">
        <f t="shared" si="239"/>
        <v>62</v>
      </c>
      <c r="DD424" s="7">
        <f t="shared" si="240"/>
        <v>64.25</v>
      </c>
      <c r="DE424" s="7">
        <f t="shared" si="241"/>
        <v>68.75</v>
      </c>
      <c r="DF424" s="7">
        <f t="shared" si="242"/>
        <v>73.25</v>
      </c>
      <c r="DH424" s="7">
        <f t="shared" si="243"/>
        <v>37.25</v>
      </c>
      <c r="DI424" s="7">
        <f t="shared" si="244"/>
        <v>41.75</v>
      </c>
      <c r="DJ424" s="7">
        <f t="shared" si="245"/>
        <v>44</v>
      </c>
      <c r="DK424" s="7">
        <f t="shared" si="246"/>
        <v>46.25</v>
      </c>
      <c r="DL424" s="7">
        <f t="shared" si="247"/>
        <v>57.5</v>
      </c>
      <c r="DM424" s="7">
        <f t="shared" si="248"/>
        <v>62</v>
      </c>
      <c r="DN424" s="7">
        <f t="shared" si="249"/>
        <v>64.25</v>
      </c>
      <c r="DO424" s="7">
        <f t="shared" si="250"/>
        <v>68.75</v>
      </c>
      <c r="DP424" s="7">
        <f t="shared" si="251"/>
        <v>73.25</v>
      </c>
    </row>
    <row r="425" spans="1:120" ht="25.5" customHeight="1" x14ac:dyDescent="0.25">
      <c r="A425" s="92" t="str">
        <f t="shared" si="252"/>
        <v>CK-NoKy [32]</v>
      </c>
      <c r="B425" s="92" t="str">
        <f t="shared" si="253"/>
        <v>Nootka and Kyuquot</v>
      </c>
      <c r="C425" s="93" t="str">
        <f t="shared" si="225"/>
        <v>MOOYAH RIVER_Chinook</v>
      </c>
      <c r="D425" s="128" t="s">
        <v>598</v>
      </c>
      <c r="E425" s="128" t="s">
        <v>598</v>
      </c>
      <c r="F425" s="64">
        <v>25</v>
      </c>
      <c r="G425" s="72" t="s">
        <v>215</v>
      </c>
      <c r="H425" s="65" t="s">
        <v>97</v>
      </c>
      <c r="I425" s="119"/>
      <c r="J425" s="119"/>
      <c r="K425" s="64">
        <v>4</v>
      </c>
      <c r="L425" s="52">
        <v>9</v>
      </c>
      <c r="M425" s="52">
        <v>7</v>
      </c>
      <c r="N425" s="52">
        <f t="shared" si="254"/>
        <v>18.73770816927934</v>
      </c>
      <c r="O425" s="52">
        <f t="shared" si="255"/>
        <v>700</v>
      </c>
      <c r="P425" s="52">
        <f t="shared" si="256"/>
        <v>45.480638807987312</v>
      </c>
      <c r="Q425" s="66"/>
      <c r="R425" s="39"/>
      <c r="S425" s="74"/>
      <c r="T425" s="81" t="e">
        <f t="shared" si="226"/>
        <v>#DIV/0!</v>
      </c>
      <c r="U425" s="81">
        <f t="shared" si="227"/>
        <v>17</v>
      </c>
      <c r="V425" s="232" t="s">
        <v>262</v>
      </c>
      <c r="W425" s="52" t="s">
        <v>102</v>
      </c>
      <c r="X425" s="52" t="s">
        <v>102</v>
      </c>
      <c r="Y425" s="52" t="s">
        <v>102</v>
      </c>
      <c r="Z425" s="52" t="s">
        <v>102</v>
      </c>
      <c r="AA425" s="52" t="s">
        <v>102</v>
      </c>
      <c r="AB425" s="52" t="s">
        <v>102</v>
      </c>
      <c r="AC425" s="52" t="s">
        <v>102</v>
      </c>
      <c r="AD425" s="52" t="s">
        <v>102</v>
      </c>
      <c r="AE425" s="52" t="s">
        <v>102</v>
      </c>
      <c r="AF425" s="52" t="s">
        <v>262</v>
      </c>
      <c r="AG425" s="144">
        <v>17</v>
      </c>
      <c r="AH425" s="53">
        <v>78</v>
      </c>
      <c r="AI425" s="53">
        <v>4</v>
      </c>
      <c r="AJ425" s="53">
        <v>2</v>
      </c>
      <c r="AK425" s="53" t="s">
        <v>262</v>
      </c>
      <c r="AL425" s="89">
        <v>5</v>
      </c>
      <c r="AM425" s="53" t="s">
        <v>262</v>
      </c>
      <c r="AN425" s="52">
        <v>24</v>
      </c>
      <c r="AO425" s="53">
        <v>11</v>
      </c>
      <c r="AP425" s="53">
        <v>214</v>
      </c>
      <c r="AQ425" s="53">
        <v>80</v>
      </c>
      <c r="AR425" s="53">
        <v>15</v>
      </c>
      <c r="AS425" s="52">
        <v>10</v>
      </c>
      <c r="AT425" s="52" t="s">
        <v>102</v>
      </c>
      <c r="AU425" s="52" t="s">
        <v>262</v>
      </c>
      <c r="AV425" s="52" t="s">
        <v>102</v>
      </c>
      <c r="AW425" s="52">
        <v>42</v>
      </c>
      <c r="AX425" s="51" t="s">
        <v>264</v>
      </c>
      <c r="AY425" s="53" t="s">
        <v>262</v>
      </c>
      <c r="AZ425" s="53" t="s">
        <v>102</v>
      </c>
      <c r="BA425" s="53" t="s">
        <v>264</v>
      </c>
      <c r="BB425" s="53" t="s">
        <v>264</v>
      </c>
      <c r="BC425" s="53" t="s">
        <v>264</v>
      </c>
      <c r="BD425" s="53" t="s">
        <v>264</v>
      </c>
      <c r="BE425" s="53">
        <v>3</v>
      </c>
      <c r="BF425" s="53" t="s">
        <v>262</v>
      </c>
      <c r="BG425" s="53" t="s">
        <v>262</v>
      </c>
      <c r="BH425" s="53" t="s">
        <v>262</v>
      </c>
      <c r="BI425" s="53" t="s">
        <v>264</v>
      </c>
      <c r="BJ425" s="53" t="s">
        <v>102</v>
      </c>
      <c r="BK425" s="53" t="s">
        <v>264</v>
      </c>
      <c r="BL425" s="53" t="s">
        <v>264</v>
      </c>
      <c r="BM425" s="53">
        <v>12</v>
      </c>
      <c r="BN425" s="53">
        <v>2</v>
      </c>
      <c r="BO425" s="53">
        <v>1</v>
      </c>
      <c r="BP425" s="53" t="s">
        <v>102</v>
      </c>
      <c r="BQ425" s="53">
        <v>25</v>
      </c>
      <c r="BR425" s="53">
        <v>25</v>
      </c>
      <c r="BS425" s="53">
        <v>75</v>
      </c>
      <c r="BT425" s="53">
        <v>150</v>
      </c>
      <c r="BU425" s="53">
        <v>75</v>
      </c>
      <c r="BV425" s="53">
        <v>200</v>
      </c>
      <c r="BW425" s="53">
        <v>200</v>
      </c>
      <c r="BX425" s="53">
        <v>400</v>
      </c>
      <c r="BY425" s="53">
        <v>200</v>
      </c>
      <c r="BZ425" s="53">
        <v>700</v>
      </c>
      <c r="CA425" s="53">
        <v>75</v>
      </c>
      <c r="CB425" s="53">
        <v>400</v>
      </c>
      <c r="CC425" s="53">
        <v>200</v>
      </c>
      <c r="CD425" s="53">
        <v>75</v>
      </c>
      <c r="CE425" s="53" t="s">
        <v>262</v>
      </c>
      <c r="CF425" s="53">
        <v>200</v>
      </c>
      <c r="CG425" s="53">
        <v>25</v>
      </c>
      <c r="CH425" s="53" t="s">
        <v>262</v>
      </c>
      <c r="CI425" s="53">
        <v>75</v>
      </c>
      <c r="CJ425" s="53">
        <v>25</v>
      </c>
      <c r="CK425" s="53" t="s">
        <v>262</v>
      </c>
      <c r="CL425" s="53">
        <v>250</v>
      </c>
      <c r="CM425" s="53">
        <v>200</v>
      </c>
      <c r="CN425" s="206"/>
      <c r="CO425" s="206"/>
      <c r="CP425" s="206"/>
      <c r="CQ425" s="8">
        <f t="shared" si="228"/>
        <v>1</v>
      </c>
      <c r="CR425" s="8">
        <f t="shared" si="229"/>
        <v>700</v>
      </c>
      <c r="CS425" s="8">
        <f t="shared" si="230"/>
        <v>113.75</v>
      </c>
      <c r="CT425">
        <f t="shared" si="231"/>
        <v>41.989001941868516</v>
      </c>
      <c r="CU425" s="143" t="e">
        <f t="shared" si="232"/>
        <v>#DIV/0!</v>
      </c>
      <c r="CV425" s="143">
        <f t="shared" si="233"/>
        <v>17</v>
      </c>
      <c r="CX425" s="7">
        <f t="shared" si="234"/>
        <v>2</v>
      </c>
      <c r="CY425" s="7">
        <f t="shared" si="235"/>
        <v>6.25</v>
      </c>
      <c r="CZ425" s="7">
        <f t="shared" si="236"/>
        <v>11</v>
      </c>
      <c r="DA425" s="7">
        <f t="shared" si="237"/>
        <v>14.25</v>
      </c>
      <c r="DB425" s="7">
        <f t="shared" si="238"/>
        <v>75</v>
      </c>
      <c r="DC425" s="7">
        <f t="shared" si="239"/>
        <v>75</v>
      </c>
      <c r="DD425" s="7">
        <f t="shared" si="240"/>
        <v>79.5</v>
      </c>
      <c r="DE425" s="7">
        <f t="shared" si="241"/>
        <v>200</v>
      </c>
      <c r="DF425" s="7">
        <f t="shared" si="242"/>
        <v>200</v>
      </c>
      <c r="DH425" s="7">
        <f t="shared" si="243"/>
        <v>3.1</v>
      </c>
      <c r="DI425" s="7">
        <f t="shared" si="244"/>
        <v>4.6500000000000004</v>
      </c>
      <c r="DJ425" s="7">
        <f t="shared" si="245"/>
        <v>6.0000000000000009</v>
      </c>
      <c r="DK425" s="7">
        <f t="shared" si="246"/>
        <v>8.75</v>
      </c>
      <c r="DL425" s="7">
        <f t="shared" si="247"/>
        <v>16</v>
      </c>
      <c r="DM425" s="7">
        <f t="shared" si="248"/>
        <v>21.199999999999996</v>
      </c>
      <c r="DN425" s="7">
        <f t="shared" si="249"/>
        <v>26.700000000000006</v>
      </c>
      <c r="DO425" s="7">
        <f t="shared" si="250"/>
        <v>51</v>
      </c>
      <c r="DP425" s="7">
        <f t="shared" si="251"/>
        <v>78.7</v>
      </c>
    </row>
    <row r="426" spans="1:120" ht="25.5" hidden="1" customHeight="1" x14ac:dyDescent="0.25">
      <c r="A426" s="92" t="str">
        <f t="shared" si="252"/>
        <v>CM-SWVI [10]</v>
      </c>
      <c r="B426" s="92" t="str">
        <f t="shared" si="253"/>
        <v>Southwest Vancouver Island</v>
      </c>
      <c r="C426" s="93" t="str">
        <f t="shared" si="225"/>
        <v>MOOYAH RIVER_Chum</v>
      </c>
      <c r="D426" s="128" t="s">
        <v>598</v>
      </c>
      <c r="E426" s="128" t="s">
        <v>598</v>
      </c>
      <c r="F426" s="64">
        <v>25</v>
      </c>
      <c r="G426" s="72" t="s">
        <v>215</v>
      </c>
      <c r="H426" s="67" t="s">
        <v>96</v>
      </c>
      <c r="I426" s="119"/>
      <c r="J426" s="119"/>
      <c r="K426" s="64">
        <v>4</v>
      </c>
      <c r="L426" s="52">
        <v>9</v>
      </c>
      <c r="M426" s="52">
        <v>8</v>
      </c>
      <c r="N426" s="52">
        <f t="shared" si="254"/>
        <v>100.85338564058557</v>
      </c>
      <c r="O426" s="52">
        <f t="shared" si="255"/>
        <v>15000</v>
      </c>
      <c r="P426" s="52">
        <f t="shared" si="256"/>
        <v>657.22083711858124</v>
      </c>
      <c r="Q426" s="66"/>
      <c r="R426" s="39"/>
      <c r="S426" s="75"/>
      <c r="T426" s="81">
        <f t="shared" si="226"/>
        <v>40</v>
      </c>
      <c r="U426" s="81">
        <f t="shared" si="227"/>
        <v>161</v>
      </c>
      <c r="V426" s="233">
        <v>40</v>
      </c>
      <c r="W426" s="52" t="s">
        <v>102</v>
      </c>
      <c r="X426" s="52" t="s">
        <v>102</v>
      </c>
      <c r="Y426" s="52" t="s">
        <v>102</v>
      </c>
      <c r="Z426" s="52" t="s">
        <v>102</v>
      </c>
      <c r="AA426" s="52" t="s">
        <v>102</v>
      </c>
      <c r="AB426" s="52" t="s">
        <v>102</v>
      </c>
      <c r="AC426" s="52" t="s">
        <v>102</v>
      </c>
      <c r="AD426" s="52" t="s">
        <v>102</v>
      </c>
      <c r="AE426" s="52" t="s">
        <v>102</v>
      </c>
      <c r="AF426" s="52" t="s">
        <v>263</v>
      </c>
      <c r="AG426" s="144">
        <v>282</v>
      </c>
      <c r="AH426" s="53">
        <v>435</v>
      </c>
      <c r="AI426" s="53">
        <v>365</v>
      </c>
      <c r="AJ426" s="53">
        <v>438</v>
      </c>
      <c r="AK426" s="53">
        <v>15</v>
      </c>
      <c r="AL426" s="89">
        <v>140</v>
      </c>
      <c r="AM426" s="52">
        <v>54</v>
      </c>
      <c r="AN426" s="52">
        <v>346</v>
      </c>
      <c r="AO426" s="53">
        <v>147</v>
      </c>
      <c r="AP426" s="52">
        <v>61</v>
      </c>
      <c r="AQ426" s="52">
        <v>100</v>
      </c>
      <c r="AR426" s="53">
        <v>100</v>
      </c>
      <c r="AS426" s="52">
        <v>285</v>
      </c>
      <c r="AT426" s="52" t="s">
        <v>102</v>
      </c>
      <c r="AU426" s="52">
        <v>25</v>
      </c>
      <c r="AV426" s="52" t="s">
        <v>102</v>
      </c>
      <c r="AW426" s="52" t="s">
        <v>262</v>
      </c>
      <c r="AX426" s="51">
        <v>200</v>
      </c>
      <c r="AY426" s="53">
        <v>500</v>
      </c>
      <c r="AZ426" s="53">
        <v>500</v>
      </c>
      <c r="BA426" s="53">
        <v>550</v>
      </c>
      <c r="BB426" s="53">
        <v>30</v>
      </c>
      <c r="BC426" s="53">
        <v>30</v>
      </c>
      <c r="BD426" s="53">
        <v>100</v>
      </c>
      <c r="BE426" s="53">
        <v>250</v>
      </c>
      <c r="BF426" s="53">
        <v>300</v>
      </c>
      <c r="BG426" s="53">
        <v>570</v>
      </c>
      <c r="BH426" s="53">
        <v>1000</v>
      </c>
      <c r="BI426" s="53">
        <v>450</v>
      </c>
      <c r="BJ426" s="53" t="s">
        <v>102</v>
      </c>
      <c r="BK426" s="53">
        <v>900</v>
      </c>
      <c r="BL426" s="53">
        <v>2000</v>
      </c>
      <c r="BM426" s="53">
        <v>250</v>
      </c>
      <c r="BN426" s="53">
        <v>1400</v>
      </c>
      <c r="BO426" s="53">
        <v>1000</v>
      </c>
      <c r="BP426" s="53" t="s">
        <v>102</v>
      </c>
      <c r="BQ426" s="53">
        <v>1500</v>
      </c>
      <c r="BR426" s="53">
        <v>750</v>
      </c>
      <c r="BS426" s="53">
        <v>3500</v>
      </c>
      <c r="BT426" s="53">
        <v>3000</v>
      </c>
      <c r="BU426" s="53">
        <v>750</v>
      </c>
      <c r="BV426" s="53">
        <v>2500</v>
      </c>
      <c r="BW426" s="53">
        <v>3500</v>
      </c>
      <c r="BX426" s="53">
        <v>3500</v>
      </c>
      <c r="BY426" s="53">
        <v>1500</v>
      </c>
      <c r="BZ426" s="53">
        <v>4000</v>
      </c>
      <c r="CA426" s="53">
        <v>750</v>
      </c>
      <c r="CB426" s="53">
        <v>3500</v>
      </c>
      <c r="CC426" s="53">
        <v>3000</v>
      </c>
      <c r="CD426" s="53">
        <v>3500</v>
      </c>
      <c r="CE426" s="53">
        <v>7500</v>
      </c>
      <c r="CF426" s="53">
        <v>15000</v>
      </c>
      <c r="CG426" s="53">
        <v>400</v>
      </c>
      <c r="CH426" s="53">
        <v>7500</v>
      </c>
      <c r="CI426" s="53">
        <v>1500</v>
      </c>
      <c r="CJ426" s="53">
        <v>7500</v>
      </c>
      <c r="CK426" s="53">
        <v>400</v>
      </c>
      <c r="CL426" s="53">
        <v>3000</v>
      </c>
      <c r="CM426" s="53">
        <v>7500</v>
      </c>
      <c r="CN426" s="206"/>
      <c r="CO426" s="206"/>
      <c r="CP426" s="206"/>
      <c r="CQ426" s="8">
        <f t="shared" si="228"/>
        <v>15</v>
      </c>
      <c r="CR426" s="8">
        <f t="shared" si="229"/>
        <v>15000</v>
      </c>
      <c r="CS426" s="8">
        <f t="shared" si="230"/>
        <v>1789.3272727272727</v>
      </c>
      <c r="CT426">
        <f t="shared" si="231"/>
        <v>603.98323860637913</v>
      </c>
      <c r="CU426" s="143">
        <f t="shared" si="232"/>
        <v>40</v>
      </c>
      <c r="CV426" s="143">
        <f t="shared" si="233"/>
        <v>161</v>
      </c>
      <c r="CX426" s="7">
        <f t="shared" si="234"/>
        <v>30</v>
      </c>
      <c r="CY426" s="7">
        <f t="shared" si="235"/>
        <v>100</v>
      </c>
      <c r="CZ426" s="7">
        <f t="shared" si="236"/>
        <v>145.6</v>
      </c>
      <c r="DA426" s="7">
        <f t="shared" si="237"/>
        <v>250</v>
      </c>
      <c r="DB426" s="7">
        <f t="shared" si="238"/>
        <v>550</v>
      </c>
      <c r="DC426" s="7">
        <f t="shared" si="239"/>
        <v>939.99999999999989</v>
      </c>
      <c r="DD426" s="7">
        <f t="shared" si="240"/>
        <v>1410.0000000000002</v>
      </c>
      <c r="DE426" s="7">
        <f t="shared" si="241"/>
        <v>2750</v>
      </c>
      <c r="DF426" s="7">
        <f t="shared" si="242"/>
        <v>3500</v>
      </c>
      <c r="DH426" s="7">
        <f t="shared" si="243"/>
        <v>22</v>
      </c>
      <c r="DI426" s="7">
        <f t="shared" si="244"/>
        <v>41.4</v>
      </c>
      <c r="DJ426" s="7">
        <f t="shared" si="245"/>
        <v>51.2</v>
      </c>
      <c r="DK426" s="7">
        <f t="shared" si="246"/>
        <v>57.5</v>
      </c>
      <c r="DL426" s="7">
        <f t="shared" si="247"/>
        <v>140</v>
      </c>
      <c r="DM426" s="7">
        <f t="shared" si="248"/>
        <v>201.00000000000006</v>
      </c>
      <c r="DN426" s="7">
        <f t="shared" si="249"/>
        <v>282.3</v>
      </c>
      <c r="DO426" s="7">
        <f t="shared" si="250"/>
        <v>315.5</v>
      </c>
      <c r="DP426" s="7">
        <f t="shared" si="251"/>
        <v>363.1</v>
      </c>
    </row>
    <row r="427" spans="1:120" ht="25.5" hidden="1" customHeight="1" x14ac:dyDescent="0.25">
      <c r="A427" s="92" t="str">
        <f t="shared" si="252"/>
        <v>CO-WVI [17]</v>
      </c>
      <c r="B427" s="92" t="str">
        <f t="shared" si="253"/>
        <v>West Vancouver Island</v>
      </c>
      <c r="C427" s="93" t="str">
        <f t="shared" si="225"/>
        <v>MOOYAH RIVER_Coho</v>
      </c>
      <c r="D427" s="128" t="s">
        <v>598</v>
      </c>
      <c r="E427" s="128" t="s">
        <v>598</v>
      </c>
      <c r="F427" s="64">
        <v>25</v>
      </c>
      <c r="G427" s="72" t="s">
        <v>215</v>
      </c>
      <c r="H427" s="65" t="s">
        <v>93</v>
      </c>
      <c r="I427" s="119"/>
      <c r="J427" s="119"/>
      <c r="K427" s="64">
        <v>4</v>
      </c>
      <c r="L427" s="52">
        <v>9</v>
      </c>
      <c r="M427" s="52">
        <v>8</v>
      </c>
      <c r="N427" s="52">
        <f t="shared" si="254"/>
        <v>118.54313898007661</v>
      </c>
      <c r="O427" s="52">
        <f t="shared" si="255"/>
        <v>1000</v>
      </c>
      <c r="P427" s="52">
        <f t="shared" si="256"/>
        <v>138.91446496830082</v>
      </c>
      <c r="Q427" s="66"/>
      <c r="R427" s="39"/>
      <c r="S427" s="74"/>
      <c r="T427" s="81" t="e">
        <f t="shared" si="226"/>
        <v>#DIV/0!</v>
      </c>
      <c r="U427" s="81">
        <f t="shared" si="227"/>
        <v>223</v>
      </c>
      <c r="V427" s="232" t="s">
        <v>262</v>
      </c>
      <c r="W427" s="52" t="s">
        <v>102</v>
      </c>
      <c r="X427" s="52" t="s">
        <v>102</v>
      </c>
      <c r="Y427" s="52" t="s">
        <v>102</v>
      </c>
      <c r="Z427" s="52" t="s">
        <v>102</v>
      </c>
      <c r="AA427" s="52" t="s">
        <v>102</v>
      </c>
      <c r="AB427" s="52" t="s">
        <v>102</v>
      </c>
      <c r="AC427" s="52" t="s">
        <v>102</v>
      </c>
      <c r="AD427" s="52" t="s">
        <v>102</v>
      </c>
      <c r="AE427" s="52" t="s">
        <v>102</v>
      </c>
      <c r="AF427" s="52" t="s">
        <v>263</v>
      </c>
      <c r="AG427" s="144">
        <v>223</v>
      </c>
      <c r="AH427" s="53">
        <v>500</v>
      </c>
      <c r="AI427" s="53">
        <v>410</v>
      </c>
      <c r="AJ427" s="53">
        <v>213</v>
      </c>
      <c r="AK427" s="53">
        <v>113</v>
      </c>
      <c r="AL427" s="89">
        <v>37</v>
      </c>
      <c r="AM427" s="52">
        <v>100</v>
      </c>
      <c r="AN427" s="52">
        <v>220</v>
      </c>
      <c r="AO427" s="53">
        <v>103</v>
      </c>
      <c r="AP427" s="53">
        <v>87</v>
      </c>
      <c r="AQ427" s="53">
        <v>200</v>
      </c>
      <c r="AR427" s="53">
        <v>250</v>
      </c>
      <c r="AS427" s="52">
        <v>185</v>
      </c>
      <c r="AT427" s="52" t="s">
        <v>102</v>
      </c>
      <c r="AU427" s="52">
        <v>40</v>
      </c>
      <c r="AV427" s="52" t="s">
        <v>102</v>
      </c>
      <c r="AW427" s="52" t="s">
        <v>262</v>
      </c>
      <c r="AX427" s="51">
        <v>40</v>
      </c>
      <c r="AY427" s="53">
        <v>50</v>
      </c>
      <c r="AZ427" s="53" t="s">
        <v>102</v>
      </c>
      <c r="BA427" s="53" t="s">
        <v>262</v>
      </c>
      <c r="BB427" s="53" t="s">
        <v>262</v>
      </c>
      <c r="BC427" s="53">
        <v>30</v>
      </c>
      <c r="BD427" s="53">
        <v>50</v>
      </c>
      <c r="BE427" s="53">
        <v>150</v>
      </c>
      <c r="BF427" s="53">
        <v>100</v>
      </c>
      <c r="BG427" s="53">
        <v>50</v>
      </c>
      <c r="BH427" s="53" t="s">
        <v>262</v>
      </c>
      <c r="BI427" s="53" t="s">
        <v>264</v>
      </c>
      <c r="BJ427" s="53" t="s">
        <v>102</v>
      </c>
      <c r="BK427" s="53">
        <v>20</v>
      </c>
      <c r="BL427" s="53" t="s">
        <v>264</v>
      </c>
      <c r="BM427" s="53">
        <v>100</v>
      </c>
      <c r="BN427" s="53">
        <v>100</v>
      </c>
      <c r="BO427" s="53">
        <v>100</v>
      </c>
      <c r="BP427" s="53" t="s">
        <v>102</v>
      </c>
      <c r="BQ427" s="53">
        <v>75</v>
      </c>
      <c r="BR427" s="53">
        <v>200</v>
      </c>
      <c r="BS427" s="53">
        <v>75</v>
      </c>
      <c r="BT427" s="53">
        <v>75</v>
      </c>
      <c r="BU427" s="53">
        <v>200</v>
      </c>
      <c r="BV427" s="53">
        <v>175</v>
      </c>
      <c r="BW427" s="53">
        <v>200</v>
      </c>
      <c r="BX427" s="53">
        <v>400</v>
      </c>
      <c r="BY427" s="53">
        <v>200</v>
      </c>
      <c r="BZ427" s="53">
        <v>800</v>
      </c>
      <c r="CA427" s="53">
        <v>400</v>
      </c>
      <c r="CB427" s="53">
        <v>400</v>
      </c>
      <c r="CC427" s="53">
        <v>300</v>
      </c>
      <c r="CD427" s="53">
        <v>400</v>
      </c>
      <c r="CE427" s="53">
        <v>75</v>
      </c>
      <c r="CF427" s="53">
        <v>400</v>
      </c>
      <c r="CG427" s="53">
        <v>25</v>
      </c>
      <c r="CH427" s="53">
        <v>200</v>
      </c>
      <c r="CI427" s="53">
        <v>200</v>
      </c>
      <c r="CJ427" s="53">
        <v>400</v>
      </c>
      <c r="CK427" s="53" t="s">
        <v>262</v>
      </c>
      <c r="CL427" s="53">
        <v>1000</v>
      </c>
      <c r="CM427" s="53">
        <v>750</v>
      </c>
      <c r="CN427" s="206"/>
      <c r="CO427" s="206"/>
      <c r="CP427" s="206"/>
      <c r="CQ427" s="8">
        <f t="shared" si="228"/>
        <v>20</v>
      </c>
      <c r="CR427" s="8">
        <f t="shared" si="229"/>
        <v>1000</v>
      </c>
      <c r="CS427" s="8">
        <f t="shared" si="230"/>
        <v>221.72340425531914</v>
      </c>
      <c r="CT427">
        <f t="shared" si="231"/>
        <v>147.55581468512412</v>
      </c>
      <c r="CU427" s="143" t="e">
        <f t="shared" si="232"/>
        <v>#DIV/0!</v>
      </c>
      <c r="CV427" s="143">
        <f t="shared" si="233"/>
        <v>223</v>
      </c>
      <c r="CX427" s="7">
        <f t="shared" si="234"/>
        <v>32.1</v>
      </c>
      <c r="CY427" s="7">
        <f t="shared" si="235"/>
        <v>50</v>
      </c>
      <c r="CZ427" s="7">
        <f t="shared" si="236"/>
        <v>75</v>
      </c>
      <c r="DA427" s="7">
        <f t="shared" si="237"/>
        <v>75</v>
      </c>
      <c r="DB427" s="7">
        <f t="shared" si="238"/>
        <v>185</v>
      </c>
      <c r="DC427" s="7">
        <f t="shared" si="239"/>
        <v>200</v>
      </c>
      <c r="DD427" s="7">
        <f t="shared" si="240"/>
        <v>200</v>
      </c>
      <c r="DE427" s="7">
        <f t="shared" si="241"/>
        <v>275</v>
      </c>
      <c r="DF427" s="7">
        <f t="shared" si="242"/>
        <v>400</v>
      </c>
      <c r="DH427" s="7">
        <f t="shared" si="243"/>
        <v>38.950000000000003</v>
      </c>
      <c r="DI427" s="7">
        <f t="shared" si="244"/>
        <v>84.65</v>
      </c>
      <c r="DJ427" s="7">
        <f t="shared" si="245"/>
        <v>94.8</v>
      </c>
      <c r="DK427" s="7">
        <f t="shared" si="246"/>
        <v>100.75</v>
      </c>
      <c r="DL427" s="7">
        <f t="shared" si="247"/>
        <v>192.5</v>
      </c>
      <c r="DM427" s="7">
        <f t="shared" si="248"/>
        <v>210.4</v>
      </c>
      <c r="DN427" s="7">
        <f t="shared" si="249"/>
        <v>216.15</v>
      </c>
      <c r="DO427" s="7">
        <f t="shared" si="250"/>
        <v>222.25</v>
      </c>
      <c r="DP427" s="7">
        <f t="shared" si="251"/>
        <v>257.99999999999983</v>
      </c>
    </row>
    <row r="428" spans="1:120" ht="25.5" hidden="1" customHeight="1" x14ac:dyDescent="0.25">
      <c r="A428" s="92" t="str">
        <f t="shared" si="252"/>
        <v>SK-WVI [R10]</v>
      </c>
      <c r="B428" s="92" t="str">
        <f t="shared" si="253"/>
        <v>West Vancouver Island</v>
      </c>
      <c r="C428" s="93" t="str">
        <f t="shared" si="225"/>
        <v>MOOYAH RIVER_Sockeye</v>
      </c>
      <c r="D428" s="128" t="s">
        <v>598</v>
      </c>
      <c r="E428" s="128" t="s">
        <v>598</v>
      </c>
      <c r="F428" s="64">
        <v>25</v>
      </c>
      <c r="G428" s="72" t="s">
        <v>215</v>
      </c>
      <c r="H428" s="65" t="s">
        <v>91</v>
      </c>
      <c r="I428" s="119"/>
      <c r="J428" s="119"/>
      <c r="K428" s="64">
        <v>4</v>
      </c>
      <c r="L428" s="52">
        <v>9</v>
      </c>
      <c r="M428" s="52">
        <v>8</v>
      </c>
      <c r="N428" s="52">
        <f t="shared" si="254"/>
        <v>16.669827627188095</v>
      </c>
      <c r="O428" s="52">
        <f t="shared" si="255"/>
        <v>120</v>
      </c>
      <c r="P428" s="52">
        <f t="shared" si="256"/>
        <v>20.650412667842371</v>
      </c>
      <c r="Q428" s="66"/>
      <c r="R428" s="39"/>
      <c r="S428" s="74"/>
      <c r="T428" s="81">
        <f t="shared" si="226"/>
        <v>2</v>
      </c>
      <c r="U428" s="81">
        <f t="shared" si="227"/>
        <v>23.5</v>
      </c>
      <c r="V428" s="233">
        <v>2</v>
      </c>
      <c r="W428" s="52" t="s">
        <v>102</v>
      </c>
      <c r="X428" s="52" t="s">
        <v>102</v>
      </c>
      <c r="Y428" s="52" t="s">
        <v>102</v>
      </c>
      <c r="Z428" s="52" t="s">
        <v>102</v>
      </c>
      <c r="AA428" s="52" t="s">
        <v>102</v>
      </c>
      <c r="AB428" s="52" t="s">
        <v>102</v>
      </c>
      <c r="AC428" s="52" t="s">
        <v>102</v>
      </c>
      <c r="AD428" s="52" t="s">
        <v>102</v>
      </c>
      <c r="AE428" s="52" t="s">
        <v>102</v>
      </c>
      <c r="AF428" s="52" t="s">
        <v>262</v>
      </c>
      <c r="AG428" s="144">
        <v>45</v>
      </c>
      <c r="AH428" s="53">
        <v>35</v>
      </c>
      <c r="AI428" s="53">
        <v>26</v>
      </c>
      <c r="AJ428" s="53">
        <v>2</v>
      </c>
      <c r="AK428" s="53">
        <v>9</v>
      </c>
      <c r="AL428" s="89">
        <v>5</v>
      </c>
      <c r="AM428" s="52">
        <v>11</v>
      </c>
      <c r="AN428" s="52">
        <v>24</v>
      </c>
      <c r="AO428" s="53">
        <v>3</v>
      </c>
      <c r="AP428" s="53">
        <v>61</v>
      </c>
      <c r="AQ428" s="53">
        <v>30</v>
      </c>
      <c r="AR428" s="53">
        <v>35</v>
      </c>
      <c r="AS428" s="52">
        <v>55</v>
      </c>
      <c r="AT428" s="52" t="s">
        <v>102</v>
      </c>
      <c r="AU428" s="52">
        <v>110</v>
      </c>
      <c r="AV428" s="52" t="s">
        <v>102</v>
      </c>
      <c r="AW428" s="52" t="s">
        <v>262</v>
      </c>
      <c r="AX428" s="51">
        <v>50</v>
      </c>
      <c r="AY428" s="53">
        <v>120</v>
      </c>
      <c r="AZ428" s="53" t="s">
        <v>102</v>
      </c>
      <c r="BA428" s="53" t="s">
        <v>264</v>
      </c>
      <c r="BB428" s="53" t="s">
        <v>264</v>
      </c>
      <c r="BC428" s="53" t="s">
        <v>264</v>
      </c>
      <c r="BD428" s="53" t="s">
        <v>264</v>
      </c>
      <c r="BE428" s="53" t="s">
        <v>264</v>
      </c>
      <c r="BF428" s="53">
        <v>10</v>
      </c>
      <c r="BG428" s="53">
        <v>10</v>
      </c>
      <c r="BH428" s="53" t="s">
        <v>262</v>
      </c>
      <c r="BI428" s="53" t="s">
        <v>264</v>
      </c>
      <c r="BJ428" s="53" t="s">
        <v>102</v>
      </c>
      <c r="BK428" s="53">
        <v>40</v>
      </c>
      <c r="BL428" s="53" t="s">
        <v>264</v>
      </c>
      <c r="BM428" s="53">
        <v>12</v>
      </c>
      <c r="BN428" s="53">
        <v>25</v>
      </c>
      <c r="BO428" s="53">
        <v>40</v>
      </c>
      <c r="BP428" s="53" t="s">
        <v>102</v>
      </c>
      <c r="BQ428" s="53" t="s">
        <v>264</v>
      </c>
      <c r="BR428" s="53">
        <v>25</v>
      </c>
      <c r="BS428" s="53" t="s">
        <v>264</v>
      </c>
      <c r="BT428" s="53" t="s">
        <v>264</v>
      </c>
      <c r="BU428" s="53" t="s">
        <v>264</v>
      </c>
      <c r="BV428" s="53" t="s">
        <v>264</v>
      </c>
      <c r="BW428" s="53" t="s">
        <v>264</v>
      </c>
      <c r="BX428" s="53" t="s">
        <v>264</v>
      </c>
      <c r="BY428" s="53" t="s">
        <v>264</v>
      </c>
      <c r="BZ428" s="53" t="s">
        <v>264</v>
      </c>
      <c r="CA428" s="53" t="s">
        <v>264</v>
      </c>
      <c r="CB428" s="53" t="s">
        <v>264</v>
      </c>
      <c r="CC428" s="53" t="s">
        <v>264</v>
      </c>
      <c r="CD428" s="53" t="s">
        <v>264</v>
      </c>
      <c r="CE428" s="53" t="s">
        <v>264</v>
      </c>
      <c r="CF428" s="53" t="s">
        <v>264</v>
      </c>
      <c r="CG428" s="53" t="s">
        <v>264</v>
      </c>
      <c r="CH428" s="53" t="s">
        <v>264</v>
      </c>
      <c r="CI428" s="53" t="s">
        <v>264</v>
      </c>
      <c r="CJ428" s="53" t="s">
        <v>264</v>
      </c>
      <c r="CK428" s="53" t="s">
        <v>264</v>
      </c>
      <c r="CL428" s="53" t="s">
        <v>264</v>
      </c>
      <c r="CM428" s="53" t="s">
        <v>264</v>
      </c>
      <c r="CN428" s="206"/>
      <c r="CO428" s="206"/>
      <c r="CP428" s="206"/>
      <c r="CQ428" s="8">
        <f t="shared" si="228"/>
        <v>2</v>
      </c>
      <c r="CR428" s="8">
        <f t="shared" si="229"/>
        <v>120</v>
      </c>
      <c r="CS428" s="8">
        <f t="shared" si="230"/>
        <v>32.708333333333336</v>
      </c>
      <c r="CT428">
        <f t="shared" si="231"/>
        <v>19.975336691974441</v>
      </c>
      <c r="CU428" s="143">
        <f t="shared" si="232"/>
        <v>2</v>
      </c>
      <c r="CV428" s="143">
        <f t="shared" si="233"/>
        <v>23.5</v>
      </c>
      <c r="CX428" s="7">
        <f t="shared" si="234"/>
        <v>2.1500000000000004</v>
      </c>
      <c r="CY428" s="7">
        <f t="shared" si="235"/>
        <v>6.7999999999999972</v>
      </c>
      <c r="CZ428" s="7">
        <f t="shared" si="236"/>
        <v>9.6000000000000014</v>
      </c>
      <c r="DA428" s="7">
        <f t="shared" si="237"/>
        <v>10</v>
      </c>
      <c r="DB428" s="7">
        <f t="shared" si="238"/>
        <v>25.5</v>
      </c>
      <c r="DC428" s="7">
        <f t="shared" si="239"/>
        <v>33.999999999999993</v>
      </c>
      <c r="DD428" s="7">
        <f t="shared" si="240"/>
        <v>35</v>
      </c>
      <c r="DE428" s="7">
        <f t="shared" si="241"/>
        <v>41.25</v>
      </c>
      <c r="DF428" s="7">
        <f t="shared" si="242"/>
        <v>52.75</v>
      </c>
      <c r="DH428" s="7">
        <f t="shared" si="243"/>
        <v>2</v>
      </c>
      <c r="DI428" s="7">
        <f t="shared" si="244"/>
        <v>3.2</v>
      </c>
      <c r="DJ428" s="7">
        <f t="shared" si="245"/>
        <v>4.6000000000000005</v>
      </c>
      <c r="DK428" s="7">
        <f t="shared" si="246"/>
        <v>7</v>
      </c>
      <c r="DL428" s="7">
        <f t="shared" si="247"/>
        <v>26</v>
      </c>
      <c r="DM428" s="7">
        <f t="shared" si="248"/>
        <v>32</v>
      </c>
      <c r="DN428" s="7">
        <f t="shared" si="249"/>
        <v>35</v>
      </c>
      <c r="DO428" s="7">
        <f t="shared" si="250"/>
        <v>40</v>
      </c>
      <c r="DP428" s="7">
        <f t="shared" si="251"/>
        <v>54</v>
      </c>
    </row>
    <row r="429" spans="1:120" ht="25.5" customHeight="1" x14ac:dyDescent="0.25">
      <c r="A429" s="92" t="str">
        <f t="shared" si="252"/>
        <v>CK-NoKy [32]</v>
      </c>
      <c r="B429" s="92" t="str">
        <f t="shared" si="253"/>
        <v>Nootka and Kyuquot</v>
      </c>
      <c r="C429" s="93" t="str">
        <f t="shared" si="225"/>
        <v>MUCHALAT RIVER_Chinook</v>
      </c>
      <c r="D429" s="128" t="s">
        <v>598</v>
      </c>
      <c r="E429" s="128" t="s">
        <v>598</v>
      </c>
      <c r="F429" s="64">
        <v>25</v>
      </c>
      <c r="G429" s="72" t="s">
        <v>218</v>
      </c>
      <c r="H429" s="65" t="s">
        <v>97</v>
      </c>
      <c r="I429" s="119"/>
      <c r="J429" s="119"/>
      <c r="K429" s="64">
        <v>5</v>
      </c>
      <c r="L429" s="52">
        <v>1</v>
      </c>
      <c r="M429" s="52">
        <v>1</v>
      </c>
      <c r="N429" s="52">
        <f t="shared" si="254"/>
        <v>10</v>
      </c>
      <c r="O429" s="52">
        <f t="shared" si="255"/>
        <v>75</v>
      </c>
      <c r="P429" s="52">
        <f t="shared" si="256"/>
        <v>30.8900425283706</v>
      </c>
      <c r="Q429" s="66"/>
      <c r="R429" s="37"/>
      <c r="S429" s="74" t="s">
        <v>460</v>
      </c>
      <c r="T429" s="81">
        <f t="shared" si="226"/>
        <v>427.5</v>
      </c>
      <c r="U429" s="81">
        <f t="shared" si="227"/>
        <v>427.5</v>
      </c>
      <c r="V429" s="228">
        <v>49</v>
      </c>
      <c r="W429" s="52">
        <v>508</v>
      </c>
      <c r="X429" s="52">
        <v>754</v>
      </c>
      <c r="Y429" s="52">
        <v>399</v>
      </c>
      <c r="Z429" s="52" t="s">
        <v>102</v>
      </c>
      <c r="AA429" s="52" t="s">
        <v>102</v>
      </c>
      <c r="AB429" s="52" t="s">
        <v>102</v>
      </c>
      <c r="AC429" s="52" t="s">
        <v>102</v>
      </c>
      <c r="AD429" s="52" t="s">
        <v>102</v>
      </c>
      <c r="AE429" s="52" t="s">
        <v>102</v>
      </c>
      <c r="AF429" s="52" t="s">
        <v>102</v>
      </c>
      <c r="AG429" s="52" t="s">
        <v>102</v>
      </c>
      <c r="AH429" s="52" t="s">
        <v>102</v>
      </c>
      <c r="AI429" s="52" t="s">
        <v>102</v>
      </c>
      <c r="AJ429" s="52" t="s">
        <v>102</v>
      </c>
      <c r="AK429" s="52" t="s">
        <v>102</v>
      </c>
      <c r="AL429" s="52" t="s">
        <v>102</v>
      </c>
      <c r="AM429" s="52" t="s">
        <v>102</v>
      </c>
      <c r="AN429" s="54"/>
      <c r="AO429" s="54"/>
      <c r="AP429" s="53" t="s">
        <v>102</v>
      </c>
      <c r="AQ429" s="53">
        <v>10</v>
      </c>
      <c r="AR429" s="54"/>
      <c r="AS429" s="54"/>
      <c r="AT429" s="54"/>
      <c r="AU429" s="54"/>
      <c r="AV429" s="54"/>
      <c r="AW429" s="54"/>
      <c r="AX429" s="51" t="s">
        <v>264</v>
      </c>
      <c r="AY429" s="53" t="s">
        <v>264</v>
      </c>
      <c r="AZ429" s="53" t="s">
        <v>102</v>
      </c>
      <c r="BA429" s="53" t="s">
        <v>102</v>
      </c>
      <c r="BB429" s="53" t="s">
        <v>262</v>
      </c>
      <c r="BC429" s="53" t="s">
        <v>262</v>
      </c>
      <c r="BD429" s="53" t="s">
        <v>102</v>
      </c>
      <c r="BE429" s="53" t="s">
        <v>102</v>
      </c>
      <c r="BF429" s="53" t="s">
        <v>262</v>
      </c>
      <c r="BG429" s="53" t="s">
        <v>102</v>
      </c>
      <c r="BH429" s="53" t="s">
        <v>262</v>
      </c>
      <c r="BI429" s="53" t="s">
        <v>102</v>
      </c>
      <c r="BJ429" s="53" t="s">
        <v>102</v>
      </c>
      <c r="BK429" s="53">
        <v>60</v>
      </c>
      <c r="BL429" s="53" t="s">
        <v>102</v>
      </c>
      <c r="BM429" s="53" t="s">
        <v>102</v>
      </c>
      <c r="BN429" s="53" t="s">
        <v>102</v>
      </c>
      <c r="BO429" s="53" t="s">
        <v>102</v>
      </c>
      <c r="BP429" s="53" t="s">
        <v>264</v>
      </c>
      <c r="BQ429" s="53">
        <v>25</v>
      </c>
      <c r="BR429" s="53">
        <v>25</v>
      </c>
      <c r="BS429" s="53" t="s">
        <v>102</v>
      </c>
      <c r="BT429" s="53" t="s">
        <v>102</v>
      </c>
      <c r="BU429" s="53" t="s">
        <v>102</v>
      </c>
      <c r="BV429" s="53" t="s">
        <v>102</v>
      </c>
      <c r="BW429" s="53" t="s">
        <v>102</v>
      </c>
      <c r="BX429" s="53" t="s">
        <v>102</v>
      </c>
      <c r="BY429" s="53" t="s">
        <v>102</v>
      </c>
      <c r="BZ429" s="53" t="s">
        <v>102</v>
      </c>
      <c r="CA429" s="53" t="s">
        <v>102</v>
      </c>
      <c r="CB429" s="53" t="s">
        <v>102</v>
      </c>
      <c r="CC429" s="53" t="s">
        <v>102</v>
      </c>
      <c r="CD429" s="53" t="s">
        <v>102</v>
      </c>
      <c r="CE429" s="53" t="s">
        <v>102</v>
      </c>
      <c r="CF429" s="53" t="s">
        <v>102</v>
      </c>
      <c r="CG429" s="53" t="s">
        <v>102</v>
      </c>
      <c r="CH429" s="53" t="s">
        <v>102</v>
      </c>
      <c r="CI429" s="53" t="s">
        <v>102</v>
      </c>
      <c r="CJ429" s="53">
        <v>75</v>
      </c>
      <c r="CK429" s="53" t="s">
        <v>264</v>
      </c>
      <c r="CL429" s="53" t="s">
        <v>262</v>
      </c>
      <c r="CM429" s="53" t="s">
        <v>264</v>
      </c>
      <c r="CN429" s="206"/>
      <c r="CO429" s="206"/>
      <c r="CP429" s="206"/>
      <c r="CQ429" s="8">
        <f t="shared" si="228"/>
        <v>10</v>
      </c>
      <c r="CR429" s="8">
        <f t="shared" si="229"/>
        <v>754</v>
      </c>
      <c r="CS429" s="8">
        <f t="shared" si="230"/>
        <v>211.66666666666666</v>
      </c>
      <c r="CT429">
        <f t="shared" si="231"/>
        <v>84.107156712374916</v>
      </c>
      <c r="CU429" s="143">
        <f t="shared" si="232"/>
        <v>427.5</v>
      </c>
      <c r="CV429" s="143">
        <f t="shared" si="233"/>
        <v>427.5</v>
      </c>
      <c r="CX429" s="7">
        <f t="shared" si="234"/>
        <v>15.999999999999998</v>
      </c>
      <c r="CY429" s="7">
        <f t="shared" si="235"/>
        <v>25</v>
      </c>
      <c r="CZ429" s="7">
        <f t="shared" si="236"/>
        <v>25</v>
      </c>
      <c r="DA429" s="7">
        <f t="shared" si="237"/>
        <v>25</v>
      </c>
      <c r="DB429" s="7">
        <f t="shared" si="238"/>
        <v>60</v>
      </c>
      <c r="DC429" s="7">
        <f t="shared" si="239"/>
        <v>72</v>
      </c>
      <c r="DD429" s="7">
        <f t="shared" si="240"/>
        <v>139.80000000000007</v>
      </c>
      <c r="DE429" s="7">
        <f t="shared" si="241"/>
        <v>399</v>
      </c>
      <c r="DF429" s="7">
        <f t="shared" si="242"/>
        <v>486.2</v>
      </c>
      <c r="DH429" s="7">
        <f t="shared" si="243"/>
        <v>17.799999999999997</v>
      </c>
      <c r="DI429" s="7">
        <f t="shared" si="244"/>
        <v>33.400000000000006</v>
      </c>
      <c r="DJ429" s="7">
        <f t="shared" si="245"/>
        <v>41.2</v>
      </c>
      <c r="DK429" s="7">
        <f t="shared" si="246"/>
        <v>49</v>
      </c>
      <c r="DL429" s="7">
        <f t="shared" si="247"/>
        <v>399</v>
      </c>
      <c r="DM429" s="7">
        <f t="shared" si="248"/>
        <v>442.59999999999997</v>
      </c>
      <c r="DN429" s="7">
        <f t="shared" si="249"/>
        <v>464.4</v>
      </c>
      <c r="DO429" s="7">
        <f t="shared" si="250"/>
        <v>508</v>
      </c>
      <c r="DP429" s="7">
        <f t="shared" si="251"/>
        <v>606.40000000000009</v>
      </c>
    </row>
    <row r="430" spans="1:120" ht="25.5" hidden="1" customHeight="1" x14ac:dyDescent="0.25">
      <c r="A430" s="92" t="str">
        <f t="shared" si="252"/>
        <v>CM-SWVI [10]</v>
      </c>
      <c r="B430" s="92" t="str">
        <f t="shared" si="253"/>
        <v>Southwest Vancouver Island</v>
      </c>
      <c r="C430" s="93" t="str">
        <f t="shared" si="225"/>
        <v>MUCHALAT RIVER_Chum</v>
      </c>
      <c r="D430" s="128" t="s">
        <v>598</v>
      </c>
      <c r="E430" s="128" t="s">
        <v>598</v>
      </c>
      <c r="F430" s="64">
        <v>25</v>
      </c>
      <c r="G430" s="72" t="s">
        <v>218</v>
      </c>
      <c r="H430" s="65" t="s">
        <v>96</v>
      </c>
      <c r="I430" s="119"/>
      <c r="J430" s="119"/>
      <c r="K430" s="64">
        <v>5</v>
      </c>
      <c r="L430" s="52">
        <v>2</v>
      </c>
      <c r="M430" s="52">
        <v>1</v>
      </c>
      <c r="N430" s="52">
        <f t="shared" si="254"/>
        <v>500</v>
      </c>
      <c r="O430" s="52">
        <f t="shared" si="255"/>
        <v>500</v>
      </c>
      <c r="P430" s="52">
        <f t="shared" si="256"/>
        <v>155.36162529769294</v>
      </c>
      <c r="Q430" s="66"/>
      <c r="R430" s="37"/>
      <c r="S430" s="74" t="s">
        <v>460</v>
      </c>
      <c r="T430" s="81">
        <f t="shared" si="226"/>
        <v>23</v>
      </c>
      <c r="U430" s="81">
        <f t="shared" si="227"/>
        <v>23</v>
      </c>
      <c r="V430" s="231" t="s">
        <v>262</v>
      </c>
      <c r="W430" s="52" t="s">
        <v>262</v>
      </c>
      <c r="X430" s="52" t="s">
        <v>263</v>
      </c>
      <c r="Y430" s="52">
        <v>23</v>
      </c>
      <c r="Z430" s="52" t="s">
        <v>102</v>
      </c>
      <c r="AA430" s="52" t="s">
        <v>102</v>
      </c>
      <c r="AB430" s="52" t="s">
        <v>102</v>
      </c>
      <c r="AC430" s="52" t="s">
        <v>102</v>
      </c>
      <c r="AD430" s="52" t="s">
        <v>102</v>
      </c>
      <c r="AE430" s="52" t="s">
        <v>102</v>
      </c>
      <c r="AF430" s="52" t="s">
        <v>102</v>
      </c>
      <c r="AG430" s="52" t="s">
        <v>102</v>
      </c>
      <c r="AH430" s="52" t="s">
        <v>102</v>
      </c>
      <c r="AI430" s="52" t="s">
        <v>102</v>
      </c>
      <c r="AJ430" s="52" t="s">
        <v>102</v>
      </c>
      <c r="AK430" s="52" t="s">
        <v>102</v>
      </c>
      <c r="AL430" s="52" t="s">
        <v>102</v>
      </c>
      <c r="AM430" s="52" t="s">
        <v>102</v>
      </c>
      <c r="AN430" s="54"/>
      <c r="AO430" s="54"/>
      <c r="AP430" s="53">
        <v>500</v>
      </c>
      <c r="AQ430" s="53" t="s">
        <v>262</v>
      </c>
      <c r="AR430" s="54"/>
      <c r="AS430" s="54"/>
      <c r="AT430" s="54"/>
      <c r="AU430" s="54"/>
      <c r="AV430" s="54"/>
      <c r="AW430" s="54"/>
      <c r="AX430" s="51" t="s">
        <v>264</v>
      </c>
      <c r="AY430" s="53" t="s">
        <v>264</v>
      </c>
      <c r="AZ430" s="53" t="s">
        <v>102</v>
      </c>
      <c r="BA430" s="53" t="s">
        <v>102</v>
      </c>
      <c r="BB430" s="53" t="s">
        <v>264</v>
      </c>
      <c r="BC430" s="53" t="s">
        <v>264</v>
      </c>
      <c r="BD430" s="53" t="s">
        <v>102</v>
      </c>
      <c r="BE430" s="53" t="s">
        <v>102</v>
      </c>
      <c r="BF430" s="53" t="s">
        <v>264</v>
      </c>
      <c r="BG430" s="53" t="s">
        <v>102</v>
      </c>
      <c r="BH430" s="53" t="s">
        <v>262</v>
      </c>
      <c r="BI430" s="53" t="s">
        <v>102</v>
      </c>
      <c r="BJ430" s="53" t="s">
        <v>102</v>
      </c>
      <c r="BK430" s="53">
        <v>300</v>
      </c>
      <c r="BL430" s="53" t="s">
        <v>102</v>
      </c>
      <c r="BM430" s="53" t="s">
        <v>102</v>
      </c>
      <c r="BN430" s="53" t="s">
        <v>102</v>
      </c>
      <c r="BO430" s="53" t="s">
        <v>102</v>
      </c>
      <c r="BP430" s="53">
        <v>25</v>
      </c>
      <c r="BQ430" s="53" t="s">
        <v>264</v>
      </c>
      <c r="BR430" s="53" t="s">
        <v>264</v>
      </c>
      <c r="BS430" s="53" t="s">
        <v>102</v>
      </c>
      <c r="BT430" s="53" t="s">
        <v>102</v>
      </c>
      <c r="BU430" s="53" t="s">
        <v>102</v>
      </c>
      <c r="BV430" s="53" t="s">
        <v>102</v>
      </c>
      <c r="BW430" s="53" t="s">
        <v>102</v>
      </c>
      <c r="BX430" s="53" t="s">
        <v>102</v>
      </c>
      <c r="BY430" s="53" t="s">
        <v>102</v>
      </c>
      <c r="BZ430" s="53" t="s">
        <v>102</v>
      </c>
      <c r="CA430" s="53" t="s">
        <v>102</v>
      </c>
      <c r="CB430" s="53" t="s">
        <v>102</v>
      </c>
      <c r="CC430" s="53" t="s">
        <v>102</v>
      </c>
      <c r="CD430" s="53" t="s">
        <v>102</v>
      </c>
      <c r="CE430" s="53" t="s">
        <v>102</v>
      </c>
      <c r="CF430" s="53" t="s">
        <v>102</v>
      </c>
      <c r="CG430" s="53" t="s">
        <v>102</v>
      </c>
      <c r="CH430" s="53" t="s">
        <v>102</v>
      </c>
      <c r="CI430" s="53" t="s">
        <v>102</v>
      </c>
      <c r="CJ430" s="53" t="s">
        <v>264</v>
      </c>
      <c r="CK430" s="53" t="s">
        <v>264</v>
      </c>
      <c r="CL430" s="53" t="s">
        <v>262</v>
      </c>
      <c r="CM430" s="53" t="s">
        <v>264</v>
      </c>
      <c r="CN430" s="206"/>
      <c r="CO430" s="206"/>
      <c r="CP430" s="206"/>
      <c r="CQ430" s="8">
        <f t="shared" si="228"/>
        <v>23</v>
      </c>
      <c r="CR430" s="8">
        <f t="shared" si="229"/>
        <v>500</v>
      </c>
      <c r="CS430" s="8">
        <f t="shared" si="230"/>
        <v>212</v>
      </c>
      <c r="CT430">
        <f t="shared" si="231"/>
        <v>96.369537772593645</v>
      </c>
      <c r="CU430" s="143">
        <f t="shared" si="232"/>
        <v>23</v>
      </c>
      <c r="CV430" s="143">
        <f t="shared" si="233"/>
        <v>23</v>
      </c>
      <c r="CX430" s="7">
        <f t="shared" si="234"/>
        <v>23.3</v>
      </c>
      <c r="CY430" s="7">
        <f t="shared" si="235"/>
        <v>23.9</v>
      </c>
      <c r="CZ430" s="7">
        <f t="shared" si="236"/>
        <v>24.2</v>
      </c>
      <c r="DA430" s="7">
        <f t="shared" si="237"/>
        <v>24.5</v>
      </c>
      <c r="DB430" s="7">
        <f t="shared" si="238"/>
        <v>162.5</v>
      </c>
      <c r="DC430" s="7">
        <f t="shared" si="239"/>
        <v>244.99999999999994</v>
      </c>
      <c r="DD430" s="7">
        <f t="shared" si="240"/>
        <v>286.25000000000006</v>
      </c>
      <c r="DE430" s="7">
        <f t="shared" si="241"/>
        <v>350</v>
      </c>
      <c r="DF430" s="7">
        <f t="shared" si="242"/>
        <v>410</v>
      </c>
      <c r="DH430" s="7">
        <f t="shared" si="243"/>
        <v>46.850000000000023</v>
      </c>
      <c r="DI430" s="7">
        <f t="shared" si="244"/>
        <v>94.549999999999955</v>
      </c>
      <c r="DJ430" s="7">
        <f t="shared" si="245"/>
        <v>118.39999999999998</v>
      </c>
      <c r="DK430" s="7">
        <f t="shared" si="246"/>
        <v>142.25</v>
      </c>
      <c r="DL430" s="7">
        <f t="shared" si="247"/>
        <v>261.5</v>
      </c>
      <c r="DM430" s="7">
        <f t="shared" si="248"/>
        <v>309.20000000000005</v>
      </c>
      <c r="DN430" s="7">
        <f t="shared" si="249"/>
        <v>333.04999999999995</v>
      </c>
      <c r="DO430" s="7">
        <f t="shared" si="250"/>
        <v>380.75</v>
      </c>
      <c r="DP430" s="7">
        <f t="shared" si="251"/>
        <v>428.45000000000005</v>
      </c>
    </row>
    <row r="431" spans="1:120" ht="25.5" hidden="1" customHeight="1" x14ac:dyDescent="0.25">
      <c r="A431" s="92" t="str">
        <f t="shared" si="252"/>
        <v>CO-WVI [17]</v>
      </c>
      <c r="B431" s="92" t="str">
        <f t="shared" si="253"/>
        <v>West Vancouver Island</v>
      </c>
      <c r="C431" s="93" t="str">
        <f t="shared" si="225"/>
        <v>MUCHALAT RIVER_Coho</v>
      </c>
      <c r="D431" s="128" t="s">
        <v>598</v>
      </c>
      <c r="E431" s="128" t="s">
        <v>598</v>
      </c>
      <c r="F431" s="64">
        <v>25</v>
      </c>
      <c r="G431" s="72" t="s">
        <v>218</v>
      </c>
      <c r="H431" s="65" t="s">
        <v>93</v>
      </c>
      <c r="I431" s="119"/>
      <c r="J431" s="119"/>
      <c r="K431" s="64">
        <v>5</v>
      </c>
      <c r="L431" s="52">
        <v>1</v>
      </c>
      <c r="M431" s="52">
        <v>1</v>
      </c>
      <c r="N431" s="52">
        <f t="shared" si="254"/>
        <v>29</v>
      </c>
      <c r="O431" s="52">
        <f t="shared" si="255"/>
        <v>300</v>
      </c>
      <c r="P431" s="52">
        <f t="shared" si="256"/>
        <v>65.692585899141022</v>
      </c>
      <c r="Q431" s="66"/>
      <c r="R431" s="37"/>
      <c r="S431" s="74" t="s">
        <v>460</v>
      </c>
      <c r="T431" s="81">
        <f t="shared" si="226"/>
        <v>62.25</v>
      </c>
      <c r="U431" s="81">
        <f t="shared" si="227"/>
        <v>62.25</v>
      </c>
      <c r="V431" s="228">
        <v>60</v>
      </c>
      <c r="W431" s="52">
        <v>134</v>
      </c>
      <c r="X431" s="52">
        <v>10</v>
      </c>
      <c r="Y431" s="52">
        <v>45</v>
      </c>
      <c r="Z431" s="52" t="s">
        <v>102</v>
      </c>
      <c r="AA431" s="52" t="s">
        <v>102</v>
      </c>
      <c r="AB431" s="52" t="s">
        <v>102</v>
      </c>
      <c r="AC431" s="52" t="s">
        <v>102</v>
      </c>
      <c r="AD431" s="52" t="s">
        <v>102</v>
      </c>
      <c r="AE431" s="52" t="s">
        <v>102</v>
      </c>
      <c r="AF431" s="52" t="s">
        <v>102</v>
      </c>
      <c r="AG431" s="52" t="s">
        <v>102</v>
      </c>
      <c r="AH431" s="52" t="s">
        <v>102</v>
      </c>
      <c r="AI431" s="52" t="s">
        <v>102</v>
      </c>
      <c r="AJ431" s="52" t="s">
        <v>102</v>
      </c>
      <c r="AK431" s="52" t="s">
        <v>102</v>
      </c>
      <c r="AL431" s="52" t="s">
        <v>102</v>
      </c>
      <c r="AM431" s="52" t="s">
        <v>102</v>
      </c>
      <c r="AN431" s="54"/>
      <c r="AO431" s="54"/>
      <c r="AP431" s="53" t="s">
        <v>102</v>
      </c>
      <c r="AQ431" s="53">
        <v>29</v>
      </c>
      <c r="AR431" s="54"/>
      <c r="AS431" s="54"/>
      <c r="AT431" s="54"/>
      <c r="AU431" s="54"/>
      <c r="AV431" s="54"/>
      <c r="AW431" s="54"/>
      <c r="AX431" s="51" t="s">
        <v>264</v>
      </c>
      <c r="AY431" s="53" t="s">
        <v>264</v>
      </c>
      <c r="AZ431" s="53" t="s">
        <v>102</v>
      </c>
      <c r="BA431" s="53" t="s">
        <v>102</v>
      </c>
      <c r="BB431" s="53" t="s">
        <v>264</v>
      </c>
      <c r="BC431" s="53" t="s">
        <v>264</v>
      </c>
      <c r="BD431" s="53" t="s">
        <v>102</v>
      </c>
      <c r="BE431" s="53" t="s">
        <v>102</v>
      </c>
      <c r="BF431" s="53" t="s">
        <v>262</v>
      </c>
      <c r="BG431" s="53" t="s">
        <v>102</v>
      </c>
      <c r="BH431" s="53" t="s">
        <v>262</v>
      </c>
      <c r="BI431" s="53" t="s">
        <v>102</v>
      </c>
      <c r="BJ431" s="53" t="s">
        <v>102</v>
      </c>
      <c r="BK431" s="53">
        <v>300</v>
      </c>
      <c r="BL431" s="53" t="s">
        <v>102</v>
      </c>
      <c r="BM431" s="53" t="s">
        <v>102</v>
      </c>
      <c r="BN431" s="53" t="s">
        <v>102</v>
      </c>
      <c r="BO431" s="53" t="s">
        <v>102</v>
      </c>
      <c r="BP431" s="53" t="s">
        <v>264</v>
      </c>
      <c r="BQ431" s="53">
        <v>75</v>
      </c>
      <c r="BR431" s="53">
        <v>75</v>
      </c>
      <c r="BS431" s="53" t="s">
        <v>102</v>
      </c>
      <c r="BT431" s="53" t="s">
        <v>102</v>
      </c>
      <c r="BU431" s="53" t="s">
        <v>102</v>
      </c>
      <c r="BV431" s="53" t="s">
        <v>102</v>
      </c>
      <c r="BW431" s="53" t="s">
        <v>102</v>
      </c>
      <c r="BX431" s="53" t="s">
        <v>102</v>
      </c>
      <c r="BY431" s="53" t="s">
        <v>102</v>
      </c>
      <c r="BZ431" s="53" t="s">
        <v>102</v>
      </c>
      <c r="CA431" s="53" t="s">
        <v>102</v>
      </c>
      <c r="CB431" s="53" t="s">
        <v>102</v>
      </c>
      <c r="CC431" s="53" t="s">
        <v>102</v>
      </c>
      <c r="CD431" s="53" t="s">
        <v>102</v>
      </c>
      <c r="CE431" s="53" t="s">
        <v>102</v>
      </c>
      <c r="CF431" s="53" t="s">
        <v>102</v>
      </c>
      <c r="CG431" s="53" t="s">
        <v>102</v>
      </c>
      <c r="CH431" s="53" t="s">
        <v>102</v>
      </c>
      <c r="CI431" s="53" t="s">
        <v>102</v>
      </c>
      <c r="CJ431" s="53">
        <v>25</v>
      </c>
      <c r="CK431" s="53" t="s">
        <v>264</v>
      </c>
      <c r="CL431" s="53" t="s">
        <v>262</v>
      </c>
      <c r="CM431" s="53" t="s">
        <v>264</v>
      </c>
      <c r="CN431" s="206"/>
      <c r="CO431" s="206"/>
      <c r="CP431" s="206"/>
      <c r="CQ431" s="8">
        <f t="shared" si="228"/>
        <v>10</v>
      </c>
      <c r="CR431" s="8">
        <f t="shared" si="229"/>
        <v>300</v>
      </c>
      <c r="CS431" s="8">
        <f t="shared" si="230"/>
        <v>83.666666666666671</v>
      </c>
      <c r="CT431">
        <f t="shared" si="231"/>
        <v>54.75831036208637</v>
      </c>
      <c r="CU431" s="143">
        <f t="shared" si="232"/>
        <v>62.25</v>
      </c>
      <c r="CV431" s="143">
        <f t="shared" si="233"/>
        <v>62.25</v>
      </c>
      <c r="CX431" s="7">
        <f t="shared" si="234"/>
        <v>15.999999999999998</v>
      </c>
      <c r="CY431" s="7">
        <f t="shared" si="235"/>
        <v>25.8</v>
      </c>
      <c r="CZ431" s="7">
        <f t="shared" si="236"/>
        <v>27.4</v>
      </c>
      <c r="DA431" s="7">
        <f t="shared" si="237"/>
        <v>29</v>
      </c>
      <c r="DB431" s="7">
        <f t="shared" si="238"/>
        <v>60</v>
      </c>
      <c r="DC431" s="7">
        <f t="shared" si="239"/>
        <v>72</v>
      </c>
      <c r="DD431" s="7">
        <f t="shared" si="240"/>
        <v>75</v>
      </c>
      <c r="DE431" s="7">
        <f t="shared" si="241"/>
        <v>75</v>
      </c>
      <c r="DF431" s="7">
        <f t="shared" si="242"/>
        <v>122.19999999999999</v>
      </c>
      <c r="DH431" s="7">
        <f t="shared" si="243"/>
        <v>13.799999999999999</v>
      </c>
      <c r="DI431" s="7">
        <f t="shared" si="244"/>
        <v>21.400000000000002</v>
      </c>
      <c r="DJ431" s="7">
        <f t="shared" si="245"/>
        <v>25.200000000000003</v>
      </c>
      <c r="DK431" s="7">
        <f t="shared" si="246"/>
        <v>29</v>
      </c>
      <c r="DL431" s="7">
        <f t="shared" si="247"/>
        <v>45</v>
      </c>
      <c r="DM431" s="7">
        <f t="shared" si="248"/>
        <v>51</v>
      </c>
      <c r="DN431" s="7">
        <f t="shared" si="249"/>
        <v>54</v>
      </c>
      <c r="DO431" s="7">
        <f t="shared" si="250"/>
        <v>60</v>
      </c>
      <c r="DP431" s="7">
        <f t="shared" si="251"/>
        <v>89.600000000000023</v>
      </c>
    </row>
    <row r="432" spans="1:120" ht="25.5" hidden="1" customHeight="1" x14ac:dyDescent="0.25">
      <c r="A432" s="92" t="str">
        <f t="shared" si="252"/>
        <v>SK-L-13-19</v>
      </c>
      <c r="B432" s="92" t="str">
        <f t="shared" si="253"/>
        <v>Muchalat</v>
      </c>
      <c r="C432" s="93" t="str">
        <f t="shared" si="225"/>
        <v>MUCHALAT RIVER_Sockeye</v>
      </c>
      <c r="D432" s="128" t="s">
        <v>598</v>
      </c>
      <c r="E432" s="128" t="s">
        <v>598</v>
      </c>
      <c r="F432" s="64">
        <v>25</v>
      </c>
      <c r="G432" s="72" t="s">
        <v>218</v>
      </c>
      <c r="H432" s="65" t="s">
        <v>91</v>
      </c>
      <c r="I432" s="119"/>
      <c r="J432" s="119"/>
      <c r="K432" s="64">
        <v>5</v>
      </c>
      <c r="L432" s="52">
        <v>1</v>
      </c>
      <c r="M432" s="52">
        <v>1</v>
      </c>
      <c r="N432" s="52">
        <f t="shared" si="254"/>
        <v>13</v>
      </c>
      <c r="O432" s="52">
        <f t="shared" si="255"/>
        <v>3500</v>
      </c>
      <c r="P432" s="52">
        <f t="shared" si="256"/>
        <v>306.06132707987507</v>
      </c>
      <c r="Q432" s="66"/>
      <c r="R432" s="37"/>
      <c r="S432" s="74" t="s">
        <v>460</v>
      </c>
      <c r="T432" s="81">
        <f t="shared" si="226"/>
        <v>76.5</v>
      </c>
      <c r="U432" s="81">
        <f t="shared" si="227"/>
        <v>76.5</v>
      </c>
      <c r="V432" s="228">
        <v>48</v>
      </c>
      <c r="W432" s="52">
        <v>12</v>
      </c>
      <c r="X432" s="52">
        <v>92</v>
      </c>
      <c r="Y432" s="52">
        <v>154</v>
      </c>
      <c r="Z432" s="52" t="s">
        <v>102</v>
      </c>
      <c r="AA432" s="52" t="s">
        <v>102</v>
      </c>
      <c r="AB432" s="52" t="s">
        <v>102</v>
      </c>
      <c r="AC432" s="52" t="s">
        <v>102</v>
      </c>
      <c r="AD432" s="52" t="s">
        <v>102</v>
      </c>
      <c r="AE432" s="52" t="s">
        <v>102</v>
      </c>
      <c r="AF432" s="52" t="s">
        <v>102</v>
      </c>
      <c r="AG432" s="52" t="s">
        <v>102</v>
      </c>
      <c r="AH432" s="52" t="s">
        <v>102</v>
      </c>
      <c r="AI432" s="52" t="s">
        <v>102</v>
      </c>
      <c r="AJ432" s="52" t="s">
        <v>102</v>
      </c>
      <c r="AK432" s="52" t="s">
        <v>102</v>
      </c>
      <c r="AL432" s="52" t="s">
        <v>102</v>
      </c>
      <c r="AM432" s="52" t="s">
        <v>102</v>
      </c>
      <c r="AN432" s="54"/>
      <c r="AO432" s="54"/>
      <c r="AP432" s="53" t="s">
        <v>102</v>
      </c>
      <c r="AQ432" s="53">
        <v>13</v>
      </c>
      <c r="AR432" s="54"/>
      <c r="AS432" s="54"/>
      <c r="AT432" s="54"/>
      <c r="AU432" s="54"/>
      <c r="AV432" s="54"/>
      <c r="AW432" s="54"/>
      <c r="AX432" s="51" t="s">
        <v>264</v>
      </c>
      <c r="AY432" s="53" t="s">
        <v>264</v>
      </c>
      <c r="AZ432" s="53">
        <v>2300</v>
      </c>
      <c r="BA432" s="53" t="s">
        <v>102</v>
      </c>
      <c r="BB432" s="53">
        <v>3500</v>
      </c>
      <c r="BC432" s="53">
        <v>3000</v>
      </c>
      <c r="BD432" s="53" t="s">
        <v>102</v>
      </c>
      <c r="BE432" s="53" t="s">
        <v>102</v>
      </c>
      <c r="BF432" s="53">
        <v>1000</v>
      </c>
      <c r="BG432" s="53" t="s">
        <v>102</v>
      </c>
      <c r="BH432" s="53">
        <v>500</v>
      </c>
      <c r="BI432" s="53" t="s">
        <v>102</v>
      </c>
      <c r="BJ432" s="53" t="s">
        <v>102</v>
      </c>
      <c r="BK432" s="53">
        <v>1500</v>
      </c>
      <c r="BL432" s="53" t="s">
        <v>102</v>
      </c>
      <c r="BM432" s="53" t="s">
        <v>102</v>
      </c>
      <c r="BN432" s="53" t="s">
        <v>102</v>
      </c>
      <c r="BO432" s="53" t="s">
        <v>102</v>
      </c>
      <c r="BP432" s="53">
        <v>25</v>
      </c>
      <c r="BQ432" s="53">
        <v>200</v>
      </c>
      <c r="BR432" s="53">
        <v>75</v>
      </c>
      <c r="BS432" s="53" t="s">
        <v>102</v>
      </c>
      <c r="BT432" s="53" t="s">
        <v>102</v>
      </c>
      <c r="BU432" s="53" t="s">
        <v>102</v>
      </c>
      <c r="BV432" s="53" t="s">
        <v>102</v>
      </c>
      <c r="BW432" s="53" t="s">
        <v>102</v>
      </c>
      <c r="BX432" s="53" t="s">
        <v>102</v>
      </c>
      <c r="BY432" s="53" t="s">
        <v>102</v>
      </c>
      <c r="BZ432" s="53" t="s">
        <v>102</v>
      </c>
      <c r="CA432" s="53" t="s">
        <v>102</v>
      </c>
      <c r="CB432" s="53" t="s">
        <v>102</v>
      </c>
      <c r="CC432" s="53" t="s">
        <v>102</v>
      </c>
      <c r="CD432" s="53" t="s">
        <v>102</v>
      </c>
      <c r="CE432" s="53" t="s">
        <v>102</v>
      </c>
      <c r="CF432" s="53" t="s">
        <v>102</v>
      </c>
      <c r="CG432" s="53" t="s">
        <v>102</v>
      </c>
      <c r="CH432" s="53" t="s">
        <v>102</v>
      </c>
      <c r="CI432" s="53" t="s">
        <v>102</v>
      </c>
      <c r="CJ432" s="53">
        <v>25</v>
      </c>
      <c r="CK432" s="53" t="s">
        <v>264</v>
      </c>
      <c r="CL432" s="53" t="s">
        <v>264</v>
      </c>
      <c r="CM432" s="53" t="s">
        <v>264</v>
      </c>
      <c r="CN432" s="206"/>
      <c r="CO432" s="206"/>
      <c r="CP432" s="206"/>
      <c r="CQ432" s="8">
        <f t="shared" si="228"/>
        <v>12</v>
      </c>
      <c r="CR432" s="8">
        <f t="shared" si="229"/>
        <v>3500</v>
      </c>
      <c r="CS432" s="8">
        <f t="shared" si="230"/>
        <v>829.6</v>
      </c>
      <c r="CT432">
        <f t="shared" si="231"/>
        <v>192.18003608171693</v>
      </c>
      <c r="CU432" s="143">
        <f t="shared" si="232"/>
        <v>76.5</v>
      </c>
      <c r="CV432" s="143">
        <f t="shared" si="233"/>
        <v>76.5</v>
      </c>
      <c r="CX432" s="7">
        <f t="shared" si="234"/>
        <v>12.7</v>
      </c>
      <c r="CY432" s="7">
        <f t="shared" si="235"/>
        <v>25</v>
      </c>
      <c r="CZ432" s="7">
        <f t="shared" si="236"/>
        <v>25</v>
      </c>
      <c r="DA432" s="7">
        <f t="shared" si="237"/>
        <v>36.5</v>
      </c>
      <c r="DB432" s="7">
        <f t="shared" si="238"/>
        <v>154</v>
      </c>
      <c r="DC432" s="7">
        <f t="shared" si="239"/>
        <v>320.00000000000011</v>
      </c>
      <c r="DD432" s="7">
        <f t="shared" si="240"/>
        <v>549.99999999999977</v>
      </c>
      <c r="DE432" s="7">
        <f t="shared" si="241"/>
        <v>1250</v>
      </c>
      <c r="DF432" s="7">
        <f t="shared" si="242"/>
        <v>2220</v>
      </c>
      <c r="DH432" s="7">
        <f t="shared" si="243"/>
        <v>12.2</v>
      </c>
      <c r="DI432" s="7">
        <f t="shared" si="244"/>
        <v>12.6</v>
      </c>
      <c r="DJ432" s="7">
        <f t="shared" si="245"/>
        <v>12.8</v>
      </c>
      <c r="DK432" s="7">
        <f t="shared" si="246"/>
        <v>13</v>
      </c>
      <c r="DL432" s="7">
        <f t="shared" si="247"/>
        <v>48</v>
      </c>
      <c r="DM432" s="7">
        <f t="shared" si="248"/>
        <v>65.599999999999994</v>
      </c>
      <c r="DN432" s="7">
        <f t="shared" si="249"/>
        <v>74.400000000000006</v>
      </c>
      <c r="DO432" s="7">
        <f t="shared" si="250"/>
        <v>92</v>
      </c>
      <c r="DP432" s="7">
        <f t="shared" si="251"/>
        <v>116.80000000000003</v>
      </c>
    </row>
    <row r="433" spans="1:120" ht="25.5" customHeight="1" x14ac:dyDescent="0.25">
      <c r="A433" s="92" t="str">
        <f t="shared" si="252"/>
        <v>CK-NoKy [32]</v>
      </c>
      <c r="B433" s="92" t="str">
        <f t="shared" si="253"/>
        <v>Nootka and Kyuquot</v>
      </c>
      <c r="C433" s="93" t="str">
        <f t="shared" si="225"/>
        <v>OKTWANCH RIVER_Chinook</v>
      </c>
      <c r="D433" s="128" t="s">
        <v>598</v>
      </c>
      <c r="E433" s="128" t="s">
        <v>598</v>
      </c>
      <c r="F433" s="64">
        <v>25</v>
      </c>
      <c r="G433" s="72" t="s">
        <v>219</v>
      </c>
      <c r="H433" s="65" t="s">
        <v>97</v>
      </c>
      <c r="I433" s="119"/>
      <c r="J433" s="119"/>
      <c r="K433" s="64">
        <v>3</v>
      </c>
      <c r="L433" s="52">
        <v>2</v>
      </c>
      <c r="M433" s="52">
        <v>2</v>
      </c>
      <c r="N433" s="52">
        <f t="shared" si="254"/>
        <v>12.961481396815721</v>
      </c>
      <c r="O433" s="52">
        <f t="shared" si="255"/>
        <v>25</v>
      </c>
      <c r="P433" s="52">
        <f t="shared" si="256"/>
        <v>18.00102871839254</v>
      </c>
      <c r="Q433" s="66"/>
      <c r="R433" s="37"/>
      <c r="S433" s="74"/>
      <c r="T433" s="81">
        <f t="shared" si="226"/>
        <v>144.33333333333334</v>
      </c>
      <c r="U433" s="81">
        <f t="shared" si="227"/>
        <v>91.5</v>
      </c>
      <c r="V433" s="232" t="s">
        <v>262</v>
      </c>
      <c r="W433" s="52">
        <v>252</v>
      </c>
      <c r="X433" s="52">
        <v>151</v>
      </c>
      <c r="Y433" s="52">
        <v>30</v>
      </c>
      <c r="Z433" s="52" t="s">
        <v>102</v>
      </c>
      <c r="AA433" s="52">
        <v>42</v>
      </c>
      <c r="AB433" s="52">
        <v>9</v>
      </c>
      <c r="AC433" s="52">
        <v>65</v>
      </c>
      <c r="AD433" s="52" t="s">
        <v>102</v>
      </c>
      <c r="AE433" s="52" t="s">
        <v>102</v>
      </c>
      <c r="AF433" s="52" t="s">
        <v>102</v>
      </c>
      <c r="AG433" s="52" t="s">
        <v>102</v>
      </c>
      <c r="AH433" s="52" t="s">
        <v>102</v>
      </c>
      <c r="AI433" s="52" t="s">
        <v>102</v>
      </c>
      <c r="AJ433" s="52" t="s">
        <v>102</v>
      </c>
      <c r="AK433" s="52" t="s">
        <v>102</v>
      </c>
      <c r="AL433" s="52" t="s">
        <v>102</v>
      </c>
      <c r="AM433" s="52" t="s">
        <v>102</v>
      </c>
      <c r="AN433" s="54"/>
      <c r="AO433" s="54"/>
      <c r="AP433" s="53" t="s">
        <v>102</v>
      </c>
      <c r="AQ433" s="53">
        <v>12</v>
      </c>
      <c r="AR433" s="54"/>
      <c r="AS433" s="54"/>
      <c r="AT433" s="54"/>
      <c r="AU433" s="54"/>
      <c r="AV433" s="52">
        <v>14</v>
      </c>
      <c r="AW433" s="54"/>
      <c r="AX433" s="51" t="s">
        <v>102</v>
      </c>
      <c r="AY433" s="53" t="s">
        <v>102</v>
      </c>
      <c r="AZ433" s="53" t="s">
        <v>264</v>
      </c>
      <c r="BA433" s="53" t="s">
        <v>102</v>
      </c>
      <c r="BB433" s="53" t="s">
        <v>262</v>
      </c>
      <c r="BC433" s="53" t="s">
        <v>262</v>
      </c>
      <c r="BD433" s="53" t="s">
        <v>262</v>
      </c>
      <c r="BE433" s="53" t="s">
        <v>102</v>
      </c>
      <c r="BF433" s="53" t="s">
        <v>264</v>
      </c>
      <c r="BG433" s="53" t="s">
        <v>102</v>
      </c>
      <c r="BH433" s="53" t="s">
        <v>262</v>
      </c>
      <c r="BI433" s="53" t="s">
        <v>264</v>
      </c>
      <c r="BJ433" s="53" t="s">
        <v>102</v>
      </c>
      <c r="BK433" s="53" t="s">
        <v>102</v>
      </c>
      <c r="BL433" s="53" t="s">
        <v>102</v>
      </c>
      <c r="BM433" s="53" t="s">
        <v>102</v>
      </c>
      <c r="BN433" s="53" t="s">
        <v>102</v>
      </c>
      <c r="BO433" s="53" t="s">
        <v>264</v>
      </c>
      <c r="BP433" s="53" t="s">
        <v>264</v>
      </c>
      <c r="BQ433" s="53">
        <v>25</v>
      </c>
      <c r="BR433" s="53" t="s">
        <v>264</v>
      </c>
      <c r="BS433" s="53" t="s">
        <v>264</v>
      </c>
      <c r="BT433" s="53" t="s">
        <v>262</v>
      </c>
      <c r="BU433" s="53" t="s">
        <v>262</v>
      </c>
      <c r="BV433" s="53">
        <v>25</v>
      </c>
      <c r="BW433" s="53" t="s">
        <v>264</v>
      </c>
      <c r="BX433" s="53" t="s">
        <v>102</v>
      </c>
      <c r="BY433" s="53" t="s">
        <v>102</v>
      </c>
      <c r="BZ433" s="53" t="s">
        <v>102</v>
      </c>
      <c r="CA433" s="53" t="s">
        <v>102</v>
      </c>
      <c r="CB433" s="53" t="s">
        <v>102</v>
      </c>
      <c r="CC433" s="53" t="s">
        <v>102</v>
      </c>
      <c r="CD433" s="53" t="s">
        <v>102</v>
      </c>
      <c r="CE433" s="53" t="s">
        <v>102</v>
      </c>
      <c r="CF433" s="53" t="s">
        <v>102</v>
      </c>
      <c r="CG433" s="53" t="s">
        <v>102</v>
      </c>
      <c r="CH433" s="53" t="s">
        <v>102</v>
      </c>
      <c r="CI433" s="53" t="s">
        <v>102</v>
      </c>
      <c r="CJ433" s="53" t="s">
        <v>102</v>
      </c>
      <c r="CK433" s="53" t="s">
        <v>264</v>
      </c>
      <c r="CL433" s="53" t="s">
        <v>264</v>
      </c>
      <c r="CM433" s="53" t="s">
        <v>264</v>
      </c>
      <c r="CN433" s="206"/>
      <c r="CO433" s="206"/>
      <c r="CP433" s="206"/>
      <c r="CQ433" s="8">
        <f t="shared" si="228"/>
        <v>9</v>
      </c>
      <c r="CR433" s="8">
        <f t="shared" si="229"/>
        <v>252</v>
      </c>
      <c r="CS433" s="8">
        <f t="shared" si="230"/>
        <v>62.5</v>
      </c>
      <c r="CT433">
        <f t="shared" si="231"/>
        <v>35.229730410896799</v>
      </c>
      <c r="CU433" s="143">
        <f t="shared" si="232"/>
        <v>144.33333333333334</v>
      </c>
      <c r="CV433" s="143">
        <f t="shared" si="233"/>
        <v>91.5</v>
      </c>
      <c r="CX433" s="7">
        <f t="shared" si="234"/>
        <v>10.35</v>
      </c>
      <c r="CY433" s="7">
        <f t="shared" si="235"/>
        <v>12.7</v>
      </c>
      <c r="CZ433" s="7">
        <f t="shared" si="236"/>
        <v>13.6</v>
      </c>
      <c r="DA433" s="7">
        <f t="shared" si="237"/>
        <v>16.75</v>
      </c>
      <c r="DB433" s="7">
        <f t="shared" si="238"/>
        <v>27.5</v>
      </c>
      <c r="DC433" s="7">
        <f t="shared" si="239"/>
        <v>34.799999999999997</v>
      </c>
      <c r="DD433" s="7">
        <f t="shared" si="240"/>
        <v>40.200000000000003</v>
      </c>
      <c r="DE433" s="7">
        <f t="shared" si="241"/>
        <v>59.25</v>
      </c>
      <c r="DF433" s="7">
        <f t="shared" si="242"/>
        <v>120.89999999999988</v>
      </c>
      <c r="DH433" s="7">
        <f t="shared" si="243"/>
        <v>10.050000000000001</v>
      </c>
      <c r="DI433" s="7">
        <f t="shared" si="244"/>
        <v>12.1</v>
      </c>
      <c r="DJ433" s="7">
        <f t="shared" si="245"/>
        <v>12.8</v>
      </c>
      <c r="DK433" s="7">
        <f t="shared" si="246"/>
        <v>13.5</v>
      </c>
      <c r="DL433" s="7">
        <f t="shared" si="247"/>
        <v>36</v>
      </c>
      <c r="DM433" s="7">
        <f t="shared" si="248"/>
        <v>46.6</v>
      </c>
      <c r="DN433" s="7">
        <f t="shared" si="249"/>
        <v>54.649999999999991</v>
      </c>
      <c r="DO433" s="7">
        <f t="shared" si="250"/>
        <v>86.5</v>
      </c>
      <c r="DP433" s="7">
        <f t="shared" si="251"/>
        <v>146.70000000000002</v>
      </c>
    </row>
    <row r="434" spans="1:120" ht="25.5" hidden="1" customHeight="1" x14ac:dyDescent="0.25">
      <c r="A434" s="92" t="str">
        <f t="shared" ref="A434:A465" si="257">VLOOKUP(C434,CU,6,FALSE)</f>
        <v>CM-SWVI [10]</v>
      </c>
      <c r="B434" s="92" t="str">
        <f t="shared" ref="B434:B465" si="258">VLOOKUP(C434,CU,7,FALSE)</f>
        <v>Southwest Vancouver Island</v>
      </c>
      <c r="C434" s="93" t="str">
        <f t="shared" si="225"/>
        <v>OKTWANCH RIVER_Chum</v>
      </c>
      <c r="D434" s="128" t="s">
        <v>598</v>
      </c>
      <c r="E434" s="128" t="s">
        <v>598</v>
      </c>
      <c r="F434" s="64">
        <v>25</v>
      </c>
      <c r="G434" s="72" t="s">
        <v>219</v>
      </c>
      <c r="H434" s="65" t="s">
        <v>96</v>
      </c>
      <c r="I434" s="119"/>
      <c r="J434" s="119"/>
      <c r="K434" s="64">
        <v>3</v>
      </c>
      <c r="L434" s="52">
        <v>2</v>
      </c>
      <c r="M434" s="52">
        <v>0</v>
      </c>
      <c r="N434" s="52" t="e">
        <f t="shared" ref="N434:N465" si="259">GEOMEAN(AJ434:AW434)</f>
        <v>#NUM!</v>
      </c>
      <c r="O434" s="52">
        <f t="shared" ref="O434:O465" si="260">MAX(AJ434:CM434)</f>
        <v>0</v>
      </c>
      <c r="P434" s="52" t="e">
        <f t="shared" ref="P434:P465" si="261">GEOMEAN(AJ434:CM434)</f>
        <v>#NUM!</v>
      </c>
      <c r="Q434" s="66"/>
      <c r="R434" s="37"/>
      <c r="S434" s="74"/>
      <c r="T434" s="81">
        <f t="shared" si="226"/>
        <v>169.66666666666666</v>
      </c>
      <c r="U434" s="81">
        <f t="shared" si="227"/>
        <v>169.66666666666666</v>
      </c>
      <c r="V434" s="233">
        <v>63</v>
      </c>
      <c r="W434" s="52">
        <v>439</v>
      </c>
      <c r="X434" s="52">
        <v>7</v>
      </c>
      <c r="Y434" s="52" t="s">
        <v>263</v>
      </c>
      <c r="Z434" s="52" t="s">
        <v>102</v>
      </c>
      <c r="AA434" s="52" t="s">
        <v>262</v>
      </c>
      <c r="AB434" s="52" t="s">
        <v>262</v>
      </c>
      <c r="AC434" s="52" t="s">
        <v>263</v>
      </c>
      <c r="AD434" s="52" t="s">
        <v>102</v>
      </c>
      <c r="AE434" s="52" t="s">
        <v>102</v>
      </c>
      <c r="AF434" s="52" t="s">
        <v>102</v>
      </c>
      <c r="AG434" s="52" t="s">
        <v>102</v>
      </c>
      <c r="AH434" s="52" t="s">
        <v>102</v>
      </c>
      <c r="AI434" s="52" t="s">
        <v>102</v>
      </c>
      <c r="AJ434" s="52" t="s">
        <v>102</v>
      </c>
      <c r="AK434" s="52" t="s">
        <v>102</v>
      </c>
      <c r="AL434" s="52" t="s">
        <v>102</v>
      </c>
      <c r="AM434" s="52" t="s">
        <v>102</v>
      </c>
      <c r="AN434" s="54"/>
      <c r="AO434" s="54"/>
      <c r="AP434" s="53" t="s">
        <v>102</v>
      </c>
      <c r="AQ434" s="53" t="s">
        <v>262</v>
      </c>
      <c r="AR434" s="54"/>
      <c r="AS434" s="54"/>
      <c r="AT434" s="54"/>
      <c r="AU434" s="54"/>
      <c r="AV434" s="52" t="s">
        <v>262</v>
      </c>
      <c r="AW434" s="54"/>
      <c r="AX434" s="51" t="s">
        <v>102</v>
      </c>
      <c r="AY434" s="53" t="s">
        <v>102</v>
      </c>
      <c r="AZ434" s="53" t="s">
        <v>264</v>
      </c>
      <c r="BA434" s="53" t="s">
        <v>102</v>
      </c>
      <c r="BB434" s="53" t="s">
        <v>262</v>
      </c>
      <c r="BC434" s="53" t="s">
        <v>262</v>
      </c>
      <c r="BD434" s="53" t="s">
        <v>262</v>
      </c>
      <c r="BE434" s="53" t="s">
        <v>102</v>
      </c>
      <c r="BF434" s="53" t="s">
        <v>264</v>
      </c>
      <c r="BG434" s="53" t="s">
        <v>102</v>
      </c>
      <c r="BH434" s="53" t="s">
        <v>262</v>
      </c>
      <c r="BI434" s="53" t="s">
        <v>264</v>
      </c>
      <c r="BJ434" s="53" t="s">
        <v>102</v>
      </c>
      <c r="BK434" s="53" t="s">
        <v>102</v>
      </c>
      <c r="BL434" s="53" t="s">
        <v>102</v>
      </c>
      <c r="BM434" s="53" t="s">
        <v>102</v>
      </c>
      <c r="BN434" s="53" t="s">
        <v>102</v>
      </c>
      <c r="BO434" s="53" t="s">
        <v>264</v>
      </c>
      <c r="BP434" s="53" t="s">
        <v>264</v>
      </c>
      <c r="BQ434" s="53" t="s">
        <v>264</v>
      </c>
      <c r="BR434" s="53" t="s">
        <v>264</v>
      </c>
      <c r="BS434" s="53" t="s">
        <v>264</v>
      </c>
      <c r="BT434" s="53" t="s">
        <v>264</v>
      </c>
      <c r="BU434" s="53" t="s">
        <v>264</v>
      </c>
      <c r="BV434" s="53" t="s">
        <v>264</v>
      </c>
      <c r="BW434" s="53" t="s">
        <v>264</v>
      </c>
      <c r="BX434" s="53" t="s">
        <v>102</v>
      </c>
      <c r="BY434" s="53" t="s">
        <v>102</v>
      </c>
      <c r="BZ434" s="53" t="s">
        <v>102</v>
      </c>
      <c r="CA434" s="53" t="s">
        <v>102</v>
      </c>
      <c r="CB434" s="53" t="s">
        <v>102</v>
      </c>
      <c r="CC434" s="53" t="s">
        <v>102</v>
      </c>
      <c r="CD434" s="53" t="s">
        <v>102</v>
      </c>
      <c r="CE434" s="53" t="s">
        <v>102</v>
      </c>
      <c r="CF434" s="53" t="s">
        <v>102</v>
      </c>
      <c r="CG434" s="53" t="s">
        <v>102</v>
      </c>
      <c r="CH434" s="53" t="s">
        <v>102</v>
      </c>
      <c r="CI434" s="53" t="s">
        <v>102</v>
      </c>
      <c r="CJ434" s="53" t="s">
        <v>102</v>
      </c>
      <c r="CK434" s="53" t="s">
        <v>264</v>
      </c>
      <c r="CL434" s="53" t="s">
        <v>262</v>
      </c>
      <c r="CM434" s="53" t="s">
        <v>264</v>
      </c>
      <c r="CN434" s="206"/>
      <c r="CO434" s="206"/>
      <c r="CP434" s="206"/>
      <c r="CQ434" s="8">
        <f t="shared" si="228"/>
        <v>7</v>
      </c>
      <c r="CR434" s="8">
        <f t="shared" si="229"/>
        <v>439</v>
      </c>
      <c r="CS434" s="8">
        <f t="shared" si="230"/>
        <v>169.66666666666666</v>
      </c>
      <c r="CT434">
        <f t="shared" si="231"/>
        <v>57.849690071440641</v>
      </c>
      <c r="CU434" s="143">
        <f t="shared" si="232"/>
        <v>169.66666666666666</v>
      </c>
      <c r="CV434" s="143">
        <f t="shared" si="233"/>
        <v>169.66666666666666</v>
      </c>
      <c r="CX434" s="7">
        <f t="shared" si="234"/>
        <v>12.600000000000005</v>
      </c>
      <c r="CY434" s="7">
        <f t="shared" si="235"/>
        <v>23.800000000000004</v>
      </c>
      <c r="CZ434" s="7">
        <f t="shared" si="236"/>
        <v>29.399999999999995</v>
      </c>
      <c r="DA434" s="7">
        <f t="shared" si="237"/>
        <v>35</v>
      </c>
      <c r="DB434" s="7">
        <f t="shared" si="238"/>
        <v>63</v>
      </c>
      <c r="DC434" s="7">
        <f t="shared" si="239"/>
        <v>138.20000000000007</v>
      </c>
      <c r="DD434" s="7">
        <f t="shared" si="240"/>
        <v>175.79999999999993</v>
      </c>
      <c r="DE434" s="7">
        <f t="shared" si="241"/>
        <v>251</v>
      </c>
      <c r="DF434" s="7">
        <f t="shared" si="242"/>
        <v>326.20000000000005</v>
      </c>
      <c r="DH434" s="7">
        <f t="shared" si="243"/>
        <v>12.600000000000005</v>
      </c>
      <c r="DI434" s="7">
        <f t="shared" si="244"/>
        <v>23.800000000000004</v>
      </c>
      <c r="DJ434" s="7">
        <f t="shared" si="245"/>
        <v>29.399999999999995</v>
      </c>
      <c r="DK434" s="7">
        <f t="shared" si="246"/>
        <v>35</v>
      </c>
      <c r="DL434" s="7">
        <f t="shared" si="247"/>
        <v>63</v>
      </c>
      <c r="DM434" s="7">
        <f t="shared" si="248"/>
        <v>138.20000000000007</v>
      </c>
      <c r="DN434" s="7">
        <f t="shared" si="249"/>
        <v>175.79999999999993</v>
      </c>
      <c r="DO434" s="7">
        <f t="shared" si="250"/>
        <v>251</v>
      </c>
      <c r="DP434" s="7">
        <f t="shared" si="251"/>
        <v>326.20000000000005</v>
      </c>
    </row>
    <row r="435" spans="1:120" ht="25.5" hidden="1" customHeight="1" x14ac:dyDescent="0.25">
      <c r="A435" s="92" t="str">
        <f t="shared" si="257"/>
        <v>CO-WVI [17]</v>
      </c>
      <c r="B435" s="92" t="str">
        <f t="shared" si="258"/>
        <v>West Vancouver Island</v>
      </c>
      <c r="C435" s="93" t="str">
        <f t="shared" si="225"/>
        <v>OKTWANCH RIVER_Coho</v>
      </c>
      <c r="D435" s="128" t="s">
        <v>598</v>
      </c>
      <c r="E435" s="128" t="s">
        <v>598</v>
      </c>
      <c r="F435" s="64">
        <v>25</v>
      </c>
      <c r="G435" s="72" t="s">
        <v>219</v>
      </c>
      <c r="H435" s="65" t="s">
        <v>93</v>
      </c>
      <c r="I435" s="119"/>
      <c r="J435" s="119"/>
      <c r="K435" s="64">
        <v>3</v>
      </c>
      <c r="L435" s="52">
        <v>2</v>
      </c>
      <c r="M435" s="52">
        <v>2</v>
      </c>
      <c r="N435" s="52">
        <f t="shared" si="259"/>
        <v>211.06870919205434</v>
      </c>
      <c r="O435" s="52">
        <f t="shared" si="260"/>
        <v>750</v>
      </c>
      <c r="P435" s="52">
        <f t="shared" si="261"/>
        <v>216.43190121517799</v>
      </c>
      <c r="Q435" s="66"/>
      <c r="R435" s="37"/>
      <c r="S435" s="74"/>
      <c r="T435" s="81">
        <f t="shared" si="226"/>
        <v>76.333333333333329</v>
      </c>
      <c r="U435" s="81">
        <f t="shared" si="227"/>
        <v>83.2</v>
      </c>
      <c r="V435" s="233">
        <v>15</v>
      </c>
      <c r="W435" s="52">
        <v>11</v>
      </c>
      <c r="X435" s="52">
        <v>203</v>
      </c>
      <c r="Y435" s="52" t="s">
        <v>263</v>
      </c>
      <c r="Z435" s="52" t="s">
        <v>102</v>
      </c>
      <c r="AA435" s="52">
        <v>50</v>
      </c>
      <c r="AB435" s="52" t="s">
        <v>262</v>
      </c>
      <c r="AC435" s="52">
        <v>137</v>
      </c>
      <c r="AD435" s="52" t="s">
        <v>102</v>
      </c>
      <c r="AE435" s="52" t="s">
        <v>102</v>
      </c>
      <c r="AF435" s="52" t="s">
        <v>102</v>
      </c>
      <c r="AG435" s="52" t="s">
        <v>102</v>
      </c>
      <c r="AH435" s="52" t="s">
        <v>102</v>
      </c>
      <c r="AI435" s="52" t="s">
        <v>102</v>
      </c>
      <c r="AJ435" s="52" t="s">
        <v>102</v>
      </c>
      <c r="AK435" s="52" t="s">
        <v>102</v>
      </c>
      <c r="AL435" s="52" t="s">
        <v>102</v>
      </c>
      <c r="AM435" s="52" t="s">
        <v>102</v>
      </c>
      <c r="AN435" s="54"/>
      <c r="AO435" s="54"/>
      <c r="AP435" s="53" t="s">
        <v>102</v>
      </c>
      <c r="AQ435" s="53">
        <v>198</v>
      </c>
      <c r="AR435" s="54"/>
      <c r="AS435" s="54"/>
      <c r="AT435" s="54"/>
      <c r="AU435" s="54"/>
      <c r="AV435" s="52">
        <v>225</v>
      </c>
      <c r="AW435" s="54"/>
      <c r="AX435" s="51" t="s">
        <v>102</v>
      </c>
      <c r="AY435" s="53" t="s">
        <v>102</v>
      </c>
      <c r="AZ435" s="53" t="s">
        <v>264</v>
      </c>
      <c r="BA435" s="53" t="s">
        <v>102</v>
      </c>
      <c r="BB435" s="53" t="s">
        <v>262</v>
      </c>
      <c r="BC435" s="53" t="s">
        <v>262</v>
      </c>
      <c r="BD435" s="53" t="s">
        <v>262</v>
      </c>
      <c r="BE435" s="53" t="s">
        <v>102</v>
      </c>
      <c r="BF435" s="53" t="s">
        <v>264</v>
      </c>
      <c r="BG435" s="53" t="s">
        <v>102</v>
      </c>
      <c r="BH435" s="53" t="s">
        <v>262</v>
      </c>
      <c r="BI435" s="53" t="s">
        <v>264</v>
      </c>
      <c r="BJ435" s="53" t="s">
        <v>102</v>
      </c>
      <c r="BK435" s="53" t="s">
        <v>102</v>
      </c>
      <c r="BL435" s="53" t="s">
        <v>102</v>
      </c>
      <c r="BM435" s="53" t="s">
        <v>102</v>
      </c>
      <c r="BN435" s="53" t="s">
        <v>102</v>
      </c>
      <c r="BO435" s="53">
        <v>200</v>
      </c>
      <c r="BP435" s="53">
        <v>75</v>
      </c>
      <c r="BQ435" s="53">
        <v>75</v>
      </c>
      <c r="BR435" s="53">
        <v>750</v>
      </c>
      <c r="BS435" s="53">
        <v>200</v>
      </c>
      <c r="BT435" s="53" t="s">
        <v>262</v>
      </c>
      <c r="BU435" s="53">
        <v>750</v>
      </c>
      <c r="BV435" s="53">
        <v>200</v>
      </c>
      <c r="BW435" s="53">
        <v>200</v>
      </c>
      <c r="BX435" s="53" t="s">
        <v>102</v>
      </c>
      <c r="BY435" s="53" t="s">
        <v>102</v>
      </c>
      <c r="BZ435" s="53" t="s">
        <v>102</v>
      </c>
      <c r="CA435" s="53" t="s">
        <v>102</v>
      </c>
      <c r="CB435" s="53" t="s">
        <v>102</v>
      </c>
      <c r="CC435" s="53" t="s">
        <v>102</v>
      </c>
      <c r="CD435" s="53" t="s">
        <v>102</v>
      </c>
      <c r="CE435" s="53" t="s">
        <v>102</v>
      </c>
      <c r="CF435" s="53" t="s">
        <v>102</v>
      </c>
      <c r="CG435" s="53" t="s">
        <v>102</v>
      </c>
      <c r="CH435" s="53" t="s">
        <v>102</v>
      </c>
      <c r="CI435" s="53" t="s">
        <v>102</v>
      </c>
      <c r="CJ435" s="53" t="s">
        <v>102</v>
      </c>
      <c r="CK435" s="53" t="s">
        <v>264</v>
      </c>
      <c r="CL435" s="53" t="s">
        <v>264</v>
      </c>
      <c r="CM435" s="53" t="s">
        <v>264</v>
      </c>
      <c r="CN435" s="206"/>
      <c r="CO435" s="206"/>
      <c r="CP435" s="206"/>
      <c r="CQ435" s="8">
        <f t="shared" si="228"/>
        <v>11</v>
      </c>
      <c r="CR435" s="8">
        <f t="shared" si="229"/>
        <v>750</v>
      </c>
      <c r="CS435" s="8">
        <f t="shared" si="230"/>
        <v>219.26666666666668</v>
      </c>
      <c r="CT435">
        <f t="shared" si="231"/>
        <v>130.09448509676213</v>
      </c>
      <c r="CU435" s="143">
        <f t="shared" si="232"/>
        <v>76.333333333333329</v>
      </c>
      <c r="CV435" s="143">
        <f t="shared" si="233"/>
        <v>83.2</v>
      </c>
      <c r="CX435" s="7">
        <f t="shared" si="234"/>
        <v>13.8</v>
      </c>
      <c r="CY435" s="7">
        <f t="shared" si="235"/>
        <v>52.5</v>
      </c>
      <c r="CZ435" s="7">
        <f t="shared" si="236"/>
        <v>70</v>
      </c>
      <c r="DA435" s="7">
        <f t="shared" si="237"/>
        <v>75</v>
      </c>
      <c r="DB435" s="7">
        <f t="shared" si="238"/>
        <v>200</v>
      </c>
      <c r="DC435" s="7">
        <f t="shared" si="239"/>
        <v>200</v>
      </c>
      <c r="DD435" s="7">
        <f t="shared" si="240"/>
        <v>200</v>
      </c>
      <c r="DE435" s="7">
        <f t="shared" si="241"/>
        <v>201.5</v>
      </c>
      <c r="DF435" s="7">
        <f t="shared" si="242"/>
        <v>222.8</v>
      </c>
      <c r="DH435" s="7">
        <f t="shared" si="243"/>
        <v>12.2</v>
      </c>
      <c r="DI435" s="7">
        <f t="shared" si="244"/>
        <v>14.6</v>
      </c>
      <c r="DJ435" s="7">
        <f t="shared" si="245"/>
        <v>22.000000000000007</v>
      </c>
      <c r="DK435" s="7">
        <f t="shared" si="246"/>
        <v>32.5</v>
      </c>
      <c r="DL435" s="7">
        <f t="shared" si="247"/>
        <v>137</v>
      </c>
      <c r="DM435" s="7">
        <f t="shared" si="248"/>
        <v>173.59999999999997</v>
      </c>
      <c r="DN435" s="7">
        <f t="shared" si="249"/>
        <v>191.90000000000003</v>
      </c>
      <c r="DO435" s="7">
        <f t="shared" si="250"/>
        <v>200.5</v>
      </c>
      <c r="DP435" s="7">
        <f t="shared" si="251"/>
        <v>205.2</v>
      </c>
    </row>
    <row r="436" spans="1:120" ht="25.5" hidden="1" customHeight="1" x14ac:dyDescent="0.25">
      <c r="A436" s="92" t="str">
        <f t="shared" si="257"/>
        <v>SK-WVI [R10]</v>
      </c>
      <c r="B436" s="92" t="str">
        <f t="shared" si="258"/>
        <v>West Vancouver Island</v>
      </c>
      <c r="C436" s="93" t="str">
        <f t="shared" si="225"/>
        <v>OKTWANCH RIVER_Sockeye</v>
      </c>
      <c r="D436" s="128" t="s">
        <v>598</v>
      </c>
      <c r="E436" s="128" t="s">
        <v>598</v>
      </c>
      <c r="F436" s="64">
        <v>25</v>
      </c>
      <c r="G436" s="72" t="s">
        <v>219</v>
      </c>
      <c r="H436" s="65" t="s">
        <v>91</v>
      </c>
      <c r="I436" s="119"/>
      <c r="J436" s="119"/>
      <c r="K436" s="64">
        <v>3</v>
      </c>
      <c r="L436" s="52">
        <v>2</v>
      </c>
      <c r="M436" s="52">
        <v>2</v>
      </c>
      <c r="N436" s="52">
        <f t="shared" si="259"/>
        <v>653.46920355897419</v>
      </c>
      <c r="O436" s="52">
        <f t="shared" si="260"/>
        <v>15000</v>
      </c>
      <c r="P436" s="52">
        <f t="shared" si="261"/>
        <v>2220.9056178788019</v>
      </c>
      <c r="Q436" s="66"/>
      <c r="R436" s="37"/>
      <c r="S436" s="74" t="s">
        <v>461</v>
      </c>
      <c r="T436" s="81">
        <f t="shared" si="226"/>
        <v>725</v>
      </c>
      <c r="U436" s="81">
        <f t="shared" si="227"/>
        <v>511</v>
      </c>
      <c r="V436" s="233">
        <v>337</v>
      </c>
      <c r="W436" s="52">
        <v>1236</v>
      </c>
      <c r="X436" s="52">
        <v>158</v>
      </c>
      <c r="Y436" s="52">
        <v>1169</v>
      </c>
      <c r="Z436" s="52" t="s">
        <v>102</v>
      </c>
      <c r="AA436" s="52">
        <v>358</v>
      </c>
      <c r="AB436" s="52">
        <v>119</v>
      </c>
      <c r="AC436" s="52">
        <v>200</v>
      </c>
      <c r="AD436" s="52" t="s">
        <v>102</v>
      </c>
      <c r="AE436" s="52" t="s">
        <v>102</v>
      </c>
      <c r="AF436" s="52" t="s">
        <v>102</v>
      </c>
      <c r="AG436" s="52" t="s">
        <v>102</v>
      </c>
      <c r="AH436" s="52" t="s">
        <v>102</v>
      </c>
      <c r="AI436" s="52" t="s">
        <v>102</v>
      </c>
      <c r="AJ436" s="52" t="s">
        <v>102</v>
      </c>
      <c r="AK436" s="52" t="s">
        <v>102</v>
      </c>
      <c r="AL436" s="52" t="s">
        <v>102</v>
      </c>
      <c r="AM436" s="52" t="s">
        <v>102</v>
      </c>
      <c r="AN436" s="54"/>
      <c r="AO436" s="54"/>
      <c r="AP436" s="53" t="s">
        <v>102</v>
      </c>
      <c r="AQ436" s="53">
        <v>178</v>
      </c>
      <c r="AR436" s="54"/>
      <c r="AS436" s="54"/>
      <c r="AT436" s="54"/>
      <c r="AU436" s="54"/>
      <c r="AV436" s="52">
        <v>2399</v>
      </c>
      <c r="AW436" s="54"/>
      <c r="AX436" s="51" t="s">
        <v>102</v>
      </c>
      <c r="AY436" s="53" t="s">
        <v>102</v>
      </c>
      <c r="AZ436" s="53">
        <v>2500</v>
      </c>
      <c r="BA436" s="53" t="s">
        <v>102</v>
      </c>
      <c r="BB436" s="53">
        <v>2500</v>
      </c>
      <c r="BC436" s="53">
        <v>2600</v>
      </c>
      <c r="BD436" s="53">
        <v>1500</v>
      </c>
      <c r="BE436" s="53" t="s">
        <v>102</v>
      </c>
      <c r="BF436" s="53">
        <v>5000</v>
      </c>
      <c r="BG436" s="53" t="s">
        <v>102</v>
      </c>
      <c r="BH436" s="53" t="s">
        <v>262</v>
      </c>
      <c r="BI436" s="53">
        <v>2000</v>
      </c>
      <c r="BJ436" s="53" t="s">
        <v>102</v>
      </c>
      <c r="BK436" s="53" t="s">
        <v>102</v>
      </c>
      <c r="BL436" s="53" t="s">
        <v>102</v>
      </c>
      <c r="BM436" s="53" t="s">
        <v>102</v>
      </c>
      <c r="BN436" s="53" t="s">
        <v>102</v>
      </c>
      <c r="BO436" s="53">
        <v>7000</v>
      </c>
      <c r="BP436" s="53">
        <v>750</v>
      </c>
      <c r="BQ436" s="53">
        <v>750</v>
      </c>
      <c r="BR436" s="53">
        <v>7500</v>
      </c>
      <c r="BS436" s="53">
        <v>15000</v>
      </c>
      <c r="BT436" s="53">
        <v>10000</v>
      </c>
      <c r="BU436" s="53">
        <v>750</v>
      </c>
      <c r="BV436" s="53">
        <v>300</v>
      </c>
      <c r="BW436" s="53">
        <v>7500</v>
      </c>
      <c r="BX436" s="53" t="s">
        <v>102</v>
      </c>
      <c r="BY436" s="53" t="s">
        <v>102</v>
      </c>
      <c r="BZ436" s="53" t="s">
        <v>102</v>
      </c>
      <c r="CA436" s="53" t="s">
        <v>102</v>
      </c>
      <c r="CB436" s="53" t="s">
        <v>102</v>
      </c>
      <c r="CC436" s="53" t="s">
        <v>102</v>
      </c>
      <c r="CD436" s="53" t="s">
        <v>102</v>
      </c>
      <c r="CE436" s="53" t="s">
        <v>102</v>
      </c>
      <c r="CF436" s="53" t="s">
        <v>102</v>
      </c>
      <c r="CG436" s="53" t="s">
        <v>102</v>
      </c>
      <c r="CH436" s="53" t="s">
        <v>102</v>
      </c>
      <c r="CI436" s="53" t="s">
        <v>102</v>
      </c>
      <c r="CJ436" s="53" t="s">
        <v>102</v>
      </c>
      <c r="CK436" s="53" t="s">
        <v>264</v>
      </c>
      <c r="CL436" s="53" t="s">
        <v>264</v>
      </c>
      <c r="CM436" s="53" t="s">
        <v>264</v>
      </c>
      <c r="CN436" s="206"/>
      <c r="CO436" s="206"/>
      <c r="CP436" s="206"/>
      <c r="CQ436" s="8">
        <f t="shared" si="228"/>
        <v>119</v>
      </c>
      <c r="CR436" s="8">
        <f t="shared" si="229"/>
        <v>15000</v>
      </c>
      <c r="CS436" s="8">
        <f t="shared" si="230"/>
        <v>2991.8333333333335</v>
      </c>
      <c r="CT436">
        <f t="shared" si="231"/>
        <v>1296.6307618457417</v>
      </c>
      <c r="CU436" s="143">
        <f t="shared" si="232"/>
        <v>725</v>
      </c>
      <c r="CV436" s="143">
        <f t="shared" si="233"/>
        <v>511</v>
      </c>
      <c r="CX436" s="7">
        <f t="shared" si="234"/>
        <v>161</v>
      </c>
      <c r="CY436" s="7">
        <f t="shared" si="235"/>
        <v>244.99999999999994</v>
      </c>
      <c r="CZ436" s="7">
        <f t="shared" si="236"/>
        <v>322.20000000000005</v>
      </c>
      <c r="DA436" s="7">
        <f t="shared" si="237"/>
        <v>352.75</v>
      </c>
      <c r="DB436" s="7">
        <f t="shared" si="238"/>
        <v>1368</v>
      </c>
      <c r="DC436" s="7">
        <f t="shared" si="239"/>
        <v>2319.1999999999998</v>
      </c>
      <c r="DD436" s="7">
        <f t="shared" si="240"/>
        <v>2494.9500000000003</v>
      </c>
      <c r="DE436" s="7">
        <f t="shared" si="241"/>
        <v>3200</v>
      </c>
      <c r="DF436" s="7">
        <f t="shared" si="242"/>
        <v>7275</v>
      </c>
      <c r="DH436" s="7">
        <f t="shared" si="243"/>
        <v>134.6</v>
      </c>
      <c r="DI436" s="7">
        <f t="shared" si="244"/>
        <v>162</v>
      </c>
      <c r="DJ436" s="7">
        <f t="shared" si="245"/>
        <v>170</v>
      </c>
      <c r="DK436" s="7">
        <f t="shared" si="246"/>
        <v>178</v>
      </c>
      <c r="DL436" s="7">
        <f t="shared" si="247"/>
        <v>337</v>
      </c>
      <c r="DM436" s="7">
        <f t="shared" si="248"/>
        <v>353.8</v>
      </c>
      <c r="DN436" s="7">
        <f t="shared" si="249"/>
        <v>520.20000000000016</v>
      </c>
      <c r="DO436" s="7">
        <f t="shared" si="250"/>
        <v>1169</v>
      </c>
      <c r="DP436" s="7">
        <f t="shared" si="251"/>
        <v>1222.5999999999999</v>
      </c>
    </row>
    <row r="437" spans="1:120" ht="25.5" customHeight="1" x14ac:dyDescent="0.25">
      <c r="A437" s="92" t="str">
        <f t="shared" si="257"/>
        <v>CK-NoKy [32]</v>
      </c>
      <c r="B437" s="92" t="str">
        <f t="shared" si="258"/>
        <v>Nootka and Kyuquot</v>
      </c>
      <c r="C437" s="93" t="str">
        <f t="shared" si="225"/>
        <v>OWOSSITSA CREEK_Chinook</v>
      </c>
      <c r="D437" s="128" t="s">
        <v>598</v>
      </c>
      <c r="E437" s="128" t="s">
        <v>598</v>
      </c>
      <c r="F437" s="64">
        <v>25</v>
      </c>
      <c r="G437" s="72" t="s">
        <v>237</v>
      </c>
      <c r="H437" s="65" t="s">
        <v>97</v>
      </c>
      <c r="I437" s="119"/>
      <c r="J437" s="119"/>
      <c r="K437" s="64">
        <v>5</v>
      </c>
      <c r="L437" s="52">
        <v>7</v>
      </c>
      <c r="M437" s="52">
        <v>0</v>
      </c>
      <c r="N437" s="52" t="e">
        <f t="shared" si="259"/>
        <v>#NUM!</v>
      </c>
      <c r="O437" s="52">
        <f t="shared" si="260"/>
        <v>200</v>
      </c>
      <c r="P437" s="52">
        <f t="shared" si="261"/>
        <v>78.254229003664364</v>
      </c>
      <c r="Q437" s="66"/>
      <c r="R437" s="37"/>
      <c r="S437" s="74" t="s">
        <v>462</v>
      </c>
      <c r="T437" s="81" t="e">
        <f t="shared" si="226"/>
        <v>#DIV/0!</v>
      </c>
      <c r="U437" s="81" t="e">
        <f t="shared" si="227"/>
        <v>#DIV/0!</v>
      </c>
      <c r="V437" s="52" t="s">
        <v>102</v>
      </c>
      <c r="W437" s="52" t="s">
        <v>102</v>
      </c>
      <c r="X437" s="52" t="s">
        <v>102</v>
      </c>
      <c r="Y437" s="52" t="s">
        <v>102</v>
      </c>
      <c r="Z437" s="52" t="s">
        <v>102</v>
      </c>
      <c r="AA437" s="52" t="s">
        <v>102</v>
      </c>
      <c r="AB437" s="52" t="s">
        <v>102</v>
      </c>
      <c r="AC437" s="52" t="s">
        <v>102</v>
      </c>
      <c r="AD437" s="52" t="s">
        <v>102</v>
      </c>
      <c r="AE437" s="52" t="s">
        <v>102</v>
      </c>
      <c r="AF437" s="52" t="s">
        <v>102</v>
      </c>
      <c r="AG437" s="52" t="s">
        <v>262</v>
      </c>
      <c r="AH437" s="52" t="s">
        <v>262</v>
      </c>
      <c r="AI437" s="52" t="s">
        <v>262</v>
      </c>
      <c r="AJ437" s="53" t="s">
        <v>262</v>
      </c>
      <c r="AK437" s="53" t="s">
        <v>262</v>
      </c>
      <c r="AL437" s="89" t="s">
        <v>262</v>
      </c>
      <c r="AM437" s="52" t="s">
        <v>102</v>
      </c>
      <c r="AN437" s="52" t="s">
        <v>262</v>
      </c>
      <c r="AO437" s="52" t="s">
        <v>102</v>
      </c>
      <c r="AP437" s="53" t="s">
        <v>262</v>
      </c>
      <c r="AQ437" s="53" t="s">
        <v>102</v>
      </c>
      <c r="AR437" s="53" t="s">
        <v>262</v>
      </c>
      <c r="AS437" s="52" t="s">
        <v>262</v>
      </c>
      <c r="AT437" s="52" t="s">
        <v>262</v>
      </c>
      <c r="AU437" s="52" t="s">
        <v>262</v>
      </c>
      <c r="AV437" s="52" t="s">
        <v>262</v>
      </c>
      <c r="AW437" s="54"/>
      <c r="AX437" s="51" t="s">
        <v>264</v>
      </c>
      <c r="AY437" s="53" t="s">
        <v>264</v>
      </c>
      <c r="AZ437" s="53" t="s">
        <v>102</v>
      </c>
      <c r="BA437" s="53" t="s">
        <v>264</v>
      </c>
      <c r="BB437" s="53" t="s">
        <v>264</v>
      </c>
      <c r="BC437" s="53" t="s">
        <v>264</v>
      </c>
      <c r="BD437" s="53" t="s">
        <v>264</v>
      </c>
      <c r="BE437" s="53" t="s">
        <v>264</v>
      </c>
      <c r="BF437" s="53" t="s">
        <v>102</v>
      </c>
      <c r="BG437" s="53" t="s">
        <v>262</v>
      </c>
      <c r="BH437" s="53" t="s">
        <v>262</v>
      </c>
      <c r="BI437" s="53" t="s">
        <v>264</v>
      </c>
      <c r="BJ437" s="53" t="s">
        <v>102</v>
      </c>
      <c r="BK437" s="53" t="s">
        <v>264</v>
      </c>
      <c r="BL437" s="53">
        <v>25</v>
      </c>
      <c r="BM437" s="53" t="s">
        <v>264</v>
      </c>
      <c r="BN437" s="53" t="s">
        <v>264</v>
      </c>
      <c r="BO437" s="53" t="s">
        <v>264</v>
      </c>
      <c r="BP437" s="53" t="s">
        <v>264</v>
      </c>
      <c r="BQ437" s="53" t="s">
        <v>264</v>
      </c>
      <c r="BR437" s="53" t="s">
        <v>264</v>
      </c>
      <c r="BS437" s="53" t="s">
        <v>264</v>
      </c>
      <c r="BT437" s="53" t="s">
        <v>262</v>
      </c>
      <c r="BU437" s="53" t="s">
        <v>262</v>
      </c>
      <c r="BV437" s="53" t="s">
        <v>262</v>
      </c>
      <c r="BW437" s="53" t="s">
        <v>262</v>
      </c>
      <c r="BX437" s="53" t="s">
        <v>264</v>
      </c>
      <c r="BY437" s="53" t="s">
        <v>264</v>
      </c>
      <c r="BZ437" s="53" t="s">
        <v>264</v>
      </c>
      <c r="CA437" s="53" t="s">
        <v>264</v>
      </c>
      <c r="CB437" s="53" t="s">
        <v>264</v>
      </c>
      <c r="CC437" s="53">
        <v>100</v>
      </c>
      <c r="CD437" s="53">
        <v>75</v>
      </c>
      <c r="CE437" s="53" t="s">
        <v>264</v>
      </c>
      <c r="CF437" s="53" t="s">
        <v>264</v>
      </c>
      <c r="CG437" s="53" t="s">
        <v>264</v>
      </c>
      <c r="CH437" s="53" t="s">
        <v>264</v>
      </c>
      <c r="CI437" s="53" t="s">
        <v>264</v>
      </c>
      <c r="CJ437" s="53" t="s">
        <v>264</v>
      </c>
      <c r="CK437" s="53">
        <v>200</v>
      </c>
      <c r="CL437" s="53" t="s">
        <v>264</v>
      </c>
      <c r="CM437" s="53" t="s">
        <v>264</v>
      </c>
      <c r="CN437" s="206"/>
      <c r="CO437" s="206"/>
      <c r="CP437" s="206"/>
      <c r="CQ437" s="8">
        <f t="shared" si="228"/>
        <v>25</v>
      </c>
      <c r="CR437" s="8">
        <f t="shared" si="229"/>
        <v>200</v>
      </c>
      <c r="CS437" s="8">
        <f t="shared" si="230"/>
        <v>100</v>
      </c>
      <c r="CT437">
        <f t="shared" si="231"/>
        <v>78.254229003664364</v>
      </c>
      <c r="CU437" s="143" t="e">
        <f t="shared" si="232"/>
        <v>#DIV/0!</v>
      </c>
      <c r="CV437" s="143" t="e">
        <f t="shared" si="233"/>
        <v>#DIV/0!</v>
      </c>
      <c r="CX437" s="7">
        <f t="shared" si="234"/>
        <v>32.499999999999993</v>
      </c>
      <c r="CY437" s="7">
        <f t="shared" si="235"/>
        <v>47.5</v>
      </c>
      <c r="CZ437" s="7">
        <f t="shared" si="236"/>
        <v>55</v>
      </c>
      <c r="DA437" s="7">
        <f t="shared" si="237"/>
        <v>62.5</v>
      </c>
      <c r="DB437" s="7">
        <f t="shared" si="238"/>
        <v>87.5</v>
      </c>
      <c r="DC437" s="7">
        <f t="shared" si="239"/>
        <v>95</v>
      </c>
      <c r="DD437" s="7">
        <f t="shared" si="240"/>
        <v>98.75</v>
      </c>
      <c r="DE437" s="7">
        <f t="shared" si="241"/>
        <v>125</v>
      </c>
      <c r="DF437" s="7">
        <f t="shared" si="242"/>
        <v>155</v>
      </c>
      <c r="DH437" s="7" t="e">
        <f t="shared" si="243"/>
        <v>#NUM!</v>
      </c>
      <c r="DI437" s="7" t="e">
        <f t="shared" si="244"/>
        <v>#NUM!</v>
      </c>
      <c r="DJ437" s="7" t="e">
        <f t="shared" si="245"/>
        <v>#NUM!</v>
      </c>
      <c r="DK437" s="7" t="e">
        <f t="shared" si="246"/>
        <v>#NUM!</v>
      </c>
      <c r="DL437" s="7" t="e">
        <f t="shared" si="247"/>
        <v>#NUM!</v>
      </c>
      <c r="DM437" s="7" t="e">
        <f t="shared" si="248"/>
        <v>#NUM!</v>
      </c>
      <c r="DN437" s="7" t="e">
        <f t="shared" si="249"/>
        <v>#NUM!</v>
      </c>
      <c r="DO437" s="7" t="e">
        <f t="shared" si="250"/>
        <v>#NUM!</v>
      </c>
      <c r="DP437" s="7" t="e">
        <f t="shared" si="251"/>
        <v>#NUM!</v>
      </c>
    </row>
    <row r="438" spans="1:120" ht="25.5" hidden="1" customHeight="1" x14ac:dyDescent="0.25">
      <c r="A438" s="92" t="str">
        <f t="shared" si="257"/>
        <v>CM-SWVI [10]</v>
      </c>
      <c r="B438" s="92" t="str">
        <f t="shared" si="258"/>
        <v>Southwest Vancouver Island</v>
      </c>
      <c r="C438" s="93" t="str">
        <f t="shared" si="225"/>
        <v>OWOSSITSA CREEK_Chum</v>
      </c>
      <c r="D438" s="128" t="s">
        <v>598</v>
      </c>
      <c r="E438" s="128" t="s">
        <v>598</v>
      </c>
      <c r="F438" s="64">
        <v>25</v>
      </c>
      <c r="G438" s="72" t="s">
        <v>237</v>
      </c>
      <c r="H438" s="65" t="s">
        <v>96</v>
      </c>
      <c r="I438" s="119"/>
      <c r="J438" s="119"/>
      <c r="K438" s="64">
        <v>5</v>
      </c>
      <c r="L438" s="52">
        <v>7</v>
      </c>
      <c r="M438" s="52">
        <v>5</v>
      </c>
      <c r="N438" s="52">
        <f t="shared" si="259"/>
        <v>238.66235925278681</v>
      </c>
      <c r="O438" s="52">
        <f t="shared" si="260"/>
        <v>15000</v>
      </c>
      <c r="P438" s="52">
        <f t="shared" si="261"/>
        <v>835.22638673297922</v>
      </c>
      <c r="Q438" s="66"/>
      <c r="R438" s="37"/>
      <c r="S438" s="74" t="s">
        <v>462</v>
      </c>
      <c r="T438" s="81" t="e">
        <f t="shared" si="226"/>
        <v>#DIV/0!</v>
      </c>
      <c r="U438" s="81">
        <f t="shared" si="227"/>
        <v>537</v>
      </c>
      <c r="V438" s="52" t="s">
        <v>102</v>
      </c>
      <c r="W438" s="52" t="s">
        <v>102</v>
      </c>
      <c r="X438" s="52" t="s">
        <v>102</v>
      </c>
      <c r="Y438" s="52" t="s">
        <v>102</v>
      </c>
      <c r="Z438" s="52" t="s">
        <v>102</v>
      </c>
      <c r="AA438" s="52" t="s">
        <v>102</v>
      </c>
      <c r="AB438" s="52" t="s">
        <v>102</v>
      </c>
      <c r="AC438" s="52" t="s">
        <v>102</v>
      </c>
      <c r="AD438" s="52" t="s">
        <v>102</v>
      </c>
      <c r="AE438" s="52" t="s">
        <v>102</v>
      </c>
      <c r="AF438" s="52" t="s">
        <v>102</v>
      </c>
      <c r="AG438" s="144">
        <v>537</v>
      </c>
      <c r="AH438" s="52">
        <v>1082</v>
      </c>
      <c r="AI438" s="53">
        <v>525</v>
      </c>
      <c r="AJ438" s="53">
        <v>149</v>
      </c>
      <c r="AK438" s="53">
        <v>132</v>
      </c>
      <c r="AL438" s="89">
        <v>530</v>
      </c>
      <c r="AM438" s="52" t="s">
        <v>102</v>
      </c>
      <c r="AN438" s="52">
        <v>36</v>
      </c>
      <c r="AO438" s="52" t="s">
        <v>102</v>
      </c>
      <c r="AP438" s="53" t="s">
        <v>262</v>
      </c>
      <c r="AQ438" s="53" t="s">
        <v>102</v>
      </c>
      <c r="AR438" s="53" t="s">
        <v>262</v>
      </c>
      <c r="AS438" s="52">
        <v>150</v>
      </c>
      <c r="AT438" s="52">
        <v>4250</v>
      </c>
      <c r="AU438" s="52">
        <v>275</v>
      </c>
      <c r="AV438" s="52">
        <v>160</v>
      </c>
      <c r="AW438" s="54"/>
      <c r="AX438" s="51">
        <v>2500</v>
      </c>
      <c r="AY438" s="53">
        <v>2350</v>
      </c>
      <c r="AZ438" s="53">
        <v>3310</v>
      </c>
      <c r="BA438" s="53" t="s">
        <v>262</v>
      </c>
      <c r="BB438" s="53">
        <v>775</v>
      </c>
      <c r="BC438" s="53">
        <v>50</v>
      </c>
      <c r="BD438" s="53">
        <v>1500</v>
      </c>
      <c r="BE438" s="53">
        <v>310</v>
      </c>
      <c r="BF438" s="53">
        <v>550</v>
      </c>
      <c r="BG438" s="53">
        <v>2100</v>
      </c>
      <c r="BH438" s="53">
        <v>1000</v>
      </c>
      <c r="BI438" s="53">
        <v>2335</v>
      </c>
      <c r="BJ438" s="53" t="s">
        <v>102</v>
      </c>
      <c r="BK438" s="53">
        <v>1000</v>
      </c>
      <c r="BL438" s="53">
        <v>6600</v>
      </c>
      <c r="BM438" s="53">
        <v>2022</v>
      </c>
      <c r="BN438" s="53">
        <v>5000</v>
      </c>
      <c r="BO438" s="53">
        <v>1000</v>
      </c>
      <c r="BP438" s="53">
        <v>750</v>
      </c>
      <c r="BQ438" s="53">
        <v>25</v>
      </c>
      <c r="BR438" s="53">
        <v>400</v>
      </c>
      <c r="BS438" s="53">
        <v>7500</v>
      </c>
      <c r="BT438" s="53">
        <v>3500</v>
      </c>
      <c r="BU438" s="53">
        <v>400</v>
      </c>
      <c r="BV438" s="53">
        <v>1200</v>
      </c>
      <c r="BW438" s="53">
        <v>25</v>
      </c>
      <c r="BX438" s="53">
        <v>200</v>
      </c>
      <c r="BY438" s="53">
        <v>400</v>
      </c>
      <c r="BZ438" s="53">
        <v>750</v>
      </c>
      <c r="CA438" s="53">
        <v>400</v>
      </c>
      <c r="CB438" s="53">
        <v>1500</v>
      </c>
      <c r="CC438" s="53">
        <v>1800</v>
      </c>
      <c r="CD438" s="53">
        <v>1500</v>
      </c>
      <c r="CE438" s="53">
        <v>3500</v>
      </c>
      <c r="CF438" s="53">
        <v>15000</v>
      </c>
      <c r="CG438" s="53">
        <v>3500</v>
      </c>
      <c r="CH438" s="53">
        <v>3500</v>
      </c>
      <c r="CI438" s="53">
        <v>1500</v>
      </c>
      <c r="CJ438" s="53">
        <v>200</v>
      </c>
      <c r="CK438" s="53">
        <v>400</v>
      </c>
      <c r="CL438" s="53">
        <v>2000</v>
      </c>
      <c r="CM438" s="53">
        <v>7500</v>
      </c>
      <c r="CN438" s="206"/>
      <c r="CO438" s="206"/>
      <c r="CP438" s="206"/>
      <c r="CQ438" s="8">
        <f t="shared" si="228"/>
        <v>25</v>
      </c>
      <c r="CR438" s="8">
        <f t="shared" si="229"/>
        <v>15000</v>
      </c>
      <c r="CS438" s="8">
        <f t="shared" si="230"/>
        <v>1915.2549019607843</v>
      </c>
      <c r="CT438">
        <f t="shared" si="231"/>
        <v>824.69504886884215</v>
      </c>
      <c r="CU438" s="143" t="e">
        <f t="shared" si="232"/>
        <v>#DIV/0!</v>
      </c>
      <c r="CV438" s="143">
        <f t="shared" si="233"/>
        <v>537</v>
      </c>
      <c r="CX438" s="7">
        <f t="shared" si="234"/>
        <v>43</v>
      </c>
      <c r="CY438" s="7">
        <f t="shared" si="235"/>
        <v>180</v>
      </c>
      <c r="CZ438" s="7">
        <f t="shared" si="236"/>
        <v>275</v>
      </c>
      <c r="DA438" s="7">
        <f t="shared" si="237"/>
        <v>400</v>
      </c>
      <c r="DB438" s="7">
        <f t="shared" si="238"/>
        <v>1000</v>
      </c>
      <c r="DC438" s="7">
        <f t="shared" si="239"/>
        <v>1500</v>
      </c>
      <c r="DD438" s="7">
        <f t="shared" si="240"/>
        <v>1650</v>
      </c>
      <c r="DE438" s="7">
        <f t="shared" si="241"/>
        <v>2342.5</v>
      </c>
      <c r="DF438" s="7">
        <f t="shared" si="242"/>
        <v>3500</v>
      </c>
      <c r="DH438" s="7">
        <f t="shared" si="243"/>
        <v>84</v>
      </c>
      <c r="DI438" s="7">
        <f t="shared" si="244"/>
        <v>140.5</v>
      </c>
      <c r="DJ438" s="7">
        <f t="shared" si="245"/>
        <v>149</v>
      </c>
      <c r="DK438" s="7">
        <f t="shared" si="246"/>
        <v>149.5</v>
      </c>
      <c r="DL438" s="7">
        <f t="shared" si="247"/>
        <v>275</v>
      </c>
      <c r="DM438" s="7">
        <f t="shared" si="248"/>
        <v>525</v>
      </c>
      <c r="DN438" s="7">
        <f t="shared" si="249"/>
        <v>527.5</v>
      </c>
      <c r="DO438" s="7">
        <f t="shared" si="250"/>
        <v>533.5</v>
      </c>
      <c r="DP438" s="7">
        <f t="shared" si="251"/>
        <v>809.5</v>
      </c>
    </row>
    <row r="439" spans="1:120" ht="25.5" hidden="1" customHeight="1" x14ac:dyDescent="0.25">
      <c r="A439" s="92" t="str">
        <f t="shared" si="257"/>
        <v>CO-WVI [17]</v>
      </c>
      <c r="B439" s="92" t="str">
        <f t="shared" si="258"/>
        <v>West Vancouver Island</v>
      </c>
      <c r="C439" s="93" t="str">
        <f t="shared" si="225"/>
        <v>OWOSSITSA CREEK_Coho</v>
      </c>
      <c r="D439" s="128" t="s">
        <v>598</v>
      </c>
      <c r="E439" s="128" t="s">
        <v>598</v>
      </c>
      <c r="F439" s="64">
        <v>25</v>
      </c>
      <c r="G439" s="72" t="s">
        <v>237</v>
      </c>
      <c r="H439" s="65" t="s">
        <v>93</v>
      </c>
      <c r="I439" s="119"/>
      <c r="J439" s="119"/>
      <c r="K439" s="64">
        <v>5</v>
      </c>
      <c r="L439" s="52">
        <v>7</v>
      </c>
      <c r="M439" s="52">
        <v>4</v>
      </c>
      <c r="N439" s="52">
        <f t="shared" si="259"/>
        <v>8.5823109691696047</v>
      </c>
      <c r="O439" s="52">
        <f t="shared" si="260"/>
        <v>1000</v>
      </c>
      <c r="P439" s="52">
        <f t="shared" si="261"/>
        <v>82.061932735918745</v>
      </c>
      <c r="Q439" s="66"/>
      <c r="R439" s="37"/>
      <c r="S439" s="74" t="s">
        <v>462</v>
      </c>
      <c r="T439" s="81" t="e">
        <f t="shared" si="226"/>
        <v>#DIV/0!</v>
      </c>
      <c r="U439" s="81">
        <f t="shared" si="227"/>
        <v>4</v>
      </c>
      <c r="V439" s="52" t="s">
        <v>102</v>
      </c>
      <c r="W439" s="52" t="s">
        <v>102</v>
      </c>
      <c r="X439" s="52" t="s">
        <v>102</v>
      </c>
      <c r="Y439" s="52" t="s">
        <v>102</v>
      </c>
      <c r="Z439" s="52" t="s">
        <v>102</v>
      </c>
      <c r="AA439" s="52" t="s">
        <v>102</v>
      </c>
      <c r="AB439" s="52" t="s">
        <v>102</v>
      </c>
      <c r="AC439" s="52" t="s">
        <v>102</v>
      </c>
      <c r="AD439" s="52" t="s">
        <v>102</v>
      </c>
      <c r="AE439" s="52" t="s">
        <v>102</v>
      </c>
      <c r="AF439" s="52" t="s">
        <v>102</v>
      </c>
      <c r="AG439" s="144">
        <v>4</v>
      </c>
      <c r="AH439" s="52">
        <v>29</v>
      </c>
      <c r="AI439" s="53">
        <v>15</v>
      </c>
      <c r="AJ439" s="53">
        <v>9</v>
      </c>
      <c r="AK439" s="53">
        <v>2</v>
      </c>
      <c r="AL439" s="89">
        <v>3</v>
      </c>
      <c r="AM439" s="52" t="s">
        <v>102</v>
      </c>
      <c r="AN439" s="52" t="s">
        <v>262</v>
      </c>
      <c r="AO439" s="52" t="s">
        <v>102</v>
      </c>
      <c r="AP439" s="53" t="s">
        <v>262</v>
      </c>
      <c r="AQ439" s="53" t="s">
        <v>102</v>
      </c>
      <c r="AR439" s="53" t="s">
        <v>262</v>
      </c>
      <c r="AS439" s="52">
        <v>20</v>
      </c>
      <c r="AT439" s="52">
        <v>37</v>
      </c>
      <c r="AU439" s="52">
        <v>10</v>
      </c>
      <c r="AV439" s="52" t="s">
        <v>263</v>
      </c>
      <c r="AW439" s="54"/>
      <c r="AX439" s="51" t="s">
        <v>264</v>
      </c>
      <c r="AY439" s="53">
        <v>50</v>
      </c>
      <c r="AZ439" s="53" t="s">
        <v>102</v>
      </c>
      <c r="BA439" s="53" t="s">
        <v>264</v>
      </c>
      <c r="BB439" s="53" t="s">
        <v>264</v>
      </c>
      <c r="BC439" s="53" t="s">
        <v>264</v>
      </c>
      <c r="BD439" s="53" t="s">
        <v>264</v>
      </c>
      <c r="BE439" s="53">
        <v>100</v>
      </c>
      <c r="BF439" s="53" t="s">
        <v>102</v>
      </c>
      <c r="BG439" s="53" t="s">
        <v>102</v>
      </c>
      <c r="BH439" s="53" t="s">
        <v>262</v>
      </c>
      <c r="BI439" s="53" t="s">
        <v>264</v>
      </c>
      <c r="BJ439" s="53" t="s">
        <v>102</v>
      </c>
      <c r="BK439" s="53" t="s">
        <v>264</v>
      </c>
      <c r="BL439" s="53" t="s">
        <v>264</v>
      </c>
      <c r="BM439" s="53" t="s">
        <v>264</v>
      </c>
      <c r="BN439" s="53" t="s">
        <v>264</v>
      </c>
      <c r="BO439" s="53" t="s">
        <v>264</v>
      </c>
      <c r="BP439" s="53">
        <v>200</v>
      </c>
      <c r="BQ439" s="53">
        <v>25</v>
      </c>
      <c r="BR439" s="53" t="s">
        <v>264</v>
      </c>
      <c r="BS439" s="53">
        <v>25</v>
      </c>
      <c r="BT439" s="53" t="s">
        <v>262</v>
      </c>
      <c r="BU439" s="53">
        <v>25</v>
      </c>
      <c r="BV439" s="53">
        <v>25</v>
      </c>
      <c r="BW439" s="53" t="s">
        <v>262</v>
      </c>
      <c r="BX439" s="53">
        <v>400</v>
      </c>
      <c r="BY439" s="53">
        <v>75</v>
      </c>
      <c r="BZ439" s="53">
        <v>400</v>
      </c>
      <c r="CA439" s="53">
        <v>400</v>
      </c>
      <c r="CB439" s="53">
        <v>200</v>
      </c>
      <c r="CC439" s="53">
        <v>400</v>
      </c>
      <c r="CD439" s="53">
        <v>400</v>
      </c>
      <c r="CE439" s="53">
        <v>200</v>
      </c>
      <c r="CF439" s="53">
        <v>200</v>
      </c>
      <c r="CG439" s="53">
        <v>200</v>
      </c>
      <c r="CH439" s="53">
        <v>200</v>
      </c>
      <c r="CI439" s="53">
        <v>75</v>
      </c>
      <c r="CJ439" s="53">
        <v>75</v>
      </c>
      <c r="CK439" s="53">
        <v>200</v>
      </c>
      <c r="CL439" s="53">
        <v>1000</v>
      </c>
      <c r="CM439" s="53">
        <v>750</v>
      </c>
      <c r="CN439" s="206"/>
      <c r="CO439" s="206"/>
      <c r="CP439" s="206"/>
      <c r="CQ439" s="8">
        <f t="shared" si="228"/>
        <v>2</v>
      </c>
      <c r="CR439" s="8">
        <f t="shared" si="229"/>
        <v>1000</v>
      </c>
      <c r="CS439" s="8">
        <f t="shared" si="230"/>
        <v>179.8125</v>
      </c>
      <c r="CT439">
        <f t="shared" si="231"/>
        <v>68.542212185757137</v>
      </c>
      <c r="CU439" s="143" t="e">
        <f t="shared" si="232"/>
        <v>#DIV/0!</v>
      </c>
      <c r="CV439" s="143">
        <f t="shared" si="233"/>
        <v>4</v>
      </c>
      <c r="CX439" s="7">
        <f t="shared" si="234"/>
        <v>3.55</v>
      </c>
      <c r="CY439" s="7">
        <f t="shared" si="235"/>
        <v>13.249999999999996</v>
      </c>
      <c r="CZ439" s="7">
        <f t="shared" si="236"/>
        <v>21</v>
      </c>
      <c r="DA439" s="7">
        <f t="shared" si="237"/>
        <v>25</v>
      </c>
      <c r="DB439" s="7">
        <f t="shared" si="238"/>
        <v>75</v>
      </c>
      <c r="DC439" s="7">
        <f t="shared" si="239"/>
        <v>200</v>
      </c>
      <c r="DD439" s="7">
        <f t="shared" si="240"/>
        <v>200</v>
      </c>
      <c r="DE439" s="7">
        <f t="shared" si="241"/>
        <v>200</v>
      </c>
      <c r="DF439" s="7">
        <f t="shared" si="242"/>
        <v>400</v>
      </c>
      <c r="DH439" s="7">
        <f t="shared" si="243"/>
        <v>2.4</v>
      </c>
      <c r="DI439" s="7">
        <f t="shared" si="244"/>
        <v>3.2</v>
      </c>
      <c r="DJ439" s="7">
        <f t="shared" si="245"/>
        <v>3.6</v>
      </c>
      <c r="DK439" s="7">
        <f t="shared" si="246"/>
        <v>4</v>
      </c>
      <c r="DL439" s="7">
        <f t="shared" si="247"/>
        <v>10</v>
      </c>
      <c r="DM439" s="7">
        <f t="shared" si="248"/>
        <v>14</v>
      </c>
      <c r="DN439" s="7">
        <f t="shared" si="249"/>
        <v>16</v>
      </c>
      <c r="DO439" s="7">
        <f t="shared" si="250"/>
        <v>20</v>
      </c>
      <c r="DP439" s="7">
        <f t="shared" si="251"/>
        <v>27.2</v>
      </c>
    </row>
    <row r="440" spans="1:120" ht="25.5" hidden="1" customHeight="1" x14ac:dyDescent="0.25">
      <c r="A440" s="92" t="str">
        <f t="shared" si="257"/>
        <v>SK-L-13-22</v>
      </c>
      <c r="B440" s="92" t="str">
        <f t="shared" si="258"/>
        <v>Owossitsa</v>
      </c>
      <c r="C440" s="93" t="str">
        <f t="shared" si="225"/>
        <v>OWOSSITSA CREEK_Sockeye</v>
      </c>
      <c r="D440" s="128" t="s">
        <v>598</v>
      </c>
      <c r="E440" s="128" t="s">
        <v>598</v>
      </c>
      <c r="F440" s="64">
        <v>25</v>
      </c>
      <c r="G440" s="72" t="s">
        <v>237</v>
      </c>
      <c r="H440" s="65" t="s">
        <v>91</v>
      </c>
      <c r="I440" s="119"/>
      <c r="J440" s="119"/>
      <c r="K440" s="64">
        <v>5</v>
      </c>
      <c r="L440" s="52">
        <v>7</v>
      </c>
      <c r="M440" s="52">
        <v>1</v>
      </c>
      <c r="N440" s="52">
        <f t="shared" si="259"/>
        <v>125</v>
      </c>
      <c r="O440" s="52">
        <f t="shared" si="260"/>
        <v>2000</v>
      </c>
      <c r="P440" s="52">
        <f t="shared" si="261"/>
        <v>463.18347499214269</v>
      </c>
      <c r="Q440" s="66"/>
      <c r="R440" s="37"/>
      <c r="S440" s="74" t="s">
        <v>462</v>
      </c>
      <c r="T440" s="81" t="e">
        <f t="shared" si="226"/>
        <v>#DIV/0!</v>
      </c>
      <c r="U440" s="81" t="e">
        <f t="shared" si="227"/>
        <v>#DIV/0!</v>
      </c>
      <c r="V440" s="52" t="s">
        <v>102</v>
      </c>
      <c r="W440" s="52" t="s">
        <v>102</v>
      </c>
      <c r="X440" s="52" t="s">
        <v>102</v>
      </c>
      <c r="Y440" s="52" t="s">
        <v>102</v>
      </c>
      <c r="Z440" s="52" t="s">
        <v>102</v>
      </c>
      <c r="AA440" s="52" t="s">
        <v>102</v>
      </c>
      <c r="AB440" s="52" t="s">
        <v>102</v>
      </c>
      <c r="AC440" s="52" t="s">
        <v>102</v>
      </c>
      <c r="AD440" s="52" t="s">
        <v>102</v>
      </c>
      <c r="AE440" s="52" t="s">
        <v>102</v>
      </c>
      <c r="AF440" s="52" t="s">
        <v>102</v>
      </c>
      <c r="AG440" s="52" t="s">
        <v>262</v>
      </c>
      <c r="AH440" s="52" t="s">
        <v>262</v>
      </c>
      <c r="AI440" s="52" t="s">
        <v>262</v>
      </c>
      <c r="AJ440" s="53" t="s">
        <v>262</v>
      </c>
      <c r="AK440" s="53" t="s">
        <v>262</v>
      </c>
      <c r="AL440" s="89" t="s">
        <v>262</v>
      </c>
      <c r="AM440" s="52" t="s">
        <v>102</v>
      </c>
      <c r="AN440" s="52" t="s">
        <v>262</v>
      </c>
      <c r="AO440" s="52" t="s">
        <v>102</v>
      </c>
      <c r="AP440" s="53" t="s">
        <v>262</v>
      </c>
      <c r="AQ440" s="53" t="s">
        <v>102</v>
      </c>
      <c r="AR440" s="53" t="s">
        <v>262</v>
      </c>
      <c r="AS440" s="52" t="s">
        <v>262</v>
      </c>
      <c r="AT440" s="52" t="s">
        <v>262</v>
      </c>
      <c r="AU440" s="52">
        <v>125</v>
      </c>
      <c r="AV440" s="52" t="s">
        <v>262</v>
      </c>
      <c r="AW440" s="54"/>
      <c r="AX440" s="51" t="s">
        <v>264</v>
      </c>
      <c r="AY440" s="53" t="s">
        <v>262</v>
      </c>
      <c r="AZ440" s="53" t="s">
        <v>102</v>
      </c>
      <c r="BA440" s="53" t="s">
        <v>264</v>
      </c>
      <c r="BB440" s="53" t="s">
        <v>264</v>
      </c>
      <c r="BC440" s="53" t="s">
        <v>102</v>
      </c>
      <c r="BD440" s="53" t="s">
        <v>102</v>
      </c>
      <c r="BE440" s="53" t="s">
        <v>102</v>
      </c>
      <c r="BF440" s="53" t="s">
        <v>102</v>
      </c>
      <c r="BG440" s="53" t="s">
        <v>102</v>
      </c>
      <c r="BH440" s="53" t="s">
        <v>262</v>
      </c>
      <c r="BI440" s="53" t="s">
        <v>264</v>
      </c>
      <c r="BJ440" s="53" t="s">
        <v>102</v>
      </c>
      <c r="BK440" s="53" t="s">
        <v>264</v>
      </c>
      <c r="BL440" s="53">
        <v>2000</v>
      </c>
      <c r="BM440" s="53" t="s">
        <v>264</v>
      </c>
      <c r="BN440" s="53">
        <v>1000</v>
      </c>
      <c r="BO440" s="53">
        <v>600</v>
      </c>
      <c r="BP440" s="53">
        <v>400</v>
      </c>
      <c r="BQ440" s="53">
        <v>750</v>
      </c>
      <c r="BR440" s="53">
        <v>750</v>
      </c>
      <c r="BS440" s="53">
        <v>400</v>
      </c>
      <c r="BT440" s="53">
        <v>400</v>
      </c>
      <c r="BU440" s="53">
        <v>400</v>
      </c>
      <c r="BV440" s="53">
        <v>200</v>
      </c>
      <c r="BW440" s="53" t="s">
        <v>262</v>
      </c>
      <c r="BX440" s="53">
        <v>200</v>
      </c>
      <c r="BY440" s="53">
        <v>400</v>
      </c>
      <c r="BZ440" s="53">
        <v>750</v>
      </c>
      <c r="CA440" s="53">
        <v>400</v>
      </c>
      <c r="CB440" s="53">
        <v>750</v>
      </c>
      <c r="CC440" s="53">
        <v>750</v>
      </c>
      <c r="CD440" s="53">
        <v>750</v>
      </c>
      <c r="CE440" s="53">
        <v>400</v>
      </c>
      <c r="CF440" s="53">
        <v>1500</v>
      </c>
      <c r="CG440" s="53">
        <v>200</v>
      </c>
      <c r="CH440" s="53">
        <v>400</v>
      </c>
      <c r="CI440" s="53">
        <v>200</v>
      </c>
      <c r="CJ440" s="53">
        <v>200</v>
      </c>
      <c r="CK440" s="53">
        <v>200</v>
      </c>
      <c r="CL440" s="53">
        <v>750</v>
      </c>
      <c r="CM440" s="53">
        <v>750</v>
      </c>
      <c r="CN440" s="206"/>
      <c r="CO440" s="206"/>
      <c r="CP440" s="206"/>
      <c r="CQ440" s="8">
        <f t="shared" si="228"/>
        <v>125</v>
      </c>
      <c r="CR440" s="8">
        <f t="shared" si="229"/>
        <v>2000</v>
      </c>
      <c r="CS440" s="8">
        <f t="shared" si="230"/>
        <v>578.7037037037037</v>
      </c>
      <c r="CT440">
        <f t="shared" si="231"/>
        <v>463.18347499214269</v>
      </c>
      <c r="CU440" s="143" t="e">
        <f t="shared" si="232"/>
        <v>#DIV/0!</v>
      </c>
      <c r="CV440" s="143" t="e">
        <f t="shared" si="233"/>
        <v>#DIV/0!</v>
      </c>
      <c r="CX440" s="7">
        <f t="shared" si="234"/>
        <v>200</v>
      </c>
      <c r="CY440" s="7">
        <f t="shared" si="235"/>
        <v>200</v>
      </c>
      <c r="CZ440" s="7">
        <f t="shared" si="236"/>
        <v>200</v>
      </c>
      <c r="DA440" s="7">
        <f t="shared" si="237"/>
        <v>300</v>
      </c>
      <c r="DB440" s="7">
        <f t="shared" si="238"/>
        <v>400</v>
      </c>
      <c r="DC440" s="7">
        <f t="shared" si="239"/>
        <v>690.00000000000023</v>
      </c>
      <c r="DD440" s="7">
        <f t="shared" si="240"/>
        <v>750</v>
      </c>
      <c r="DE440" s="7">
        <f t="shared" si="241"/>
        <v>750</v>
      </c>
      <c r="DF440" s="7">
        <f t="shared" si="242"/>
        <v>750</v>
      </c>
      <c r="DH440" s="7">
        <f t="shared" si="243"/>
        <v>125</v>
      </c>
      <c r="DI440" s="7">
        <f t="shared" si="244"/>
        <v>125</v>
      </c>
      <c r="DJ440" s="7">
        <f t="shared" si="245"/>
        <v>125</v>
      </c>
      <c r="DK440" s="7">
        <f t="shared" si="246"/>
        <v>125</v>
      </c>
      <c r="DL440" s="7">
        <f t="shared" si="247"/>
        <v>125</v>
      </c>
      <c r="DM440" s="7">
        <f t="shared" si="248"/>
        <v>125</v>
      </c>
      <c r="DN440" s="7">
        <f t="shared" si="249"/>
        <v>125</v>
      </c>
      <c r="DO440" s="7">
        <f t="shared" si="250"/>
        <v>125</v>
      </c>
      <c r="DP440" s="7">
        <f t="shared" si="251"/>
        <v>125</v>
      </c>
    </row>
    <row r="441" spans="1:120" ht="25.5" customHeight="1" x14ac:dyDescent="0.25">
      <c r="A441" s="92" t="str">
        <f t="shared" si="257"/>
        <v>CK-NoKy [32]</v>
      </c>
      <c r="B441" s="92" t="str">
        <f t="shared" si="258"/>
        <v>Nootka and Kyuquot</v>
      </c>
      <c r="C441" s="93" t="str">
        <f t="shared" si="225"/>
        <v>PARK RIVER_Chinook</v>
      </c>
      <c r="D441" s="128" t="s">
        <v>598</v>
      </c>
      <c r="E441" s="128" t="s">
        <v>598</v>
      </c>
      <c r="F441" s="64">
        <v>25</v>
      </c>
      <c r="G441" s="72" t="s">
        <v>245</v>
      </c>
      <c r="H441" s="65" t="s">
        <v>97</v>
      </c>
      <c r="I441" s="119"/>
      <c r="J441" s="119"/>
      <c r="K441" s="64">
        <v>4</v>
      </c>
      <c r="L441" s="52">
        <v>11</v>
      </c>
      <c r="M441" s="52">
        <v>0</v>
      </c>
      <c r="N441" s="52" t="e">
        <f t="shared" si="259"/>
        <v>#NUM!</v>
      </c>
      <c r="O441" s="52">
        <f t="shared" si="260"/>
        <v>200</v>
      </c>
      <c r="P441" s="52">
        <f t="shared" si="261"/>
        <v>38.601258668102425</v>
      </c>
      <c r="Q441" s="66"/>
      <c r="R441" s="39"/>
      <c r="S441" s="74"/>
      <c r="T441" s="81" t="e">
        <f t="shared" si="226"/>
        <v>#DIV/0!</v>
      </c>
      <c r="U441" s="81" t="e">
        <f t="shared" si="227"/>
        <v>#DIV/0!</v>
      </c>
      <c r="V441" s="52" t="s">
        <v>102</v>
      </c>
      <c r="W441" s="52" t="s">
        <v>263</v>
      </c>
      <c r="X441" s="52" t="s">
        <v>262</v>
      </c>
      <c r="Y441" s="52" t="s">
        <v>102</v>
      </c>
      <c r="Z441" s="52" t="s">
        <v>102</v>
      </c>
      <c r="AA441" s="52" t="s">
        <v>102</v>
      </c>
      <c r="AB441" s="52" t="s">
        <v>262</v>
      </c>
      <c r="AC441" s="52" t="s">
        <v>262</v>
      </c>
      <c r="AD441" s="53" t="s">
        <v>262</v>
      </c>
      <c r="AE441" s="52" t="s">
        <v>102</v>
      </c>
      <c r="AF441" s="144" t="s">
        <v>262</v>
      </c>
      <c r="AG441" s="52" t="s">
        <v>262</v>
      </c>
      <c r="AH441" s="52" t="s">
        <v>262</v>
      </c>
      <c r="AI441" s="52" t="s">
        <v>262</v>
      </c>
      <c r="AJ441" s="53" t="s">
        <v>262</v>
      </c>
      <c r="AK441" s="53" t="s">
        <v>262</v>
      </c>
      <c r="AL441" s="89" t="s">
        <v>262</v>
      </c>
      <c r="AM441" s="52" t="s">
        <v>262</v>
      </c>
      <c r="AN441" s="53" t="s">
        <v>262</v>
      </c>
      <c r="AO441" s="53" t="s">
        <v>262</v>
      </c>
      <c r="AP441" s="53" t="s">
        <v>262</v>
      </c>
      <c r="AQ441" s="53" t="s">
        <v>262</v>
      </c>
      <c r="AR441" s="53" t="s">
        <v>262</v>
      </c>
      <c r="AS441" s="52" t="s">
        <v>262</v>
      </c>
      <c r="AT441" s="52" t="s">
        <v>262</v>
      </c>
      <c r="AU441" s="52" t="s">
        <v>262</v>
      </c>
      <c r="AV441" s="52" t="s">
        <v>262</v>
      </c>
      <c r="AW441" s="52" t="s">
        <v>262</v>
      </c>
      <c r="AX441" s="51" t="s">
        <v>264</v>
      </c>
      <c r="AY441" s="53" t="s">
        <v>264</v>
      </c>
      <c r="AZ441" s="53" t="s">
        <v>102</v>
      </c>
      <c r="BA441" s="53" t="s">
        <v>264</v>
      </c>
      <c r="BB441" s="53" t="s">
        <v>264</v>
      </c>
      <c r="BC441" s="53" t="s">
        <v>264</v>
      </c>
      <c r="BD441" s="53" t="s">
        <v>264</v>
      </c>
      <c r="BE441" s="53" t="s">
        <v>264</v>
      </c>
      <c r="BF441" s="53" t="s">
        <v>264</v>
      </c>
      <c r="BG441" s="53" t="s">
        <v>262</v>
      </c>
      <c r="BH441" s="53" t="s">
        <v>262</v>
      </c>
      <c r="BI441" s="53" t="s">
        <v>264</v>
      </c>
      <c r="BJ441" s="53" t="s">
        <v>264</v>
      </c>
      <c r="BK441" s="53" t="s">
        <v>264</v>
      </c>
      <c r="BL441" s="53">
        <v>50</v>
      </c>
      <c r="BM441" s="53" t="s">
        <v>264</v>
      </c>
      <c r="BN441" s="53">
        <v>40</v>
      </c>
      <c r="BO441" s="53" t="s">
        <v>264</v>
      </c>
      <c r="BP441" s="53">
        <v>25</v>
      </c>
      <c r="BQ441" s="53" t="s">
        <v>264</v>
      </c>
      <c r="BR441" s="53" t="s">
        <v>264</v>
      </c>
      <c r="BS441" s="53">
        <v>25</v>
      </c>
      <c r="BT441" s="53" t="s">
        <v>264</v>
      </c>
      <c r="BU441" s="53">
        <v>25</v>
      </c>
      <c r="BV441" s="53">
        <v>15</v>
      </c>
      <c r="BW441" s="53">
        <v>25</v>
      </c>
      <c r="BX441" s="53">
        <v>25</v>
      </c>
      <c r="BY441" s="53">
        <v>25</v>
      </c>
      <c r="BZ441" s="53">
        <v>75</v>
      </c>
      <c r="CA441" s="53">
        <v>200</v>
      </c>
      <c r="CB441" s="53">
        <v>75</v>
      </c>
      <c r="CC441" s="53">
        <v>25</v>
      </c>
      <c r="CD441" s="53">
        <v>75</v>
      </c>
      <c r="CE441" s="53" t="s">
        <v>264</v>
      </c>
      <c r="CF441" s="53" t="s">
        <v>262</v>
      </c>
      <c r="CG441" s="53" t="s">
        <v>264</v>
      </c>
      <c r="CH441" s="53" t="s">
        <v>264</v>
      </c>
      <c r="CI441" s="53" t="s">
        <v>262</v>
      </c>
      <c r="CJ441" s="53">
        <v>25</v>
      </c>
      <c r="CK441" s="53">
        <v>25</v>
      </c>
      <c r="CL441" s="53">
        <v>50</v>
      </c>
      <c r="CM441" s="53">
        <v>75</v>
      </c>
      <c r="CN441" s="206"/>
      <c r="CO441" s="206"/>
      <c r="CP441" s="206"/>
      <c r="CQ441" s="8">
        <f t="shared" si="228"/>
        <v>15</v>
      </c>
      <c r="CR441" s="8">
        <f t="shared" si="229"/>
        <v>200</v>
      </c>
      <c r="CS441" s="8">
        <f t="shared" si="230"/>
        <v>48.888888888888886</v>
      </c>
      <c r="CT441">
        <f t="shared" si="231"/>
        <v>38.601258668102425</v>
      </c>
      <c r="CU441" s="143" t="e">
        <f t="shared" si="232"/>
        <v>#DIV/0!</v>
      </c>
      <c r="CV441" s="143" t="e">
        <f t="shared" si="233"/>
        <v>#DIV/0!</v>
      </c>
      <c r="CX441" s="7">
        <f t="shared" si="234"/>
        <v>23.5</v>
      </c>
      <c r="CY441" s="7">
        <f t="shared" si="235"/>
        <v>25</v>
      </c>
      <c r="CZ441" s="7">
        <f t="shared" si="236"/>
        <v>25</v>
      </c>
      <c r="DA441" s="7">
        <f t="shared" si="237"/>
        <v>25</v>
      </c>
      <c r="DB441" s="7">
        <f t="shared" si="238"/>
        <v>25</v>
      </c>
      <c r="DC441" s="7">
        <f t="shared" si="239"/>
        <v>41.999999999999993</v>
      </c>
      <c r="DD441" s="7">
        <f t="shared" si="240"/>
        <v>50</v>
      </c>
      <c r="DE441" s="7">
        <f t="shared" si="241"/>
        <v>68.75</v>
      </c>
      <c r="DF441" s="7">
        <f t="shared" si="242"/>
        <v>75</v>
      </c>
      <c r="DH441" s="7" t="e">
        <f t="shared" si="243"/>
        <v>#NUM!</v>
      </c>
      <c r="DI441" s="7" t="e">
        <f t="shared" si="244"/>
        <v>#NUM!</v>
      </c>
      <c r="DJ441" s="7" t="e">
        <f t="shared" si="245"/>
        <v>#NUM!</v>
      </c>
      <c r="DK441" s="7" t="e">
        <f t="shared" si="246"/>
        <v>#NUM!</v>
      </c>
      <c r="DL441" s="7" t="e">
        <f t="shared" si="247"/>
        <v>#NUM!</v>
      </c>
      <c r="DM441" s="7" t="e">
        <f t="shared" si="248"/>
        <v>#NUM!</v>
      </c>
      <c r="DN441" s="7" t="e">
        <f t="shared" si="249"/>
        <v>#NUM!</v>
      </c>
      <c r="DO441" s="7" t="e">
        <f t="shared" si="250"/>
        <v>#NUM!</v>
      </c>
      <c r="DP441" s="7" t="e">
        <f t="shared" si="251"/>
        <v>#NUM!</v>
      </c>
    </row>
    <row r="442" spans="1:120" ht="25.5" hidden="1" customHeight="1" x14ac:dyDescent="0.25">
      <c r="A442" s="92" t="str">
        <f t="shared" si="257"/>
        <v>CM-SWVI [10]</v>
      </c>
      <c r="B442" s="92" t="str">
        <f t="shared" si="258"/>
        <v>Southwest Vancouver Island</v>
      </c>
      <c r="C442" s="93" t="str">
        <f t="shared" si="225"/>
        <v>PARK RIVER_Chum</v>
      </c>
      <c r="D442" s="128" t="s">
        <v>598</v>
      </c>
      <c r="E442" s="128" t="s">
        <v>598</v>
      </c>
      <c r="F442" s="64">
        <v>25</v>
      </c>
      <c r="G442" s="72" t="s">
        <v>245</v>
      </c>
      <c r="H442" s="65" t="s">
        <v>96</v>
      </c>
      <c r="I442" s="119"/>
      <c r="J442" s="119"/>
      <c r="K442" s="64">
        <v>4</v>
      </c>
      <c r="L442" s="52">
        <v>11</v>
      </c>
      <c r="M442" s="52">
        <v>11</v>
      </c>
      <c r="N442" s="52">
        <f t="shared" si="259"/>
        <v>2870.0342266082534</v>
      </c>
      <c r="O442" s="52">
        <f t="shared" si="260"/>
        <v>23352</v>
      </c>
      <c r="P442" s="52">
        <f t="shared" si="261"/>
        <v>3920.6114202671406</v>
      </c>
      <c r="Q442" s="66"/>
      <c r="R442" s="39"/>
      <c r="S442" s="74"/>
      <c r="T442" s="81">
        <f t="shared" si="226"/>
        <v>290</v>
      </c>
      <c r="U442" s="81">
        <f t="shared" si="227"/>
        <v>4463.5</v>
      </c>
      <c r="V442" s="52" t="s">
        <v>102</v>
      </c>
      <c r="W442" s="52">
        <v>290</v>
      </c>
      <c r="X442" s="52" t="s">
        <v>263</v>
      </c>
      <c r="Y442" s="52" t="s">
        <v>102</v>
      </c>
      <c r="Z442" s="52" t="s">
        <v>102</v>
      </c>
      <c r="AA442" s="52" t="s">
        <v>102</v>
      </c>
      <c r="AB442" s="52">
        <v>13279</v>
      </c>
      <c r="AC442" s="52">
        <v>3344</v>
      </c>
      <c r="AD442" s="53">
        <v>774</v>
      </c>
      <c r="AE442" s="52" t="s">
        <v>102</v>
      </c>
      <c r="AF442" s="52">
        <v>1786</v>
      </c>
      <c r="AG442" s="144">
        <v>7308</v>
      </c>
      <c r="AH442" s="53">
        <v>9794</v>
      </c>
      <c r="AI442" s="52">
        <v>5900</v>
      </c>
      <c r="AJ442" s="53">
        <v>2296</v>
      </c>
      <c r="AK442" s="53">
        <v>1835</v>
      </c>
      <c r="AL442" s="89">
        <v>9521</v>
      </c>
      <c r="AM442" s="52">
        <v>2400</v>
      </c>
      <c r="AN442" s="53">
        <v>4551</v>
      </c>
      <c r="AO442" s="53">
        <v>4625</v>
      </c>
      <c r="AP442" s="53">
        <v>1558</v>
      </c>
      <c r="AQ442" s="53">
        <v>1900</v>
      </c>
      <c r="AR442" s="53">
        <v>3000</v>
      </c>
      <c r="AS442" s="52">
        <v>4200</v>
      </c>
      <c r="AT442" s="52">
        <v>23352</v>
      </c>
      <c r="AU442" s="52">
        <v>4165</v>
      </c>
      <c r="AV442" s="52">
        <v>3500</v>
      </c>
      <c r="AW442" s="52">
        <v>100</v>
      </c>
      <c r="AX442" s="51">
        <v>5000</v>
      </c>
      <c r="AY442" s="53">
        <v>4300</v>
      </c>
      <c r="AZ442" s="53">
        <v>9370</v>
      </c>
      <c r="BA442" s="53">
        <v>5000</v>
      </c>
      <c r="BB442" s="53">
        <v>4000</v>
      </c>
      <c r="BC442" s="53">
        <v>1500</v>
      </c>
      <c r="BD442" s="53">
        <v>2200</v>
      </c>
      <c r="BE442" s="53">
        <v>3200</v>
      </c>
      <c r="BF442" s="53">
        <v>5000</v>
      </c>
      <c r="BG442" s="53">
        <v>6000</v>
      </c>
      <c r="BH442" s="53">
        <v>5000</v>
      </c>
      <c r="BI442" s="53">
        <v>11150</v>
      </c>
      <c r="BJ442" s="53">
        <v>7500</v>
      </c>
      <c r="BK442" s="53">
        <v>6000</v>
      </c>
      <c r="BL442" s="53">
        <v>12000</v>
      </c>
      <c r="BM442" s="53">
        <v>6190</v>
      </c>
      <c r="BN442" s="53">
        <v>18000</v>
      </c>
      <c r="BO442" s="53">
        <v>2500</v>
      </c>
      <c r="BP442" s="53">
        <v>1500</v>
      </c>
      <c r="BQ442" s="53">
        <v>750</v>
      </c>
      <c r="BR442" s="53">
        <v>3500</v>
      </c>
      <c r="BS442" s="53">
        <v>15000</v>
      </c>
      <c r="BT442" s="53">
        <v>3500</v>
      </c>
      <c r="BU442" s="53">
        <v>2100</v>
      </c>
      <c r="BV442" s="53">
        <v>6000</v>
      </c>
      <c r="BW442" s="53">
        <v>7500</v>
      </c>
      <c r="BX442" s="53">
        <v>3500</v>
      </c>
      <c r="BY442" s="53">
        <v>7000</v>
      </c>
      <c r="BZ442" s="53">
        <v>10000</v>
      </c>
      <c r="CA442" s="53">
        <v>7500</v>
      </c>
      <c r="CB442" s="53">
        <v>7500</v>
      </c>
      <c r="CC442" s="53">
        <v>8000</v>
      </c>
      <c r="CD442" s="53">
        <v>3500</v>
      </c>
      <c r="CE442" s="53">
        <v>3500</v>
      </c>
      <c r="CF442" s="53">
        <v>15000</v>
      </c>
      <c r="CG442" s="53">
        <v>3500</v>
      </c>
      <c r="CH442" s="53">
        <v>3500</v>
      </c>
      <c r="CI442" s="53">
        <v>750</v>
      </c>
      <c r="CJ442" s="53">
        <v>1500</v>
      </c>
      <c r="CK442" s="53">
        <v>1500</v>
      </c>
      <c r="CL442" s="53">
        <v>5000</v>
      </c>
      <c r="CM442" s="53">
        <v>1500</v>
      </c>
      <c r="CN442" s="206"/>
      <c r="CO442" s="206"/>
      <c r="CP442" s="206"/>
      <c r="CQ442" s="8">
        <f t="shared" si="228"/>
        <v>100</v>
      </c>
      <c r="CR442" s="8">
        <f t="shared" si="229"/>
        <v>23352</v>
      </c>
      <c r="CS442" s="8">
        <f t="shared" si="230"/>
        <v>5406.0625</v>
      </c>
      <c r="CT442">
        <f t="shared" si="231"/>
        <v>3799.6890323139887</v>
      </c>
      <c r="CU442" s="143">
        <f t="shared" si="232"/>
        <v>290</v>
      </c>
      <c r="CV442" s="143">
        <f t="shared" si="233"/>
        <v>4463.5</v>
      </c>
      <c r="CX442" s="7">
        <f t="shared" si="234"/>
        <v>753.6</v>
      </c>
      <c r="CY442" s="7">
        <f t="shared" si="235"/>
        <v>1526.1</v>
      </c>
      <c r="CZ442" s="7">
        <f t="shared" si="236"/>
        <v>1874</v>
      </c>
      <c r="DA442" s="7">
        <f t="shared" si="237"/>
        <v>2272</v>
      </c>
      <c r="DB442" s="7">
        <f t="shared" si="238"/>
        <v>4182.5</v>
      </c>
      <c r="DC442" s="7">
        <f t="shared" si="239"/>
        <v>5000</v>
      </c>
      <c r="DD442" s="7">
        <f t="shared" si="240"/>
        <v>5855.0000000000027</v>
      </c>
      <c r="DE442" s="7">
        <f t="shared" si="241"/>
        <v>7356</v>
      </c>
      <c r="DF442" s="7">
        <f t="shared" si="242"/>
        <v>9453.0499999999993</v>
      </c>
      <c r="DH442" s="7">
        <f t="shared" si="243"/>
        <v>314.19999999999993</v>
      </c>
      <c r="DI442" s="7">
        <f t="shared" si="244"/>
        <v>1592.2</v>
      </c>
      <c r="DJ442" s="7">
        <f t="shared" si="245"/>
        <v>1795.8</v>
      </c>
      <c r="DK442" s="7">
        <f t="shared" si="246"/>
        <v>1851.25</v>
      </c>
      <c r="DL442" s="7">
        <f t="shared" si="247"/>
        <v>3422</v>
      </c>
      <c r="DM442" s="7">
        <f t="shared" si="248"/>
        <v>4186</v>
      </c>
      <c r="DN442" s="7">
        <f t="shared" si="249"/>
        <v>4428.1500000000005</v>
      </c>
      <c r="DO442" s="7">
        <f t="shared" si="250"/>
        <v>5581.25</v>
      </c>
      <c r="DP442" s="7">
        <f t="shared" si="251"/>
        <v>9189.0499999999956</v>
      </c>
    </row>
    <row r="443" spans="1:120" ht="25.5" hidden="1" customHeight="1" x14ac:dyDescent="0.25">
      <c r="A443" s="92" t="str">
        <f t="shared" si="257"/>
        <v>CO-WVI [17]</v>
      </c>
      <c r="B443" s="92" t="str">
        <f t="shared" si="258"/>
        <v>West Vancouver Island</v>
      </c>
      <c r="C443" s="93" t="str">
        <f t="shared" si="225"/>
        <v>PARK RIVER_Coho</v>
      </c>
      <c r="D443" s="128" t="s">
        <v>598</v>
      </c>
      <c r="E443" s="128" t="s">
        <v>598</v>
      </c>
      <c r="F443" s="64">
        <v>25</v>
      </c>
      <c r="G443" s="72" t="s">
        <v>245</v>
      </c>
      <c r="H443" s="65" t="s">
        <v>93</v>
      </c>
      <c r="I443" s="119"/>
      <c r="J443" s="119"/>
      <c r="K443" s="64">
        <v>4</v>
      </c>
      <c r="L443" s="52">
        <v>11</v>
      </c>
      <c r="M443" s="52">
        <v>11</v>
      </c>
      <c r="N443" s="52">
        <f t="shared" si="259"/>
        <v>80.162181671068282</v>
      </c>
      <c r="O443" s="52">
        <f t="shared" si="260"/>
        <v>1000</v>
      </c>
      <c r="P443" s="52">
        <f t="shared" si="261"/>
        <v>101.47281910692743</v>
      </c>
      <c r="Q443" s="66"/>
      <c r="R443" s="39"/>
      <c r="S443" s="74"/>
      <c r="T443" s="81">
        <f t="shared" si="226"/>
        <v>40</v>
      </c>
      <c r="U443" s="81">
        <f t="shared" si="227"/>
        <v>172.5</v>
      </c>
      <c r="V443" s="52" t="s">
        <v>102</v>
      </c>
      <c r="W443" s="52">
        <v>40</v>
      </c>
      <c r="X443" s="52" t="s">
        <v>263</v>
      </c>
      <c r="Y443" s="52" t="s">
        <v>102</v>
      </c>
      <c r="Z443" s="52" t="s">
        <v>102</v>
      </c>
      <c r="AA443" s="52" t="s">
        <v>102</v>
      </c>
      <c r="AB443" s="52">
        <v>383</v>
      </c>
      <c r="AC443" s="52">
        <v>206</v>
      </c>
      <c r="AD443" s="53" t="s">
        <v>262</v>
      </c>
      <c r="AE443" s="52" t="s">
        <v>102</v>
      </c>
      <c r="AF443" s="52" t="s">
        <v>263</v>
      </c>
      <c r="AG443" s="144">
        <v>61</v>
      </c>
      <c r="AH443" s="53">
        <v>90</v>
      </c>
      <c r="AI443" s="52">
        <v>148</v>
      </c>
      <c r="AJ443" s="53">
        <v>179</v>
      </c>
      <c r="AK443" s="53">
        <v>61</v>
      </c>
      <c r="AL443" s="89">
        <v>64</v>
      </c>
      <c r="AM443" s="52">
        <v>55</v>
      </c>
      <c r="AN443" s="53">
        <v>411</v>
      </c>
      <c r="AO443" s="53">
        <v>103</v>
      </c>
      <c r="AP443" s="53">
        <v>27</v>
      </c>
      <c r="AQ443" s="53">
        <v>160</v>
      </c>
      <c r="AR443" s="53">
        <v>100</v>
      </c>
      <c r="AS443" s="52">
        <v>110</v>
      </c>
      <c r="AT443" s="52">
        <v>73</v>
      </c>
      <c r="AU443" s="52">
        <v>20</v>
      </c>
      <c r="AV443" s="52" t="s">
        <v>263</v>
      </c>
      <c r="AW443" s="52">
        <v>50</v>
      </c>
      <c r="AX443" s="51" t="s">
        <v>262</v>
      </c>
      <c r="AY443" s="53">
        <v>10</v>
      </c>
      <c r="AZ443" s="53" t="s">
        <v>102</v>
      </c>
      <c r="BA443" s="53" t="s">
        <v>262</v>
      </c>
      <c r="BB443" s="53" t="s">
        <v>102</v>
      </c>
      <c r="BC443" s="53" t="s">
        <v>264</v>
      </c>
      <c r="BD443" s="53">
        <v>50</v>
      </c>
      <c r="BE443" s="53">
        <v>100</v>
      </c>
      <c r="BF443" s="53">
        <v>200</v>
      </c>
      <c r="BG443" s="53">
        <v>500</v>
      </c>
      <c r="BH443" s="53" t="s">
        <v>262</v>
      </c>
      <c r="BI443" s="53" t="s">
        <v>264</v>
      </c>
      <c r="BJ443" s="53" t="s">
        <v>264</v>
      </c>
      <c r="BK443" s="53">
        <v>10</v>
      </c>
      <c r="BL443" s="53">
        <v>100</v>
      </c>
      <c r="BM443" s="53" t="s">
        <v>264</v>
      </c>
      <c r="BN443" s="53" t="s">
        <v>264</v>
      </c>
      <c r="BO443" s="53">
        <v>70</v>
      </c>
      <c r="BP443" s="53">
        <v>75</v>
      </c>
      <c r="BQ443" s="53">
        <v>25</v>
      </c>
      <c r="BR443" s="53" t="s">
        <v>264</v>
      </c>
      <c r="BS443" s="53">
        <v>400</v>
      </c>
      <c r="BT443" s="53" t="s">
        <v>264</v>
      </c>
      <c r="BU443" s="53">
        <v>75</v>
      </c>
      <c r="BV443" s="53">
        <v>200</v>
      </c>
      <c r="BW443" s="53">
        <v>25</v>
      </c>
      <c r="BX443" s="53">
        <v>200</v>
      </c>
      <c r="BY443" s="53">
        <v>200</v>
      </c>
      <c r="BZ443" s="53">
        <v>400</v>
      </c>
      <c r="CA443" s="53">
        <v>400</v>
      </c>
      <c r="CB443" s="53">
        <v>200</v>
      </c>
      <c r="CC443" s="53">
        <v>600</v>
      </c>
      <c r="CD443" s="53">
        <v>750</v>
      </c>
      <c r="CE443" s="53">
        <v>200</v>
      </c>
      <c r="CF443" s="53">
        <v>25</v>
      </c>
      <c r="CG443" s="53">
        <v>400</v>
      </c>
      <c r="CH443" s="53">
        <v>25</v>
      </c>
      <c r="CI443" s="53">
        <v>25</v>
      </c>
      <c r="CJ443" s="53">
        <v>25</v>
      </c>
      <c r="CK443" s="53">
        <v>25</v>
      </c>
      <c r="CL443" s="53">
        <v>1000</v>
      </c>
      <c r="CM443" s="53">
        <v>750</v>
      </c>
      <c r="CN443" s="206"/>
      <c r="CO443" s="206"/>
      <c r="CP443" s="206"/>
      <c r="CQ443" s="8">
        <f t="shared" si="228"/>
        <v>10</v>
      </c>
      <c r="CR443" s="8">
        <f t="shared" si="229"/>
        <v>1000</v>
      </c>
      <c r="CS443" s="8">
        <f t="shared" si="230"/>
        <v>191.9591836734694</v>
      </c>
      <c r="CT443">
        <f t="shared" si="231"/>
        <v>103.25672157170641</v>
      </c>
      <c r="CU443" s="143">
        <f t="shared" si="232"/>
        <v>40</v>
      </c>
      <c r="CV443" s="143">
        <f t="shared" si="233"/>
        <v>172.5</v>
      </c>
      <c r="CX443" s="7">
        <f t="shared" si="234"/>
        <v>22</v>
      </c>
      <c r="CY443" s="7">
        <f t="shared" si="235"/>
        <v>25</v>
      </c>
      <c r="CZ443" s="7">
        <f t="shared" si="236"/>
        <v>26.200000000000003</v>
      </c>
      <c r="DA443" s="7">
        <f t="shared" si="237"/>
        <v>50</v>
      </c>
      <c r="DB443" s="7">
        <f t="shared" si="238"/>
        <v>100</v>
      </c>
      <c r="DC443" s="7">
        <f t="shared" si="239"/>
        <v>157.59999999999997</v>
      </c>
      <c r="DD443" s="7">
        <f t="shared" si="240"/>
        <v>200</v>
      </c>
      <c r="DE443" s="7">
        <f t="shared" si="241"/>
        <v>200</v>
      </c>
      <c r="DF443" s="7">
        <f t="shared" si="242"/>
        <v>400</v>
      </c>
      <c r="DH443" s="7">
        <f t="shared" si="243"/>
        <v>26.299999999999997</v>
      </c>
      <c r="DI443" s="7">
        <f t="shared" si="244"/>
        <v>47</v>
      </c>
      <c r="DJ443" s="7">
        <f t="shared" si="245"/>
        <v>53</v>
      </c>
      <c r="DK443" s="7">
        <f t="shared" si="246"/>
        <v>58</v>
      </c>
      <c r="DL443" s="7">
        <f t="shared" si="247"/>
        <v>90</v>
      </c>
      <c r="DM443" s="7">
        <f t="shared" si="248"/>
        <v>102.39999999999999</v>
      </c>
      <c r="DN443" s="7">
        <f t="shared" si="249"/>
        <v>107.9</v>
      </c>
      <c r="DO443" s="7">
        <f t="shared" si="250"/>
        <v>154</v>
      </c>
      <c r="DP443" s="7">
        <f t="shared" si="251"/>
        <v>187.09999999999991</v>
      </c>
    </row>
    <row r="444" spans="1:120" ht="25.5" hidden="1" customHeight="1" x14ac:dyDescent="0.25">
      <c r="A444" s="92" t="str">
        <f t="shared" si="257"/>
        <v>SK-L-13-23</v>
      </c>
      <c r="B444" s="92" t="str">
        <f t="shared" si="258"/>
        <v>Park River</v>
      </c>
      <c r="C444" s="93" t="str">
        <f t="shared" si="225"/>
        <v>PARK RIVER_Sockeye</v>
      </c>
      <c r="D444" s="128" t="s">
        <v>598</v>
      </c>
      <c r="E444" s="128" t="s">
        <v>598</v>
      </c>
      <c r="F444" s="64">
        <v>25</v>
      </c>
      <c r="G444" s="72" t="s">
        <v>245</v>
      </c>
      <c r="H444" s="65" t="s">
        <v>91</v>
      </c>
      <c r="I444" s="119"/>
      <c r="J444" s="119"/>
      <c r="K444" s="64">
        <v>4</v>
      </c>
      <c r="L444" s="52">
        <v>11</v>
      </c>
      <c r="M444" s="52">
        <v>2</v>
      </c>
      <c r="N444" s="52">
        <f t="shared" si="259"/>
        <v>95.393920141694565</v>
      </c>
      <c r="O444" s="52">
        <f t="shared" si="260"/>
        <v>4000</v>
      </c>
      <c r="P444" s="52">
        <f t="shared" si="261"/>
        <v>470.65603004222316</v>
      </c>
      <c r="Q444" s="66"/>
      <c r="R444" s="39"/>
      <c r="S444" s="74"/>
      <c r="T444" s="81">
        <f t="shared" si="226"/>
        <v>6</v>
      </c>
      <c r="U444" s="81">
        <f t="shared" si="227"/>
        <v>30.5</v>
      </c>
      <c r="V444" s="52" t="s">
        <v>102</v>
      </c>
      <c r="W444" s="52">
        <v>6</v>
      </c>
      <c r="X444" s="52" t="s">
        <v>262</v>
      </c>
      <c r="Y444" s="52" t="s">
        <v>102</v>
      </c>
      <c r="Z444" s="52" t="s">
        <v>102</v>
      </c>
      <c r="AA444" s="52" t="s">
        <v>102</v>
      </c>
      <c r="AB444" s="52">
        <v>55</v>
      </c>
      <c r="AC444" s="52" t="s">
        <v>262</v>
      </c>
      <c r="AD444" s="53" t="s">
        <v>262</v>
      </c>
      <c r="AE444" s="52" t="s">
        <v>102</v>
      </c>
      <c r="AF444" s="52" t="s">
        <v>262</v>
      </c>
      <c r="AG444" s="52" t="s">
        <v>262</v>
      </c>
      <c r="AH444" s="52" t="s">
        <v>262</v>
      </c>
      <c r="AI444" s="52" t="s">
        <v>262</v>
      </c>
      <c r="AJ444" s="53" t="s">
        <v>262</v>
      </c>
      <c r="AK444" s="53" t="s">
        <v>262</v>
      </c>
      <c r="AL444" s="89" t="s">
        <v>262</v>
      </c>
      <c r="AM444" s="52" t="s">
        <v>262</v>
      </c>
      <c r="AN444" s="53" t="s">
        <v>262</v>
      </c>
      <c r="AO444" s="53" t="s">
        <v>262</v>
      </c>
      <c r="AP444" s="53" t="s">
        <v>262</v>
      </c>
      <c r="AQ444" s="53" t="s">
        <v>262</v>
      </c>
      <c r="AR444" s="53" t="s">
        <v>262</v>
      </c>
      <c r="AS444" s="52" t="s">
        <v>262</v>
      </c>
      <c r="AT444" s="52">
        <v>91</v>
      </c>
      <c r="AU444" s="52">
        <v>100</v>
      </c>
      <c r="AV444" s="52" t="s">
        <v>262</v>
      </c>
      <c r="AW444" s="52" t="s">
        <v>262</v>
      </c>
      <c r="AX444" s="51" t="s">
        <v>262</v>
      </c>
      <c r="AY444" s="53">
        <v>20</v>
      </c>
      <c r="AZ444" s="53" t="s">
        <v>102</v>
      </c>
      <c r="BA444" s="53" t="s">
        <v>262</v>
      </c>
      <c r="BB444" s="53" t="s">
        <v>102</v>
      </c>
      <c r="BC444" s="53" t="s">
        <v>102</v>
      </c>
      <c r="BD444" s="53" t="s">
        <v>102</v>
      </c>
      <c r="BE444" s="53" t="s">
        <v>263</v>
      </c>
      <c r="BF444" s="53" t="s">
        <v>102</v>
      </c>
      <c r="BG444" s="53">
        <v>4000</v>
      </c>
      <c r="BH444" s="53" t="s">
        <v>262</v>
      </c>
      <c r="BI444" s="53">
        <v>1000</v>
      </c>
      <c r="BJ444" s="53">
        <v>750</v>
      </c>
      <c r="BK444" s="53" t="s">
        <v>264</v>
      </c>
      <c r="BL444" s="53">
        <v>1000</v>
      </c>
      <c r="BM444" s="53" t="s">
        <v>264</v>
      </c>
      <c r="BN444" s="53">
        <v>1000</v>
      </c>
      <c r="BO444" s="53">
        <v>1000</v>
      </c>
      <c r="BP444" s="53">
        <v>200</v>
      </c>
      <c r="BQ444" s="53">
        <v>400</v>
      </c>
      <c r="BR444" s="53">
        <v>400</v>
      </c>
      <c r="BS444" s="53">
        <v>1500</v>
      </c>
      <c r="BT444" s="53">
        <v>200</v>
      </c>
      <c r="BU444" s="53" t="s">
        <v>264</v>
      </c>
      <c r="BV444" s="53" t="s">
        <v>264</v>
      </c>
      <c r="BW444" s="53" t="s">
        <v>262</v>
      </c>
      <c r="BX444" s="53">
        <v>75</v>
      </c>
      <c r="BY444" s="53">
        <v>200</v>
      </c>
      <c r="BZ444" s="53">
        <v>400</v>
      </c>
      <c r="CA444" s="53">
        <v>400</v>
      </c>
      <c r="CB444" s="53">
        <v>750</v>
      </c>
      <c r="CC444" s="53">
        <v>1500</v>
      </c>
      <c r="CD444" s="53">
        <v>1500</v>
      </c>
      <c r="CE444" s="53">
        <v>1500</v>
      </c>
      <c r="CF444" s="53">
        <v>1500</v>
      </c>
      <c r="CG444" s="53">
        <v>400</v>
      </c>
      <c r="CH444" s="53">
        <v>200</v>
      </c>
      <c r="CI444" s="53">
        <v>200</v>
      </c>
      <c r="CJ444" s="53">
        <v>750</v>
      </c>
      <c r="CK444" s="53" t="s">
        <v>264</v>
      </c>
      <c r="CL444" s="53">
        <v>750</v>
      </c>
      <c r="CM444" s="53">
        <v>750</v>
      </c>
      <c r="CN444" s="206"/>
      <c r="CO444" s="206"/>
      <c r="CP444" s="206"/>
      <c r="CQ444" s="8">
        <f t="shared" si="228"/>
        <v>6</v>
      </c>
      <c r="CR444" s="8">
        <f t="shared" si="229"/>
        <v>4000</v>
      </c>
      <c r="CS444" s="8">
        <f t="shared" si="230"/>
        <v>728.93548387096769</v>
      </c>
      <c r="CT444">
        <f t="shared" si="231"/>
        <v>381.51667134827852</v>
      </c>
      <c r="CU444" s="143">
        <f t="shared" si="232"/>
        <v>6</v>
      </c>
      <c r="CV444" s="143">
        <f t="shared" si="233"/>
        <v>30.5</v>
      </c>
      <c r="CX444" s="7">
        <f t="shared" si="234"/>
        <v>37.5</v>
      </c>
      <c r="CY444" s="7">
        <f t="shared" si="235"/>
        <v>95.5</v>
      </c>
      <c r="CZ444" s="7">
        <f t="shared" si="236"/>
        <v>200</v>
      </c>
      <c r="DA444" s="7">
        <f t="shared" si="237"/>
        <v>200</v>
      </c>
      <c r="DB444" s="7">
        <f t="shared" si="238"/>
        <v>400</v>
      </c>
      <c r="DC444" s="7">
        <f t="shared" si="239"/>
        <v>750</v>
      </c>
      <c r="DD444" s="7">
        <f t="shared" si="240"/>
        <v>750</v>
      </c>
      <c r="DE444" s="7">
        <f t="shared" si="241"/>
        <v>1000</v>
      </c>
      <c r="DF444" s="7">
        <f t="shared" si="242"/>
        <v>1500</v>
      </c>
      <c r="DH444" s="7">
        <f t="shared" si="243"/>
        <v>13.349999999999996</v>
      </c>
      <c r="DI444" s="7">
        <f t="shared" si="244"/>
        <v>28.049999999999997</v>
      </c>
      <c r="DJ444" s="7">
        <f t="shared" si="245"/>
        <v>35.400000000000006</v>
      </c>
      <c r="DK444" s="7">
        <f t="shared" si="246"/>
        <v>42.75</v>
      </c>
      <c r="DL444" s="7">
        <f t="shared" si="247"/>
        <v>73</v>
      </c>
      <c r="DM444" s="7">
        <f t="shared" si="248"/>
        <v>83.8</v>
      </c>
      <c r="DN444" s="7">
        <f t="shared" si="249"/>
        <v>89.2</v>
      </c>
      <c r="DO444" s="7">
        <f t="shared" si="250"/>
        <v>93.25</v>
      </c>
      <c r="DP444" s="7">
        <f t="shared" si="251"/>
        <v>95.95</v>
      </c>
    </row>
    <row r="445" spans="1:120" ht="25.5" customHeight="1" x14ac:dyDescent="0.25">
      <c r="A445" s="92" t="str">
        <f t="shared" si="257"/>
        <v>CK-NoKy [32]</v>
      </c>
      <c r="B445" s="92" t="str">
        <f t="shared" si="258"/>
        <v>Nootka and Kyuquot</v>
      </c>
      <c r="C445" s="93" t="str">
        <f t="shared" si="225"/>
        <v>SUCWOA RIVER_Chinook</v>
      </c>
      <c r="D445" s="128" t="s">
        <v>598</v>
      </c>
      <c r="E445" s="128" t="s">
        <v>598</v>
      </c>
      <c r="F445" s="64">
        <v>25</v>
      </c>
      <c r="G445" s="72" t="s">
        <v>226</v>
      </c>
      <c r="H445" s="65" t="s">
        <v>97</v>
      </c>
      <c r="I445" s="119"/>
      <c r="J445" s="119"/>
      <c r="K445" s="64">
        <v>1</v>
      </c>
      <c r="L445" s="52">
        <v>10</v>
      </c>
      <c r="M445" s="52">
        <v>10</v>
      </c>
      <c r="N445" s="52">
        <f t="shared" si="259"/>
        <v>71.061739706936322</v>
      </c>
      <c r="O445" s="52">
        <f t="shared" si="260"/>
        <v>1500</v>
      </c>
      <c r="P445" s="52">
        <f t="shared" si="261"/>
        <v>102.24734247930277</v>
      </c>
      <c r="Q445" s="66" t="s">
        <v>272</v>
      </c>
      <c r="R445" s="37"/>
      <c r="S445" s="76" t="s">
        <v>13</v>
      </c>
      <c r="T445" s="81" t="e">
        <f t="shared" si="226"/>
        <v>#DIV/0!</v>
      </c>
      <c r="U445" s="81">
        <f t="shared" si="227"/>
        <v>79.25</v>
      </c>
      <c r="V445" s="52" t="s">
        <v>102</v>
      </c>
      <c r="W445" s="52" t="s">
        <v>102</v>
      </c>
      <c r="X445" s="52" t="s">
        <v>102</v>
      </c>
      <c r="Y445" s="52" t="s">
        <v>102</v>
      </c>
      <c r="Z445" s="52" t="s">
        <v>102</v>
      </c>
      <c r="AA445" s="52" t="s">
        <v>102</v>
      </c>
      <c r="AB445" s="52" t="s">
        <v>102</v>
      </c>
      <c r="AC445" s="144" t="s">
        <v>102</v>
      </c>
      <c r="AD445" s="144">
        <v>23</v>
      </c>
      <c r="AE445" s="53">
        <v>26</v>
      </c>
      <c r="AF445" s="52">
        <v>36</v>
      </c>
      <c r="AG445" s="144">
        <v>232</v>
      </c>
      <c r="AH445" s="53">
        <v>6</v>
      </c>
      <c r="AI445" s="53">
        <v>1</v>
      </c>
      <c r="AJ445" s="53">
        <v>70</v>
      </c>
      <c r="AK445" s="53">
        <v>122</v>
      </c>
      <c r="AL445" s="154"/>
      <c r="AM445" s="52">
        <v>36</v>
      </c>
      <c r="AN445" s="123">
        <v>325</v>
      </c>
      <c r="AO445" s="53">
        <v>2</v>
      </c>
      <c r="AP445" s="53">
        <v>37</v>
      </c>
      <c r="AQ445" s="53">
        <v>110</v>
      </c>
      <c r="AR445" s="53">
        <v>196</v>
      </c>
      <c r="AS445" s="52">
        <v>67</v>
      </c>
      <c r="AT445" s="52">
        <v>16</v>
      </c>
      <c r="AU445" s="52">
        <v>52</v>
      </c>
      <c r="AV445" s="52">
        <v>300</v>
      </c>
      <c r="AW445" s="52">
        <v>442</v>
      </c>
      <c r="AX445" s="51">
        <v>1100</v>
      </c>
      <c r="AY445" s="53">
        <v>100</v>
      </c>
      <c r="AZ445" s="53" t="s">
        <v>264</v>
      </c>
      <c r="BA445" s="53" t="s">
        <v>262</v>
      </c>
      <c r="BB445" s="53">
        <v>30</v>
      </c>
      <c r="BC445" s="53">
        <v>30</v>
      </c>
      <c r="BD445" s="53">
        <v>30</v>
      </c>
      <c r="BE445" s="53">
        <v>10</v>
      </c>
      <c r="BF445" s="53">
        <v>50</v>
      </c>
      <c r="BG445" s="53">
        <v>50</v>
      </c>
      <c r="BH445" s="53">
        <v>50</v>
      </c>
      <c r="BI445" s="53">
        <v>40</v>
      </c>
      <c r="BJ445" s="53">
        <v>40</v>
      </c>
      <c r="BK445" s="53">
        <v>30</v>
      </c>
      <c r="BL445" s="53">
        <v>300</v>
      </c>
      <c r="BM445" s="53">
        <v>80</v>
      </c>
      <c r="BN445" s="53">
        <v>50</v>
      </c>
      <c r="BO445" s="53">
        <v>20</v>
      </c>
      <c r="BP445" s="53">
        <v>200</v>
      </c>
      <c r="BQ445" s="53">
        <v>75</v>
      </c>
      <c r="BR445" s="53">
        <v>25</v>
      </c>
      <c r="BS445" s="53">
        <v>200</v>
      </c>
      <c r="BT445" s="53">
        <v>200</v>
      </c>
      <c r="BU445" s="53">
        <v>200</v>
      </c>
      <c r="BV445" s="53">
        <v>200</v>
      </c>
      <c r="BW445" s="53">
        <v>400</v>
      </c>
      <c r="BX445" s="53">
        <v>400</v>
      </c>
      <c r="BY445" s="53">
        <v>750</v>
      </c>
      <c r="BZ445" s="53">
        <v>900</v>
      </c>
      <c r="CA445" s="53">
        <v>1500</v>
      </c>
      <c r="CB445" s="53">
        <v>1500</v>
      </c>
      <c r="CC445" s="53">
        <v>500</v>
      </c>
      <c r="CD445" s="53">
        <v>750</v>
      </c>
      <c r="CE445" s="53">
        <v>75</v>
      </c>
      <c r="CF445" s="53">
        <v>75</v>
      </c>
      <c r="CG445" s="53">
        <v>25</v>
      </c>
      <c r="CH445" s="53">
        <v>75</v>
      </c>
      <c r="CI445" s="53" t="s">
        <v>264</v>
      </c>
      <c r="CJ445" s="53" t="s">
        <v>264</v>
      </c>
      <c r="CK445" s="53" t="s">
        <v>264</v>
      </c>
      <c r="CL445" s="53" t="s">
        <v>264</v>
      </c>
      <c r="CM445" s="53" t="s">
        <v>264</v>
      </c>
      <c r="CN445" s="206"/>
      <c r="CO445" s="206"/>
      <c r="CP445" s="206"/>
      <c r="CQ445" s="8">
        <f t="shared" si="228"/>
        <v>1</v>
      </c>
      <c r="CR445" s="8">
        <f t="shared" si="229"/>
        <v>1500</v>
      </c>
      <c r="CS445" s="8">
        <f t="shared" si="230"/>
        <v>225.16666666666666</v>
      </c>
      <c r="CT445">
        <f t="shared" si="231"/>
        <v>84.103430285077337</v>
      </c>
      <c r="CU445" s="143" t="e">
        <f t="shared" si="232"/>
        <v>#DIV/0!</v>
      </c>
      <c r="CV445" s="143">
        <f t="shared" si="233"/>
        <v>79.25</v>
      </c>
      <c r="CX445" s="7">
        <f t="shared" si="234"/>
        <v>8.6000000000000014</v>
      </c>
      <c r="CY445" s="7">
        <f t="shared" si="235"/>
        <v>25</v>
      </c>
      <c r="CZ445" s="7">
        <f t="shared" si="236"/>
        <v>30</v>
      </c>
      <c r="DA445" s="7">
        <f t="shared" si="237"/>
        <v>31.5</v>
      </c>
      <c r="DB445" s="7">
        <f t="shared" si="238"/>
        <v>75</v>
      </c>
      <c r="DC445" s="7">
        <f t="shared" si="239"/>
        <v>107.99999999999997</v>
      </c>
      <c r="DD445" s="7">
        <f t="shared" si="240"/>
        <v>197.8</v>
      </c>
      <c r="DE445" s="7">
        <f t="shared" si="241"/>
        <v>224</v>
      </c>
      <c r="DF445" s="7">
        <f t="shared" si="242"/>
        <v>402.09999999999991</v>
      </c>
      <c r="DH445" s="7">
        <f t="shared" si="243"/>
        <v>1.9</v>
      </c>
      <c r="DI445" s="7">
        <f t="shared" si="244"/>
        <v>12.999999999999996</v>
      </c>
      <c r="DJ445" s="7">
        <f t="shared" si="245"/>
        <v>20.199999999999996</v>
      </c>
      <c r="DK445" s="7">
        <f t="shared" si="246"/>
        <v>24.5</v>
      </c>
      <c r="DL445" s="7">
        <f t="shared" si="247"/>
        <v>52</v>
      </c>
      <c r="DM445" s="7">
        <f t="shared" si="248"/>
        <v>69.399999999999991</v>
      </c>
      <c r="DN445" s="7">
        <f t="shared" si="249"/>
        <v>98.000000000000043</v>
      </c>
      <c r="DO445" s="7">
        <f t="shared" si="250"/>
        <v>159</v>
      </c>
      <c r="DP445" s="7">
        <f t="shared" si="251"/>
        <v>252.39999999999981</v>
      </c>
    </row>
    <row r="446" spans="1:120" ht="25.5" hidden="1" customHeight="1" x14ac:dyDescent="0.25">
      <c r="A446" s="92" t="str">
        <f t="shared" si="257"/>
        <v>CM-SWVI [10]</v>
      </c>
      <c r="B446" s="92" t="str">
        <f t="shared" si="258"/>
        <v>Southwest Vancouver Island</v>
      </c>
      <c r="C446" s="93" t="str">
        <f t="shared" si="225"/>
        <v>SUCWOA RIVER_Chum</v>
      </c>
      <c r="D446" s="128" t="s">
        <v>598</v>
      </c>
      <c r="E446" s="128" t="s">
        <v>598</v>
      </c>
      <c r="F446" s="64">
        <v>25</v>
      </c>
      <c r="G446" s="72" t="s">
        <v>226</v>
      </c>
      <c r="H446" s="65" t="s">
        <v>96</v>
      </c>
      <c r="I446" s="119"/>
      <c r="J446" s="119"/>
      <c r="K446" s="64">
        <v>1</v>
      </c>
      <c r="L446" s="52">
        <v>10</v>
      </c>
      <c r="M446" s="52">
        <v>10</v>
      </c>
      <c r="N446" s="52">
        <f t="shared" si="259"/>
        <v>4108.7500631897019</v>
      </c>
      <c r="O446" s="52">
        <f t="shared" si="260"/>
        <v>53835</v>
      </c>
      <c r="P446" s="52">
        <f t="shared" si="261"/>
        <v>3836.0519478922647</v>
      </c>
      <c r="Q446" s="66" t="s">
        <v>272</v>
      </c>
      <c r="R446" s="37"/>
      <c r="S446" s="76" t="s">
        <v>13</v>
      </c>
      <c r="T446" s="81" t="e">
        <f t="shared" si="226"/>
        <v>#DIV/0!</v>
      </c>
      <c r="U446" s="81">
        <f t="shared" si="227"/>
        <v>849.25</v>
      </c>
      <c r="V446" s="52" t="s">
        <v>102</v>
      </c>
      <c r="W446" s="52" t="s">
        <v>102</v>
      </c>
      <c r="X446" s="52" t="s">
        <v>102</v>
      </c>
      <c r="Y446" s="52" t="s">
        <v>102</v>
      </c>
      <c r="Z446" s="52" t="s">
        <v>102</v>
      </c>
      <c r="AA446" s="52" t="s">
        <v>102</v>
      </c>
      <c r="AB446" s="52" t="s">
        <v>102</v>
      </c>
      <c r="AC446" s="144" t="s">
        <v>102</v>
      </c>
      <c r="AD446" s="144">
        <v>800</v>
      </c>
      <c r="AE446" s="53">
        <v>1200</v>
      </c>
      <c r="AF446" s="144">
        <v>348</v>
      </c>
      <c r="AG446" s="144">
        <v>1049</v>
      </c>
      <c r="AH446" s="53">
        <v>1230</v>
      </c>
      <c r="AI446" s="53">
        <v>1745</v>
      </c>
      <c r="AJ446" s="123">
        <v>5494</v>
      </c>
      <c r="AK446" s="53">
        <v>200</v>
      </c>
      <c r="AL446" s="123">
        <v>800</v>
      </c>
      <c r="AM446" s="53">
        <v>5500</v>
      </c>
      <c r="AN446" s="123">
        <v>8500</v>
      </c>
      <c r="AO446" s="53">
        <v>6000</v>
      </c>
      <c r="AP446" s="53">
        <v>2952</v>
      </c>
      <c r="AQ446" s="53">
        <v>3421</v>
      </c>
      <c r="AR446" s="53">
        <v>1222</v>
      </c>
      <c r="AS446" s="52">
        <v>6645</v>
      </c>
      <c r="AT446" s="52">
        <v>53835</v>
      </c>
      <c r="AU446" s="52">
        <v>12905</v>
      </c>
      <c r="AV446" s="52">
        <v>10061</v>
      </c>
      <c r="AW446" s="52">
        <v>2765</v>
      </c>
      <c r="AX446" s="51">
        <v>18000</v>
      </c>
      <c r="AY446" s="53">
        <v>20000</v>
      </c>
      <c r="AZ446" s="53">
        <v>13000</v>
      </c>
      <c r="BA446" s="53">
        <v>8000</v>
      </c>
      <c r="BB446" s="53">
        <v>8100</v>
      </c>
      <c r="BC446" s="53">
        <v>4500</v>
      </c>
      <c r="BD446" s="53">
        <v>4500</v>
      </c>
      <c r="BE446" s="53">
        <v>1450</v>
      </c>
      <c r="BF446" s="53">
        <v>9000</v>
      </c>
      <c r="BG446" s="53">
        <v>13000</v>
      </c>
      <c r="BH446" s="53">
        <v>11300</v>
      </c>
      <c r="BI446" s="53">
        <v>12000</v>
      </c>
      <c r="BJ446" s="53">
        <v>9000</v>
      </c>
      <c r="BK446" s="53">
        <v>10000</v>
      </c>
      <c r="BL446" s="53">
        <v>11000</v>
      </c>
      <c r="BM446" s="53">
        <v>1600</v>
      </c>
      <c r="BN446" s="53">
        <v>7500</v>
      </c>
      <c r="BO446" s="53">
        <v>3500</v>
      </c>
      <c r="BP446" s="53">
        <v>750</v>
      </c>
      <c r="BQ446" s="53">
        <v>3500</v>
      </c>
      <c r="BR446" s="53">
        <v>3500</v>
      </c>
      <c r="BS446" s="53">
        <v>15000</v>
      </c>
      <c r="BT446" s="53">
        <v>7500</v>
      </c>
      <c r="BU446" s="53">
        <v>1500</v>
      </c>
      <c r="BV446" s="53">
        <v>8000</v>
      </c>
      <c r="BW446" s="53">
        <v>5000</v>
      </c>
      <c r="BX446" s="53">
        <v>3500</v>
      </c>
      <c r="BY446" s="53">
        <v>3500</v>
      </c>
      <c r="BZ446" s="53">
        <v>3000</v>
      </c>
      <c r="CA446" s="53">
        <v>1500</v>
      </c>
      <c r="CB446" s="53">
        <v>3500</v>
      </c>
      <c r="CC446" s="53">
        <v>4000</v>
      </c>
      <c r="CD446" s="53">
        <v>3500</v>
      </c>
      <c r="CE446" s="53">
        <v>1500</v>
      </c>
      <c r="CF446" s="53">
        <v>15000</v>
      </c>
      <c r="CG446" s="53">
        <v>400</v>
      </c>
      <c r="CH446" s="53">
        <v>1500</v>
      </c>
      <c r="CI446" s="53">
        <v>400</v>
      </c>
      <c r="CJ446" s="53">
        <v>400</v>
      </c>
      <c r="CK446" s="53">
        <v>400</v>
      </c>
      <c r="CL446" s="53">
        <v>1000</v>
      </c>
      <c r="CM446" s="53">
        <v>1500</v>
      </c>
      <c r="CN446" s="206"/>
      <c r="CO446" s="206"/>
      <c r="CP446" s="206"/>
      <c r="CQ446" s="8">
        <f t="shared" si="228"/>
        <v>200</v>
      </c>
      <c r="CR446" s="8">
        <f t="shared" si="229"/>
        <v>53835</v>
      </c>
      <c r="CS446" s="8">
        <f t="shared" si="230"/>
        <v>6152.7741935483873</v>
      </c>
      <c r="CT446">
        <f t="shared" si="231"/>
        <v>3352.6235889135896</v>
      </c>
      <c r="CU446" s="143" t="e">
        <f t="shared" si="232"/>
        <v>#DIV/0!</v>
      </c>
      <c r="CV446" s="143">
        <f t="shared" si="233"/>
        <v>849.25</v>
      </c>
      <c r="CX446" s="7">
        <f t="shared" si="234"/>
        <v>400</v>
      </c>
      <c r="CY446" s="7">
        <f t="shared" si="235"/>
        <v>1007.35</v>
      </c>
      <c r="CZ446" s="7">
        <f t="shared" si="236"/>
        <v>1223.5999999999999</v>
      </c>
      <c r="DA446" s="7">
        <f t="shared" si="237"/>
        <v>1500</v>
      </c>
      <c r="DB446" s="7">
        <f t="shared" si="238"/>
        <v>3500</v>
      </c>
      <c r="DC446" s="7">
        <f t="shared" si="239"/>
        <v>5296.4000000000005</v>
      </c>
      <c r="DD446" s="7">
        <f t="shared" si="240"/>
        <v>6419.2499999999991</v>
      </c>
      <c r="DE446" s="7">
        <f t="shared" si="241"/>
        <v>8400</v>
      </c>
      <c r="DF446" s="7">
        <f t="shared" si="242"/>
        <v>11255</v>
      </c>
      <c r="DH446" s="7">
        <f t="shared" si="243"/>
        <v>340.6</v>
      </c>
      <c r="DI446" s="7">
        <f t="shared" si="244"/>
        <v>800</v>
      </c>
      <c r="DJ446" s="7">
        <f t="shared" si="245"/>
        <v>999.20000000000016</v>
      </c>
      <c r="DK446" s="7">
        <f t="shared" si="246"/>
        <v>1162.25</v>
      </c>
      <c r="DL446" s="7">
        <f t="shared" si="247"/>
        <v>2858.5</v>
      </c>
      <c r="DM446" s="7">
        <f t="shared" si="248"/>
        <v>4250.2000000000007</v>
      </c>
      <c r="DN446" s="7">
        <f t="shared" si="249"/>
        <v>5496.1</v>
      </c>
      <c r="DO446" s="7">
        <f t="shared" si="250"/>
        <v>6161.25</v>
      </c>
      <c r="DP446" s="7">
        <f t="shared" si="251"/>
        <v>8734.1499999999978</v>
      </c>
    </row>
    <row r="447" spans="1:120" ht="25.5" hidden="1" customHeight="1" x14ac:dyDescent="0.25">
      <c r="A447" s="92" t="str">
        <f t="shared" si="257"/>
        <v>CO-WVI [17]</v>
      </c>
      <c r="B447" s="92" t="str">
        <f t="shared" si="258"/>
        <v>West Vancouver Island</v>
      </c>
      <c r="C447" s="93" t="str">
        <f t="shared" si="225"/>
        <v>SUCWOA RIVER_Coho</v>
      </c>
      <c r="D447" s="128" t="s">
        <v>598</v>
      </c>
      <c r="E447" s="128" t="s">
        <v>598</v>
      </c>
      <c r="F447" s="64">
        <v>25</v>
      </c>
      <c r="G447" s="72" t="s">
        <v>226</v>
      </c>
      <c r="H447" s="65" t="s">
        <v>93</v>
      </c>
      <c r="I447" s="119"/>
      <c r="J447" s="119"/>
      <c r="K447" s="64">
        <v>1</v>
      </c>
      <c r="L447" s="52">
        <v>9</v>
      </c>
      <c r="M447" s="52">
        <v>8</v>
      </c>
      <c r="N447" s="52">
        <f t="shared" si="259"/>
        <v>339.86530166919329</v>
      </c>
      <c r="O447" s="52">
        <f t="shared" si="260"/>
        <v>3500</v>
      </c>
      <c r="P447" s="52">
        <f t="shared" si="261"/>
        <v>206.79865784024364</v>
      </c>
      <c r="Q447" s="66" t="s">
        <v>272</v>
      </c>
      <c r="R447" s="37"/>
      <c r="S447" s="76" t="s">
        <v>13</v>
      </c>
      <c r="T447" s="81" t="e">
        <f t="shared" si="226"/>
        <v>#DIV/0!</v>
      </c>
      <c r="U447" s="81">
        <f t="shared" si="227"/>
        <v>303.5</v>
      </c>
      <c r="V447" s="52" t="s">
        <v>102</v>
      </c>
      <c r="W447" s="52" t="s">
        <v>102</v>
      </c>
      <c r="X447" s="52" t="s">
        <v>102</v>
      </c>
      <c r="Y447" s="52" t="s">
        <v>102</v>
      </c>
      <c r="Z447" s="52" t="s">
        <v>102</v>
      </c>
      <c r="AA447" s="52" t="s">
        <v>102</v>
      </c>
      <c r="AB447" s="52" t="s">
        <v>102</v>
      </c>
      <c r="AC447" s="144" t="s">
        <v>102</v>
      </c>
      <c r="AD447" s="144">
        <v>150</v>
      </c>
      <c r="AE447" s="53" t="s">
        <v>262</v>
      </c>
      <c r="AF447" s="144" t="s">
        <v>263</v>
      </c>
      <c r="AG447" s="144">
        <v>457</v>
      </c>
      <c r="AH447" s="53">
        <v>285</v>
      </c>
      <c r="AI447" s="53">
        <v>365</v>
      </c>
      <c r="AJ447" s="54"/>
      <c r="AK447" s="53">
        <v>115</v>
      </c>
      <c r="AL447" s="154"/>
      <c r="AM447" s="52" t="s">
        <v>102</v>
      </c>
      <c r="AN447" s="52" t="s">
        <v>102</v>
      </c>
      <c r="AO447" s="53" t="s">
        <v>262</v>
      </c>
      <c r="AP447" s="53">
        <v>178</v>
      </c>
      <c r="AQ447" s="53">
        <v>956</v>
      </c>
      <c r="AR447" s="53">
        <v>2209</v>
      </c>
      <c r="AS447" s="52">
        <v>1083</v>
      </c>
      <c r="AT447" s="52">
        <v>790</v>
      </c>
      <c r="AU447" s="52">
        <v>107</v>
      </c>
      <c r="AV447" s="52">
        <v>98</v>
      </c>
      <c r="AW447" s="52">
        <v>156</v>
      </c>
      <c r="AX447" s="51" t="s">
        <v>264</v>
      </c>
      <c r="AY447" s="53">
        <v>50</v>
      </c>
      <c r="AZ447" s="53">
        <v>20</v>
      </c>
      <c r="BA447" s="53">
        <v>20</v>
      </c>
      <c r="BB447" s="53">
        <v>30</v>
      </c>
      <c r="BC447" s="53" t="s">
        <v>264</v>
      </c>
      <c r="BD447" s="53" t="s">
        <v>264</v>
      </c>
      <c r="BE447" s="53">
        <v>590</v>
      </c>
      <c r="BF447" s="53">
        <v>200</v>
      </c>
      <c r="BG447" s="53">
        <v>50</v>
      </c>
      <c r="BH447" s="53">
        <v>60</v>
      </c>
      <c r="BI447" s="53">
        <v>20</v>
      </c>
      <c r="BJ447" s="53">
        <v>45</v>
      </c>
      <c r="BK447" s="53">
        <v>50</v>
      </c>
      <c r="BL447" s="53">
        <v>1000</v>
      </c>
      <c r="BM447" s="53">
        <v>200</v>
      </c>
      <c r="BN447" s="53">
        <v>300</v>
      </c>
      <c r="BO447" s="53">
        <v>150</v>
      </c>
      <c r="BP447" s="53">
        <v>200</v>
      </c>
      <c r="BQ447" s="53">
        <v>400</v>
      </c>
      <c r="BR447" s="53">
        <v>750</v>
      </c>
      <c r="BS447" s="53">
        <v>400</v>
      </c>
      <c r="BT447" s="53">
        <v>400</v>
      </c>
      <c r="BU447" s="53">
        <v>750</v>
      </c>
      <c r="BV447" s="53">
        <v>200</v>
      </c>
      <c r="BW447" s="53">
        <v>200</v>
      </c>
      <c r="BX447" s="53">
        <v>400</v>
      </c>
      <c r="BY447" s="53">
        <v>750</v>
      </c>
      <c r="BZ447" s="53">
        <v>1200</v>
      </c>
      <c r="CA447" s="53">
        <v>1500</v>
      </c>
      <c r="CB447" s="53">
        <v>750</v>
      </c>
      <c r="CC447" s="53">
        <v>500</v>
      </c>
      <c r="CD447" s="53">
        <v>3500</v>
      </c>
      <c r="CE447" s="53">
        <v>25</v>
      </c>
      <c r="CF447" s="53">
        <v>200</v>
      </c>
      <c r="CG447" s="53">
        <v>25</v>
      </c>
      <c r="CH447" s="53">
        <v>200</v>
      </c>
      <c r="CI447" s="53">
        <v>75</v>
      </c>
      <c r="CJ447" s="53">
        <v>75</v>
      </c>
      <c r="CK447" s="53">
        <v>25</v>
      </c>
      <c r="CL447" s="53">
        <v>500</v>
      </c>
      <c r="CM447" s="53">
        <v>750</v>
      </c>
      <c r="CN447" s="206"/>
      <c r="CO447" s="206"/>
      <c r="CP447" s="206"/>
      <c r="CQ447" s="8">
        <f t="shared" si="228"/>
        <v>20</v>
      </c>
      <c r="CR447" s="8">
        <f t="shared" si="229"/>
        <v>3500</v>
      </c>
      <c r="CS447" s="8">
        <f t="shared" si="230"/>
        <v>452.09615384615387</v>
      </c>
      <c r="CT447">
        <f t="shared" si="231"/>
        <v>212.28153627563017</v>
      </c>
      <c r="CU447" s="143" t="e">
        <f t="shared" si="232"/>
        <v>#DIV/0!</v>
      </c>
      <c r="CV447" s="143">
        <f t="shared" si="233"/>
        <v>303.5</v>
      </c>
      <c r="CX447" s="7">
        <f t="shared" si="234"/>
        <v>22.75</v>
      </c>
      <c r="CY447" s="7">
        <f t="shared" si="235"/>
        <v>48.249999999999993</v>
      </c>
      <c r="CZ447" s="7">
        <f t="shared" si="236"/>
        <v>52.000000000000014</v>
      </c>
      <c r="DA447" s="7">
        <f t="shared" si="237"/>
        <v>75</v>
      </c>
      <c r="DB447" s="7">
        <f t="shared" si="238"/>
        <v>200</v>
      </c>
      <c r="DC447" s="7">
        <f t="shared" si="239"/>
        <v>385.99999999999994</v>
      </c>
      <c r="DD447" s="7">
        <f t="shared" si="240"/>
        <v>400</v>
      </c>
      <c r="DE447" s="7">
        <f t="shared" si="241"/>
        <v>630</v>
      </c>
      <c r="DF447" s="7">
        <f t="shared" si="242"/>
        <v>764</v>
      </c>
      <c r="DH447" s="7">
        <f t="shared" si="243"/>
        <v>103.4</v>
      </c>
      <c r="DI447" s="7">
        <f t="shared" si="244"/>
        <v>113.4</v>
      </c>
      <c r="DJ447" s="7">
        <f t="shared" si="245"/>
        <v>129</v>
      </c>
      <c r="DK447" s="7">
        <f t="shared" si="246"/>
        <v>150</v>
      </c>
      <c r="DL447" s="7">
        <f t="shared" si="247"/>
        <v>285</v>
      </c>
      <c r="DM447" s="7">
        <f t="shared" si="248"/>
        <v>383.39999999999992</v>
      </c>
      <c r="DN447" s="7">
        <f t="shared" si="249"/>
        <v>438.60000000000008</v>
      </c>
      <c r="DO447" s="7">
        <f t="shared" si="250"/>
        <v>790</v>
      </c>
      <c r="DP447" s="7">
        <f t="shared" si="251"/>
        <v>981.39999999999986</v>
      </c>
    </row>
    <row r="448" spans="1:120" ht="25.5" hidden="1" customHeight="1" x14ac:dyDescent="0.25">
      <c r="A448" s="92" t="str">
        <f t="shared" si="257"/>
        <v>Pkodd-WVI [6]</v>
      </c>
      <c r="B448" s="92" t="str">
        <f t="shared" si="258"/>
        <v>West Vancouver Island</v>
      </c>
      <c r="C448" s="93" t="str">
        <f t="shared" si="225"/>
        <v>SUCWOA RIVER_Pink</v>
      </c>
      <c r="D448" s="128" t="s">
        <v>598</v>
      </c>
      <c r="E448" s="128" t="s">
        <v>598</v>
      </c>
      <c r="F448" s="64">
        <v>25</v>
      </c>
      <c r="G448" s="72" t="s">
        <v>226</v>
      </c>
      <c r="H448" s="65" t="s">
        <v>95</v>
      </c>
      <c r="I448" s="119"/>
      <c r="J448" s="119"/>
      <c r="K448" s="64">
        <v>1</v>
      </c>
      <c r="L448" s="52">
        <v>9</v>
      </c>
      <c r="M448" s="52">
        <v>5</v>
      </c>
      <c r="N448" s="52">
        <f t="shared" si="259"/>
        <v>4.6745395443384457</v>
      </c>
      <c r="O448" s="52">
        <f t="shared" si="260"/>
        <v>3500</v>
      </c>
      <c r="P448" s="52">
        <f t="shared" si="261"/>
        <v>52.418000689568252</v>
      </c>
      <c r="Q448" s="66" t="s">
        <v>272</v>
      </c>
      <c r="R448" s="37"/>
      <c r="S448" s="76" t="s">
        <v>12</v>
      </c>
      <c r="T448" s="81" t="e">
        <f t="shared" si="226"/>
        <v>#DIV/0!</v>
      </c>
      <c r="U448" s="81">
        <f t="shared" si="227"/>
        <v>5</v>
      </c>
      <c r="V448" s="52" t="s">
        <v>102</v>
      </c>
      <c r="W448" s="52" t="s">
        <v>102</v>
      </c>
      <c r="X448" s="52" t="s">
        <v>102</v>
      </c>
      <c r="Y448" s="52" t="s">
        <v>102</v>
      </c>
      <c r="Z448" s="52" t="s">
        <v>102</v>
      </c>
      <c r="AA448" s="52" t="s">
        <v>102</v>
      </c>
      <c r="AB448" s="52" t="s">
        <v>102</v>
      </c>
      <c r="AC448" s="144" t="s">
        <v>102</v>
      </c>
      <c r="AD448" s="53" t="s">
        <v>262</v>
      </c>
      <c r="AE448" s="53" t="s">
        <v>262</v>
      </c>
      <c r="AF448" s="144" t="s">
        <v>262</v>
      </c>
      <c r="AG448" s="144">
        <v>5</v>
      </c>
      <c r="AH448" s="52" t="s">
        <v>262</v>
      </c>
      <c r="AI448" s="52" t="s">
        <v>262</v>
      </c>
      <c r="AJ448" s="54"/>
      <c r="AK448" s="53" t="s">
        <v>262</v>
      </c>
      <c r="AL448" s="52" t="s">
        <v>102</v>
      </c>
      <c r="AM448" s="52" t="s">
        <v>102</v>
      </c>
      <c r="AN448" s="52" t="s">
        <v>102</v>
      </c>
      <c r="AO448" s="53" t="s">
        <v>262</v>
      </c>
      <c r="AP448" s="53" t="s">
        <v>262</v>
      </c>
      <c r="AQ448" s="53">
        <v>1</v>
      </c>
      <c r="AR448" s="53">
        <v>1</v>
      </c>
      <c r="AS448" s="52">
        <v>12</v>
      </c>
      <c r="AT448" s="52" t="s">
        <v>262</v>
      </c>
      <c r="AU448" s="52">
        <v>31</v>
      </c>
      <c r="AV448" s="52">
        <v>6</v>
      </c>
      <c r="AW448" s="52" t="s">
        <v>262</v>
      </c>
      <c r="AX448" s="51" t="s">
        <v>264</v>
      </c>
      <c r="AY448" s="53" t="s">
        <v>262</v>
      </c>
      <c r="AZ448" s="53" t="s">
        <v>102</v>
      </c>
      <c r="BA448" s="53">
        <v>2</v>
      </c>
      <c r="BB448" s="53" t="s">
        <v>264</v>
      </c>
      <c r="BC448" s="53" t="s">
        <v>264</v>
      </c>
      <c r="BD448" s="53" t="s">
        <v>264</v>
      </c>
      <c r="BE448" s="53" t="s">
        <v>264</v>
      </c>
      <c r="BF448" s="53" t="s">
        <v>264</v>
      </c>
      <c r="BG448" s="53" t="s">
        <v>264</v>
      </c>
      <c r="BH448" s="53" t="s">
        <v>262</v>
      </c>
      <c r="BI448" s="53" t="s">
        <v>264</v>
      </c>
      <c r="BJ448" s="53" t="s">
        <v>264</v>
      </c>
      <c r="BK448" s="53" t="s">
        <v>264</v>
      </c>
      <c r="BL448" s="53">
        <v>650</v>
      </c>
      <c r="BM448" s="53" t="s">
        <v>264</v>
      </c>
      <c r="BN448" s="53">
        <v>1000</v>
      </c>
      <c r="BO448" s="53" t="s">
        <v>264</v>
      </c>
      <c r="BP448" s="53" t="s">
        <v>264</v>
      </c>
      <c r="BQ448" s="53" t="s">
        <v>264</v>
      </c>
      <c r="BR448" s="53" t="s">
        <v>264</v>
      </c>
      <c r="BS448" s="53" t="s">
        <v>264</v>
      </c>
      <c r="BT448" s="53">
        <v>3500</v>
      </c>
      <c r="BU448" s="53" t="s">
        <v>262</v>
      </c>
      <c r="BV448" s="53">
        <v>200</v>
      </c>
      <c r="BW448" s="53" t="s">
        <v>262</v>
      </c>
      <c r="BX448" s="53">
        <v>1500</v>
      </c>
      <c r="BY448" s="53" t="s">
        <v>262</v>
      </c>
      <c r="BZ448" s="53">
        <v>200</v>
      </c>
      <c r="CA448" s="53" t="s">
        <v>264</v>
      </c>
      <c r="CB448" s="53">
        <v>25</v>
      </c>
      <c r="CC448" s="53" t="s">
        <v>264</v>
      </c>
      <c r="CD448" s="53">
        <v>1500</v>
      </c>
      <c r="CE448" s="53">
        <v>25</v>
      </c>
      <c r="CF448" s="53">
        <v>25</v>
      </c>
      <c r="CG448" s="53" t="s">
        <v>262</v>
      </c>
      <c r="CH448" s="53">
        <v>25</v>
      </c>
      <c r="CI448" s="53" t="s">
        <v>262</v>
      </c>
      <c r="CJ448" s="53">
        <v>25</v>
      </c>
      <c r="CK448" s="53" t="s">
        <v>264</v>
      </c>
      <c r="CL448" s="53" t="s">
        <v>264</v>
      </c>
      <c r="CM448" s="53" t="s">
        <v>264</v>
      </c>
      <c r="CN448" s="206"/>
      <c r="CO448" s="206"/>
      <c r="CP448" s="206"/>
      <c r="CQ448" s="8">
        <f t="shared" si="228"/>
        <v>1</v>
      </c>
      <c r="CR448" s="8">
        <f t="shared" si="229"/>
        <v>3500</v>
      </c>
      <c r="CS448" s="8">
        <f t="shared" si="230"/>
        <v>459.63157894736844</v>
      </c>
      <c r="CT448">
        <f t="shared" si="231"/>
        <v>46.320088021326754</v>
      </c>
      <c r="CU448" s="143" t="e">
        <f t="shared" si="232"/>
        <v>#DIV/0!</v>
      </c>
      <c r="CV448" s="143">
        <f t="shared" si="233"/>
        <v>5</v>
      </c>
      <c r="CX448" s="7">
        <f t="shared" si="234"/>
        <v>1</v>
      </c>
      <c r="CY448" s="7">
        <f t="shared" si="235"/>
        <v>4.0999999999999996</v>
      </c>
      <c r="CZ448" s="7">
        <f t="shared" si="236"/>
        <v>5.6</v>
      </c>
      <c r="DA448" s="7">
        <f t="shared" si="237"/>
        <v>9</v>
      </c>
      <c r="DB448" s="7">
        <f t="shared" si="238"/>
        <v>25</v>
      </c>
      <c r="DC448" s="7">
        <f t="shared" si="239"/>
        <v>29.799999999999994</v>
      </c>
      <c r="DD448" s="7">
        <f t="shared" si="240"/>
        <v>149.30000000000018</v>
      </c>
      <c r="DE448" s="7">
        <f t="shared" si="241"/>
        <v>425</v>
      </c>
      <c r="DF448" s="7">
        <f t="shared" si="242"/>
        <v>1149.9999999999986</v>
      </c>
      <c r="DH448" s="7">
        <f t="shared" si="243"/>
        <v>1</v>
      </c>
      <c r="DI448" s="7">
        <f t="shared" si="244"/>
        <v>1</v>
      </c>
      <c r="DJ448" s="7">
        <f t="shared" si="245"/>
        <v>1</v>
      </c>
      <c r="DK448" s="7">
        <f t="shared" si="246"/>
        <v>2</v>
      </c>
      <c r="DL448" s="7">
        <f t="shared" si="247"/>
        <v>5.5</v>
      </c>
      <c r="DM448" s="7">
        <f t="shared" si="248"/>
        <v>6</v>
      </c>
      <c r="DN448" s="7">
        <f t="shared" si="249"/>
        <v>7.5</v>
      </c>
      <c r="DO448" s="7">
        <f t="shared" si="250"/>
        <v>10.5</v>
      </c>
      <c r="DP448" s="7">
        <f t="shared" si="251"/>
        <v>16.75</v>
      </c>
    </row>
    <row r="449" spans="1:130" ht="25.5" hidden="1" customHeight="1" x14ac:dyDescent="0.25">
      <c r="A449" s="92" t="str">
        <f t="shared" si="257"/>
        <v>SK-WVI [R10]</v>
      </c>
      <c r="B449" s="92" t="str">
        <f t="shared" si="258"/>
        <v>West Vancouver Island</v>
      </c>
      <c r="C449" s="93" t="str">
        <f t="shared" si="225"/>
        <v>SUCWOA RIVER_Sockeye</v>
      </c>
      <c r="D449" s="128" t="s">
        <v>598</v>
      </c>
      <c r="E449" s="128" t="s">
        <v>598</v>
      </c>
      <c r="F449" s="64">
        <v>25</v>
      </c>
      <c r="G449" s="72" t="s">
        <v>226</v>
      </c>
      <c r="H449" s="65" t="s">
        <v>91</v>
      </c>
      <c r="I449" s="119"/>
      <c r="J449" s="119"/>
      <c r="K449" s="64">
        <v>1</v>
      </c>
      <c r="L449" s="52">
        <v>9</v>
      </c>
      <c r="M449" s="52">
        <v>9</v>
      </c>
      <c r="N449" s="52">
        <f t="shared" si="259"/>
        <v>82.786974897502702</v>
      </c>
      <c r="O449" s="52">
        <f t="shared" si="260"/>
        <v>1357</v>
      </c>
      <c r="P449" s="52">
        <f t="shared" si="261"/>
        <v>72.404399560267237</v>
      </c>
      <c r="Q449" s="66" t="s">
        <v>272</v>
      </c>
      <c r="R449" s="37"/>
      <c r="S449" s="76" t="s">
        <v>12</v>
      </c>
      <c r="T449" s="81" t="e">
        <f t="shared" si="226"/>
        <v>#DIV/0!</v>
      </c>
      <c r="U449" s="81">
        <f t="shared" si="227"/>
        <v>336</v>
      </c>
      <c r="V449" s="52" t="s">
        <v>102</v>
      </c>
      <c r="W449" s="52" t="s">
        <v>102</v>
      </c>
      <c r="X449" s="52" t="s">
        <v>102</v>
      </c>
      <c r="Y449" s="52" t="s">
        <v>102</v>
      </c>
      <c r="Z449" s="52" t="s">
        <v>102</v>
      </c>
      <c r="AA449" s="52" t="s">
        <v>102</v>
      </c>
      <c r="AB449" s="52" t="s">
        <v>102</v>
      </c>
      <c r="AC449" s="144" t="s">
        <v>102</v>
      </c>
      <c r="AD449" s="144" t="s">
        <v>263</v>
      </c>
      <c r="AE449" s="53" t="s">
        <v>262</v>
      </c>
      <c r="AF449" s="144" t="s">
        <v>263</v>
      </c>
      <c r="AG449" s="144">
        <v>336</v>
      </c>
      <c r="AH449" s="53">
        <v>55</v>
      </c>
      <c r="AI449" s="53">
        <v>60</v>
      </c>
      <c r="AJ449" s="54"/>
      <c r="AK449" s="53">
        <v>14</v>
      </c>
      <c r="AL449" s="52" t="s">
        <v>102</v>
      </c>
      <c r="AM449" s="52" t="s">
        <v>102</v>
      </c>
      <c r="AN449" s="52" t="s">
        <v>102</v>
      </c>
      <c r="AO449" s="53">
        <v>3</v>
      </c>
      <c r="AP449" s="53">
        <v>84</v>
      </c>
      <c r="AQ449" s="53">
        <v>86</v>
      </c>
      <c r="AR449" s="53">
        <v>52</v>
      </c>
      <c r="AS449" s="52">
        <v>663</v>
      </c>
      <c r="AT449" s="52">
        <v>193</v>
      </c>
      <c r="AU449" s="52">
        <v>1357</v>
      </c>
      <c r="AV449" s="52">
        <v>60</v>
      </c>
      <c r="AW449" s="52">
        <v>92</v>
      </c>
      <c r="AX449" s="51" t="s">
        <v>264</v>
      </c>
      <c r="AY449" s="53">
        <v>500</v>
      </c>
      <c r="AZ449" s="53" t="s">
        <v>102</v>
      </c>
      <c r="BA449" s="53" t="s">
        <v>264</v>
      </c>
      <c r="BB449" s="53" t="s">
        <v>264</v>
      </c>
      <c r="BC449" s="53" t="s">
        <v>264</v>
      </c>
      <c r="BD449" s="53" t="s">
        <v>264</v>
      </c>
      <c r="BE449" s="53" t="s">
        <v>264</v>
      </c>
      <c r="BF449" s="53">
        <v>100</v>
      </c>
      <c r="BG449" s="53" t="s">
        <v>264</v>
      </c>
      <c r="BH449" s="53" t="s">
        <v>262</v>
      </c>
      <c r="BI449" s="53">
        <v>100</v>
      </c>
      <c r="BJ449" s="53">
        <v>100</v>
      </c>
      <c r="BK449" s="53">
        <v>140</v>
      </c>
      <c r="BL449" s="53">
        <v>95</v>
      </c>
      <c r="BM449" s="53">
        <v>65</v>
      </c>
      <c r="BN449" s="53">
        <v>75</v>
      </c>
      <c r="BO449" s="53">
        <v>30</v>
      </c>
      <c r="BP449" s="53">
        <v>75</v>
      </c>
      <c r="BQ449" s="53" t="s">
        <v>264</v>
      </c>
      <c r="BR449" s="53">
        <v>25</v>
      </c>
      <c r="BS449" s="53" t="s">
        <v>264</v>
      </c>
      <c r="BT449" s="53" t="s">
        <v>264</v>
      </c>
      <c r="BU449" s="53" t="s">
        <v>264</v>
      </c>
      <c r="BV449" s="53" t="s">
        <v>264</v>
      </c>
      <c r="BW449" s="53">
        <v>25</v>
      </c>
      <c r="BX449" s="53">
        <v>25</v>
      </c>
      <c r="BY449" s="53" t="s">
        <v>264</v>
      </c>
      <c r="BZ449" s="53" t="s">
        <v>264</v>
      </c>
      <c r="CA449" s="53" t="s">
        <v>264</v>
      </c>
      <c r="CB449" s="53">
        <v>25</v>
      </c>
      <c r="CC449" s="53" t="s">
        <v>264</v>
      </c>
      <c r="CD449" s="53" t="s">
        <v>264</v>
      </c>
      <c r="CE449" s="53" t="s">
        <v>264</v>
      </c>
      <c r="CF449" s="53" t="s">
        <v>264</v>
      </c>
      <c r="CG449" s="53" t="s">
        <v>264</v>
      </c>
      <c r="CH449" s="53" t="s">
        <v>264</v>
      </c>
      <c r="CI449" s="53" t="s">
        <v>264</v>
      </c>
      <c r="CJ449" s="53" t="s">
        <v>264</v>
      </c>
      <c r="CK449" s="53" t="s">
        <v>264</v>
      </c>
      <c r="CL449" s="53" t="s">
        <v>264</v>
      </c>
      <c r="CM449" s="53" t="s">
        <v>264</v>
      </c>
      <c r="CN449" s="206"/>
      <c r="CO449" s="206"/>
      <c r="CP449" s="206"/>
      <c r="CQ449" s="8">
        <f t="shared" si="228"/>
        <v>3</v>
      </c>
      <c r="CR449" s="8">
        <f t="shared" si="229"/>
        <v>1357</v>
      </c>
      <c r="CS449" s="8">
        <f t="shared" si="230"/>
        <v>164.25925925925927</v>
      </c>
      <c r="CT449">
        <f t="shared" si="231"/>
        <v>75.336919508462017</v>
      </c>
      <c r="CU449" s="143" t="e">
        <f t="shared" si="232"/>
        <v>#DIV/0!</v>
      </c>
      <c r="CV449" s="143">
        <f t="shared" si="233"/>
        <v>336</v>
      </c>
      <c r="CX449" s="7">
        <f t="shared" si="234"/>
        <v>17.299999999999997</v>
      </c>
      <c r="CY449" s="7">
        <f t="shared" si="235"/>
        <v>25</v>
      </c>
      <c r="CZ449" s="7">
        <f t="shared" si="236"/>
        <v>26</v>
      </c>
      <c r="DA449" s="7">
        <f t="shared" si="237"/>
        <v>41</v>
      </c>
      <c r="DB449" s="7">
        <f t="shared" si="238"/>
        <v>75</v>
      </c>
      <c r="DC449" s="7">
        <f t="shared" si="239"/>
        <v>89.600000000000009</v>
      </c>
      <c r="DD449" s="7">
        <f t="shared" si="240"/>
        <v>94.7</v>
      </c>
      <c r="DE449" s="7">
        <f t="shared" si="241"/>
        <v>100</v>
      </c>
      <c r="DF449" s="7">
        <f t="shared" si="242"/>
        <v>207.2999999999997</v>
      </c>
      <c r="DH449" s="7">
        <f t="shared" si="243"/>
        <v>9.6000000000000014</v>
      </c>
      <c r="DI449" s="7">
        <f t="shared" si="244"/>
        <v>44.399999999999991</v>
      </c>
      <c r="DJ449" s="7">
        <f t="shared" si="245"/>
        <v>53.2</v>
      </c>
      <c r="DK449" s="7">
        <f t="shared" si="246"/>
        <v>55</v>
      </c>
      <c r="DL449" s="7">
        <f t="shared" si="247"/>
        <v>84</v>
      </c>
      <c r="DM449" s="7">
        <f t="shared" si="248"/>
        <v>87.199999999999989</v>
      </c>
      <c r="DN449" s="7">
        <f t="shared" si="249"/>
        <v>90.800000000000011</v>
      </c>
      <c r="DO449" s="7">
        <f t="shared" si="250"/>
        <v>193</v>
      </c>
      <c r="DP449" s="7">
        <f t="shared" si="251"/>
        <v>401.39999999999975</v>
      </c>
    </row>
    <row r="450" spans="1:130" ht="25.5" customHeight="1" x14ac:dyDescent="0.25">
      <c r="A450" s="92" t="str">
        <f t="shared" si="257"/>
        <v>CK-NoKy [32]</v>
      </c>
      <c r="B450" s="92" t="str">
        <f t="shared" si="258"/>
        <v>Nootka and Kyuquot</v>
      </c>
      <c r="C450" s="93" t="str">
        <f t="shared" si="225"/>
        <v>TAHSIS RIVER_Chinook</v>
      </c>
      <c r="D450" s="128" t="s">
        <v>599</v>
      </c>
      <c r="E450" s="128" t="s">
        <v>599</v>
      </c>
      <c r="F450" s="64">
        <v>25</v>
      </c>
      <c r="G450" s="72" t="s">
        <v>231</v>
      </c>
      <c r="H450" s="65" t="s">
        <v>97</v>
      </c>
      <c r="I450" s="119"/>
      <c r="J450" s="119"/>
      <c r="K450" s="64">
        <v>2</v>
      </c>
      <c r="L450" s="52">
        <v>11</v>
      </c>
      <c r="M450" s="52">
        <v>11</v>
      </c>
      <c r="N450" s="52">
        <f t="shared" si="259"/>
        <v>452.36390113635633</v>
      </c>
      <c r="O450" s="52">
        <f t="shared" si="260"/>
        <v>1606</v>
      </c>
      <c r="P450" s="52">
        <f t="shared" si="261"/>
        <v>234.79055901452955</v>
      </c>
      <c r="Q450" s="66" t="s">
        <v>269</v>
      </c>
      <c r="R450" s="37"/>
      <c r="S450" s="74" t="s">
        <v>1</v>
      </c>
      <c r="T450" s="81">
        <f t="shared" si="226"/>
        <v>992.25</v>
      </c>
      <c r="U450" s="81">
        <f t="shared" si="227"/>
        <v>621.16666666666663</v>
      </c>
      <c r="V450" s="233">
        <v>263</v>
      </c>
      <c r="W450" s="52">
        <v>1283</v>
      </c>
      <c r="X450" s="52">
        <v>772</v>
      </c>
      <c r="Y450" s="52">
        <v>1651</v>
      </c>
      <c r="Z450" s="52">
        <v>1330</v>
      </c>
      <c r="AA450" s="52">
        <v>569</v>
      </c>
      <c r="AB450" s="52">
        <v>258</v>
      </c>
      <c r="AC450" s="52">
        <v>310</v>
      </c>
      <c r="AD450" s="53">
        <v>91</v>
      </c>
      <c r="AE450" s="144">
        <v>545</v>
      </c>
      <c r="AF450" s="52">
        <v>163</v>
      </c>
      <c r="AG450" s="144">
        <v>219</v>
      </c>
      <c r="AH450" s="179">
        <v>380</v>
      </c>
      <c r="AI450" s="53">
        <v>780</v>
      </c>
      <c r="AJ450" s="53">
        <v>197</v>
      </c>
      <c r="AK450" s="53">
        <v>131</v>
      </c>
      <c r="AL450" s="89">
        <v>124</v>
      </c>
      <c r="AM450" s="53">
        <v>176</v>
      </c>
      <c r="AN450" s="53">
        <v>808</v>
      </c>
      <c r="AO450" s="53">
        <v>656</v>
      </c>
      <c r="AP450" s="53">
        <v>658</v>
      </c>
      <c r="AQ450" s="53">
        <v>388</v>
      </c>
      <c r="AR450" s="53">
        <v>1220</v>
      </c>
      <c r="AS450" s="53">
        <v>1606</v>
      </c>
      <c r="AT450" s="53">
        <v>519</v>
      </c>
      <c r="AU450" s="53">
        <v>687</v>
      </c>
      <c r="AV450" s="53">
        <v>680</v>
      </c>
      <c r="AW450" s="53">
        <v>415</v>
      </c>
      <c r="AX450" s="178">
        <v>300</v>
      </c>
      <c r="AY450" s="179">
        <v>500</v>
      </c>
      <c r="AZ450" s="179">
        <v>1400</v>
      </c>
      <c r="BA450" s="179">
        <v>1400</v>
      </c>
      <c r="BB450" s="179">
        <v>232</v>
      </c>
      <c r="BC450" s="179">
        <v>500</v>
      </c>
      <c r="BD450" s="179">
        <v>125</v>
      </c>
      <c r="BE450" s="179">
        <v>20</v>
      </c>
      <c r="BF450" s="179">
        <v>60</v>
      </c>
      <c r="BG450" s="179">
        <v>50</v>
      </c>
      <c r="BH450" s="179">
        <v>12</v>
      </c>
      <c r="BI450" s="179">
        <v>50</v>
      </c>
      <c r="BJ450" s="179">
        <v>125</v>
      </c>
      <c r="BK450" s="179">
        <v>150</v>
      </c>
      <c r="BL450" s="179" t="s">
        <v>102</v>
      </c>
      <c r="BM450" s="179">
        <v>348</v>
      </c>
      <c r="BN450" s="179">
        <v>100</v>
      </c>
      <c r="BO450" s="179">
        <v>150</v>
      </c>
      <c r="BP450" s="179">
        <v>200</v>
      </c>
      <c r="BQ450" s="179">
        <v>75</v>
      </c>
      <c r="BR450" s="179">
        <v>750</v>
      </c>
      <c r="BS450" s="179">
        <v>750</v>
      </c>
      <c r="BT450" s="179">
        <v>75</v>
      </c>
      <c r="BU450" s="179">
        <v>200</v>
      </c>
      <c r="BV450" s="179">
        <v>125</v>
      </c>
      <c r="BW450" s="179">
        <v>25</v>
      </c>
      <c r="BX450" s="179">
        <v>75</v>
      </c>
      <c r="BY450" s="179">
        <v>200</v>
      </c>
      <c r="BZ450" s="179">
        <v>800</v>
      </c>
      <c r="CA450" s="179">
        <v>750</v>
      </c>
      <c r="CB450" s="179">
        <v>1500</v>
      </c>
      <c r="CC450" s="179">
        <v>600</v>
      </c>
      <c r="CD450" s="179">
        <v>750</v>
      </c>
      <c r="CE450" s="179">
        <v>400</v>
      </c>
      <c r="CF450" s="179">
        <v>400</v>
      </c>
      <c r="CG450" s="179">
        <v>25</v>
      </c>
      <c r="CH450" s="179">
        <v>200</v>
      </c>
      <c r="CI450" s="179">
        <v>200</v>
      </c>
      <c r="CJ450" s="179">
        <v>25</v>
      </c>
      <c r="CK450" s="179">
        <v>75</v>
      </c>
      <c r="CL450" s="179">
        <v>100</v>
      </c>
      <c r="CM450" s="179">
        <v>1500</v>
      </c>
      <c r="CN450" s="206"/>
      <c r="CO450" s="206"/>
      <c r="CP450" s="206"/>
      <c r="CQ450" s="8">
        <f t="shared" si="228"/>
        <v>12</v>
      </c>
      <c r="CR450" s="8">
        <f t="shared" si="229"/>
        <v>1651</v>
      </c>
      <c r="CS450" s="8">
        <f t="shared" si="230"/>
        <v>466.68115942028987</v>
      </c>
      <c r="CT450">
        <f t="shared" si="231"/>
        <v>267.83525782790673</v>
      </c>
      <c r="CU450" s="143">
        <f t="shared" si="232"/>
        <v>1059.8</v>
      </c>
      <c r="CV450" s="143">
        <f t="shared" si="233"/>
        <v>621.16666666666663</v>
      </c>
      <c r="CX450" s="7">
        <f t="shared" si="234"/>
        <v>25</v>
      </c>
      <c r="CY450" s="7">
        <f t="shared" si="235"/>
        <v>75</v>
      </c>
      <c r="CZ450" s="7">
        <f t="shared" si="236"/>
        <v>100</v>
      </c>
      <c r="DA450" s="7">
        <f t="shared" si="237"/>
        <v>125</v>
      </c>
      <c r="DB450" s="7">
        <f t="shared" si="238"/>
        <v>300</v>
      </c>
      <c r="DC450" s="7">
        <f t="shared" si="239"/>
        <v>411.99999999999994</v>
      </c>
      <c r="DD450" s="7">
        <f t="shared" si="240"/>
        <v>524.20000000000005</v>
      </c>
      <c r="DE450" s="7">
        <f t="shared" si="241"/>
        <v>687</v>
      </c>
      <c r="DF450" s="7">
        <f t="shared" si="242"/>
        <v>796</v>
      </c>
      <c r="DH450" s="7">
        <f t="shared" si="243"/>
        <v>126.45</v>
      </c>
      <c r="DI450" s="7">
        <f t="shared" si="244"/>
        <v>177.04999999999998</v>
      </c>
      <c r="DJ450" s="7">
        <f t="shared" si="245"/>
        <v>205.8</v>
      </c>
      <c r="DK450" s="7">
        <f t="shared" si="246"/>
        <v>248.25</v>
      </c>
      <c r="DL450" s="7">
        <f t="shared" si="247"/>
        <v>532</v>
      </c>
      <c r="DM450" s="7">
        <f t="shared" si="248"/>
        <v>656.4</v>
      </c>
      <c r="DN450" s="7">
        <f t="shared" si="249"/>
        <v>670.1</v>
      </c>
      <c r="DO450" s="7">
        <f t="shared" si="250"/>
        <v>774</v>
      </c>
      <c r="DP450" s="7">
        <f t="shared" si="251"/>
        <v>1199.3999999999996</v>
      </c>
    </row>
    <row r="451" spans="1:130" ht="25.5" hidden="1" customHeight="1" x14ac:dyDescent="0.25">
      <c r="A451" s="92" t="str">
        <f t="shared" si="257"/>
        <v>CM-SWVI [10]</v>
      </c>
      <c r="B451" s="92" t="str">
        <f t="shared" si="258"/>
        <v>Southwest Vancouver Island</v>
      </c>
      <c r="C451" s="93" t="str">
        <f t="shared" si="225"/>
        <v>TAHSIS RIVER_Chum</v>
      </c>
      <c r="D451" s="128" t="s">
        <v>598</v>
      </c>
      <c r="E451" s="128" t="s">
        <v>598</v>
      </c>
      <c r="F451" s="64">
        <v>25</v>
      </c>
      <c r="G451" s="72" t="s">
        <v>231</v>
      </c>
      <c r="H451" s="65" t="s">
        <v>96</v>
      </c>
      <c r="I451" s="119"/>
      <c r="J451" s="119"/>
      <c r="K451" s="64">
        <v>2</v>
      </c>
      <c r="L451" s="52">
        <v>11</v>
      </c>
      <c r="M451" s="52">
        <v>11</v>
      </c>
      <c r="N451" s="52">
        <f t="shared" si="259"/>
        <v>7626.8862296860689</v>
      </c>
      <c r="O451" s="52">
        <f t="shared" si="260"/>
        <v>35000</v>
      </c>
      <c r="P451" s="52">
        <f t="shared" si="261"/>
        <v>8312.5645354220123</v>
      </c>
      <c r="Q451" s="66" t="s">
        <v>269</v>
      </c>
      <c r="R451" s="37"/>
      <c r="S451" s="74" t="s">
        <v>1</v>
      </c>
      <c r="T451" s="81">
        <f t="shared" si="226"/>
        <v>1230</v>
      </c>
      <c r="U451" s="81">
        <f t="shared" si="227"/>
        <v>3492.1666666666665</v>
      </c>
      <c r="V451" s="233">
        <v>1230</v>
      </c>
      <c r="W451" s="52">
        <v>1175</v>
      </c>
      <c r="X451" s="52">
        <v>1629</v>
      </c>
      <c r="Y451" s="52">
        <v>886</v>
      </c>
      <c r="Z451" s="52">
        <v>803</v>
      </c>
      <c r="AA451" s="52">
        <v>1549</v>
      </c>
      <c r="AB451" s="52">
        <v>7851</v>
      </c>
      <c r="AC451" s="52">
        <v>13465</v>
      </c>
      <c r="AD451" s="53">
        <v>5188</v>
      </c>
      <c r="AE451" s="144">
        <v>2424</v>
      </c>
      <c r="AF451" s="52">
        <v>3954</v>
      </c>
      <c r="AG451" s="144">
        <v>1752</v>
      </c>
      <c r="AH451" s="53">
        <v>2595</v>
      </c>
      <c r="AI451" s="53">
        <v>5000</v>
      </c>
      <c r="AJ451" s="53">
        <v>1762</v>
      </c>
      <c r="AK451" s="53">
        <v>1012</v>
      </c>
      <c r="AL451" s="89">
        <v>4351</v>
      </c>
      <c r="AM451" s="52">
        <v>9305</v>
      </c>
      <c r="AN451" s="52">
        <v>26071</v>
      </c>
      <c r="AO451" s="53">
        <v>7619</v>
      </c>
      <c r="AP451" s="53">
        <v>5851</v>
      </c>
      <c r="AQ451" s="53">
        <v>11932</v>
      </c>
      <c r="AR451" s="53">
        <v>10464</v>
      </c>
      <c r="AS451" s="52">
        <v>14122</v>
      </c>
      <c r="AT451" s="52">
        <v>32021</v>
      </c>
      <c r="AU451" s="52">
        <v>10491</v>
      </c>
      <c r="AV451" s="52">
        <v>8314</v>
      </c>
      <c r="AW451" s="52">
        <v>5454</v>
      </c>
      <c r="AX451" s="51">
        <v>13000</v>
      </c>
      <c r="AY451" s="53">
        <v>16000</v>
      </c>
      <c r="AZ451" s="53">
        <v>20300</v>
      </c>
      <c r="BA451" s="53">
        <v>10600</v>
      </c>
      <c r="BB451" s="53">
        <v>3500</v>
      </c>
      <c r="BC451" s="53">
        <v>1500</v>
      </c>
      <c r="BD451" s="53">
        <v>6200</v>
      </c>
      <c r="BE451" s="53">
        <v>8000</v>
      </c>
      <c r="BF451" s="53">
        <v>8400</v>
      </c>
      <c r="BG451" s="53">
        <v>11700</v>
      </c>
      <c r="BH451" s="53">
        <v>11300</v>
      </c>
      <c r="BI451" s="53">
        <v>9000</v>
      </c>
      <c r="BJ451" s="53">
        <v>11000</v>
      </c>
      <c r="BK451" s="53">
        <v>7000</v>
      </c>
      <c r="BL451" s="53" t="s">
        <v>102</v>
      </c>
      <c r="BM451" s="53">
        <v>3680</v>
      </c>
      <c r="BN451" s="53">
        <v>9500</v>
      </c>
      <c r="BO451" s="53">
        <v>5500</v>
      </c>
      <c r="BP451" s="53">
        <v>7500</v>
      </c>
      <c r="BQ451" s="53">
        <v>7500</v>
      </c>
      <c r="BR451" s="53">
        <v>15000</v>
      </c>
      <c r="BS451" s="53">
        <v>35000</v>
      </c>
      <c r="BT451" s="53">
        <v>18000</v>
      </c>
      <c r="BU451" s="53">
        <v>15000</v>
      </c>
      <c r="BV451" s="53">
        <v>15000</v>
      </c>
      <c r="BW451" s="53">
        <v>7500</v>
      </c>
      <c r="BX451" s="53">
        <v>10000</v>
      </c>
      <c r="BY451" s="53">
        <v>7500</v>
      </c>
      <c r="BZ451" s="53">
        <v>7500</v>
      </c>
      <c r="CA451" s="53">
        <v>3500</v>
      </c>
      <c r="CB451" s="53">
        <v>15000</v>
      </c>
      <c r="CC451" s="53">
        <v>15000</v>
      </c>
      <c r="CD451" s="53">
        <v>3500</v>
      </c>
      <c r="CE451" s="53">
        <v>7500</v>
      </c>
      <c r="CF451" s="53">
        <v>35000</v>
      </c>
      <c r="CG451" s="53">
        <v>7500</v>
      </c>
      <c r="CH451" s="53">
        <v>7500</v>
      </c>
      <c r="CI451" s="53">
        <v>3500</v>
      </c>
      <c r="CJ451" s="53">
        <v>3500</v>
      </c>
      <c r="CK451" s="53">
        <v>3500</v>
      </c>
      <c r="CL451" s="53">
        <v>7500</v>
      </c>
      <c r="CM451" s="53">
        <v>15000</v>
      </c>
      <c r="CN451" s="206"/>
      <c r="CO451" s="206"/>
      <c r="CP451" s="206"/>
      <c r="CQ451" s="8">
        <f t="shared" si="228"/>
        <v>803</v>
      </c>
      <c r="CR451" s="8">
        <f t="shared" si="229"/>
        <v>35000</v>
      </c>
      <c r="CS451" s="8">
        <f t="shared" si="230"/>
        <v>9093.4782608695659</v>
      </c>
      <c r="CT451">
        <f t="shared" si="231"/>
        <v>6496.9231721796104</v>
      </c>
      <c r="CU451" s="143">
        <f t="shared" si="232"/>
        <v>1144.5999999999999</v>
      </c>
      <c r="CV451" s="143">
        <f t="shared" si="233"/>
        <v>3492.1666666666665</v>
      </c>
      <c r="CX451" s="7">
        <f t="shared" si="234"/>
        <v>1197</v>
      </c>
      <c r="CY451" s="7">
        <f t="shared" si="235"/>
        <v>2458.1999999999998</v>
      </c>
      <c r="CZ451" s="7">
        <f t="shared" si="236"/>
        <v>3500</v>
      </c>
      <c r="DA451" s="7">
        <f t="shared" si="237"/>
        <v>3500</v>
      </c>
      <c r="DB451" s="7">
        <f t="shared" si="238"/>
        <v>7500</v>
      </c>
      <c r="DC451" s="7">
        <f t="shared" si="239"/>
        <v>8382.7999999999993</v>
      </c>
      <c r="DD451" s="7">
        <f t="shared" si="240"/>
        <v>9600.0000000000018</v>
      </c>
      <c r="DE451" s="7">
        <f t="shared" si="241"/>
        <v>11700</v>
      </c>
      <c r="DF451" s="7">
        <f t="shared" si="242"/>
        <v>15000</v>
      </c>
      <c r="DH451" s="7">
        <f t="shared" si="243"/>
        <v>930.1</v>
      </c>
      <c r="DI451" s="7">
        <f t="shared" si="244"/>
        <v>1245.95</v>
      </c>
      <c r="DJ451" s="7">
        <f t="shared" si="245"/>
        <v>1581</v>
      </c>
      <c r="DK451" s="7">
        <f t="shared" si="246"/>
        <v>1721.25</v>
      </c>
      <c r="DL451" s="7">
        <f t="shared" si="247"/>
        <v>5094</v>
      </c>
      <c r="DM451" s="7">
        <f t="shared" si="248"/>
        <v>6204.5999999999985</v>
      </c>
      <c r="DN451" s="7">
        <f t="shared" si="249"/>
        <v>7746.6</v>
      </c>
      <c r="DO451" s="7">
        <f t="shared" si="250"/>
        <v>9594.75</v>
      </c>
      <c r="DP451" s="7">
        <f t="shared" si="251"/>
        <v>11859.949999999999</v>
      </c>
    </row>
    <row r="452" spans="1:130" ht="25.5" hidden="1" customHeight="1" x14ac:dyDescent="0.25">
      <c r="A452" s="92" t="str">
        <f t="shared" si="257"/>
        <v>CO-WVI [17]</v>
      </c>
      <c r="B452" s="92" t="str">
        <f t="shared" si="258"/>
        <v>West Vancouver Island</v>
      </c>
      <c r="C452" s="93" t="str">
        <f t="shared" si="225"/>
        <v>TAHSIS RIVER_Coho</v>
      </c>
      <c r="D452" s="128" t="s">
        <v>598</v>
      </c>
      <c r="E452" s="128" t="s">
        <v>598</v>
      </c>
      <c r="F452" s="64">
        <v>25</v>
      </c>
      <c r="G452" s="72" t="s">
        <v>231</v>
      </c>
      <c r="H452" s="65" t="s">
        <v>93</v>
      </c>
      <c r="I452" s="119"/>
      <c r="J452" s="119"/>
      <c r="K452" s="64">
        <v>2</v>
      </c>
      <c r="L452" s="52">
        <v>11</v>
      </c>
      <c r="M452" s="52">
        <v>11</v>
      </c>
      <c r="N452" s="52">
        <f t="shared" si="259"/>
        <v>811.99791966394457</v>
      </c>
      <c r="O452" s="52">
        <f t="shared" si="260"/>
        <v>3500</v>
      </c>
      <c r="P452" s="52">
        <f t="shared" si="261"/>
        <v>690.31924748090523</v>
      </c>
      <c r="Q452" s="66" t="s">
        <v>269</v>
      </c>
      <c r="R452" s="37"/>
      <c r="S452" s="74" t="s">
        <v>1</v>
      </c>
      <c r="T452" s="81">
        <f t="shared" si="226"/>
        <v>1143.5</v>
      </c>
      <c r="U452" s="81">
        <f t="shared" si="227"/>
        <v>1274.3333333333333</v>
      </c>
      <c r="V452" s="233">
        <v>1234</v>
      </c>
      <c r="W452" s="52">
        <v>2484</v>
      </c>
      <c r="X452" s="52">
        <v>495</v>
      </c>
      <c r="Y452" s="52">
        <v>361</v>
      </c>
      <c r="Z452" s="52">
        <v>1334</v>
      </c>
      <c r="AA452" s="52">
        <v>1319</v>
      </c>
      <c r="AB452" s="52">
        <v>1370</v>
      </c>
      <c r="AC452" s="52">
        <v>848</v>
      </c>
      <c r="AD452" s="53">
        <v>1773</v>
      </c>
      <c r="AE452" s="144">
        <v>738</v>
      </c>
      <c r="AF452" s="52">
        <v>1013</v>
      </c>
      <c r="AG452" s="144">
        <v>2323</v>
      </c>
      <c r="AH452" s="53">
        <v>2590</v>
      </c>
      <c r="AI452" s="53">
        <v>2140</v>
      </c>
      <c r="AJ452" s="53">
        <v>1577</v>
      </c>
      <c r="AK452" s="53">
        <v>649</v>
      </c>
      <c r="AL452" s="89">
        <v>788</v>
      </c>
      <c r="AM452" s="52">
        <v>1096</v>
      </c>
      <c r="AN452" s="52">
        <v>1860</v>
      </c>
      <c r="AO452" s="53">
        <v>673</v>
      </c>
      <c r="AP452" s="53">
        <v>587</v>
      </c>
      <c r="AQ452" s="53">
        <v>767</v>
      </c>
      <c r="AR452" s="53">
        <v>3414</v>
      </c>
      <c r="AS452" s="52">
        <v>2026</v>
      </c>
      <c r="AT452" s="52">
        <v>773</v>
      </c>
      <c r="AU452" s="52">
        <v>667</v>
      </c>
      <c r="AV452" s="52">
        <v>99</v>
      </c>
      <c r="AW452" s="52">
        <v>308</v>
      </c>
      <c r="AX452" s="51">
        <v>200</v>
      </c>
      <c r="AY452" s="53">
        <v>200</v>
      </c>
      <c r="AZ452" s="53">
        <v>50</v>
      </c>
      <c r="BA452" s="53">
        <v>200</v>
      </c>
      <c r="BB452" s="53">
        <v>150</v>
      </c>
      <c r="BC452" s="53">
        <v>750</v>
      </c>
      <c r="BD452" s="53">
        <v>499</v>
      </c>
      <c r="BE452" s="53">
        <v>1000</v>
      </c>
      <c r="BF452" s="53">
        <v>650</v>
      </c>
      <c r="BG452" s="53">
        <v>200</v>
      </c>
      <c r="BH452" s="53">
        <v>800</v>
      </c>
      <c r="BI452" s="53">
        <v>500</v>
      </c>
      <c r="BJ452" s="53">
        <v>2500</v>
      </c>
      <c r="BK452" s="53">
        <v>250</v>
      </c>
      <c r="BL452" s="53" t="s">
        <v>102</v>
      </c>
      <c r="BM452" s="53">
        <v>2000</v>
      </c>
      <c r="BN452" s="53">
        <v>400</v>
      </c>
      <c r="BO452" s="53">
        <v>350</v>
      </c>
      <c r="BP452" s="53">
        <v>400</v>
      </c>
      <c r="BQ452" s="53">
        <v>1500</v>
      </c>
      <c r="BR452" s="53">
        <v>1500</v>
      </c>
      <c r="BS452" s="53">
        <v>3500</v>
      </c>
      <c r="BT452" s="53">
        <v>1500</v>
      </c>
      <c r="BU452" s="53">
        <v>1500</v>
      </c>
      <c r="BV452" s="53">
        <v>1300</v>
      </c>
      <c r="BW452" s="53">
        <v>400</v>
      </c>
      <c r="BX452" s="53">
        <v>750</v>
      </c>
      <c r="BY452" s="53">
        <v>1500</v>
      </c>
      <c r="BZ452" s="53">
        <v>1500</v>
      </c>
      <c r="CA452" s="53">
        <v>1500</v>
      </c>
      <c r="CB452" s="53">
        <v>3500</v>
      </c>
      <c r="CC452" s="53">
        <v>1500</v>
      </c>
      <c r="CD452" s="53">
        <v>1500</v>
      </c>
      <c r="CE452" s="53">
        <v>400</v>
      </c>
      <c r="CF452" s="53">
        <v>200</v>
      </c>
      <c r="CG452" s="53">
        <v>750</v>
      </c>
      <c r="CH452" s="53">
        <v>400</v>
      </c>
      <c r="CI452" s="53">
        <v>200</v>
      </c>
      <c r="CJ452" s="53">
        <v>400</v>
      </c>
      <c r="CK452" s="53">
        <v>400</v>
      </c>
      <c r="CL452" s="53">
        <v>1500</v>
      </c>
      <c r="CM452" s="53">
        <v>1500</v>
      </c>
      <c r="CN452" s="206"/>
      <c r="CO452" s="206"/>
      <c r="CP452" s="206"/>
      <c r="CQ452" s="8">
        <f t="shared" si="228"/>
        <v>50</v>
      </c>
      <c r="CR452" s="8">
        <f t="shared" si="229"/>
        <v>3500</v>
      </c>
      <c r="CS452" s="8">
        <f t="shared" si="230"/>
        <v>1088.4782608695652</v>
      </c>
      <c r="CT452">
        <f t="shared" si="231"/>
        <v>776.73899552469925</v>
      </c>
      <c r="CU452" s="143">
        <f t="shared" si="232"/>
        <v>1181.5999999999999</v>
      </c>
      <c r="CV452" s="143">
        <f t="shared" si="233"/>
        <v>1274.3333333333333</v>
      </c>
      <c r="CX452" s="7">
        <f t="shared" si="234"/>
        <v>200</v>
      </c>
      <c r="CY452" s="7">
        <f t="shared" si="235"/>
        <v>316.39999999999998</v>
      </c>
      <c r="CZ452" s="7">
        <f t="shared" si="236"/>
        <v>400</v>
      </c>
      <c r="DA452" s="7">
        <f t="shared" si="237"/>
        <v>400</v>
      </c>
      <c r="DB452" s="7">
        <f t="shared" si="238"/>
        <v>788</v>
      </c>
      <c r="DC452" s="7">
        <f t="shared" si="239"/>
        <v>1286.7999999999997</v>
      </c>
      <c r="DD452" s="7">
        <f t="shared" si="240"/>
        <v>1396.0000000000005</v>
      </c>
      <c r="DE452" s="7">
        <f t="shared" si="241"/>
        <v>1500</v>
      </c>
      <c r="DF452" s="7">
        <f t="shared" si="242"/>
        <v>1842.5999999999997</v>
      </c>
      <c r="DH452" s="7">
        <f t="shared" si="243"/>
        <v>326.55</v>
      </c>
      <c r="DI452" s="7">
        <f t="shared" si="244"/>
        <v>590.1</v>
      </c>
      <c r="DJ452" s="7">
        <f t="shared" si="245"/>
        <v>656.2</v>
      </c>
      <c r="DK452" s="7">
        <f t="shared" si="246"/>
        <v>671.5</v>
      </c>
      <c r="DL452" s="7">
        <f t="shared" si="247"/>
        <v>1054.5</v>
      </c>
      <c r="DM452" s="7">
        <f t="shared" si="248"/>
        <v>1322</v>
      </c>
      <c r="DN452" s="7">
        <f t="shared" si="249"/>
        <v>1353.8</v>
      </c>
      <c r="DO452" s="7">
        <f t="shared" si="250"/>
        <v>1794.75</v>
      </c>
      <c r="DP452" s="7">
        <f t="shared" si="251"/>
        <v>2134.2999999999997</v>
      </c>
    </row>
    <row r="453" spans="1:130" ht="25.5" hidden="1" customHeight="1" x14ac:dyDescent="0.25">
      <c r="A453" s="92" t="str">
        <f t="shared" si="257"/>
        <v>Pkodd-WVI [6]</v>
      </c>
      <c r="B453" s="92" t="str">
        <f t="shared" si="258"/>
        <v>West Vancouver Island</v>
      </c>
      <c r="C453" s="93" t="str">
        <f t="shared" ref="C453:C516" si="262">CONCATENATE(G453,"_",H453)</f>
        <v>TAHSIS RIVER_Pink</v>
      </c>
      <c r="D453" s="128" t="s">
        <v>598</v>
      </c>
      <c r="E453" s="128" t="s">
        <v>598</v>
      </c>
      <c r="F453" s="64">
        <v>25</v>
      </c>
      <c r="G453" s="72" t="s">
        <v>231</v>
      </c>
      <c r="H453" s="65" t="s">
        <v>95</v>
      </c>
      <c r="I453" s="119"/>
      <c r="J453" s="119"/>
      <c r="K453" s="64">
        <v>2</v>
      </c>
      <c r="L453" s="52">
        <v>11</v>
      </c>
      <c r="M453" s="52">
        <v>7</v>
      </c>
      <c r="N453" s="52">
        <f t="shared" si="259"/>
        <v>1.9679896712654303</v>
      </c>
      <c r="O453" s="52">
        <f t="shared" si="260"/>
        <v>17000</v>
      </c>
      <c r="P453" s="52">
        <f t="shared" si="261"/>
        <v>72.478359848875883</v>
      </c>
      <c r="Q453" s="66" t="s">
        <v>269</v>
      </c>
      <c r="R453" s="37"/>
      <c r="S453" s="74"/>
      <c r="T453" s="81">
        <f t="shared" si="226"/>
        <v>4.333333333333333</v>
      </c>
      <c r="U453" s="81">
        <f t="shared" si="227"/>
        <v>3.75</v>
      </c>
      <c r="V453" s="232" t="s">
        <v>263</v>
      </c>
      <c r="W453" s="52">
        <v>10</v>
      </c>
      <c r="X453" s="52">
        <v>1</v>
      </c>
      <c r="Y453" s="52">
        <v>2</v>
      </c>
      <c r="Z453" s="52" t="s">
        <v>263</v>
      </c>
      <c r="AA453" s="52">
        <v>2</v>
      </c>
      <c r="AB453" s="52">
        <v>3</v>
      </c>
      <c r="AC453" s="52">
        <v>5</v>
      </c>
      <c r="AD453" s="53" t="s">
        <v>262</v>
      </c>
      <c r="AE453" s="144">
        <v>2</v>
      </c>
      <c r="AF453" s="52" t="s">
        <v>262</v>
      </c>
      <c r="AG453" s="144">
        <v>5</v>
      </c>
      <c r="AH453" s="54"/>
      <c r="AI453" s="52" t="s">
        <v>262</v>
      </c>
      <c r="AJ453" s="53" t="s">
        <v>262</v>
      </c>
      <c r="AK453" s="53">
        <v>1</v>
      </c>
      <c r="AL453" s="89" t="s">
        <v>262</v>
      </c>
      <c r="AM453" s="52">
        <v>1</v>
      </c>
      <c r="AN453" s="52" t="s">
        <v>262</v>
      </c>
      <c r="AO453" s="53" t="s">
        <v>262</v>
      </c>
      <c r="AP453" s="53" t="s">
        <v>262</v>
      </c>
      <c r="AQ453" s="53">
        <v>3</v>
      </c>
      <c r="AR453" s="53">
        <v>5</v>
      </c>
      <c r="AS453" s="52">
        <v>1</v>
      </c>
      <c r="AT453" s="52">
        <v>1</v>
      </c>
      <c r="AU453" s="52">
        <v>15</v>
      </c>
      <c r="AV453" s="52">
        <v>1</v>
      </c>
      <c r="AW453" s="52" t="s">
        <v>262</v>
      </c>
      <c r="AX453" s="51" t="s">
        <v>264</v>
      </c>
      <c r="AY453" s="53" t="s">
        <v>262</v>
      </c>
      <c r="AZ453" s="53" t="s">
        <v>102</v>
      </c>
      <c r="BA453" s="53" t="s">
        <v>264</v>
      </c>
      <c r="BB453" s="53">
        <v>3</v>
      </c>
      <c r="BC453" s="53" t="s">
        <v>264</v>
      </c>
      <c r="BD453" s="53" t="s">
        <v>264</v>
      </c>
      <c r="BE453" s="53" t="s">
        <v>264</v>
      </c>
      <c r="BF453" s="53">
        <v>50</v>
      </c>
      <c r="BG453" s="53">
        <v>100</v>
      </c>
      <c r="BH453" s="53">
        <v>50</v>
      </c>
      <c r="BI453" s="53">
        <v>20</v>
      </c>
      <c r="BJ453" s="53" t="s">
        <v>264</v>
      </c>
      <c r="BK453" s="53" t="s">
        <v>264</v>
      </c>
      <c r="BL453" s="53" t="s">
        <v>102</v>
      </c>
      <c r="BM453" s="53">
        <v>2</v>
      </c>
      <c r="BN453" s="53">
        <v>600</v>
      </c>
      <c r="BO453" s="53" t="s">
        <v>264</v>
      </c>
      <c r="BP453" s="53">
        <v>1500</v>
      </c>
      <c r="BQ453" s="53" t="s">
        <v>264</v>
      </c>
      <c r="BR453" s="53">
        <v>7500</v>
      </c>
      <c r="BS453" s="53" t="s">
        <v>264</v>
      </c>
      <c r="BT453" s="53">
        <v>17000</v>
      </c>
      <c r="BU453" s="53" t="s">
        <v>262</v>
      </c>
      <c r="BV453" s="53">
        <v>3000</v>
      </c>
      <c r="BW453" s="53" t="s">
        <v>264</v>
      </c>
      <c r="BX453" s="53">
        <v>7000</v>
      </c>
      <c r="BY453" s="53" t="s">
        <v>262</v>
      </c>
      <c r="BZ453" s="53">
        <v>3000</v>
      </c>
      <c r="CA453" s="53" t="s">
        <v>264</v>
      </c>
      <c r="CB453" s="53">
        <v>750</v>
      </c>
      <c r="CC453" s="53" t="s">
        <v>264</v>
      </c>
      <c r="CD453" s="53">
        <v>3500</v>
      </c>
      <c r="CE453" s="53">
        <v>75</v>
      </c>
      <c r="CF453" s="53">
        <v>3500</v>
      </c>
      <c r="CG453" s="53" t="s">
        <v>262</v>
      </c>
      <c r="CH453" s="53">
        <v>200</v>
      </c>
      <c r="CI453" s="53" t="s">
        <v>264</v>
      </c>
      <c r="CJ453" s="53">
        <v>25</v>
      </c>
      <c r="CK453" s="53" t="s">
        <v>264</v>
      </c>
      <c r="CL453" s="53" t="s">
        <v>264</v>
      </c>
      <c r="CM453" s="53" t="s">
        <v>264</v>
      </c>
      <c r="CN453" s="206"/>
      <c r="CO453" s="206"/>
      <c r="CP453" s="206"/>
      <c r="CQ453" s="8">
        <f t="shared" si="228"/>
        <v>1</v>
      </c>
      <c r="CR453" s="8">
        <f t="shared" si="229"/>
        <v>17000</v>
      </c>
      <c r="CS453" s="8">
        <f t="shared" si="230"/>
        <v>1369.5142857142857</v>
      </c>
      <c r="CT453">
        <f t="shared" si="231"/>
        <v>34.9112222559976</v>
      </c>
      <c r="CU453" s="143">
        <f t="shared" si="232"/>
        <v>4.333333333333333</v>
      </c>
      <c r="CV453" s="143">
        <f t="shared" si="233"/>
        <v>3.75</v>
      </c>
      <c r="CX453" s="7">
        <f t="shared" si="234"/>
        <v>1</v>
      </c>
      <c r="CY453" s="7">
        <f t="shared" si="235"/>
        <v>1.0999999999999996</v>
      </c>
      <c r="CZ453" s="7">
        <f t="shared" si="236"/>
        <v>2</v>
      </c>
      <c r="DA453" s="7">
        <f t="shared" si="237"/>
        <v>2</v>
      </c>
      <c r="DB453" s="7">
        <f t="shared" si="238"/>
        <v>15</v>
      </c>
      <c r="DC453" s="7">
        <f t="shared" si="239"/>
        <v>50</v>
      </c>
      <c r="DD453" s="7">
        <f t="shared" si="240"/>
        <v>77.500000000000028</v>
      </c>
      <c r="DE453" s="7">
        <f t="shared" si="241"/>
        <v>675</v>
      </c>
      <c r="DF453" s="7">
        <f t="shared" si="242"/>
        <v>3000</v>
      </c>
      <c r="DH453" s="7">
        <f t="shared" si="243"/>
        <v>1</v>
      </c>
      <c r="DI453" s="7">
        <f t="shared" si="244"/>
        <v>1</v>
      </c>
      <c r="DJ453" s="7">
        <f t="shared" si="245"/>
        <v>1</v>
      </c>
      <c r="DK453" s="7">
        <f t="shared" si="246"/>
        <v>1</v>
      </c>
      <c r="DL453" s="7">
        <f t="shared" si="247"/>
        <v>2</v>
      </c>
      <c r="DM453" s="7">
        <f t="shared" si="248"/>
        <v>3</v>
      </c>
      <c r="DN453" s="7">
        <f t="shared" si="249"/>
        <v>3</v>
      </c>
      <c r="DO453" s="7">
        <f t="shared" si="250"/>
        <v>5</v>
      </c>
      <c r="DP453" s="7">
        <f t="shared" si="251"/>
        <v>5</v>
      </c>
    </row>
    <row r="454" spans="1:130" ht="25.5" hidden="1" customHeight="1" x14ac:dyDescent="0.25">
      <c r="A454" s="92" t="str">
        <f t="shared" si="257"/>
        <v>SK-WVI [R10]</v>
      </c>
      <c r="B454" s="92" t="str">
        <f t="shared" si="258"/>
        <v>West Vancouver Island</v>
      </c>
      <c r="C454" s="93" t="str">
        <f t="shared" si="262"/>
        <v>TAHSIS RIVER_Sockeye</v>
      </c>
      <c r="D454" s="128" t="s">
        <v>598</v>
      </c>
      <c r="E454" s="128" t="s">
        <v>598</v>
      </c>
      <c r="F454" s="64">
        <v>25</v>
      </c>
      <c r="G454" s="72" t="s">
        <v>231</v>
      </c>
      <c r="H454" s="65" t="s">
        <v>91</v>
      </c>
      <c r="I454" s="119"/>
      <c r="J454" s="119"/>
      <c r="K454" s="64">
        <v>2</v>
      </c>
      <c r="L454" s="52">
        <v>11</v>
      </c>
      <c r="M454" s="52">
        <v>11</v>
      </c>
      <c r="N454" s="52">
        <f t="shared" si="259"/>
        <v>187.29600967829273</v>
      </c>
      <c r="O454" s="52">
        <f t="shared" si="260"/>
        <v>1005</v>
      </c>
      <c r="P454" s="52">
        <f t="shared" si="261"/>
        <v>149.21534562868169</v>
      </c>
      <c r="Q454" s="66" t="s">
        <v>269</v>
      </c>
      <c r="R454" s="37"/>
      <c r="S454" s="74"/>
      <c r="T454" s="81">
        <f t="shared" ref="T454:T517" si="263">AVERAGE(V454:Y454)</f>
        <v>461.5</v>
      </c>
      <c r="U454" s="81">
        <f t="shared" ref="U454:U517" si="264">AVERAGE(V454:AG454)</f>
        <v>426.16666666666669</v>
      </c>
      <c r="V454" s="233">
        <v>401</v>
      </c>
      <c r="W454" s="52">
        <v>809</v>
      </c>
      <c r="X454" s="52">
        <v>573</v>
      </c>
      <c r="Y454" s="52">
        <v>63</v>
      </c>
      <c r="Z454" s="52">
        <v>70</v>
      </c>
      <c r="AA454" s="52">
        <v>106</v>
      </c>
      <c r="AB454" s="52">
        <v>561</v>
      </c>
      <c r="AC454" s="52">
        <v>334</v>
      </c>
      <c r="AD454" s="53">
        <v>172</v>
      </c>
      <c r="AE454" s="144">
        <v>164</v>
      </c>
      <c r="AF454" s="52">
        <v>375</v>
      </c>
      <c r="AG454" s="144">
        <v>1486</v>
      </c>
      <c r="AH454" s="53">
        <v>542</v>
      </c>
      <c r="AI454" s="53">
        <v>475</v>
      </c>
      <c r="AJ454" s="53">
        <v>242</v>
      </c>
      <c r="AK454" s="53">
        <v>151</v>
      </c>
      <c r="AL454" s="52">
        <v>45</v>
      </c>
      <c r="AM454" s="52">
        <v>199</v>
      </c>
      <c r="AN454" s="52">
        <v>196</v>
      </c>
      <c r="AO454" s="53">
        <v>125</v>
      </c>
      <c r="AP454" s="53">
        <v>109</v>
      </c>
      <c r="AQ454" s="53">
        <v>391</v>
      </c>
      <c r="AR454" s="53">
        <v>127</v>
      </c>
      <c r="AS454" s="52">
        <v>739</v>
      </c>
      <c r="AT454" s="52">
        <v>573</v>
      </c>
      <c r="AU454" s="52">
        <v>1005</v>
      </c>
      <c r="AV454" s="52">
        <v>295</v>
      </c>
      <c r="AW454" s="52">
        <v>12</v>
      </c>
      <c r="AX454" s="51">
        <v>300</v>
      </c>
      <c r="AY454" s="53">
        <v>650</v>
      </c>
      <c r="AZ454" s="53" t="s">
        <v>102</v>
      </c>
      <c r="BA454" s="53">
        <v>150</v>
      </c>
      <c r="BB454" s="53">
        <v>50</v>
      </c>
      <c r="BC454" s="53">
        <v>100</v>
      </c>
      <c r="BD454" s="53" t="s">
        <v>264</v>
      </c>
      <c r="BE454" s="53" t="s">
        <v>264</v>
      </c>
      <c r="BF454" s="53">
        <v>30</v>
      </c>
      <c r="BG454" s="53">
        <v>200</v>
      </c>
      <c r="BH454" s="53">
        <v>500</v>
      </c>
      <c r="BI454" s="53">
        <v>100</v>
      </c>
      <c r="BJ454" s="53">
        <v>400</v>
      </c>
      <c r="BK454" s="53">
        <v>300</v>
      </c>
      <c r="BL454" s="53" t="s">
        <v>102</v>
      </c>
      <c r="BM454" s="53">
        <v>119</v>
      </c>
      <c r="BN454" s="53">
        <v>200</v>
      </c>
      <c r="BO454" s="53">
        <v>50</v>
      </c>
      <c r="BP454" s="53">
        <v>200</v>
      </c>
      <c r="BQ454" s="53" t="s">
        <v>264</v>
      </c>
      <c r="BR454" s="53" t="s">
        <v>264</v>
      </c>
      <c r="BS454" s="53" t="s">
        <v>264</v>
      </c>
      <c r="BT454" s="53" t="s">
        <v>264</v>
      </c>
      <c r="BU454" s="53" t="s">
        <v>264</v>
      </c>
      <c r="BV454" s="53" t="s">
        <v>264</v>
      </c>
      <c r="BW454" s="53" t="s">
        <v>264</v>
      </c>
      <c r="BX454" s="53" t="s">
        <v>264</v>
      </c>
      <c r="BY454" s="53" t="s">
        <v>264</v>
      </c>
      <c r="BZ454" s="53" t="s">
        <v>264</v>
      </c>
      <c r="CA454" s="53">
        <v>2</v>
      </c>
      <c r="CB454" s="53" t="s">
        <v>264</v>
      </c>
      <c r="CC454" s="53" t="s">
        <v>264</v>
      </c>
      <c r="CD454" s="53" t="s">
        <v>264</v>
      </c>
      <c r="CE454" s="53" t="s">
        <v>264</v>
      </c>
      <c r="CF454" s="53" t="s">
        <v>264</v>
      </c>
      <c r="CG454" s="53" t="s">
        <v>264</v>
      </c>
      <c r="CH454" s="53" t="s">
        <v>264</v>
      </c>
      <c r="CI454" s="53" t="s">
        <v>264</v>
      </c>
      <c r="CJ454" s="53" t="s">
        <v>264</v>
      </c>
      <c r="CK454" s="53" t="s">
        <v>264</v>
      </c>
      <c r="CL454" s="53" t="s">
        <v>264</v>
      </c>
      <c r="CM454" s="53" t="s">
        <v>264</v>
      </c>
      <c r="CN454" s="209"/>
      <c r="CO454" s="209"/>
      <c r="CP454" s="209"/>
      <c r="CQ454" s="8">
        <f t="shared" ref="CQ454:CQ517" si="265">MIN(V454:CM454)</f>
        <v>2</v>
      </c>
      <c r="CR454" s="8">
        <f t="shared" ref="CR454:CR517" si="266">MAX(V454:CM454)</f>
        <v>1486</v>
      </c>
      <c r="CS454" s="8">
        <f t="shared" ref="CS454:CS517" si="267">AVERAGE(V454:CM454)</f>
        <v>311.15909090909093</v>
      </c>
      <c r="CT454">
        <f t="shared" ref="CT454:CT517" si="268">GEOMEAN(V454:CM454)</f>
        <v>187.70779193861276</v>
      </c>
      <c r="CU454" s="143">
        <f t="shared" ref="CU454:CU517" si="269">AVERAGE(V454:Z454)</f>
        <v>383.2</v>
      </c>
      <c r="CV454" s="143">
        <f t="shared" ref="CV454:CV517" si="270">AVERAGE(V454:AG454)</f>
        <v>426.16666666666669</v>
      </c>
      <c r="CX454" s="7">
        <f t="shared" ref="CX454:CX517" si="271">_xlfn.PERCENTILE.INC(V454:CM454,0.05)</f>
        <v>32.25</v>
      </c>
      <c r="CY454" s="7">
        <f t="shared" ref="CY454:CY517" si="272">_xlfn.PERCENTILE.INC(V454:CM454,0.15)</f>
        <v>66.150000000000006</v>
      </c>
      <c r="CZ454" s="7">
        <f t="shared" ref="CZ454:CZ517" si="273">_xlfn.PERCENTILE.INC(V454:CM454,0.2)</f>
        <v>100</v>
      </c>
      <c r="DA454" s="7">
        <f t="shared" ref="DA454:DA517" si="274">_xlfn.PERCENTILE.INC(V454:CM454,0.25)</f>
        <v>108.25</v>
      </c>
      <c r="DB454" s="7">
        <f t="shared" ref="DB454:DB517" si="275">_xlfn.PERCENTILE.INC(V454:CM454,0.5)</f>
        <v>200</v>
      </c>
      <c r="DC454" s="7">
        <f t="shared" ref="DC454:DC517" si="276">_xlfn.PERCENTILE.INC(V454:CM454,0.6)</f>
        <v>299</v>
      </c>
      <c r="DD454" s="7">
        <f t="shared" ref="DD454:DD517" si="277">_xlfn.PERCENTILE.INC(V454:CM454,0.65)</f>
        <v>332.29999999999995</v>
      </c>
      <c r="DE454" s="7">
        <f t="shared" ref="DE454:DE517" si="278">_xlfn.PERCENTILE.INC(V454:CM454,0.75)</f>
        <v>419.5</v>
      </c>
      <c r="DF454" s="7">
        <f t="shared" ref="DF454:DF517" si="279">_xlfn.PERCENTILE.INC(V454:CM454,0.85)</f>
        <v>567.59999999999991</v>
      </c>
      <c r="DH454" s="7">
        <f t="shared" ref="DH454:DH517" si="280">_xlfn.PERCENTILE.INC(V454:AW454,0.05)</f>
        <v>51.300000000000004</v>
      </c>
      <c r="DI454" s="7">
        <f t="shared" ref="DI454:DI517" si="281">_xlfn.PERCENTILE.INC(V454:AW454,0.15)</f>
        <v>106.15</v>
      </c>
      <c r="DJ454" s="7">
        <f t="shared" ref="DJ454:DJ517" si="282">_xlfn.PERCENTILE.INC(V454:AW454,0.2)</f>
        <v>115.4</v>
      </c>
      <c r="DK454" s="7">
        <f t="shared" ref="DK454:DK517" si="283">_xlfn.PERCENTILE.INC(V454:AW454,0.25)</f>
        <v>126.5</v>
      </c>
      <c r="DL454" s="7">
        <f t="shared" ref="DL454:DL517" si="284">_xlfn.PERCENTILE.INC(V454:AW454,0.5)</f>
        <v>268.5</v>
      </c>
      <c r="DM454" s="7">
        <f t="shared" ref="DM454:DM517" si="285">_xlfn.PERCENTILE.INC(V454:AW454,0.6)</f>
        <v>378.2</v>
      </c>
      <c r="DN454" s="7">
        <f t="shared" ref="DN454:DN517" si="286">_xlfn.PERCENTILE.INC(V454:AW454,0.65)</f>
        <v>396.5</v>
      </c>
      <c r="DO454" s="7">
        <f t="shared" ref="DO454:DO517" si="287">_xlfn.PERCENTILE.INC(V454:AW454,0.75)</f>
        <v>546.75</v>
      </c>
      <c r="DP454" s="7">
        <f t="shared" ref="DP454:DP517" si="288">_xlfn.PERCENTILE.INC(V454:AW454,0.85)</f>
        <v>573</v>
      </c>
      <c r="DR454" s="7">
        <f>_xlfn.PERCENTILE.INC((Y454:AG454,AI454:AW454),0.05)</f>
        <v>47.7</v>
      </c>
      <c r="DS454" s="7">
        <f>_xlfn.PERCENTILE.INC((Y454:AG454,AI454:AW454),0.15)</f>
        <v>86.199999999999974</v>
      </c>
      <c r="DT454" s="7">
        <f>_xlfn.PERCENTILE.INC((Y454:AG454,AI454:AW454),0.2)</f>
        <v>107.8</v>
      </c>
      <c r="DU454" s="7">
        <f>_xlfn.PERCENTILE.INC((Y454:AG454,AI454:AW454),0.25)</f>
        <v>121</v>
      </c>
      <c r="DV454" s="7">
        <f>_xlfn.PERCENTILE.INC((Y454:AG454,AI454:AW454),0.5)</f>
        <v>197.5</v>
      </c>
      <c r="DW454" s="7">
        <f>_xlfn.PERCENTILE.INC((Y454:AG454,AI454:AW454),0.6)</f>
        <v>284.39999999999992</v>
      </c>
      <c r="DX454" s="7">
        <f>_xlfn.PERCENTILE.INC((Y454:AG454,AI454:AW454),0.65)</f>
        <v>332.05000000000007</v>
      </c>
      <c r="DY454" s="7">
        <f>_xlfn.PERCENTILE.INC((Y454:AG454,AI454:AW454),0.75)</f>
        <v>412</v>
      </c>
      <c r="DZ454" s="7">
        <f>_xlfn.PERCENTILE.INC((Y454:AG454,AI454:AW454),0.85)</f>
        <v>567.6</v>
      </c>
    </row>
    <row r="455" spans="1:130" ht="25.5" customHeight="1" x14ac:dyDescent="0.25">
      <c r="A455" s="92" t="str">
        <f t="shared" si="257"/>
        <v>CK-NoKy [32]</v>
      </c>
      <c r="B455" s="92" t="str">
        <f t="shared" si="258"/>
        <v>Nootka and Kyuquot</v>
      </c>
      <c r="C455" s="93" t="str">
        <f t="shared" si="262"/>
        <v>TLUPANA RIVER_Chinook</v>
      </c>
      <c r="D455" s="128" t="s">
        <v>598</v>
      </c>
      <c r="E455" s="128" t="s">
        <v>598</v>
      </c>
      <c r="F455" s="64">
        <v>25</v>
      </c>
      <c r="G455" s="72" t="s">
        <v>223</v>
      </c>
      <c r="H455" s="65" t="s">
        <v>97</v>
      </c>
      <c r="I455" s="119"/>
      <c r="J455" s="119"/>
      <c r="K455" s="64">
        <v>1</v>
      </c>
      <c r="L455" s="52">
        <v>10</v>
      </c>
      <c r="M455" s="52">
        <v>10</v>
      </c>
      <c r="N455" s="52">
        <f t="shared" si="259"/>
        <v>186.37851035554789</v>
      </c>
      <c r="O455" s="52">
        <f t="shared" si="260"/>
        <v>1160</v>
      </c>
      <c r="P455" s="52">
        <f t="shared" si="261"/>
        <v>63.703183022146654</v>
      </c>
      <c r="Q455" s="66" t="s">
        <v>272</v>
      </c>
      <c r="R455" s="37"/>
      <c r="S455" s="76" t="s">
        <v>13</v>
      </c>
      <c r="T455" s="81">
        <f t="shared" si="263"/>
        <v>23</v>
      </c>
      <c r="U455" s="81">
        <f t="shared" si="264"/>
        <v>578.57142857142856</v>
      </c>
      <c r="V455" s="52" t="s">
        <v>102</v>
      </c>
      <c r="W455" s="52" t="s">
        <v>102</v>
      </c>
      <c r="X455" s="52">
        <v>15</v>
      </c>
      <c r="Y455" s="52">
        <v>31</v>
      </c>
      <c r="Z455" s="52" t="s">
        <v>102</v>
      </c>
      <c r="AA455" s="52" t="s">
        <v>102</v>
      </c>
      <c r="AB455" s="52" t="s">
        <v>262</v>
      </c>
      <c r="AC455" s="52">
        <v>502</v>
      </c>
      <c r="AD455" s="123">
        <v>2500</v>
      </c>
      <c r="AE455" s="144">
        <v>950</v>
      </c>
      <c r="AF455" s="52">
        <v>29</v>
      </c>
      <c r="AG455" s="144">
        <v>23</v>
      </c>
      <c r="AH455" s="53">
        <v>35</v>
      </c>
      <c r="AI455" s="53">
        <v>8</v>
      </c>
      <c r="AJ455" s="53">
        <v>150</v>
      </c>
      <c r="AK455" s="53" t="s">
        <v>262</v>
      </c>
      <c r="AL455" s="89">
        <v>1000</v>
      </c>
      <c r="AM455" s="52">
        <v>1000</v>
      </c>
      <c r="AN455" s="123">
        <v>474</v>
      </c>
      <c r="AO455" s="53">
        <v>300</v>
      </c>
      <c r="AP455" s="53">
        <v>1160</v>
      </c>
      <c r="AQ455" s="53">
        <v>328</v>
      </c>
      <c r="AR455" s="53">
        <v>64</v>
      </c>
      <c r="AS455" s="52">
        <v>50</v>
      </c>
      <c r="AT455" s="52">
        <v>54</v>
      </c>
      <c r="AU455" s="52">
        <v>69</v>
      </c>
      <c r="AV455" s="52">
        <v>24</v>
      </c>
      <c r="AW455" s="52">
        <v>141</v>
      </c>
      <c r="AX455" s="51">
        <v>400</v>
      </c>
      <c r="AY455" s="53">
        <v>100</v>
      </c>
      <c r="AZ455" s="53">
        <v>150</v>
      </c>
      <c r="BA455" s="53">
        <v>300</v>
      </c>
      <c r="BB455" s="53">
        <v>300</v>
      </c>
      <c r="BC455" s="53">
        <v>70</v>
      </c>
      <c r="BD455" s="53">
        <v>15</v>
      </c>
      <c r="BE455" s="53">
        <v>10</v>
      </c>
      <c r="BF455" s="53">
        <v>7</v>
      </c>
      <c r="BG455" s="53">
        <v>30</v>
      </c>
      <c r="BH455" s="53">
        <v>50</v>
      </c>
      <c r="BI455" s="53">
        <v>40</v>
      </c>
      <c r="BJ455" s="53" t="s">
        <v>264</v>
      </c>
      <c r="BK455" s="53" t="s">
        <v>264</v>
      </c>
      <c r="BL455" s="53">
        <v>100</v>
      </c>
      <c r="BM455" s="53">
        <v>20</v>
      </c>
      <c r="BN455" s="53" t="s">
        <v>264</v>
      </c>
      <c r="BO455" s="53">
        <v>20</v>
      </c>
      <c r="BP455" s="53">
        <v>25</v>
      </c>
      <c r="BQ455" s="53">
        <v>25</v>
      </c>
      <c r="BR455" s="53">
        <v>25</v>
      </c>
      <c r="BS455" s="53">
        <v>25</v>
      </c>
      <c r="BT455" s="53">
        <v>25</v>
      </c>
      <c r="BU455" s="53">
        <v>25</v>
      </c>
      <c r="BV455" s="53">
        <v>25</v>
      </c>
      <c r="BW455" s="53">
        <v>75</v>
      </c>
      <c r="BX455" s="53">
        <v>25</v>
      </c>
      <c r="BY455" s="53">
        <v>25</v>
      </c>
      <c r="BZ455" s="53">
        <v>25</v>
      </c>
      <c r="CA455" s="53" t="s">
        <v>264</v>
      </c>
      <c r="CB455" s="53">
        <v>200</v>
      </c>
      <c r="CC455" s="53" t="s">
        <v>264</v>
      </c>
      <c r="CD455" s="53" t="s">
        <v>262</v>
      </c>
      <c r="CE455" s="53">
        <v>25</v>
      </c>
      <c r="CF455" s="53">
        <v>75</v>
      </c>
      <c r="CG455" s="53">
        <v>25</v>
      </c>
      <c r="CH455" s="53" t="s">
        <v>264</v>
      </c>
      <c r="CI455" s="53">
        <v>25</v>
      </c>
      <c r="CJ455" s="53" t="s">
        <v>264</v>
      </c>
      <c r="CK455" s="53" t="s">
        <v>262</v>
      </c>
      <c r="CL455" s="53">
        <v>25</v>
      </c>
      <c r="CM455" s="53">
        <v>75</v>
      </c>
      <c r="CN455" s="206"/>
      <c r="CO455" s="206"/>
      <c r="CP455" s="206"/>
      <c r="CQ455" s="8">
        <f t="shared" si="265"/>
        <v>7</v>
      </c>
      <c r="CR455" s="8">
        <f t="shared" si="266"/>
        <v>2500</v>
      </c>
      <c r="CS455" s="8">
        <f t="shared" si="267"/>
        <v>205.34545454545454</v>
      </c>
      <c r="CT455">
        <f t="shared" si="268"/>
        <v>65.811273647568683</v>
      </c>
      <c r="CU455" s="143">
        <f t="shared" si="269"/>
        <v>23</v>
      </c>
      <c r="CV455" s="143">
        <f t="shared" si="270"/>
        <v>578.57142857142856</v>
      </c>
      <c r="CX455" s="7">
        <f t="shared" si="271"/>
        <v>13.5</v>
      </c>
      <c r="CY455" s="7">
        <f t="shared" si="272"/>
        <v>24.1</v>
      </c>
      <c r="CZ455" s="7">
        <f t="shared" si="273"/>
        <v>25</v>
      </c>
      <c r="DA455" s="7">
        <f t="shared" si="274"/>
        <v>25</v>
      </c>
      <c r="DB455" s="7">
        <f t="shared" si="275"/>
        <v>40</v>
      </c>
      <c r="DC455" s="7">
        <f t="shared" si="276"/>
        <v>69.400000000000006</v>
      </c>
      <c r="DD455" s="7">
        <f t="shared" si="277"/>
        <v>75</v>
      </c>
      <c r="DE455" s="7">
        <f t="shared" si="278"/>
        <v>150</v>
      </c>
      <c r="DF455" s="7">
        <f t="shared" si="279"/>
        <v>325.19999999999993</v>
      </c>
      <c r="DH455" s="7">
        <f t="shared" si="280"/>
        <v>15.399999999999999</v>
      </c>
      <c r="DI455" s="7">
        <f t="shared" si="281"/>
        <v>24.75</v>
      </c>
      <c r="DJ455" s="7">
        <f t="shared" si="282"/>
        <v>29.4</v>
      </c>
      <c r="DK455" s="7">
        <f t="shared" si="283"/>
        <v>32</v>
      </c>
      <c r="DL455" s="7">
        <f t="shared" si="284"/>
        <v>105</v>
      </c>
      <c r="DM455" s="7">
        <f t="shared" si="285"/>
        <v>239.99999999999994</v>
      </c>
      <c r="DN455" s="7">
        <f t="shared" si="286"/>
        <v>318.2</v>
      </c>
      <c r="DO455" s="7">
        <f t="shared" si="287"/>
        <v>495</v>
      </c>
      <c r="DP455" s="7">
        <f t="shared" si="288"/>
        <v>992.49999999999989</v>
      </c>
    </row>
    <row r="456" spans="1:130" ht="25.5" hidden="1" customHeight="1" x14ac:dyDescent="0.25">
      <c r="A456" s="92" t="str">
        <f t="shared" si="257"/>
        <v>CM-SWVI [10]</v>
      </c>
      <c r="B456" s="92" t="str">
        <f t="shared" si="258"/>
        <v>Southwest Vancouver Island</v>
      </c>
      <c r="C456" s="93" t="str">
        <f t="shared" si="262"/>
        <v>TLUPANA RIVER_Chum</v>
      </c>
      <c r="D456" s="128" t="s">
        <v>598</v>
      </c>
      <c r="E456" s="128" t="s">
        <v>598</v>
      </c>
      <c r="F456" s="64">
        <v>25</v>
      </c>
      <c r="G456" s="72" t="s">
        <v>223</v>
      </c>
      <c r="H456" s="65" t="s">
        <v>96</v>
      </c>
      <c r="I456" s="119"/>
      <c r="J456" s="119"/>
      <c r="K456" s="64">
        <v>1</v>
      </c>
      <c r="L456" s="52">
        <v>10</v>
      </c>
      <c r="M456" s="52">
        <v>10</v>
      </c>
      <c r="N456" s="52">
        <f t="shared" si="259"/>
        <v>9494.9669033170157</v>
      </c>
      <c r="O456" s="52">
        <f t="shared" si="260"/>
        <v>34786</v>
      </c>
      <c r="P456" s="52">
        <f t="shared" si="261"/>
        <v>2648.1338644608868</v>
      </c>
      <c r="Q456" s="66" t="s">
        <v>272</v>
      </c>
      <c r="R456" s="37"/>
      <c r="S456" s="76" t="s">
        <v>13</v>
      </c>
      <c r="T456" s="81">
        <f t="shared" si="263"/>
        <v>496.5</v>
      </c>
      <c r="U456" s="81">
        <f t="shared" si="264"/>
        <v>2542.5</v>
      </c>
      <c r="V456" s="52" t="s">
        <v>102</v>
      </c>
      <c r="W456" s="52" t="s">
        <v>102</v>
      </c>
      <c r="X456" s="52">
        <v>493</v>
      </c>
      <c r="Y456" s="52">
        <v>500</v>
      </c>
      <c r="Z456" s="52" t="s">
        <v>102</v>
      </c>
      <c r="AA456" s="52" t="s">
        <v>102</v>
      </c>
      <c r="AB456" s="52">
        <v>3150</v>
      </c>
      <c r="AC456" s="52">
        <v>600</v>
      </c>
      <c r="AD456" s="123">
        <v>6500</v>
      </c>
      <c r="AE456" s="144">
        <v>6550</v>
      </c>
      <c r="AF456" s="52">
        <v>1047</v>
      </c>
      <c r="AG456" s="144">
        <v>1500</v>
      </c>
      <c r="AH456" s="53">
        <v>5525</v>
      </c>
      <c r="AI456" s="53">
        <v>7170</v>
      </c>
      <c r="AJ456" s="53">
        <v>2000</v>
      </c>
      <c r="AK456" s="123">
        <v>1048</v>
      </c>
      <c r="AL456" s="89">
        <v>10000</v>
      </c>
      <c r="AM456" s="52">
        <v>15000</v>
      </c>
      <c r="AN456" s="123">
        <v>21000</v>
      </c>
      <c r="AO456" s="53">
        <v>8000</v>
      </c>
      <c r="AP456" s="53">
        <v>15694</v>
      </c>
      <c r="AQ456" s="53">
        <v>4212</v>
      </c>
      <c r="AR456" s="53">
        <v>9416</v>
      </c>
      <c r="AS456" s="52">
        <v>24020</v>
      </c>
      <c r="AT456" s="52">
        <v>34786</v>
      </c>
      <c r="AU456" s="52">
        <v>12643</v>
      </c>
      <c r="AV456" s="52">
        <v>20000</v>
      </c>
      <c r="AW456" s="52">
        <v>6969</v>
      </c>
      <c r="AX456" s="51">
        <v>20000</v>
      </c>
      <c r="AY456" s="53">
        <v>4000</v>
      </c>
      <c r="AZ456" s="53">
        <v>10000</v>
      </c>
      <c r="BA456" s="53">
        <v>10000</v>
      </c>
      <c r="BB456" s="53">
        <v>4700</v>
      </c>
      <c r="BC456" s="53">
        <v>7500</v>
      </c>
      <c r="BD456" s="53">
        <v>3000</v>
      </c>
      <c r="BE456" s="53">
        <v>7000</v>
      </c>
      <c r="BF456" s="53">
        <v>16525</v>
      </c>
      <c r="BG456" s="53">
        <v>10000</v>
      </c>
      <c r="BH456" s="53">
        <v>4500</v>
      </c>
      <c r="BI456" s="53">
        <v>10000</v>
      </c>
      <c r="BJ456" s="53">
        <v>7000</v>
      </c>
      <c r="BK456" s="53">
        <v>8000</v>
      </c>
      <c r="BL456" s="53">
        <v>10000</v>
      </c>
      <c r="BM456" s="53">
        <v>200</v>
      </c>
      <c r="BN456" s="53">
        <v>3500</v>
      </c>
      <c r="BO456" s="53">
        <v>1000</v>
      </c>
      <c r="BP456" s="53">
        <v>200</v>
      </c>
      <c r="BQ456" s="53">
        <v>3500</v>
      </c>
      <c r="BR456" s="53">
        <v>3500</v>
      </c>
      <c r="BS456" s="53">
        <v>3500</v>
      </c>
      <c r="BT456" s="53">
        <v>3000</v>
      </c>
      <c r="BU456" s="53">
        <v>1500</v>
      </c>
      <c r="BV456" s="53">
        <v>6000</v>
      </c>
      <c r="BW456" s="53">
        <v>3500</v>
      </c>
      <c r="BX456" s="53">
        <v>3500</v>
      </c>
      <c r="BY456" s="53">
        <v>400</v>
      </c>
      <c r="BZ456" s="53">
        <v>1500</v>
      </c>
      <c r="CA456" s="53">
        <v>200</v>
      </c>
      <c r="CB456" s="53">
        <v>400</v>
      </c>
      <c r="CC456" s="53">
        <v>200</v>
      </c>
      <c r="CD456" s="53">
        <v>75</v>
      </c>
      <c r="CE456" s="53">
        <v>400</v>
      </c>
      <c r="CF456" s="53">
        <v>1500</v>
      </c>
      <c r="CG456" s="53">
        <v>200</v>
      </c>
      <c r="CH456" s="53">
        <v>750</v>
      </c>
      <c r="CI456" s="53">
        <v>200</v>
      </c>
      <c r="CJ456" s="53">
        <v>75</v>
      </c>
      <c r="CK456" s="53">
        <v>200</v>
      </c>
      <c r="CL456" s="53">
        <v>600</v>
      </c>
      <c r="CM456" s="53">
        <v>1750</v>
      </c>
      <c r="CN456" s="206"/>
      <c r="CO456" s="206"/>
      <c r="CP456" s="206"/>
      <c r="CQ456" s="8">
        <f t="shared" si="265"/>
        <v>75</v>
      </c>
      <c r="CR456" s="8">
        <f t="shared" si="266"/>
        <v>34786</v>
      </c>
      <c r="CS456" s="8">
        <f t="shared" si="267"/>
        <v>5930.272727272727</v>
      </c>
      <c r="CT456">
        <f t="shared" si="268"/>
        <v>2545.0501849284274</v>
      </c>
      <c r="CU456" s="143">
        <f t="shared" si="269"/>
        <v>496.5</v>
      </c>
      <c r="CV456" s="143">
        <f t="shared" si="270"/>
        <v>2542.5</v>
      </c>
      <c r="CX456" s="7">
        <f t="shared" si="271"/>
        <v>200</v>
      </c>
      <c r="CY456" s="7">
        <f t="shared" si="272"/>
        <v>400</v>
      </c>
      <c r="CZ456" s="7">
        <f t="shared" si="273"/>
        <v>500</v>
      </c>
      <c r="DA456" s="7">
        <f t="shared" si="274"/>
        <v>812.5</v>
      </c>
      <c r="DB456" s="7">
        <f t="shared" si="275"/>
        <v>3500</v>
      </c>
      <c r="DC456" s="7">
        <f t="shared" si="276"/>
        <v>5525</v>
      </c>
      <c r="DD456" s="7">
        <f t="shared" si="277"/>
        <v>6654.75</v>
      </c>
      <c r="DE456" s="7">
        <f t="shared" si="278"/>
        <v>8000</v>
      </c>
      <c r="DF456" s="7">
        <f t="shared" si="279"/>
        <v>10000</v>
      </c>
      <c r="DH456" s="7">
        <f t="shared" si="280"/>
        <v>515</v>
      </c>
      <c r="DI456" s="7">
        <f t="shared" si="281"/>
        <v>1047.45</v>
      </c>
      <c r="DJ456" s="7">
        <f t="shared" si="282"/>
        <v>1319.2000000000003</v>
      </c>
      <c r="DK456" s="7">
        <f t="shared" si="283"/>
        <v>1875</v>
      </c>
      <c r="DL456" s="7">
        <f t="shared" si="284"/>
        <v>6759.5</v>
      </c>
      <c r="DM456" s="7">
        <f t="shared" si="285"/>
        <v>7833.9999999999991</v>
      </c>
      <c r="DN456" s="7">
        <f t="shared" si="286"/>
        <v>9345.2000000000007</v>
      </c>
      <c r="DO456" s="7">
        <f t="shared" si="287"/>
        <v>13232.25</v>
      </c>
      <c r="DP456" s="7">
        <f t="shared" si="288"/>
        <v>18062.300000000003</v>
      </c>
    </row>
    <row r="457" spans="1:130" ht="25.5" hidden="1" customHeight="1" x14ac:dyDescent="0.25">
      <c r="A457" s="92" t="str">
        <f t="shared" si="257"/>
        <v>CO-WVI [17]</v>
      </c>
      <c r="B457" s="92" t="str">
        <f t="shared" si="258"/>
        <v>West Vancouver Island</v>
      </c>
      <c r="C457" s="93" t="str">
        <f t="shared" si="262"/>
        <v>TLUPANA RIVER_Coho</v>
      </c>
      <c r="D457" s="128" t="s">
        <v>598</v>
      </c>
      <c r="E457" s="128" t="s">
        <v>598</v>
      </c>
      <c r="F457" s="64">
        <v>25</v>
      </c>
      <c r="G457" s="72" t="s">
        <v>223</v>
      </c>
      <c r="H457" s="65" t="s">
        <v>93</v>
      </c>
      <c r="I457" s="119"/>
      <c r="J457" s="119"/>
      <c r="K457" s="64">
        <v>1</v>
      </c>
      <c r="L457" s="52">
        <v>9</v>
      </c>
      <c r="M457" s="52">
        <v>9</v>
      </c>
      <c r="N457" s="52">
        <f t="shared" si="259"/>
        <v>382.80579011747551</v>
      </c>
      <c r="O457" s="52">
        <f t="shared" si="260"/>
        <v>1980</v>
      </c>
      <c r="P457" s="52">
        <f t="shared" si="261"/>
        <v>175.30606815939825</v>
      </c>
      <c r="Q457" s="66" t="s">
        <v>272</v>
      </c>
      <c r="R457" s="37"/>
      <c r="S457" s="76" t="s">
        <v>12</v>
      </c>
      <c r="T457" s="81" t="e">
        <f t="shared" si="263"/>
        <v>#DIV/0!</v>
      </c>
      <c r="U457" s="81">
        <f t="shared" si="264"/>
        <v>490</v>
      </c>
      <c r="V457" s="52" t="s">
        <v>102</v>
      </c>
      <c r="W457" s="52" t="s">
        <v>102</v>
      </c>
      <c r="X457" s="52" t="s">
        <v>263</v>
      </c>
      <c r="Y457" s="52" t="s">
        <v>263</v>
      </c>
      <c r="Z457" s="52" t="s">
        <v>102</v>
      </c>
      <c r="AA457" s="52" t="s">
        <v>102</v>
      </c>
      <c r="AB457" s="52" t="s">
        <v>262</v>
      </c>
      <c r="AC457" s="52">
        <v>30</v>
      </c>
      <c r="AD457" s="123">
        <v>1200</v>
      </c>
      <c r="AE457" s="144" t="s">
        <v>263</v>
      </c>
      <c r="AF457" s="52" t="s">
        <v>263</v>
      </c>
      <c r="AG457" s="144">
        <v>240</v>
      </c>
      <c r="AH457" s="53">
        <v>170</v>
      </c>
      <c r="AI457" s="53">
        <v>155</v>
      </c>
      <c r="AJ457" s="54"/>
      <c r="AK457" s="53" t="s">
        <v>262</v>
      </c>
      <c r="AL457" s="89">
        <v>193</v>
      </c>
      <c r="AM457" s="52" t="s">
        <v>102</v>
      </c>
      <c r="AN457" s="52" t="s">
        <v>102</v>
      </c>
      <c r="AO457" s="53">
        <v>21</v>
      </c>
      <c r="AP457" s="53">
        <v>209</v>
      </c>
      <c r="AQ457" s="53">
        <v>1980</v>
      </c>
      <c r="AR457" s="53">
        <v>1595</v>
      </c>
      <c r="AS457" s="52">
        <v>346</v>
      </c>
      <c r="AT457" s="52">
        <v>1099</v>
      </c>
      <c r="AU457" s="52">
        <v>505</v>
      </c>
      <c r="AV457" s="52">
        <v>216</v>
      </c>
      <c r="AW457" s="52">
        <v>609</v>
      </c>
      <c r="AX457" s="51" t="s">
        <v>264</v>
      </c>
      <c r="AY457" s="53" t="s">
        <v>264</v>
      </c>
      <c r="AZ457" s="53" t="s">
        <v>102</v>
      </c>
      <c r="BA457" s="53">
        <v>350</v>
      </c>
      <c r="BB457" s="53" t="s">
        <v>264</v>
      </c>
      <c r="BC457" s="53" t="s">
        <v>264</v>
      </c>
      <c r="BD457" s="53" t="s">
        <v>264</v>
      </c>
      <c r="BE457" s="53">
        <v>200</v>
      </c>
      <c r="BF457" s="53">
        <v>500</v>
      </c>
      <c r="BG457" s="53">
        <v>200</v>
      </c>
      <c r="BH457" s="53">
        <v>22</v>
      </c>
      <c r="BI457" s="53" t="s">
        <v>264</v>
      </c>
      <c r="BJ457" s="53">
        <v>100</v>
      </c>
      <c r="BK457" s="53">
        <v>50</v>
      </c>
      <c r="BL457" s="53">
        <v>600</v>
      </c>
      <c r="BM457" s="53">
        <v>60</v>
      </c>
      <c r="BN457" s="53">
        <v>300</v>
      </c>
      <c r="BO457" s="53">
        <v>200</v>
      </c>
      <c r="BP457" s="53">
        <v>75</v>
      </c>
      <c r="BQ457" s="53">
        <v>400</v>
      </c>
      <c r="BR457" s="53">
        <v>750</v>
      </c>
      <c r="BS457" s="53">
        <v>750</v>
      </c>
      <c r="BT457" s="53">
        <v>200</v>
      </c>
      <c r="BU457" s="53">
        <v>500</v>
      </c>
      <c r="BV457" s="53">
        <v>400</v>
      </c>
      <c r="BW457" s="53">
        <v>200</v>
      </c>
      <c r="BX457" s="53">
        <v>200</v>
      </c>
      <c r="BY457" s="53">
        <v>25</v>
      </c>
      <c r="BZ457" s="53">
        <v>200</v>
      </c>
      <c r="CA457" s="53">
        <v>200</v>
      </c>
      <c r="CB457" s="53">
        <v>400</v>
      </c>
      <c r="CC457" s="53">
        <v>200</v>
      </c>
      <c r="CD457" s="53">
        <v>25</v>
      </c>
      <c r="CE457" s="53">
        <v>75</v>
      </c>
      <c r="CF457" s="53">
        <v>200</v>
      </c>
      <c r="CG457" s="53">
        <v>75</v>
      </c>
      <c r="CH457" s="53">
        <v>25</v>
      </c>
      <c r="CI457" s="53">
        <v>25</v>
      </c>
      <c r="CJ457" s="53">
        <v>25</v>
      </c>
      <c r="CK457" s="53" t="s">
        <v>262</v>
      </c>
      <c r="CL457" s="53">
        <v>50</v>
      </c>
      <c r="CM457" s="53">
        <v>100</v>
      </c>
      <c r="CN457" s="206"/>
      <c r="CO457" s="206"/>
      <c r="CP457" s="206"/>
      <c r="CQ457" s="8">
        <f t="shared" si="265"/>
        <v>21</v>
      </c>
      <c r="CR457" s="8">
        <f t="shared" si="266"/>
        <v>1980</v>
      </c>
      <c r="CS457" s="8">
        <f t="shared" si="267"/>
        <v>331.63265306122452</v>
      </c>
      <c r="CT457">
        <f t="shared" si="268"/>
        <v>176.449159721413</v>
      </c>
      <c r="CU457" s="143" t="e">
        <f t="shared" si="269"/>
        <v>#DIV/0!</v>
      </c>
      <c r="CV457" s="143">
        <f t="shared" si="270"/>
        <v>490</v>
      </c>
      <c r="CX457" s="7">
        <f t="shared" si="271"/>
        <v>25</v>
      </c>
      <c r="CY457" s="7">
        <f t="shared" si="272"/>
        <v>33.999999999999986</v>
      </c>
      <c r="CZ457" s="7">
        <f t="shared" si="273"/>
        <v>56.000000000000014</v>
      </c>
      <c r="DA457" s="7">
        <f t="shared" si="274"/>
        <v>75</v>
      </c>
      <c r="DB457" s="7">
        <f t="shared" si="275"/>
        <v>200</v>
      </c>
      <c r="DC457" s="7">
        <f t="shared" si="276"/>
        <v>207.2</v>
      </c>
      <c r="DD457" s="7">
        <f t="shared" si="277"/>
        <v>252.00000000000017</v>
      </c>
      <c r="DE457" s="7">
        <f t="shared" si="278"/>
        <v>400</v>
      </c>
      <c r="DF457" s="7">
        <f t="shared" si="279"/>
        <v>580.99999999999977</v>
      </c>
      <c r="DH457" s="7">
        <f t="shared" si="280"/>
        <v>27.3</v>
      </c>
      <c r="DI457" s="7">
        <f t="shared" si="281"/>
        <v>156.5</v>
      </c>
      <c r="DJ457" s="7">
        <f t="shared" si="282"/>
        <v>167</v>
      </c>
      <c r="DK457" s="7">
        <f t="shared" si="283"/>
        <v>181.5</v>
      </c>
      <c r="DL457" s="7">
        <f t="shared" si="284"/>
        <v>240</v>
      </c>
      <c r="DM457" s="7">
        <f t="shared" si="285"/>
        <v>409.60000000000008</v>
      </c>
      <c r="DN457" s="7">
        <f t="shared" si="286"/>
        <v>515.4</v>
      </c>
      <c r="DO457" s="7">
        <f t="shared" si="287"/>
        <v>854</v>
      </c>
      <c r="DP457" s="7">
        <f t="shared" si="288"/>
        <v>1189.9000000000001</v>
      </c>
    </row>
    <row r="458" spans="1:130" ht="25.5" hidden="1" customHeight="1" x14ac:dyDescent="0.25">
      <c r="A458" s="92" t="str">
        <f t="shared" si="257"/>
        <v>Pkodd-WVI [6]</v>
      </c>
      <c r="B458" s="92" t="str">
        <f t="shared" si="258"/>
        <v>West Vancouver Island</v>
      </c>
      <c r="C458" s="93" t="str">
        <f t="shared" si="262"/>
        <v>TLUPANA RIVER_Pink</v>
      </c>
      <c r="D458" s="128" t="s">
        <v>598</v>
      </c>
      <c r="E458" s="128" t="s">
        <v>598</v>
      </c>
      <c r="F458" s="64">
        <v>25</v>
      </c>
      <c r="G458" s="72" t="s">
        <v>223</v>
      </c>
      <c r="H458" s="65" t="s">
        <v>95</v>
      </c>
      <c r="I458" s="119"/>
      <c r="J458" s="119"/>
      <c r="K458" s="64">
        <v>1</v>
      </c>
      <c r="L458" s="52">
        <v>9</v>
      </c>
      <c r="M458" s="52">
        <v>6</v>
      </c>
      <c r="N458" s="52">
        <f t="shared" si="259"/>
        <v>3.308686650258204</v>
      </c>
      <c r="O458" s="52">
        <f t="shared" si="260"/>
        <v>1000</v>
      </c>
      <c r="P458" s="52">
        <f t="shared" si="261"/>
        <v>27.830306146522194</v>
      </c>
      <c r="Q458" s="66" t="s">
        <v>272</v>
      </c>
      <c r="R458" s="37"/>
      <c r="S458" s="76" t="s">
        <v>12</v>
      </c>
      <c r="T458" s="81" t="e">
        <f t="shared" si="263"/>
        <v>#DIV/0!</v>
      </c>
      <c r="U458" s="81">
        <f t="shared" si="264"/>
        <v>2</v>
      </c>
      <c r="V458" s="52" t="s">
        <v>102</v>
      </c>
      <c r="W458" s="52" t="s">
        <v>102</v>
      </c>
      <c r="X458" s="52" t="s">
        <v>262</v>
      </c>
      <c r="Y458" s="52" t="s">
        <v>262</v>
      </c>
      <c r="Z458" s="52" t="s">
        <v>102</v>
      </c>
      <c r="AA458" s="52" t="s">
        <v>102</v>
      </c>
      <c r="AB458" s="52" t="s">
        <v>262</v>
      </c>
      <c r="AC458" s="52" t="s">
        <v>262</v>
      </c>
      <c r="AD458" s="123"/>
      <c r="AE458" s="144" t="s">
        <v>263</v>
      </c>
      <c r="AF458" s="52" t="s">
        <v>262</v>
      </c>
      <c r="AG458" s="144">
        <v>2</v>
      </c>
      <c r="AH458" s="52" t="s">
        <v>262</v>
      </c>
      <c r="AI458" s="52" t="s">
        <v>262</v>
      </c>
      <c r="AJ458" s="54"/>
      <c r="AK458" s="123" t="s">
        <v>262</v>
      </c>
      <c r="AL458" s="89" t="s">
        <v>262</v>
      </c>
      <c r="AM458" s="52" t="s">
        <v>102</v>
      </c>
      <c r="AN458" s="52" t="s">
        <v>102</v>
      </c>
      <c r="AO458" s="53">
        <v>2</v>
      </c>
      <c r="AP458" s="53" t="s">
        <v>262</v>
      </c>
      <c r="AQ458" s="53">
        <v>2</v>
      </c>
      <c r="AR458" s="53">
        <v>2</v>
      </c>
      <c r="AS458" s="52">
        <v>1</v>
      </c>
      <c r="AT458" s="52">
        <v>4</v>
      </c>
      <c r="AU458" s="52">
        <v>41</v>
      </c>
      <c r="AV458" s="52" t="s">
        <v>262</v>
      </c>
      <c r="AW458" s="52" t="s">
        <v>262</v>
      </c>
      <c r="AX458" s="51" t="s">
        <v>264</v>
      </c>
      <c r="AY458" s="53" t="s">
        <v>264</v>
      </c>
      <c r="AZ458" s="53" t="s">
        <v>102</v>
      </c>
      <c r="BA458" s="53">
        <v>20</v>
      </c>
      <c r="BB458" s="53" t="s">
        <v>264</v>
      </c>
      <c r="BC458" s="53" t="s">
        <v>264</v>
      </c>
      <c r="BD458" s="53" t="s">
        <v>264</v>
      </c>
      <c r="BE458" s="53" t="s">
        <v>264</v>
      </c>
      <c r="BF458" s="53" t="s">
        <v>262</v>
      </c>
      <c r="BG458" s="53" t="s">
        <v>264</v>
      </c>
      <c r="BH458" s="53" t="s">
        <v>262</v>
      </c>
      <c r="BI458" s="53" t="s">
        <v>264</v>
      </c>
      <c r="BJ458" s="53" t="s">
        <v>264</v>
      </c>
      <c r="BK458" s="53" t="s">
        <v>264</v>
      </c>
      <c r="BL458" s="53">
        <v>1000</v>
      </c>
      <c r="BM458" s="53" t="s">
        <v>264</v>
      </c>
      <c r="BN458" s="53">
        <v>100</v>
      </c>
      <c r="BO458" s="53" t="s">
        <v>264</v>
      </c>
      <c r="BP458" s="53" t="s">
        <v>264</v>
      </c>
      <c r="BQ458" s="53" t="s">
        <v>264</v>
      </c>
      <c r="BR458" s="53">
        <v>75</v>
      </c>
      <c r="BS458" s="53" t="s">
        <v>264</v>
      </c>
      <c r="BT458" s="53">
        <v>25</v>
      </c>
      <c r="BU458" s="53" t="s">
        <v>262</v>
      </c>
      <c r="BV458" s="53">
        <v>200</v>
      </c>
      <c r="BW458" s="53" t="s">
        <v>262</v>
      </c>
      <c r="BX458" s="53">
        <v>75</v>
      </c>
      <c r="BY458" s="53" t="s">
        <v>262</v>
      </c>
      <c r="BZ458" s="53">
        <v>200</v>
      </c>
      <c r="CA458" s="53">
        <v>25</v>
      </c>
      <c r="CB458" s="53">
        <v>25</v>
      </c>
      <c r="CC458" s="53" t="s">
        <v>264</v>
      </c>
      <c r="CD458" s="53">
        <v>200</v>
      </c>
      <c r="CE458" s="53">
        <v>75</v>
      </c>
      <c r="CF458" s="53">
        <v>25</v>
      </c>
      <c r="CG458" s="53" t="s">
        <v>262</v>
      </c>
      <c r="CH458" s="53">
        <v>25</v>
      </c>
      <c r="CI458" s="53" t="s">
        <v>264</v>
      </c>
      <c r="CJ458" s="53">
        <v>25</v>
      </c>
      <c r="CK458" s="53" t="s">
        <v>264</v>
      </c>
      <c r="CL458" s="53" t="s">
        <v>264</v>
      </c>
      <c r="CM458" s="53" t="s">
        <v>264</v>
      </c>
      <c r="CN458" s="206"/>
      <c r="CO458" s="206"/>
      <c r="CP458" s="206"/>
      <c r="CQ458" s="8">
        <f t="shared" si="265"/>
        <v>1</v>
      </c>
      <c r="CR458" s="8">
        <f t="shared" si="266"/>
        <v>1000</v>
      </c>
      <c r="CS458" s="8">
        <f t="shared" si="267"/>
        <v>97.681818181818187</v>
      </c>
      <c r="CT458">
        <f t="shared" si="268"/>
        <v>24.691146545146157</v>
      </c>
      <c r="CU458" s="143" t="e">
        <f t="shared" si="269"/>
        <v>#DIV/0!</v>
      </c>
      <c r="CV458" s="143">
        <f t="shared" si="270"/>
        <v>2</v>
      </c>
      <c r="CX458" s="7">
        <f t="shared" si="271"/>
        <v>2</v>
      </c>
      <c r="CY458" s="7">
        <f t="shared" si="272"/>
        <v>2</v>
      </c>
      <c r="CZ458" s="7">
        <f t="shared" si="273"/>
        <v>2.4000000000000004</v>
      </c>
      <c r="DA458" s="7">
        <f t="shared" si="274"/>
        <v>8</v>
      </c>
      <c r="DB458" s="7">
        <f t="shared" si="275"/>
        <v>25</v>
      </c>
      <c r="DC458" s="7">
        <f t="shared" si="276"/>
        <v>34.599999999999994</v>
      </c>
      <c r="DD458" s="7">
        <f t="shared" si="277"/>
        <v>63.100000000000009</v>
      </c>
      <c r="DE458" s="7">
        <f t="shared" si="278"/>
        <v>75</v>
      </c>
      <c r="DF458" s="7">
        <f t="shared" si="279"/>
        <v>184.99999999999977</v>
      </c>
      <c r="DH458" s="7">
        <f t="shared" si="280"/>
        <v>1.3</v>
      </c>
      <c r="DI458" s="7">
        <f t="shared" si="281"/>
        <v>1.9</v>
      </c>
      <c r="DJ458" s="7">
        <f t="shared" si="282"/>
        <v>2</v>
      </c>
      <c r="DK458" s="7">
        <f t="shared" si="283"/>
        <v>2</v>
      </c>
      <c r="DL458" s="7">
        <f t="shared" si="284"/>
        <v>2</v>
      </c>
      <c r="DM458" s="7">
        <f t="shared" si="285"/>
        <v>2</v>
      </c>
      <c r="DN458" s="7">
        <f t="shared" si="286"/>
        <v>2</v>
      </c>
      <c r="DO458" s="7">
        <f t="shared" si="287"/>
        <v>3</v>
      </c>
      <c r="DP458" s="7">
        <f t="shared" si="288"/>
        <v>7.6999999999999869</v>
      </c>
    </row>
    <row r="459" spans="1:130" ht="25.5" hidden="1" customHeight="1" x14ac:dyDescent="0.25">
      <c r="A459" s="92" t="str">
        <f t="shared" si="257"/>
        <v>SK-WVI [R10]</v>
      </c>
      <c r="B459" s="92" t="str">
        <f t="shared" si="258"/>
        <v>West Vancouver Island</v>
      </c>
      <c r="C459" s="93" t="str">
        <f t="shared" si="262"/>
        <v>TLUPANA RIVER_Sockeye</v>
      </c>
      <c r="D459" s="128" t="s">
        <v>598</v>
      </c>
      <c r="E459" s="128" t="s">
        <v>598</v>
      </c>
      <c r="F459" s="64">
        <v>25</v>
      </c>
      <c r="G459" s="72" t="s">
        <v>223</v>
      </c>
      <c r="H459" s="65" t="s">
        <v>91</v>
      </c>
      <c r="I459" s="119"/>
      <c r="J459" s="119"/>
      <c r="K459" s="64">
        <v>1</v>
      </c>
      <c r="L459" s="52">
        <v>9</v>
      </c>
      <c r="M459" s="52">
        <v>8</v>
      </c>
      <c r="N459" s="52">
        <f t="shared" si="259"/>
        <v>110.19163356765864</v>
      </c>
      <c r="O459" s="52">
        <f t="shared" si="260"/>
        <v>778</v>
      </c>
      <c r="P459" s="52">
        <f t="shared" si="261"/>
        <v>84.980950126047475</v>
      </c>
      <c r="Q459" s="66" t="s">
        <v>272</v>
      </c>
      <c r="R459" s="37"/>
      <c r="S459" s="76" t="s">
        <v>12</v>
      </c>
      <c r="T459" s="81" t="e">
        <f t="shared" si="263"/>
        <v>#DIV/0!</v>
      </c>
      <c r="U459" s="81">
        <f t="shared" si="264"/>
        <v>19.5</v>
      </c>
      <c r="V459" s="52" t="s">
        <v>102</v>
      </c>
      <c r="W459" s="52" t="s">
        <v>102</v>
      </c>
      <c r="X459" s="52" t="s">
        <v>262</v>
      </c>
      <c r="Y459" s="52" t="s">
        <v>262</v>
      </c>
      <c r="Z459" s="52" t="s">
        <v>102</v>
      </c>
      <c r="AA459" s="52" t="s">
        <v>102</v>
      </c>
      <c r="AB459" s="52" t="s">
        <v>262</v>
      </c>
      <c r="AC459" s="52">
        <v>19</v>
      </c>
      <c r="AD459" s="123"/>
      <c r="AE459" s="144" t="s">
        <v>262</v>
      </c>
      <c r="AF459" s="52" t="s">
        <v>263</v>
      </c>
      <c r="AG459" s="144">
        <v>20</v>
      </c>
      <c r="AH459" s="53">
        <v>30</v>
      </c>
      <c r="AI459" s="53">
        <v>24</v>
      </c>
      <c r="AJ459" s="54"/>
      <c r="AK459" s="52" t="s">
        <v>102</v>
      </c>
      <c r="AL459" s="89">
        <v>2</v>
      </c>
      <c r="AM459" s="52" t="s">
        <v>102</v>
      </c>
      <c r="AN459" s="52" t="s">
        <v>102</v>
      </c>
      <c r="AO459" s="53" t="s">
        <v>262</v>
      </c>
      <c r="AP459" s="53">
        <v>58</v>
      </c>
      <c r="AQ459" s="53">
        <v>181</v>
      </c>
      <c r="AR459" s="53">
        <v>115</v>
      </c>
      <c r="AS459" s="52">
        <v>224</v>
      </c>
      <c r="AT459" s="52">
        <v>166</v>
      </c>
      <c r="AU459" s="52">
        <v>778</v>
      </c>
      <c r="AV459" s="52">
        <v>127</v>
      </c>
      <c r="AW459" s="52">
        <v>270</v>
      </c>
      <c r="AX459" s="51" t="s">
        <v>264</v>
      </c>
      <c r="AY459" s="53" t="s">
        <v>264</v>
      </c>
      <c r="AZ459" s="53" t="s">
        <v>102</v>
      </c>
      <c r="BA459" s="53">
        <v>200</v>
      </c>
      <c r="BB459" s="53" t="s">
        <v>264</v>
      </c>
      <c r="BC459" s="53" t="s">
        <v>264</v>
      </c>
      <c r="BD459" s="53" t="s">
        <v>264</v>
      </c>
      <c r="BE459" s="53" t="s">
        <v>264</v>
      </c>
      <c r="BF459" s="53">
        <v>50</v>
      </c>
      <c r="BG459" s="53" t="s">
        <v>264</v>
      </c>
      <c r="BH459" s="53" t="s">
        <v>262</v>
      </c>
      <c r="BI459" s="53" t="s">
        <v>264</v>
      </c>
      <c r="BJ459" s="53" t="s">
        <v>264</v>
      </c>
      <c r="BK459" s="53">
        <v>100</v>
      </c>
      <c r="BL459" s="53">
        <v>600</v>
      </c>
      <c r="BM459" s="53">
        <v>10</v>
      </c>
      <c r="BN459" s="53" t="s">
        <v>264</v>
      </c>
      <c r="BO459" s="53">
        <v>70</v>
      </c>
      <c r="BP459" s="53">
        <v>25</v>
      </c>
      <c r="BQ459" s="53" t="s">
        <v>264</v>
      </c>
      <c r="BR459" s="53">
        <v>25</v>
      </c>
      <c r="BS459" s="53" t="s">
        <v>264</v>
      </c>
      <c r="BT459" s="53" t="s">
        <v>264</v>
      </c>
      <c r="BU459" s="53" t="s">
        <v>264</v>
      </c>
      <c r="BV459" s="53" t="s">
        <v>264</v>
      </c>
      <c r="BW459" s="53" t="s">
        <v>264</v>
      </c>
      <c r="BX459" s="53" t="s">
        <v>264</v>
      </c>
      <c r="BY459" s="53" t="s">
        <v>264</v>
      </c>
      <c r="BZ459" s="53" t="s">
        <v>264</v>
      </c>
      <c r="CA459" s="53" t="s">
        <v>264</v>
      </c>
      <c r="CB459" s="53" t="s">
        <v>264</v>
      </c>
      <c r="CC459" s="53" t="s">
        <v>264</v>
      </c>
      <c r="CD459" s="53" t="s">
        <v>264</v>
      </c>
      <c r="CE459" s="53" t="s">
        <v>264</v>
      </c>
      <c r="CF459" s="53" t="s">
        <v>264</v>
      </c>
      <c r="CG459" s="53" t="s">
        <v>264</v>
      </c>
      <c r="CH459" s="53" t="s">
        <v>264</v>
      </c>
      <c r="CI459" s="53" t="s">
        <v>264</v>
      </c>
      <c r="CJ459" s="53" t="s">
        <v>264</v>
      </c>
      <c r="CK459" s="53" t="s">
        <v>264</v>
      </c>
      <c r="CL459" s="53" t="s">
        <v>264</v>
      </c>
      <c r="CM459" s="53" t="s">
        <v>264</v>
      </c>
      <c r="CN459" s="206"/>
      <c r="CO459" s="206"/>
      <c r="CP459" s="206"/>
      <c r="CQ459" s="8">
        <f t="shared" si="265"/>
        <v>2</v>
      </c>
      <c r="CR459" s="8">
        <f t="shared" si="266"/>
        <v>778</v>
      </c>
      <c r="CS459" s="8">
        <f t="shared" si="267"/>
        <v>147.33333333333334</v>
      </c>
      <c r="CT459">
        <f t="shared" si="268"/>
        <v>66.182329170169183</v>
      </c>
      <c r="CU459" s="143" t="e">
        <f t="shared" si="269"/>
        <v>#DIV/0!</v>
      </c>
      <c r="CV459" s="143">
        <f t="shared" si="270"/>
        <v>19.5</v>
      </c>
      <c r="CX459" s="7">
        <f t="shared" si="271"/>
        <v>10</v>
      </c>
      <c r="CY459" s="7">
        <f t="shared" si="272"/>
        <v>20</v>
      </c>
      <c r="CZ459" s="7">
        <f t="shared" si="273"/>
        <v>24</v>
      </c>
      <c r="DA459" s="7">
        <f t="shared" si="274"/>
        <v>25</v>
      </c>
      <c r="DB459" s="7">
        <f t="shared" si="275"/>
        <v>70</v>
      </c>
      <c r="DC459" s="7">
        <f t="shared" si="276"/>
        <v>115</v>
      </c>
      <c r="DD459" s="7">
        <f t="shared" si="277"/>
        <v>127</v>
      </c>
      <c r="DE459" s="7">
        <f t="shared" si="278"/>
        <v>181</v>
      </c>
      <c r="DF459" s="7">
        <f t="shared" si="279"/>
        <v>224</v>
      </c>
      <c r="DH459" s="7">
        <f t="shared" si="280"/>
        <v>12.200000000000001</v>
      </c>
      <c r="DI459" s="7">
        <f t="shared" si="281"/>
        <v>19.8</v>
      </c>
      <c r="DJ459" s="7">
        <f t="shared" si="282"/>
        <v>21.6</v>
      </c>
      <c r="DK459" s="7">
        <f t="shared" si="283"/>
        <v>24</v>
      </c>
      <c r="DL459" s="7">
        <f t="shared" si="284"/>
        <v>115</v>
      </c>
      <c r="DM459" s="7">
        <f t="shared" si="285"/>
        <v>134.79999999999998</v>
      </c>
      <c r="DN459" s="7">
        <f t="shared" si="286"/>
        <v>158.20000000000002</v>
      </c>
      <c r="DO459" s="7">
        <f t="shared" si="287"/>
        <v>181</v>
      </c>
      <c r="DP459" s="7">
        <f t="shared" si="288"/>
        <v>233.19999999999996</v>
      </c>
    </row>
    <row r="460" spans="1:130" ht="25.5" customHeight="1" x14ac:dyDescent="0.25">
      <c r="A460" s="92" t="str">
        <f t="shared" si="257"/>
        <v>CK-NoKy [32]</v>
      </c>
      <c r="B460" s="92" t="str">
        <f t="shared" si="258"/>
        <v>Nootka and Kyuquot</v>
      </c>
      <c r="C460" s="93" t="str">
        <f t="shared" si="262"/>
        <v>TSOWWIN RIVER_Chinook</v>
      </c>
      <c r="D460" s="128" t="s">
        <v>598</v>
      </c>
      <c r="E460" s="128" t="s">
        <v>598</v>
      </c>
      <c r="F460" s="64">
        <v>25</v>
      </c>
      <c r="G460" s="72" t="s">
        <v>229</v>
      </c>
      <c r="H460" s="65" t="s">
        <v>97</v>
      </c>
      <c r="I460" s="119"/>
      <c r="J460" s="119"/>
      <c r="K460" s="64">
        <v>3</v>
      </c>
      <c r="L460" s="52">
        <v>9</v>
      </c>
      <c r="M460" s="52">
        <v>8</v>
      </c>
      <c r="N460" s="52">
        <f t="shared" si="259"/>
        <v>4.4169339390322664</v>
      </c>
      <c r="O460" s="52">
        <f t="shared" si="260"/>
        <v>750</v>
      </c>
      <c r="P460" s="52">
        <f t="shared" si="261"/>
        <v>28.180537305271496</v>
      </c>
      <c r="Q460" s="66" t="s">
        <v>271</v>
      </c>
      <c r="R460" s="37"/>
      <c r="S460" s="74"/>
      <c r="T460" s="81">
        <f t="shared" si="263"/>
        <v>29</v>
      </c>
      <c r="U460" s="81">
        <f t="shared" si="264"/>
        <v>26.2</v>
      </c>
      <c r="V460" s="232" t="s">
        <v>262</v>
      </c>
      <c r="W460" s="52">
        <v>32</v>
      </c>
      <c r="X460" s="52" t="s">
        <v>262</v>
      </c>
      <c r="Y460" s="52">
        <v>26</v>
      </c>
      <c r="Z460" s="52" t="s">
        <v>102</v>
      </c>
      <c r="AA460" s="52" t="s">
        <v>102</v>
      </c>
      <c r="AB460" s="52" t="s">
        <v>102</v>
      </c>
      <c r="AC460" s="144" t="s">
        <v>102</v>
      </c>
      <c r="AD460" s="53">
        <v>39</v>
      </c>
      <c r="AE460" s="144">
        <v>31</v>
      </c>
      <c r="AF460" s="52" t="s">
        <v>262</v>
      </c>
      <c r="AG460" s="144">
        <v>3</v>
      </c>
      <c r="AH460" s="53">
        <v>4</v>
      </c>
      <c r="AI460" s="52" t="s">
        <v>263</v>
      </c>
      <c r="AJ460" s="53">
        <v>2</v>
      </c>
      <c r="AK460" s="53">
        <v>5</v>
      </c>
      <c r="AL460" s="89" t="s">
        <v>262</v>
      </c>
      <c r="AM460" s="52" t="s">
        <v>102</v>
      </c>
      <c r="AN460" s="52" t="s">
        <v>262</v>
      </c>
      <c r="AO460" s="53" t="s">
        <v>102</v>
      </c>
      <c r="AP460" s="53">
        <v>23</v>
      </c>
      <c r="AQ460" s="53">
        <v>4</v>
      </c>
      <c r="AR460" s="53">
        <v>3</v>
      </c>
      <c r="AS460" s="52">
        <v>2</v>
      </c>
      <c r="AT460" s="52">
        <v>2</v>
      </c>
      <c r="AU460" s="52">
        <v>16</v>
      </c>
      <c r="AV460" s="52">
        <v>4</v>
      </c>
      <c r="AW460" s="52">
        <v>4</v>
      </c>
      <c r="AX460" s="51" t="s">
        <v>264</v>
      </c>
      <c r="AY460" s="53">
        <v>10</v>
      </c>
      <c r="AZ460" s="53" t="s">
        <v>102</v>
      </c>
      <c r="BA460" s="53">
        <v>10</v>
      </c>
      <c r="BB460" s="53" t="s">
        <v>264</v>
      </c>
      <c r="BC460" s="53" t="s">
        <v>264</v>
      </c>
      <c r="BD460" s="53" t="s">
        <v>262</v>
      </c>
      <c r="BE460" s="53" t="s">
        <v>264</v>
      </c>
      <c r="BF460" s="53">
        <v>7</v>
      </c>
      <c r="BG460" s="53" t="s">
        <v>262</v>
      </c>
      <c r="BH460" s="53">
        <v>27</v>
      </c>
      <c r="BI460" s="53" t="s">
        <v>264</v>
      </c>
      <c r="BJ460" s="53" t="s">
        <v>264</v>
      </c>
      <c r="BK460" s="53">
        <v>10</v>
      </c>
      <c r="BL460" s="53" t="s">
        <v>264</v>
      </c>
      <c r="BM460" s="53">
        <v>40</v>
      </c>
      <c r="BN460" s="53">
        <v>40</v>
      </c>
      <c r="BO460" s="53">
        <v>10</v>
      </c>
      <c r="BP460" s="53" t="s">
        <v>264</v>
      </c>
      <c r="BQ460" s="53">
        <v>25</v>
      </c>
      <c r="BR460" s="53">
        <v>25</v>
      </c>
      <c r="BS460" s="53">
        <v>75</v>
      </c>
      <c r="BT460" s="53">
        <v>25</v>
      </c>
      <c r="BU460" s="53">
        <v>25</v>
      </c>
      <c r="BV460" s="53">
        <v>25</v>
      </c>
      <c r="BW460" s="53">
        <v>75</v>
      </c>
      <c r="BX460" s="53">
        <v>75</v>
      </c>
      <c r="BY460" s="53">
        <v>25</v>
      </c>
      <c r="BZ460" s="53">
        <v>750</v>
      </c>
      <c r="CA460" s="53">
        <v>750</v>
      </c>
      <c r="CB460" s="53">
        <v>750</v>
      </c>
      <c r="CC460" s="53">
        <v>200</v>
      </c>
      <c r="CD460" s="53">
        <v>200</v>
      </c>
      <c r="CE460" s="53">
        <v>200</v>
      </c>
      <c r="CF460" s="53">
        <v>75</v>
      </c>
      <c r="CG460" s="53">
        <v>75</v>
      </c>
      <c r="CH460" s="53">
        <v>25</v>
      </c>
      <c r="CI460" s="53" t="s">
        <v>262</v>
      </c>
      <c r="CJ460" s="53" t="s">
        <v>262</v>
      </c>
      <c r="CK460" s="53" t="s">
        <v>262</v>
      </c>
      <c r="CL460" s="53">
        <v>75</v>
      </c>
      <c r="CM460" s="53">
        <v>400</v>
      </c>
      <c r="CN460" s="206"/>
      <c r="CO460" s="206"/>
      <c r="CP460" s="206"/>
      <c r="CQ460" s="8">
        <f t="shared" si="265"/>
        <v>2</v>
      </c>
      <c r="CR460" s="8">
        <f t="shared" si="266"/>
        <v>750</v>
      </c>
      <c r="CS460" s="8">
        <f t="shared" si="267"/>
        <v>96.11363636363636</v>
      </c>
      <c r="CT460">
        <f t="shared" si="268"/>
        <v>25.892700230582221</v>
      </c>
      <c r="CU460" s="143">
        <f t="shared" si="269"/>
        <v>29</v>
      </c>
      <c r="CV460" s="143">
        <f t="shared" si="270"/>
        <v>26.2</v>
      </c>
      <c r="CX460" s="7">
        <f t="shared" si="271"/>
        <v>2.15</v>
      </c>
      <c r="CY460" s="7">
        <f t="shared" si="272"/>
        <v>4</v>
      </c>
      <c r="CZ460" s="7">
        <f t="shared" si="273"/>
        <v>4.5999999999999996</v>
      </c>
      <c r="DA460" s="7">
        <f t="shared" si="274"/>
        <v>9.25</v>
      </c>
      <c r="DB460" s="7">
        <f t="shared" si="275"/>
        <v>25</v>
      </c>
      <c r="DC460" s="7">
        <f t="shared" si="276"/>
        <v>30.200000000000003</v>
      </c>
      <c r="DD460" s="7">
        <f t="shared" si="277"/>
        <v>38.649999999999991</v>
      </c>
      <c r="DE460" s="7">
        <f t="shared" si="278"/>
        <v>75</v>
      </c>
      <c r="DF460" s="7">
        <f t="shared" si="279"/>
        <v>143.74999999999966</v>
      </c>
      <c r="DH460" s="7">
        <f t="shared" si="280"/>
        <v>2</v>
      </c>
      <c r="DI460" s="7">
        <f t="shared" si="281"/>
        <v>2.25</v>
      </c>
      <c r="DJ460" s="7">
        <f t="shared" si="282"/>
        <v>3</v>
      </c>
      <c r="DK460" s="7">
        <f t="shared" si="283"/>
        <v>3</v>
      </c>
      <c r="DL460" s="7">
        <f t="shared" si="284"/>
        <v>4</v>
      </c>
      <c r="DM460" s="7">
        <f t="shared" si="285"/>
        <v>5</v>
      </c>
      <c r="DN460" s="7">
        <f t="shared" si="286"/>
        <v>13.25</v>
      </c>
      <c r="DO460" s="7">
        <f t="shared" si="287"/>
        <v>23.75</v>
      </c>
      <c r="DP460" s="7">
        <f t="shared" si="288"/>
        <v>29.75</v>
      </c>
    </row>
    <row r="461" spans="1:130" ht="25.5" hidden="1" customHeight="1" x14ac:dyDescent="0.25">
      <c r="A461" s="92" t="str">
        <f t="shared" si="257"/>
        <v>CM-SWVI [10]</v>
      </c>
      <c r="B461" s="92" t="str">
        <f t="shared" si="258"/>
        <v>Southwest Vancouver Island</v>
      </c>
      <c r="C461" s="93" t="str">
        <f t="shared" si="262"/>
        <v>TSOWWIN RIVER_Chum</v>
      </c>
      <c r="D461" s="128" t="s">
        <v>598</v>
      </c>
      <c r="E461" s="128" t="s">
        <v>598</v>
      </c>
      <c r="F461" s="64">
        <v>25</v>
      </c>
      <c r="G461" s="72" t="s">
        <v>229</v>
      </c>
      <c r="H461" s="65" t="s">
        <v>96</v>
      </c>
      <c r="I461" s="119"/>
      <c r="J461" s="119"/>
      <c r="K461" s="64">
        <v>3</v>
      </c>
      <c r="L461" s="52">
        <v>9</v>
      </c>
      <c r="M461" s="52">
        <v>9</v>
      </c>
      <c r="N461" s="52">
        <f t="shared" si="259"/>
        <v>3655.6887628560876</v>
      </c>
      <c r="O461" s="52">
        <f t="shared" si="260"/>
        <v>45000</v>
      </c>
      <c r="P461" s="52">
        <f t="shared" si="261"/>
        <v>5301.9972214825093</v>
      </c>
      <c r="Q461" s="66" t="s">
        <v>271</v>
      </c>
      <c r="R461" s="37"/>
      <c r="S461" s="74"/>
      <c r="T461" s="81">
        <f t="shared" si="263"/>
        <v>301</v>
      </c>
      <c r="U461" s="81">
        <f t="shared" si="264"/>
        <v>1040.7142857142858</v>
      </c>
      <c r="V461" s="232" t="s">
        <v>262</v>
      </c>
      <c r="W461" s="52">
        <v>156</v>
      </c>
      <c r="X461" s="52">
        <v>260</v>
      </c>
      <c r="Y461" s="52">
        <v>487</v>
      </c>
      <c r="Z461" s="52" t="s">
        <v>102</v>
      </c>
      <c r="AA461" s="52" t="s">
        <v>102</v>
      </c>
      <c r="AB461" s="52" t="s">
        <v>102</v>
      </c>
      <c r="AC461" s="144" t="s">
        <v>102</v>
      </c>
      <c r="AD461" s="53">
        <v>1150</v>
      </c>
      <c r="AE461" s="144">
        <v>3112</v>
      </c>
      <c r="AF461" s="52">
        <v>1431</v>
      </c>
      <c r="AG461" s="144">
        <v>689</v>
      </c>
      <c r="AH461" s="53">
        <v>1522</v>
      </c>
      <c r="AI461" s="52">
        <v>12800</v>
      </c>
      <c r="AJ461" s="53">
        <v>4582</v>
      </c>
      <c r="AK461" s="53">
        <v>794</v>
      </c>
      <c r="AL461" s="89">
        <v>1472</v>
      </c>
      <c r="AM461" s="52" t="s">
        <v>102</v>
      </c>
      <c r="AN461" s="52">
        <v>19545</v>
      </c>
      <c r="AO461" s="57" t="s">
        <v>102</v>
      </c>
      <c r="AP461" s="53">
        <v>52</v>
      </c>
      <c r="AQ461" s="53">
        <v>11211</v>
      </c>
      <c r="AR461" s="53">
        <v>7844</v>
      </c>
      <c r="AS461" s="52">
        <v>5752</v>
      </c>
      <c r="AT461" s="52">
        <v>21980</v>
      </c>
      <c r="AU461" s="52">
        <v>8412</v>
      </c>
      <c r="AV461" s="52">
        <v>7286</v>
      </c>
      <c r="AW461" s="52">
        <v>1536</v>
      </c>
      <c r="AX461" s="51">
        <v>18000</v>
      </c>
      <c r="AY461" s="53">
        <v>32000</v>
      </c>
      <c r="AZ461" s="53">
        <v>45000</v>
      </c>
      <c r="BA461" s="53">
        <v>30700</v>
      </c>
      <c r="BB461" s="53">
        <v>2200</v>
      </c>
      <c r="BC461" s="53">
        <v>3000</v>
      </c>
      <c r="BD461" s="53">
        <v>13000</v>
      </c>
      <c r="BE461" s="53">
        <v>13000</v>
      </c>
      <c r="BF461" s="53">
        <v>17000</v>
      </c>
      <c r="BG461" s="53">
        <v>6380</v>
      </c>
      <c r="BH461" s="53">
        <v>9580</v>
      </c>
      <c r="BI461" s="53">
        <v>11000</v>
      </c>
      <c r="BJ461" s="53">
        <v>4500</v>
      </c>
      <c r="BK461" s="53">
        <v>4000</v>
      </c>
      <c r="BL461" s="53">
        <v>5900</v>
      </c>
      <c r="BM461" s="53">
        <v>1600</v>
      </c>
      <c r="BN461" s="53">
        <v>2500</v>
      </c>
      <c r="BO461" s="53">
        <v>500</v>
      </c>
      <c r="BP461" s="53">
        <v>1500</v>
      </c>
      <c r="BQ461" s="53">
        <v>7500</v>
      </c>
      <c r="BR461" s="53">
        <v>7500</v>
      </c>
      <c r="BS461" s="53">
        <v>7500</v>
      </c>
      <c r="BT461" s="53">
        <v>15000</v>
      </c>
      <c r="BU461" s="53">
        <v>3500</v>
      </c>
      <c r="BV461" s="53">
        <v>7500</v>
      </c>
      <c r="BW461" s="53">
        <v>7500</v>
      </c>
      <c r="BX461" s="53">
        <v>7500</v>
      </c>
      <c r="BY461" s="53">
        <v>7500</v>
      </c>
      <c r="BZ461" s="53">
        <v>8000</v>
      </c>
      <c r="CA461" s="53">
        <v>3500</v>
      </c>
      <c r="CB461" s="53">
        <v>15000</v>
      </c>
      <c r="CC461" s="53">
        <v>12000</v>
      </c>
      <c r="CD461" s="53">
        <v>3500</v>
      </c>
      <c r="CE461" s="53">
        <v>15000</v>
      </c>
      <c r="CF461" s="53">
        <v>15000</v>
      </c>
      <c r="CG461" s="53">
        <v>3500</v>
      </c>
      <c r="CH461" s="53">
        <v>7500</v>
      </c>
      <c r="CI461" s="53">
        <v>3500</v>
      </c>
      <c r="CJ461" s="53">
        <v>400</v>
      </c>
      <c r="CK461" s="53">
        <v>400</v>
      </c>
      <c r="CL461" s="53">
        <v>5000</v>
      </c>
      <c r="CM461" s="53">
        <v>3500</v>
      </c>
      <c r="CN461" s="206"/>
      <c r="CO461" s="206"/>
      <c r="CP461" s="206"/>
      <c r="CQ461" s="8">
        <f t="shared" si="265"/>
        <v>52</v>
      </c>
      <c r="CR461" s="8">
        <f t="shared" si="266"/>
        <v>45000</v>
      </c>
      <c r="CS461" s="8">
        <f t="shared" si="267"/>
        <v>7940.2063492063489</v>
      </c>
      <c r="CT461">
        <f t="shared" si="268"/>
        <v>4198.1392009257552</v>
      </c>
      <c r="CU461" s="143">
        <f t="shared" si="269"/>
        <v>301</v>
      </c>
      <c r="CV461" s="143">
        <f t="shared" si="270"/>
        <v>1040.7142857142858</v>
      </c>
      <c r="CX461" s="7">
        <f t="shared" si="271"/>
        <v>400</v>
      </c>
      <c r="CY461" s="7">
        <f t="shared" si="272"/>
        <v>1234.2999999999997</v>
      </c>
      <c r="CZ461" s="7">
        <f t="shared" si="273"/>
        <v>1508.8</v>
      </c>
      <c r="DA461" s="7">
        <f t="shared" si="274"/>
        <v>1900</v>
      </c>
      <c r="DB461" s="7">
        <f t="shared" si="275"/>
        <v>5900</v>
      </c>
      <c r="DC461" s="7">
        <f t="shared" si="276"/>
        <v>7500</v>
      </c>
      <c r="DD461" s="7">
        <f t="shared" si="277"/>
        <v>7500</v>
      </c>
      <c r="DE461" s="7">
        <f t="shared" si="278"/>
        <v>11105.5</v>
      </c>
      <c r="DF461" s="7">
        <f t="shared" si="279"/>
        <v>15000</v>
      </c>
      <c r="DH461" s="7">
        <f t="shared" si="280"/>
        <v>156</v>
      </c>
      <c r="DI461" s="7">
        <f t="shared" si="281"/>
        <v>487</v>
      </c>
      <c r="DJ461" s="7">
        <f t="shared" si="282"/>
        <v>689</v>
      </c>
      <c r="DK461" s="7">
        <f t="shared" si="283"/>
        <v>794</v>
      </c>
      <c r="DL461" s="7">
        <f t="shared" si="284"/>
        <v>1536</v>
      </c>
      <c r="DM461" s="7">
        <f t="shared" si="285"/>
        <v>4582</v>
      </c>
      <c r="DN461" s="7">
        <f t="shared" si="286"/>
        <v>5752</v>
      </c>
      <c r="DO461" s="7">
        <f t="shared" si="287"/>
        <v>7844</v>
      </c>
      <c r="DP461" s="7">
        <f t="shared" si="288"/>
        <v>11211</v>
      </c>
    </row>
    <row r="462" spans="1:130" ht="25.5" hidden="1" customHeight="1" x14ac:dyDescent="0.25">
      <c r="A462" s="92" t="str">
        <f t="shared" si="257"/>
        <v>CO-WVI [17]</v>
      </c>
      <c r="B462" s="92" t="str">
        <f t="shared" si="258"/>
        <v>West Vancouver Island</v>
      </c>
      <c r="C462" s="93" t="str">
        <f t="shared" si="262"/>
        <v>TSOWWIN RIVER_Coho</v>
      </c>
      <c r="D462" s="128" t="s">
        <v>598</v>
      </c>
      <c r="E462" s="128" t="s">
        <v>598</v>
      </c>
      <c r="F462" s="64">
        <v>25</v>
      </c>
      <c r="G462" s="72" t="s">
        <v>229</v>
      </c>
      <c r="H462" s="65" t="s">
        <v>93</v>
      </c>
      <c r="I462" s="119"/>
      <c r="J462" s="119"/>
      <c r="K462" s="64">
        <v>3</v>
      </c>
      <c r="L462" s="52">
        <v>9</v>
      </c>
      <c r="M462" s="52">
        <v>8</v>
      </c>
      <c r="N462" s="52">
        <f t="shared" si="259"/>
        <v>431.0203651449915</v>
      </c>
      <c r="O462" s="52">
        <f t="shared" si="260"/>
        <v>3500</v>
      </c>
      <c r="P462" s="52">
        <f t="shared" si="261"/>
        <v>270.80211028049393</v>
      </c>
      <c r="Q462" s="66" t="s">
        <v>271</v>
      </c>
      <c r="R462" s="37"/>
      <c r="S462" s="74"/>
      <c r="T462" s="81">
        <f t="shared" si="263"/>
        <v>79</v>
      </c>
      <c r="U462" s="81">
        <f t="shared" si="264"/>
        <v>224.42857142857142</v>
      </c>
      <c r="V462" s="232" t="s">
        <v>262</v>
      </c>
      <c r="W462" s="52">
        <v>199</v>
      </c>
      <c r="X462" s="52">
        <v>6</v>
      </c>
      <c r="Y462" s="52">
        <v>32</v>
      </c>
      <c r="Z462" s="52" t="s">
        <v>102</v>
      </c>
      <c r="AA462" s="52" t="s">
        <v>102</v>
      </c>
      <c r="AB462" s="52" t="s">
        <v>102</v>
      </c>
      <c r="AC462" s="144" t="s">
        <v>102</v>
      </c>
      <c r="AD462" s="53">
        <v>71</v>
      </c>
      <c r="AE462" s="144">
        <v>376</v>
      </c>
      <c r="AF462" s="52">
        <v>260</v>
      </c>
      <c r="AG462" s="144">
        <v>627</v>
      </c>
      <c r="AH462" s="53">
        <v>170</v>
      </c>
      <c r="AI462" s="52">
        <v>90</v>
      </c>
      <c r="AJ462" s="53">
        <v>322</v>
      </c>
      <c r="AK462" s="53">
        <v>417</v>
      </c>
      <c r="AL462" s="89">
        <v>24</v>
      </c>
      <c r="AM462" s="52" t="s">
        <v>102</v>
      </c>
      <c r="AN462" s="52">
        <v>1256</v>
      </c>
      <c r="AO462" s="53" t="s">
        <v>102</v>
      </c>
      <c r="AP462" s="53">
        <v>90</v>
      </c>
      <c r="AQ462" s="53">
        <v>537</v>
      </c>
      <c r="AR462" s="53">
        <v>2328</v>
      </c>
      <c r="AS462" s="52">
        <v>630</v>
      </c>
      <c r="AT462" s="52">
        <v>973</v>
      </c>
      <c r="AU462" s="52">
        <v>1238</v>
      </c>
      <c r="AV462" s="52">
        <v>276</v>
      </c>
      <c r="AW462" s="52" t="s">
        <v>262</v>
      </c>
      <c r="AX462" s="51" t="s">
        <v>262</v>
      </c>
      <c r="AY462" s="53" t="s">
        <v>262</v>
      </c>
      <c r="AZ462" s="53" t="s">
        <v>102</v>
      </c>
      <c r="BA462" s="53" t="s">
        <v>264</v>
      </c>
      <c r="BB462" s="53">
        <v>50</v>
      </c>
      <c r="BC462" s="53">
        <v>50</v>
      </c>
      <c r="BD462" s="53">
        <v>200</v>
      </c>
      <c r="BE462" s="53">
        <v>250</v>
      </c>
      <c r="BF462" s="53">
        <v>290</v>
      </c>
      <c r="BG462" s="53">
        <v>200</v>
      </c>
      <c r="BH462" s="53">
        <v>60</v>
      </c>
      <c r="BI462" s="53" t="s">
        <v>264</v>
      </c>
      <c r="BJ462" s="53" t="s">
        <v>264</v>
      </c>
      <c r="BK462" s="53">
        <v>320</v>
      </c>
      <c r="BL462" s="53">
        <v>100</v>
      </c>
      <c r="BM462" s="53">
        <v>150</v>
      </c>
      <c r="BN462" s="53">
        <v>150</v>
      </c>
      <c r="BO462" s="53">
        <v>200</v>
      </c>
      <c r="BP462" s="53">
        <v>400</v>
      </c>
      <c r="BQ462" s="53">
        <v>200</v>
      </c>
      <c r="BR462" s="53">
        <v>200</v>
      </c>
      <c r="BS462" s="53">
        <v>200</v>
      </c>
      <c r="BT462" s="53">
        <v>200</v>
      </c>
      <c r="BU462" s="53">
        <v>750</v>
      </c>
      <c r="BV462" s="53">
        <v>1500</v>
      </c>
      <c r="BW462" s="53">
        <v>200</v>
      </c>
      <c r="BX462" s="53">
        <v>400</v>
      </c>
      <c r="BY462" s="53">
        <v>400</v>
      </c>
      <c r="BZ462" s="53">
        <v>1500</v>
      </c>
      <c r="CA462" s="53">
        <v>1500</v>
      </c>
      <c r="CB462" s="53">
        <v>3500</v>
      </c>
      <c r="CC462" s="53">
        <v>350</v>
      </c>
      <c r="CD462" s="53">
        <v>400</v>
      </c>
      <c r="CE462" s="53">
        <v>200</v>
      </c>
      <c r="CF462" s="53">
        <v>75</v>
      </c>
      <c r="CG462" s="53">
        <v>200</v>
      </c>
      <c r="CH462" s="53">
        <v>75</v>
      </c>
      <c r="CI462" s="53">
        <v>75</v>
      </c>
      <c r="CJ462" s="53">
        <v>75</v>
      </c>
      <c r="CK462" s="53">
        <v>25</v>
      </c>
      <c r="CL462" s="53">
        <v>300</v>
      </c>
      <c r="CM462" s="53">
        <v>1500</v>
      </c>
      <c r="CN462" s="206"/>
      <c r="CO462" s="206"/>
      <c r="CP462" s="206"/>
      <c r="CQ462" s="8">
        <f t="shared" si="265"/>
        <v>6</v>
      </c>
      <c r="CR462" s="8">
        <f t="shared" si="266"/>
        <v>3500</v>
      </c>
      <c r="CS462" s="8">
        <f t="shared" si="267"/>
        <v>467.26785714285717</v>
      </c>
      <c r="CT462">
        <f t="shared" si="268"/>
        <v>234.61746475665586</v>
      </c>
      <c r="CU462" s="143">
        <f t="shared" si="269"/>
        <v>79</v>
      </c>
      <c r="CV462" s="143">
        <f t="shared" si="270"/>
        <v>224.42857142857142</v>
      </c>
      <c r="CX462" s="7">
        <f t="shared" si="271"/>
        <v>30.25</v>
      </c>
      <c r="CY462" s="7">
        <f t="shared" si="272"/>
        <v>75</v>
      </c>
      <c r="CZ462" s="7">
        <f t="shared" si="273"/>
        <v>75</v>
      </c>
      <c r="DA462" s="7">
        <f t="shared" si="274"/>
        <v>97.5</v>
      </c>
      <c r="DB462" s="7">
        <f t="shared" si="275"/>
        <v>200</v>
      </c>
      <c r="DC462" s="7">
        <f t="shared" si="276"/>
        <v>300</v>
      </c>
      <c r="DD462" s="7">
        <f t="shared" si="277"/>
        <v>343</v>
      </c>
      <c r="DE462" s="7">
        <f t="shared" si="278"/>
        <v>404.25</v>
      </c>
      <c r="DF462" s="7">
        <f t="shared" si="279"/>
        <v>917.25</v>
      </c>
      <c r="DH462" s="7">
        <f t="shared" si="280"/>
        <v>23.1</v>
      </c>
      <c r="DI462" s="7">
        <f t="shared" si="281"/>
        <v>65.150000000000006</v>
      </c>
      <c r="DJ462" s="7">
        <f t="shared" si="282"/>
        <v>86.200000000000017</v>
      </c>
      <c r="DK462" s="7">
        <f t="shared" si="283"/>
        <v>90</v>
      </c>
      <c r="DL462" s="7">
        <f t="shared" si="284"/>
        <v>299</v>
      </c>
      <c r="DM462" s="7">
        <f t="shared" si="285"/>
        <v>392.40000000000003</v>
      </c>
      <c r="DN462" s="7">
        <f t="shared" si="286"/>
        <v>458.99999999999994</v>
      </c>
      <c r="DO462" s="7">
        <f t="shared" si="287"/>
        <v>627.75</v>
      </c>
      <c r="DP462" s="7">
        <f t="shared" si="288"/>
        <v>1012.7499999999997</v>
      </c>
    </row>
    <row r="463" spans="1:130" ht="25.5" hidden="1" customHeight="1" x14ac:dyDescent="0.25">
      <c r="A463" s="92" t="str">
        <f t="shared" si="257"/>
        <v>SK-WVI [R10]</v>
      </c>
      <c r="B463" s="92" t="str">
        <f t="shared" si="258"/>
        <v>West Vancouver Island</v>
      </c>
      <c r="C463" s="93" t="str">
        <f t="shared" si="262"/>
        <v>TSOWWIN RIVER_Sockeye</v>
      </c>
      <c r="D463" s="128" t="s">
        <v>598</v>
      </c>
      <c r="E463" s="128" t="s">
        <v>598</v>
      </c>
      <c r="F463" s="64">
        <v>25</v>
      </c>
      <c r="G463" s="72" t="s">
        <v>229</v>
      </c>
      <c r="H463" s="65" t="s">
        <v>91</v>
      </c>
      <c r="I463" s="119"/>
      <c r="J463" s="119"/>
      <c r="K463" s="64">
        <v>3</v>
      </c>
      <c r="L463" s="52">
        <v>9</v>
      </c>
      <c r="M463" s="52">
        <v>8</v>
      </c>
      <c r="N463" s="52">
        <f t="shared" si="259"/>
        <v>19.517148940500341</v>
      </c>
      <c r="O463" s="52">
        <f t="shared" si="260"/>
        <v>275</v>
      </c>
      <c r="P463" s="52">
        <f t="shared" si="261"/>
        <v>20.220308664150682</v>
      </c>
      <c r="Q463" s="66" t="s">
        <v>271</v>
      </c>
      <c r="R463" s="37"/>
      <c r="S463" s="74"/>
      <c r="T463" s="81">
        <f t="shared" si="263"/>
        <v>18.666666666666668</v>
      </c>
      <c r="U463" s="81">
        <f t="shared" si="264"/>
        <v>21.6</v>
      </c>
      <c r="V463" s="232" t="s">
        <v>262</v>
      </c>
      <c r="W463" s="52">
        <v>36</v>
      </c>
      <c r="X463" s="52">
        <v>3</v>
      </c>
      <c r="Y463" s="52">
        <v>17</v>
      </c>
      <c r="Z463" s="52" t="s">
        <v>102</v>
      </c>
      <c r="AA463" s="52" t="s">
        <v>102</v>
      </c>
      <c r="AB463" s="52" t="s">
        <v>102</v>
      </c>
      <c r="AC463" s="144" t="s">
        <v>102</v>
      </c>
      <c r="AD463" s="53" t="s">
        <v>262</v>
      </c>
      <c r="AE463" s="144">
        <v>34</v>
      </c>
      <c r="AF463" s="52" t="s">
        <v>263</v>
      </c>
      <c r="AG463" s="144">
        <v>18</v>
      </c>
      <c r="AH463" s="53">
        <v>10</v>
      </c>
      <c r="AI463" s="52" t="s">
        <v>263</v>
      </c>
      <c r="AJ463" s="53" t="s">
        <v>262</v>
      </c>
      <c r="AK463" s="53" t="s">
        <v>262</v>
      </c>
      <c r="AL463" s="89" t="s">
        <v>262</v>
      </c>
      <c r="AM463" s="52" t="s">
        <v>102</v>
      </c>
      <c r="AN463" s="52">
        <v>37</v>
      </c>
      <c r="AO463" s="53" t="s">
        <v>102</v>
      </c>
      <c r="AP463" s="53">
        <v>12</v>
      </c>
      <c r="AQ463" s="53">
        <v>7</v>
      </c>
      <c r="AR463" s="53">
        <v>7</v>
      </c>
      <c r="AS463" s="52">
        <v>1</v>
      </c>
      <c r="AT463" s="52">
        <v>153</v>
      </c>
      <c r="AU463" s="52">
        <v>275</v>
      </c>
      <c r="AV463" s="52">
        <v>23</v>
      </c>
      <c r="AW463" s="52" t="s">
        <v>262</v>
      </c>
      <c r="AX463" s="51" t="s">
        <v>262</v>
      </c>
      <c r="AY463" s="53">
        <v>250</v>
      </c>
      <c r="AZ463" s="53" t="s">
        <v>102</v>
      </c>
      <c r="BA463" s="53" t="s">
        <v>264</v>
      </c>
      <c r="BB463" s="53">
        <v>20</v>
      </c>
      <c r="BC463" s="53">
        <v>2</v>
      </c>
      <c r="BD463" s="53" t="s">
        <v>264</v>
      </c>
      <c r="BE463" s="53" t="s">
        <v>264</v>
      </c>
      <c r="BF463" s="53" t="s">
        <v>264</v>
      </c>
      <c r="BG463" s="53" t="s">
        <v>264</v>
      </c>
      <c r="BH463" s="53" t="s">
        <v>262</v>
      </c>
      <c r="BI463" s="53" t="s">
        <v>264</v>
      </c>
      <c r="BJ463" s="53" t="s">
        <v>264</v>
      </c>
      <c r="BK463" s="53">
        <v>100</v>
      </c>
      <c r="BL463" s="53">
        <v>10</v>
      </c>
      <c r="BM463" s="53">
        <v>10</v>
      </c>
      <c r="BN463" s="53">
        <v>15</v>
      </c>
      <c r="BO463" s="53">
        <v>20</v>
      </c>
      <c r="BP463" s="53" t="s">
        <v>264</v>
      </c>
      <c r="BQ463" s="53" t="s">
        <v>264</v>
      </c>
      <c r="BR463" s="53">
        <v>25</v>
      </c>
      <c r="BS463" s="53" t="s">
        <v>264</v>
      </c>
      <c r="BT463" s="53" t="s">
        <v>264</v>
      </c>
      <c r="BU463" s="53" t="s">
        <v>264</v>
      </c>
      <c r="BV463" s="53" t="s">
        <v>264</v>
      </c>
      <c r="BW463" s="53" t="s">
        <v>264</v>
      </c>
      <c r="BX463" s="53" t="s">
        <v>264</v>
      </c>
      <c r="BY463" s="53" t="s">
        <v>264</v>
      </c>
      <c r="BZ463" s="53" t="s">
        <v>264</v>
      </c>
      <c r="CA463" s="53" t="s">
        <v>264</v>
      </c>
      <c r="CB463" s="53" t="s">
        <v>264</v>
      </c>
      <c r="CC463" s="53" t="s">
        <v>264</v>
      </c>
      <c r="CD463" s="53" t="s">
        <v>264</v>
      </c>
      <c r="CE463" s="53" t="s">
        <v>264</v>
      </c>
      <c r="CF463" s="53" t="s">
        <v>264</v>
      </c>
      <c r="CG463" s="53" t="s">
        <v>264</v>
      </c>
      <c r="CH463" s="53" t="s">
        <v>264</v>
      </c>
      <c r="CI463" s="53" t="s">
        <v>264</v>
      </c>
      <c r="CJ463" s="53" t="s">
        <v>264</v>
      </c>
      <c r="CK463" s="53" t="s">
        <v>264</v>
      </c>
      <c r="CL463" s="53" t="s">
        <v>264</v>
      </c>
      <c r="CM463" s="53" t="s">
        <v>264</v>
      </c>
      <c r="CN463" s="206"/>
      <c r="CO463" s="206"/>
      <c r="CP463" s="206"/>
      <c r="CQ463" s="8">
        <f t="shared" si="265"/>
        <v>1</v>
      </c>
      <c r="CR463" s="8">
        <f t="shared" si="266"/>
        <v>275</v>
      </c>
      <c r="CS463" s="8">
        <f t="shared" si="267"/>
        <v>47.173913043478258</v>
      </c>
      <c r="CT463">
        <f t="shared" si="268"/>
        <v>18.693747145207592</v>
      </c>
      <c r="CU463" s="143">
        <f t="shared" si="269"/>
        <v>18.666666666666668</v>
      </c>
      <c r="CV463" s="143">
        <f t="shared" si="270"/>
        <v>21.6</v>
      </c>
      <c r="CX463" s="7">
        <f t="shared" si="271"/>
        <v>2.1</v>
      </c>
      <c r="CY463" s="7">
        <f t="shared" si="272"/>
        <v>7</v>
      </c>
      <c r="CZ463" s="7">
        <f t="shared" si="273"/>
        <v>8.2000000000000011</v>
      </c>
      <c r="DA463" s="7">
        <f t="shared" si="274"/>
        <v>10</v>
      </c>
      <c r="DB463" s="7">
        <f t="shared" si="275"/>
        <v>18</v>
      </c>
      <c r="DC463" s="7">
        <f t="shared" si="276"/>
        <v>20.599999999999998</v>
      </c>
      <c r="DD463" s="7">
        <f t="shared" si="277"/>
        <v>23.6</v>
      </c>
      <c r="DE463" s="7">
        <f t="shared" si="278"/>
        <v>35</v>
      </c>
      <c r="DF463" s="7">
        <f t="shared" si="279"/>
        <v>81.099999999999952</v>
      </c>
      <c r="DH463" s="7">
        <f t="shared" si="280"/>
        <v>2.2999999999999998</v>
      </c>
      <c r="DI463" s="7">
        <f t="shared" si="281"/>
        <v>6.8000000000000007</v>
      </c>
      <c r="DJ463" s="7">
        <f t="shared" si="282"/>
        <v>7</v>
      </c>
      <c r="DK463" s="7">
        <f t="shared" si="283"/>
        <v>7.75</v>
      </c>
      <c r="DL463" s="7">
        <f t="shared" si="284"/>
        <v>17.5</v>
      </c>
      <c r="DM463" s="7">
        <f t="shared" si="285"/>
        <v>22.000000000000004</v>
      </c>
      <c r="DN463" s="7">
        <f t="shared" si="286"/>
        <v>27.95000000000001</v>
      </c>
      <c r="DO463" s="7">
        <f t="shared" si="287"/>
        <v>35.5</v>
      </c>
      <c r="DP463" s="7">
        <f t="shared" si="288"/>
        <v>42.799999999999876</v>
      </c>
    </row>
    <row r="464" spans="1:130" ht="25.5" customHeight="1" x14ac:dyDescent="0.25">
      <c r="A464" s="92" t="str">
        <f t="shared" si="257"/>
        <v>CK-NoKy [32]</v>
      </c>
      <c r="B464" s="92" t="str">
        <f t="shared" si="258"/>
        <v>Nootka and Kyuquot</v>
      </c>
      <c r="C464" s="93" t="str">
        <f t="shared" si="262"/>
        <v>ZEBALLOS RIVER_Chinook</v>
      </c>
      <c r="D464" s="128" t="s">
        <v>598</v>
      </c>
      <c r="E464" s="128" t="s">
        <v>598</v>
      </c>
      <c r="F464" s="64">
        <v>25</v>
      </c>
      <c r="G464" s="72" t="s">
        <v>241</v>
      </c>
      <c r="H464" s="65" t="s">
        <v>97</v>
      </c>
      <c r="I464" s="119"/>
      <c r="J464" s="119"/>
      <c r="K464" s="64">
        <v>3</v>
      </c>
      <c r="L464" s="52">
        <v>11</v>
      </c>
      <c r="M464" s="52">
        <v>11</v>
      </c>
      <c r="N464" s="52">
        <f t="shared" si="259"/>
        <v>234.93701147489654</v>
      </c>
      <c r="O464" s="52">
        <f t="shared" si="260"/>
        <v>862</v>
      </c>
      <c r="P464" s="52">
        <f t="shared" si="261"/>
        <v>103.38083138777687</v>
      </c>
      <c r="Q464" s="66" t="s">
        <v>268</v>
      </c>
      <c r="R464" s="37"/>
      <c r="S464" s="74" t="s">
        <v>1</v>
      </c>
      <c r="T464" s="81">
        <f t="shared" si="263"/>
        <v>143.33333333333334</v>
      </c>
      <c r="U464" s="81">
        <f t="shared" si="264"/>
        <v>241.09090909090909</v>
      </c>
      <c r="V464" s="233">
        <v>32</v>
      </c>
      <c r="W464" s="52">
        <v>192</v>
      </c>
      <c r="X464" s="52">
        <v>206</v>
      </c>
      <c r="Y464" s="177" t="s">
        <v>263</v>
      </c>
      <c r="Z464" s="52">
        <v>567</v>
      </c>
      <c r="AA464" s="52">
        <v>500</v>
      </c>
      <c r="AB464" s="52">
        <v>376</v>
      </c>
      <c r="AC464" s="52">
        <v>266</v>
      </c>
      <c r="AD464" s="179">
        <v>64</v>
      </c>
      <c r="AE464" s="144">
        <v>284</v>
      </c>
      <c r="AF464" s="177">
        <v>59</v>
      </c>
      <c r="AG464" s="180">
        <v>106</v>
      </c>
      <c r="AH464" s="179">
        <v>120</v>
      </c>
      <c r="AI464" s="179">
        <v>98</v>
      </c>
      <c r="AJ464" s="53">
        <v>430</v>
      </c>
      <c r="AK464" s="53">
        <v>421</v>
      </c>
      <c r="AL464" s="89">
        <v>440</v>
      </c>
      <c r="AM464" s="52">
        <v>41</v>
      </c>
      <c r="AN464" s="52">
        <v>393</v>
      </c>
      <c r="AO464" s="53">
        <v>69</v>
      </c>
      <c r="AP464" s="53">
        <v>148</v>
      </c>
      <c r="AQ464" s="53">
        <v>100</v>
      </c>
      <c r="AR464" s="53">
        <v>55</v>
      </c>
      <c r="AS464" s="52">
        <v>686</v>
      </c>
      <c r="AT464" s="52">
        <v>674</v>
      </c>
      <c r="AU464" s="52">
        <v>862</v>
      </c>
      <c r="AV464" s="52">
        <v>346</v>
      </c>
      <c r="AW464" s="52">
        <v>157</v>
      </c>
      <c r="AX464" s="51">
        <v>150</v>
      </c>
      <c r="AY464" s="53">
        <v>350</v>
      </c>
      <c r="AZ464" s="53">
        <v>550</v>
      </c>
      <c r="BA464" s="53">
        <v>200</v>
      </c>
      <c r="BB464" s="53">
        <v>150</v>
      </c>
      <c r="BC464" s="53">
        <v>225</v>
      </c>
      <c r="BD464" s="53">
        <v>1</v>
      </c>
      <c r="BE464" s="53">
        <v>75</v>
      </c>
      <c r="BF464" s="53" t="s">
        <v>262</v>
      </c>
      <c r="BG464" s="53" t="s">
        <v>262</v>
      </c>
      <c r="BH464" s="53">
        <v>20</v>
      </c>
      <c r="BI464" s="53">
        <v>27</v>
      </c>
      <c r="BJ464" s="53">
        <v>100</v>
      </c>
      <c r="BK464" s="53">
        <v>100</v>
      </c>
      <c r="BL464" s="53">
        <v>50</v>
      </c>
      <c r="BM464" s="53">
        <v>100</v>
      </c>
      <c r="BN464" s="53">
        <v>200</v>
      </c>
      <c r="BO464" s="53">
        <v>100</v>
      </c>
      <c r="BP464" s="53">
        <v>25</v>
      </c>
      <c r="BQ464" s="53">
        <v>200</v>
      </c>
      <c r="BR464" s="53">
        <v>25</v>
      </c>
      <c r="BS464" s="53">
        <v>75</v>
      </c>
      <c r="BT464" s="53">
        <v>25</v>
      </c>
      <c r="BU464" s="53">
        <v>25</v>
      </c>
      <c r="BV464" s="53">
        <v>50</v>
      </c>
      <c r="BW464" s="53">
        <v>25</v>
      </c>
      <c r="BX464" s="53">
        <v>25</v>
      </c>
      <c r="BY464" s="53">
        <v>75</v>
      </c>
      <c r="BZ464" s="53">
        <v>750</v>
      </c>
      <c r="CA464" s="53">
        <v>400</v>
      </c>
      <c r="CB464" s="53">
        <v>400</v>
      </c>
      <c r="CC464" s="53">
        <v>25</v>
      </c>
      <c r="CD464" s="53">
        <v>75</v>
      </c>
      <c r="CE464" s="53">
        <v>25</v>
      </c>
      <c r="CF464" s="53">
        <v>75</v>
      </c>
      <c r="CG464" s="53">
        <v>200</v>
      </c>
      <c r="CH464" s="53">
        <v>75</v>
      </c>
      <c r="CI464" s="53">
        <v>75</v>
      </c>
      <c r="CJ464" s="53">
        <v>75</v>
      </c>
      <c r="CK464" s="53">
        <v>25</v>
      </c>
      <c r="CL464" s="53">
        <v>100</v>
      </c>
      <c r="CM464" s="53">
        <v>400</v>
      </c>
      <c r="CN464" s="206"/>
      <c r="CO464" s="206"/>
      <c r="CP464" s="206"/>
      <c r="CQ464" s="8">
        <f t="shared" si="265"/>
        <v>1</v>
      </c>
      <c r="CR464" s="8">
        <f t="shared" si="266"/>
        <v>862</v>
      </c>
      <c r="CS464" s="8">
        <f t="shared" si="267"/>
        <v>199.1044776119403</v>
      </c>
      <c r="CT464">
        <f t="shared" si="268"/>
        <v>112.62977531462838</v>
      </c>
      <c r="CU464" s="143">
        <f t="shared" si="269"/>
        <v>249.25</v>
      </c>
      <c r="CV464" s="143">
        <f t="shared" si="270"/>
        <v>241.09090909090909</v>
      </c>
      <c r="CX464" s="7">
        <f t="shared" si="271"/>
        <v>25</v>
      </c>
      <c r="CY464" s="7">
        <f t="shared" si="272"/>
        <v>25</v>
      </c>
      <c r="CZ464" s="7">
        <f t="shared" si="273"/>
        <v>42.800000000000011</v>
      </c>
      <c r="DA464" s="7">
        <f t="shared" si="274"/>
        <v>57</v>
      </c>
      <c r="DB464" s="7">
        <f t="shared" si="275"/>
        <v>100</v>
      </c>
      <c r="DC464" s="7">
        <f t="shared" si="276"/>
        <v>154.20000000000002</v>
      </c>
      <c r="DD464" s="7">
        <f t="shared" si="277"/>
        <v>200</v>
      </c>
      <c r="DE464" s="7">
        <f t="shared" si="278"/>
        <v>315</v>
      </c>
      <c r="DF464" s="7">
        <f t="shared" si="279"/>
        <v>402.1</v>
      </c>
      <c r="DH464" s="7">
        <f t="shared" si="280"/>
        <v>45.199999999999996</v>
      </c>
      <c r="DI464" s="7">
        <f t="shared" si="281"/>
        <v>63.5</v>
      </c>
      <c r="DJ464" s="7">
        <f t="shared" si="282"/>
        <v>74.800000000000011</v>
      </c>
      <c r="DK464" s="7">
        <f t="shared" si="283"/>
        <v>99</v>
      </c>
      <c r="DL464" s="7">
        <f t="shared" si="284"/>
        <v>206</v>
      </c>
      <c r="DM464" s="7">
        <f t="shared" si="285"/>
        <v>321.2000000000001</v>
      </c>
      <c r="DN464" s="7">
        <f t="shared" si="286"/>
        <v>373.00000000000006</v>
      </c>
      <c r="DO464" s="7">
        <f t="shared" si="287"/>
        <v>425.5</v>
      </c>
      <c r="DP464" s="7">
        <f t="shared" si="288"/>
        <v>506.69999999999987</v>
      </c>
    </row>
    <row r="465" spans="1:130" ht="25.5" hidden="1" customHeight="1" x14ac:dyDescent="0.25">
      <c r="A465" s="92" t="str">
        <f t="shared" si="257"/>
        <v>CM-SWVI [10]</v>
      </c>
      <c r="B465" s="92" t="str">
        <f t="shared" si="258"/>
        <v>Southwest Vancouver Island</v>
      </c>
      <c r="C465" s="93" t="str">
        <f t="shared" si="262"/>
        <v>ZEBALLOS RIVER_Chum</v>
      </c>
      <c r="D465" s="128" t="s">
        <v>598</v>
      </c>
      <c r="E465" s="128" t="s">
        <v>598</v>
      </c>
      <c r="F465" s="64">
        <v>25</v>
      </c>
      <c r="G465" s="72" t="s">
        <v>241</v>
      </c>
      <c r="H465" s="65" t="s">
        <v>96</v>
      </c>
      <c r="I465" s="119"/>
      <c r="J465" s="119"/>
      <c r="K465" s="64">
        <v>3</v>
      </c>
      <c r="L465" s="52">
        <v>11</v>
      </c>
      <c r="M465" s="52">
        <v>11</v>
      </c>
      <c r="N465" s="52">
        <f t="shared" si="259"/>
        <v>6953.0887235336413</v>
      </c>
      <c r="O465" s="52">
        <f t="shared" si="260"/>
        <v>23700</v>
      </c>
      <c r="P465" s="52">
        <f t="shared" si="261"/>
        <v>5817.7224980121828</v>
      </c>
      <c r="Q465" s="66" t="s">
        <v>268</v>
      </c>
      <c r="R465" s="37"/>
      <c r="S465" s="74" t="s">
        <v>1</v>
      </c>
      <c r="T465" s="81">
        <f t="shared" si="263"/>
        <v>2976.5</v>
      </c>
      <c r="U465" s="81">
        <f t="shared" si="264"/>
        <v>5983.666666666667</v>
      </c>
      <c r="V465" s="233">
        <v>3439</v>
      </c>
      <c r="W465" s="52">
        <v>1311</v>
      </c>
      <c r="X465" s="52">
        <v>4053</v>
      </c>
      <c r="Y465" s="52">
        <v>3103</v>
      </c>
      <c r="Z465" s="52">
        <v>9893</v>
      </c>
      <c r="AA465" s="52">
        <v>4464</v>
      </c>
      <c r="AB465" s="52">
        <v>18400</v>
      </c>
      <c r="AC465" s="52">
        <v>10328</v>
      </c>
      <c r="AD465" s="53">
        <v>2190</v>
      </c>
      <c r="AE465" s="144">
        <v>4101</v>
      </c>
      <c r="AF465" s="52">
        <v>3067</v>
      </c>
      <c r="AG465" s="144">
        <v>7455</v>
      </c>
      <c r="AH465" s="53">
        <v>1450</v>
      </c>
      <c r="AI465" s="53">
        <v>4575</v>
      </c>
      <c r="AJ465" s="53">
        <v>2134</v>
      </c>
      <c r="AK465" s="53">
        <v>5140</v>
      </c>
      <c r="AL465" s="89">
        <v>7780</v>
      </c>
      <c r="AM465" s="52">
        <v>11100</v>
      </c>
      <c r="AN465" s="52">
        <v>10515</v>
      </c>
      <c r="AO465" s="53">
        <v>9500</v>
      </c>
      <c r="AP465" s="53">
        <v>6594</v>
      </c>
      <c r="AQ465" s="53">
        <v>4000</v>
      </c>
      <c r="AR465" s="53">
        <v>4000</v>
      </c>
      <c r="AS465" s="52">
        <v>10572</v>
      </c>
      <c r="AT465" s="52">
        <v>18634</v>
      </c>
      <c r="AU465" s="52">
        <v>12296</v>
      </c>
      <c r="AV465" s="52">
        <v>8509</v>
      </c>
      <c r="AW465" s="52">
        <v>3000</v>
      </c>
      <c r="AX465" s="51">
        <v>13000</v>
      </c>
      <c r="AY465" s="53">
        <v>10000</v>
      </c>
      <c r="AZ465" s="53">
        <v>23700</v>
      </c>
      <c r="BA465" s="53">
        <v>16500</v>
      </c>
      <c r="BB465" s="53">
        <v>4000</v>
      </c>
      <c r="BC465" s="53">
        <v>3500</v>
      </c>
      <c r="BD465" s="53">
        <v>2000</v>
      </c>
      <c r="BE465" s="53">
        <v>3500</v>
      </c>
      <c r="BF465" s="53">
        <v>3500</v>
      </c>
      <c r="BG465" s="53">
        <v>5250</v>
      </c>
      <c r="BH465" s="53">
        <v>7000</v>
      </c>
      <c r="BI465" s="53">
        <v>7500</v>
      </c>
      <c r="BJ465" s="53">
        <v>11000</v>
      </c>
      <c r="BK465" s="53">
        <v>7000</v>
      </c>
      <c r="BL465" s="53">
        <v>8500</v>
      </c>
      <c r="BM465" s="53">
        <v>700</v>
      </c>
      <c r="BN465" s="53">
        <v>10000</v>
      </c>
      <c r="BO465" s="53">
        <v>5000</v>
      </c>
      <c r="BP465" s="53">
        <v>1500</v>
      </c>
      <c r="BQ465" s="53">
        <v>3500</v>
      </c>
      <c r="BR465" s="53">
        <v>7500</v>
      </c>
      <c r="BS465" s="53">
        <v>15000</v>
      </c>
      <c r="BT465" s="53">
        <v>15000</v>
      </c>
      <c r="BU465" s="53">
        <v>1500</v>
      </c>
      <c r="BV465" s="53">
        <v>5000</v>
      </c>
      <c r="BW465" s="53">
        <v>1500</v>
      </c>
      <c r="BX465" s="53">
        <v>3500</v>
      </c>
      <c r="BY465" s="53">
        <v>3500</v>
      </c>
      <c r="BZ465" s="53">
        <v>8000</v>
      </c>
      <c r="CA465" s="53">
        <v>3500</v>
      </c>
      <c r="CB465" s="53">
        <v>7500</v>
      </c>
      <c r="CC465" s="53">
        <v>3000</v>
      </c>
      <c r="CD465" s="53">
        <v>3500</v>
      </c>
      <c r="CE465" s="53">
        <v>3500</v>
      </c>
      <c r="CF465" s="53">
        <v>15000</v>
      </c>
      <c r="CG465" s="53">
        <v>15000</v>
      </c>
      <c r="CH465" s="53">
        <v>15000</v>
      </c>
      <c r="CI465" s="53">
        <v>3500</v>
      </c>
      <c r="CJ465" s="53">
        <v>7500</v>
      </c>
      <c r="CK465" s="53">
        <v>3500</v>
      </c>
      <c r="CL465" s="53">
        <v>4500</v>
      </c>
      <c r="CM465" s="53">
        <v>7500</v>
      </c>
      <c r="CN465" s="206"/>
      <c r="CO465" s="206"/>
      <c r="CP465" s="206"/>
      <c r="CQ465" s="8">
        <f t="shared" si="265"/>
        <v>700</v>
      </c>
      <c r="CR465" s="8">
        <f t="shared" si="266"/>
        <v>23700</v>
      </c>
      <c r="CS465" s="8">
        <f t="shared" si="267"/>
        <v>7017.9</v>
      </c>
      <c r="CT465">
        <f t="shared" si="268"/>
        <v>5466.1848525121941</v>
      </c>
      <c r="CU465" s="143">
        <f t="shared" si="269"/>
        <v>4359.8</v>
      </c>
      <c r="CV465" s="143">
        <f t="shared" si="270"/>
        <v>5983.666666666667</v>
      </c>
      <c r="CX465" s="7">
        <f t="shared" si="271"/>
        <v>1500</v>
      </c>
      <c r="CY465" s="7">
        <f t="shared" si="272"/>
        <v>3023.45</v>
      </c>
      <c r="CZ465" s="7">
        <f t="shared" si="273"/>
        <v>3487.8</v>
      </c>
      <c r="DA465" s="7">
        <f t="shared" si="274"/>
        <v>3500</v>
      </c>
      <c r="DB465" s="7">
        <f t="shared" si="275"/>
        <v>5070</v>
      </c>
      <c r="DC465" s="7">
        <f t="shared" si="276"/>
        <v>7500</v>
      </c>
      <c r="DD465" s="7">
        <f t="shared" si="277"/>
        <v>7500</v>
      </c>
      <c r="DE465" s="7">
        <f t="shared" si="278"/>
        <v>9973.25</v>
      </c>
      <c r="DF465" s="7">
        <f t="shared" si="279"/>
        <v>11877.399999999998</v>
      </c>
      <c r="DH465" s="7">
        <f t="shared" si="280"/>
        <v>1689.4</v>
      </c>
      <c r="DI465" s="7">
        <f t="shared" si="281"/>
        <v>3003.35</v>
      </c>
      <c r="DJ465" s="7">
        <f t="shared" si="282"/>
        <v>3081.4</v>
      </c>
      <c r="DK465" s="7">
        <f t="shared" si="283"/>
        <v>3355</v>
      </c>
      <c r="DL465" s="7">
        <f t="shared" si="284"/>
        <v>4857.5</v>
      </c>
      <c r="DM465" s="7">
        <f t="shared" si="285"/>
        <v>7520</v>
      </c>
      <c r="DN465" s="7">
        <f t="shared" si="286"/>
        <v>8180.9500000000007</v>
      </c>
      <c r="DO465" s="7">
        <f t="shared" si="287"/>
        <v>10001.75</v>
      </c>
      <c r="DP465" s="7">
        <f t="shared" si="288"/>
        <v>10569.15</v>
      </c>
    </row>
    <row r="466" spans="1:130" ht="25.5" hidden="1" customHeight="1" x14ac:dyDescent="0.25">
      <c r="A466" s="92" t="str">
        <f t="shared" ref="A466:A497" si="289">VLOOKUP(C466,CU,6,FALSE)</f>
        <v>CO-WVI [17]</v>
      </c>
      <c r="B466" s="92" t="str">
        <f t="shared" ref="B466:B497" si="290">VLOOKUP(C466,CU,7,FALSE)</f>
        <v>West Vancouver Island</v>
      </c>
      <c r="C466" s="93" t="str">
        <f t="shared" si="262"/>
        <v>ZEBALLOS RIVER_Coho</v>
      </c>
      <c r="D466" s="128" t="s">
        <v>598</v>
      </c>
      <c r="E466" s="128" t="s">
        <v>598</v>
      </c>
      <c r="F466" s="64">
        <v>25</v>
      </c>
      <c r="G466" s="72" t="s">
        <v>241</v>
      </c>
      <c r="H466" s="65" t="s">
        <v>93</v>
      </c>
      <c r="I466" s="119"/>
      <c r="J466" s="119"/>
      <c r="K466" s="64">
        <v>3</v>
      </c>
      <c r="L466" s="52">
        <v>11</v>
      </c>
      <c r="M466" s="52">
        <v>11</v>
      </c>
      <c r="N466" s="52">
        <f t="shared" ref="N466:N476" si="291">GEOMEAN(AJ466:AW466)</f>
        <v>280.91524299821612</v>
      </c>
      <c r="O466" s="52">
        <f t="shared" ref="O466:O476" si="292">MAX(AJ466:CM466)</f>
        <v>7500</v>
      </c>
      <c r="P466" s="52">
        <f t="shared" ref="P466:P476" si="293">GEOMEAN(AJ466:CM466)</f>
        <v>294.9887224120651</v>
      </c>
      <c r="Q466" s="66" t="s">
        <v>268</v>
      </c>
      <c r="R466" s="37"/>
      <c r="S466" s="74" t="s">
        <v>1</v>
      </c>
      <c r="T466" s="81">
        <f t="shared" si="263"/>
        <v>149.5</v>
      </c>
      <c r="U466" s="81">
        <f t="shared" si="264"/>
        <v>328.08333333333331</v>
      </c>
      <c r="V466" s="233">
        <v>100</v>
      </c>
      <c r="W466" s="52">
        <v>121</v>
      </c>
      <c r="X466" s="52">
        <v>177</v>
      </c>
      <c r="Y466" s="52">
        <v>200</v>
      </c>
      <c r="Z466" s="52">
        <v>484</v>
      </c>
      <c r="AA466" s="52">
        <v>422</v>
      </c>
      <c r="AB466" s="52">
        <v>739</v>
      </c>
      <c r="AC466" s="52">
        <v>474</v>
      </c>
      <c r="AD466" s="53">
        <v>233</v>
      </c>
      <c r="AE466" s="144">
        <v>509</v>
      </c>
      <c r="AF466" s="52">
        <v>148</v>
      </c>
      <c r="AG466" s="144">
        <v>330</v>
      </c>
      <c r="AH466" s="53">
        <v>240</v>
      </c>
      <c r="AI466" s="53">
        <v>485</v>
      </c>
      <c r="AJ466" s="53">
        <v>670</v>
      </c>
      <c r="AK466" s="53">
        <v>133</v>
      </c>
      <c r="AL466" s="89">
        <v>722</v>
      </c>
      <c r="AM466" s="52">
        <v>75</v>
      </c>
      <c r="AN466" s="53">
        <v>467</v>
      </c>
      <c r="AO466" s="53">
        <v>310</v>
      </c>
      <c r="AP466" s="53">
        <v>528</v>
      </c>
      <c r="AQ466" s="53">
        <v>200</v>
      </c>
      <c r="AR466" s="53">
        <v>75</v>
      </c>
      <c r="AS466" s="52">
        <v>522</v>
      </c>
      <c r="AT466" s="52">
        <v>578</v>
      </c>
      <c r="AU466" s="52">
        <v>555</v>
      </c>
      <c r="AV466" s="52">
        <v>170</v>
      </c>
      <c r="AW466" s="52">
        <v>121</v>
      </c>
      <c r="AX466" s="51">
        <v>200</v>
      </c>
      <c r="AY466" s="53">
        <v>50</v>
      </c>
      <c r="AZ466" s="53">
        <v>475</v>
      </c>
      <c r="BA466" s="53">
        <v>750</v>
      </c>
      <c r="BB466" s="53">
        <v>300</v>
      </c>
      <c r="BC466" s="53">
        <v>200</v>
      </c>
      <c r="BD466" s="53">
        <v>100</v>
      </c>
      <c r="BE466" s="53">
        <v>500</v>
      </c>
      <c r="BF466" s="53">
        <v>250</v>
      </c>
      <c r="BG466" s="53">
        <v>200</v>
      </c>
      <c r="BH466" s="53" t="s">
        <v>262</v>
      </c>
      <c r="BI466" s="53">
        <v>165</v>
      </c>
      <c r="BJ466" s="53" t="s">
        <v>264</v>
      </c>
      <c r="BK466" s="53" t="s">
        <v>264</v>
      </c>
      <c r="BL466" s="53">
        <v>100</v>
      </c>
      <c r="BM466" s="53">
        <v>300</v>
      </c>
      <c r="BN466" s="53">
        <v>300</v>
      </c>
      <c r="BO466" s="53">
        <v>150</v>
      </c>
      <c r="BP466" s="53">
        <v>75</v>
      </c>
      <c r="BQ466" s="53">
        <v>400</v>
      </c>
      <c r="BR466" s="53">
        <v>200</v>
      </c>
      <c r="BS466" s="53">
        <v>400</v>
      </c>
      <c r="BT466" s="53">
        <v>400</v>
      </c>
      <c r="BU466" s="53">
        <v>200</v>
      </c>
      <c r="BV466" s="53">
        <v>250</v>
      </c>
      <c r="BW466" s="53">
        <v>200</v>
      </c>
      <c r="BX466" s="53">
        <v>200</v>
      </c>
      <c r="BY466" s="53">
        <v>200</v>
      </c>
      <c r="BZ466" s="53">
        <v>750</v>
      </c>
      <c r="CA466" s="53">
        <v>750</v>
      </c>
      <c r="CB466" s="53">
        <v>750</v>
      </c>
      <c r="CC466" s="53">
        <v>400</v>
      </c>
      <c r="CD466" s="53">
        <v>750</v>
      </c>
      <c r="CE466" s="53">
        <v>200</v>
      </c>
      <c r="CF466" s="53">
        <v>400</v>
      </c>
      <c r="CG466" s="53">
        <v>750</v>
      </c>
      <c r="CH466" s="53">
        <v>200</v>
      </c>
      <c r="CI466" s="53">
        <v>200</v>
      </c>
      <c r="CJ466" s="53">
        <v>400</v>
      </c>
      <c r="CK466" s="53">
        <v>200</v>
      </c>
      <c r="CL466" s="53">
        <v>500</v>
      </c>
      <c r="CM466" s="53">
        <v>7500</v>
      </c>
      <c r="CN466" s="206"/>
      <c r="CO466" s="206"/>
      <c r="CP466" s="206"/>
      <c r="CQ466" s="8">
        <f t="shared" si="265"/>
        <v>50</v>
      </c>
      <c r="CR466" s="8">
        <f t="shared" si="266"/>
        <v>7500</v>
      </c>
      <c r="CS466" s="8">
        <f t="shared" si="267"/>
        <v>449.29850746268659</v>
      </c>
      <c r="CT466">
        <f t="shared" si="268"/>
        <v>292.34347818684637</v>
      </c>
      <c r="CU466" s="143">
        <f t="shared" si="269"/>
        <v>216.4</v>
      </c>
      <c r="CV466" s="143">
        <f t="shared" si="270"/>
        <v>328.08333333333331</v>
      </c>
      <c r="CX466" s="7">
        <f t="shared" si="271"/>
        <v>82.500000000000014</v>
      </c>
      <c r="CY466" s="7">
        <f t="shared" si="272"/>
        <v>146.5</v>
      </c>
      <c r="CZ466" s="7">
        <f t="shared" si="273"/>
        <v>171.4</v>
      </c>
      <c r="DA466" s="7">
        <f t="shared" si="274"/>
        <v>200</v>
      </c>
      <c r="DB466" s="7">
        <f t="shared" si="275"/>
        <v>300</v>
      </c>
      <c r="DC466" s="7">
        <f t="shared" si="276"/>
        <v>400</v>
      </c>
      <c r="DD466" s="7">
        <f t="shared" si="277"/>
        <v>400</v>
      </c>
      <c r="DE466" s="7">
        <f t="shared" si="278"/>
        <v>492.5</v>
      </c>
      <c r="DF466" s="7">
        <f t="shared" si="279"/>
        <v>587.20000000000016</v>
      </c>
      <c r="DH466" s="7">
        <f t="shared" si="280"/>
        <v>83.75</v>
      </c>
      <c r="DI466" s="7">
        <f t="shared" si="281"/>
        <v>121.6</v>
      </c>
      <c r="DJ466" s="7">
        <f t="shared" si="282"/>
        <v>139</v>
      </c>
      <c r="DK466" s="7">
        <f t="shared" si="283"/>
        <v>164.5</v>
      </c>
      <c r="DL466" s="7">
        <f t="shared" si="284"/>
        <v>320</v>
      </c>
      <c r="DM466" s="7">
        <f t="shared" si="285"/>
        <v>468.4</v>
      </c>
      <c r="DN466" s="7">
        <f t="shared" si="286"/>
        <v>479.5</v>
      </c>
      <c r="DO466" s="7">
        <f t="shared" si="287"/>
        <v>512.25</v>
      </c>
      <c r="DP466" s="7">
        <f t="shared" si="288"/>
        <v>553.65</v>
      </c>
    </row>
    <row r="467" spans="1:130" ht="25.5" hidden="1" customHeight="1" x14ac:dyDescent="0.25">
      <c r="A467" s="92" t="str">
        <f t="shared" si="289"/>
        <v>Pkodd-WVI [6]</v>
      </c>
      <c r="B467" s="92" t="str">
        <f t="shared" si="290"/>
        <v>West Vancouver Island</v>
      </c>
      <c r="C467" s="93" t="str">
        <f t="shared" si="262"/>
        <v>ZEBALLOS RIVER_Pink</v>
      </c>
      <c r="D467" s="128" t="s">
        <v>598</v>
      </c>
      <c r="E467" s="128" t="s">
        <v>598</v>
      </c>
      <c r="F467" s="64">
        <v>25</v>
      </c>
      <c r="G467" s="72" t="s">
        <v>241</v>
      </c>
      <c r="H467" s="65" t="s">
        <v>95</v>
      </c>
      <c r="I467" s="119"/>
      <c r="J467" s="119"/>
      <c r="K467" s="64">
        <v>3</v>
      </c>
      <c r="L467" s="52">
        <v>11</v>
      </c>
      <c r="M467" s="52">
        <v>9</v>
      </c>
      <c r="N467" s="52">
        <f t="shared" si="291"/>
        <v>19.700553619922214</v>
      </c>
      <c r="O467" s="52">
        <f t="shared" si="292"/>
        <v>17000</v>
      </c>
      <c r="P467" s="52">
        <f t="shared" si="293"/>
        <v>200.70491271130882</v>
      </c>
      <c r="Q467" s="66" t="s">
        <v>268</v>
      </c>
      <c r="R467" s="37"/>
      <c r="S467" s="74"/>
      <c r="T467" s="81" t="e">
        <f t="shared" si="263"/>
        <v>#DIV/0!</v>
      </c>
      <c r="U467" s="81">
        <f t="shared" si="264"/>
        <v>43.666666666666664</v>
      </c>
      <c r="V467" s="232" t="s">
        <v>262</v>
      </c>
      <c r="W467" s="52" t="s">
        <v>262</v>
      </c>
      <c r="X467" s="52" t="s">
        <v>262</v>
      </c>
      <c r="Y467" s="36" t="s">
        <v>262</v>
      </c>
      <c r="Z467" s="36" t="s">
        <v>262</v>
      </c>
      <c r="AA467" s="52" t="s">
        <v>263</v>
      </c>
      <c r="AB467" s="52" t="s">
        <v>262</v>
      </c>
      <c r="AC467" s="52" t="s">
        <v>263</v>
      </c>
      <c r="AD467" s="53">
        <v>4</v>
      </c>
      <c r="AE467" s="144">
        <v>125</v>
      </c>
      <c r="AF467" s="52" t="s">
        <v>262</v>
      </c>
      <c r="AG467" s="144">
        <v>2</v>
      </c>
      <c r="AH467" s="52" t="s">
        <v>262</v>
      </c>
      <c r="AI467" s="52" t="s">
        <v>262</v>
      </c>
      <c r="AJ467" s="53" t="s">
        <v>262</v>
      </c>
      <c r="AK467" s="53" t="s">
        <v>262</v>
      </c>
      <c r="AL467" s="89" t="s">
        <v>262</v>
      </c>
      <c r="AM467" s="52" t="s">
        <v>262</v>
      </c>
      <c r="AN467" s="52">
        <v>18</v>
      </c>
      <c r="AO467" s="53">
        <v>1</v>
      </c>
      <c r="AP467" s="53">
        <v>7</v>
      </c>
      <c r="AQ467" s="53">
        <v>11</v>
      </c>
      <c r="AR467" s="53">
        <v>10</v>
      </c>
      <c r="AS467" s="52" t="s">
        <v>262</v>
      </c>
      <c r="AT467" s="52">
        <v>27</v>
      </c>
      <c r="AU467" s="52">
        <v>79</v>
      </c>
      <c r="AV467" s="52">
        <v>90</v>
      </c>
      <c r="AW467" s="52">
        <v>168</v>
      </c>
      <c r="AX467" s="51" t="s">
        <v>263</v>
      </c>
      <c r="AY467" s="53">
        <v>5000</v>
      </c>
      <c r="AZ467" s="53" t="s">
        <v>102</v>
      </c>
      <c r="BA467" s="53">
        <v>300</v>
      </c>
      <c r="BB467" s="53" t="s">
        <v>264</v>
      </c>
      <c r="BC467" s="53" t="s">
        <v>264</v>
      </c>
      <c r="BD467" s="53" t="s">
        <v>264</v>
      </c>
      <c r="BE467" s="53">
        <v>15</v>
      </c>
      <c r="BF467" s="53">
        <v>25</v>
      </c>
      <c r="BG467" s="53" t="s">
        <v>264</v>
      </c>
      <c r="BH467" s="53">
        <v>300</v>
      </c>
      <c r="BI467" s="53">
        <v>200</v>
      </c>
      <c r="BJ467" s="53" t="s">
        <v>264</v>
      </c>
      <c r="BK467" s="53" t="s">
        <v>264</v>
      </c>
      <c r="BL467" s="53">
        <v>170</v>
      </c>
      <c r="BM467" s="53">
        <v>25</v>
      </c>
      <c r="BN467" s="53">
        <v>5000</v>
      </c>
      <c r="BO467" s="53" t="s">
        <v>264</v>
      </c>
      <c r="BP467" s="53">
        <v>3500</v>
      </c>
      <c r="BQ467" s="53" t="s">
        <v>264</v>
      </c>
      <c r="BR467" s="53">
        <v>7500</v>
      </c>
      <c r="BS467" s="53" t="s">
        <v>264</v>
      </c>
      <c r="BT467" s="53">
        <v>17000</v>
      </c>
      <c r="BU467" s="53" t="s">
        <v>264</v>
      </c>
      <c r="BV467" s="53">
        <v>5000</v>
      </c>
      <c r="BW467" s="53" t="s">
        <v>262</v>
      </c>
      <c r="BX467" s="53">
        <v>4000</v>
      </c>
      <c r="BY467" s="53" t="s">
        <v>262</v>
      </c>
      <c r="BZ467" s="53">
        <v>3000</v>
      </c>
      <c r="CA467" s="53" t="s">
        <v>264</v>
      </c>
      <c r="CB467" s="53">
        <v>3500</v>
      </c>
      <c r="CC467" s="53" t="s">
        <v>264</v>
      </c>
      <c r="CD467" s="53">
        <v>400</v>
      </c>
      <c r="CE467" s="53" t="s">
        <v>264</v>
      </c>
      <c r="CF467" s="53">
        <v>400</v>
      </c>
      <c r="CG467" s="53">
        <v>25</v>
      </c>
      <c r="CH467" s="53">
        <v>400</v>
      </c>
      <c r="CI467" s="53" t="s">
        <v>262</v>
      </c>
      <c r="CJ467" s="53">
        <v>200</v>
      </c>
      <c r="CK467" s="53">
        <v>25</v>
      </c>
      <c r="CL467" s="53" t="s">
        <v>264</v>
      </c>
      <c r="CM467" s="53">
        <v>200</v>
      </c>
      <c r="CN467" s="206"/>
      <c r="CO467" s="206"/>
      <c r="CP467" s="206"/>
      <c r="CQ467" s="8">
        <f t="shared" si="265"/>
        <v>1</v>
      </c>
      <c r="CR467" s="8">
        <f t="shared" si="266"/>
        <v>17000</v>
      </c>
      <c r="CS467" s="8">
        <f t="shared" si="267"/>
        <v>1620.7714285714285</v>
      </c>
      <c r="CT467">
        <f t="shared" si="268"/>
        <v>155.20659603434379</v>
      </c>
      <c r="CU467" s="143" t="e">
        <f t="shared" si="269"/>
        <v>#DIV/0!</v>
      </c>
      <c r="CV467" s="143">
        <f t="shared" si="270"/>
        <v>43.666666666666664</v>
      </c>
      <c r="CX467" s="7">
        <f t="shared" si="271"/>
        <v>3.4000000000000004</v>
      </c>
      <c r="CY467" s="7">
        <f t="shared" si="272"/>
        <v>11.399999999999999</v>
      </c>
      <c r="CZ467" s="7">
        <f t="shared" si="273"/>
        <v>17.400000000000002</v>
      </c>
      <c r="DA467" s="7">
        <f t="shared" si="274"/>
        <v>25</v>
      </c>
      <c r="DB467" s="7">
        <f t="shared" si="275"/>
        <v>170</v>
      </c>
      <c r="DC467" s="7">
        <f t="shared" si="276"/>
        <v>239.99999999999986</v>
      </c>
      <c r="DD467" s="7">
        <f t="shared" si="277"/>
        <v>310.00000000000011</v>
      </c>
      <c r="DE467" s="7">
        <f t="shared" si="278"/>
        <v>1700</v>
      </c>
      <c r="DF467" s="7">
        <f t="shared" si="279"/>
        <v>3949.9999999999991</v>
      </c>
      <c r="DH467" s="7">
        <f t="shared" si="280"/>
        <v>1.55</v>
      </c>
      <c r="DI467" s="7">
        <f t="shared" si="281"/>
        <v>3.3</v>
      </c>
      <c r="DJ467" s="7">
        <f t="shared" si="282"/>
        <v>4.6000000000000005</v>
      </c>
      <c r="DK467" s="7">
        <f t="shared" si="283"/>
        <v>6.25</v>
      </c>
      <c r="DL467" s="7">
        <f t="shared" si="284"/>
        <v>14.5</v>
      </c>
      <c r="DM467" s="7">
        <f t="shared" si="285"/>
        <v>23.4</v>
      </c>
      <c r="DN467" s="7">
        <f t="shared" si="286"/>
        <v>34.800000000000018</v>
      </c>
      <c r="DO467" s="7">
        <f t="shared" si="287"/>
        <v>81.75</v>
      </c>
      <c r="DP467" s="7">
        <f t="shared" si="288"/>
        <v>102.24999999999999</v>
      </c>
    </row>
    <row r="468" spans="1:130" ht="25.5" hidden="1" customHeight="1" x14ac:dyDescent="0.25">
      <c r="A468" s="92" t="str">
        <f t="shared" si="289"/>
        <v>SK-WVI [R10]</v>
      </c>
      <c r="B468" s="92" t="str">
        <f t="shared" si="290"/>
        <v>West Vancouver Island</v>
      </c>
      <c r="C468" s="93" t="str">
        <f t="shared" si="262"/>
        <v>ZEBALLOS RIVER_Sockeye</v>
      </c>
      <c r="D468" s="128" t="s">
        <v>598</v>
      </c>
      <c r="E468" s="128" t="s">
        <v>598</v>
      </c>
      <c r="F468" s="64">
        <v>25</v>
      </c>
      <c r="G468" s="72" t="s">
        <v>241</v>
      </c>
      <c r="H468" s="65" t="s">
        <v>91</v>
      </c>
      <c r="I468" s="119"/>
      <c r="J468" s="119"/>
      <c r="K468" s="64">
        <v>3</v>
      </c>
      <c r="L468" s="52">
        <v>11</v>
      </c>
      <c r="M468" s="52">
        <v>11</v>
      </c>
      <c r="N468" s="52">
        <f t="shared" si="291"/>
        <v>992.19806866376996</v>
      </c>
      <c r="O468" s="52">
        <f t="shared" si="292"/>
        <v>15451</v>
      </c>
      <c r="P468" s="52">
        <f t="shared" si="293"/>
        <v>411.49796748299997</v>
      </c>
      <c r="Q468" s="66" t="s">
        <v>268</v>
      </c>
      <c r="R468" s="37"/>
      <c r="S468" s="74"/>
      <c r="T468" s="81">
        <f t="shared" si="263"/>
        <v>792.5</v>
      </c>
      <c r="U468" s="81">
        <f t="shared" si="264"/>
        <v>1364.4166666666667</v>
      </c>
      <c r="V468" s="233">
        <v>982</v>
      </c>
      <c r="W468" s="52">
        <v>1777</v>
      </c>
      <c r="X468" s="52">
        <v>385</v>
      </c>
      <c r="Y468" s="52">
        <v>26</v>
      </c>
      <c r="Z468" s="52">
        <v>471</v>
      </c>
      <c r="AA468" s="52">
        <v>333</v>
      </c>
      <c r="AB468" s="52">
        <v>2125</v>
      </c>
      <c r="AC468" s="52">
        <v>320</v>
      </c>
      <c r="AD468" s="53">
        <v>3944</v>
      </c>
      <c r="AE468" s="144">
        <v>590</v>
      </c>
      <c r="AF468" s="52">
        <v>230</v>
      </c>
      <c r="AG468" s="144">
        <v>5190</v>
      </c>
      <c r="AH468" s="53">
        <v>575</v>
      </c>
      <c r="AI468" s="53">
        <v>2400</v>
      </c>
      <c r="AJ468" s="53">
        <v>636</v>
      </c>
      <c r="AK468" s="123">
        <v>371</v>
      </c>
      <c r="AL468" s="89">
        <v>284</v>
      </c>
      <c r="AM468" s="52">
        <v>300</v>
      </c>
      <c r="AN468" s="52">
        <v>396</v>
      </c>
      <c r="AO468" s="53">
        <v>1000</v>
      </c>
      <c r="AP468" s="53">
        <v>1810</v>
      </c>
      <c r="AQ468" s="53">
        <v>500</v>
      </c>
      <c r="AR468" s="53">
        <v>250</v>
      </c>
      <c r="AS468" s="52">
        <v>6515</v>
      </c>
      <c r="AT468" s="52">
        <v>14615</v>
      </c>
      <c r="AU468" s="52">
        <v>15451</v>
      </c>
      <c r="AV468" s="52">
        <v>924</v>
      </c>
      <c r="AW468" s="52">
        <v>366</v>
      </c>
      <c r="AX468" s="51">
        <v>1200</v>
      </c>
      <c r="AY468" s="53">
        <v>2000</v>
      </c>
      <c r="AZ468" s="53">
        <v>3000</v>
      </c>
      <c r="BA468" s="53">
        <v>650</v>
      </c>
      <c r="BB468" s="53">
        <v>525</v>
      </c>
      <c r="BC468" s="53">
        <v>950</v>
      </c>
      <c r="BD468" s="53" t="s">
        <v>264</v>
      </c>
      <c r="BE468" s="53">
        <v>600</v>
      </c>
      <c r="BF468" s="53">
        <v>50</v>
      </c>
      <c r="BG468" s="53">
        <v>100</v>
      </c>
      <c r="BH468" s="53">
        <v>650</v>
      </c>
      <c r="BI468" s="53">
        <v>2970</v>
      </c>
      <c r="BJ468" s="53">
        <v>400</v>
      </c>
      <c r="BK468" s="53">
        <v>150</v>
      </c>
      <c r="BL468" s="53">
        <v>300</v>
      </c>
      <c r="BM468" s="53">
        <v>150</v>
      </c>
      <c r="BN468" s="53">
        <v>250</v>
      </c>
      <c r="BO468" s="53">
        <v>100</v>
      </c>
      <c r="BP468" s="53" t="s">
        <v>264</v>
      </c>
      <c r="BQ468" s="53">
        <v>25</v>
      </c>
      <c r="BR468" s="53" t="s">
        <v>264</v>
      </c>
      <c r="BS468" s="53" t="s">
        <v>264</v>
      </c>
      <c r="BT468" s="53" t="s">
        <v>264</v>
      </c>
      <c r="BU468" s="53" t="s">
        <v>264</v>
      </c>
      <c r="BV468" s="53" t="s">
        <v>262</v>
      </c>
      <c r="BW468" s="53" t="s">
        <v>264</v>
      </c>
      <c r="BX468" s="53" t="s">
        <v>264</v>
      </c>
      <c r="BY468" s="53" t="s">
        <v>264</v>
      </c>
      <c r="BZ468" s="53" t="s">
        <v>262</v>
      </c>
      <c r="CA468" s="53" t="s">
        <v>264</v>
      </c>
      <c r="CB468" s="53">
        <v>25</v>
      </c>
      <c r="CC468" s="53" t="s">
        <v>264</v>
      </c>
      <c r="CD468" s="53" t="s">
        <v>264</v>
      </c>
      <c r="CE468" s="53" t="s">
        <v>264</v>
      </c>
      <c r="CF468" s="53" t="s">
        <v>264</v>
      </c>
      <c r="CG468" s="53">
        <v>75</v>
      </c>
      <c r="CH468" s="53" t="s">
        <v>264</v>
      </c>
      <c r="CI468" s="53" t="s">
        <v>262</v>
      </c>
      <c r="CJ468" s="53">
        <v>25</v>
      </c>
      <c r="CK468" s="53" t="s">
        <v>262</v>
      </c>
      <c r="CL468" s="53">
        <v>75</v>
      </c>
      <c r="CM468" s="53">
        <v>75</v>
      </c>
      <c r="CN468" s="206"/>
      <c r="CO468" s="206"/>
      <c r="CP468" s="206"/>
      <c r="CQ468" s="8">
        <f t="shared" si="265"/>
        <v>25</v>
      </c>
      <c r="CR468" s="8">
        <f t="shared" si="266"/>
        <v>15451</v>
      </c>
      <c r="CS468" s="8">
        <f t="shared" si="267"/>
        <v>1511.9803921568628</v>
      </c>
      <c r="CT468">
        <f t="shared" si="268"/>
        <v>476.58965001574552</v>
      </c>
      <c r="CU468" s="143">
        <f t="shared" si="269"/>
        <v>728.2</v>
      </c>
      <c r="CV468" s="143">
        <f t="shared" si="270"/>
        <v>1364.4166666666667</v>
      </c>
      <c r="CX468" s="7">
        <f t="shared" si="271"/>
        <v>25.5</v>
      </c>
      <c r="CY468" s="7">
        <f t="shared" si="272"/>
        <v>87.5</v>
      </c>
      <c r="CZ468" s="7">
        <f t="shared" si="273"/>
        <v>150</v>
      </c>
      <c r="DA468" s="7">
        <f t="shared" si="274"/>
        <v>240</v>
      </c>
      <c r="DB468" s="7">
        <f t="shared" si="275"/>
        <v>471</v>
      </c>
      <c r="DC468" s="7">
        <f t="shared" si="276"/>
        <v>600</v>
      </c>
      <c r="DD468" s="7">
        <f t="shared" si="277"/>
        <v>650</v>
      </c>
      <c r="DE468" s="7">
        <f t="shared" si="278"/>
        <v>1100</v>
      </c>
      <c r="DF468" s="7">
        <f t="shared" si="279"/>
        <v>2262.5</v>
      </c>
      <c r="DH468" s="7">
        <f t="shared" si="280"/>
        <v>237</v>
      </c>
      <c r="DI468" s="7">
        <f t="shared" si="281"/>
        <v>301</v>
      </c>
      <c r="DJ468" s="7">
        <f t="shared" si="282"/>
        <v>325.2</v>
      </c>
      <c r="DK468" s="7">
        <f t="shared" si="283"/>
        <v>357.75</v>
      </c>
      <c r="DL468" s="7">
        <f t="shared" si="284"/>
        <v>582.5</v>
      </c>
      <c r="DM468" s="7">
        <f t="shared" si="285"/>
        <v>935.59999999999991</v>
      </c>
      <c r="DN468" s="7">
        <f t="shared" si="286"/>
        <v>991.9</v>
      </c>
      <c r="DO468" s="7">
        <f t="shared" si="287"/>
        <v>1888.75</v>
      </c>
      <c r="DP468" s="7">
        <f t="shared" si="288"/>
        <v>3866.7999999999988</v>
      </c>
      <c r="DR468" s="7">
        <f>_xlfn.PERCENTILE.INC((Y468:AC468,AE468,AJ468:AW468),0.05)</f>
        <v>238.80000000000004</v>
      </c>
      <c r="DS468" s="7">
        <f>_xlfn.PERCENTILE.INC((Y468:AC468,AE468,AJ468:AW468),0.15)</f>
        <v>297.60000000000002</v>
      </c>
      <c r="DT468" s="7">
        <f>_xlfn.PERCENTILE.INC((Y468:AC468,AE468,AJ468:AW468),0.2)</f>
        <v>316</v>
      </c>
      <c r="DU468" s="7">
        <f>_xlfn.PERCENTILE.INC((Y468:AC468,AE468,AJ468:AW468),0.25)</f>
        <v>329.75</v>
      </c>
      <c r="DV468" s="7">
        <f>_xlfn.PERCENTILE.INC((Y468:AC468,AE468,AJ468:AW468),0.5)</f>
        <v>485.5</v>
      </c>
      <c r="DW468" s="7">
        <f>_xlfn.PERCENTILE.INC((Y468:AC468,AE468,AJ468:AW468),0.6)</f>
        <v>608.4</v>
      </c>
      <c r="DX468" s="7">
        <f>_xlfn.PERCENTILE.INC((Y468:AC468,AE468,AJ468:AW468),0.65)</f>
        <v>736.8</v>
      </c>
      <c r="DY468" s="7">
        <f>_xlfn.PERCENTILE.INC((Y468:AC468,AE468,AJ468:AW468),0.75)</f>
        <v>1202.5</v>
      </c>
      <c r="DZ468" s="7">
        <f>_xlfn.PERCENTILE.INC((Y468:AC468,AE468,AJ468:AW468),0.85)</f>
        <v>2783.4999999999936</v>
      </c>
    </row>
    <row r="469" spans="1:130" ht="25.5" customHeight="1" x14ac:dyDescent="0.25">
      <c r="A469" s="92" t="str">
        <f t="shared" si="289"/>
        <v>CK-NoKy [32]</v>
      </c>
      <c r="B469" s="92" t="str">
        <f t="shared" si="290"/>
        <v>Nootka and Kyuquot</v>
      </c>
      <c r="C469" s="93" t="str">
        <f t="shared" si="262"/>
        <v>AMAI CREEK_Chinook</v>
      </c>
      <c r="D469" s="128" t="s">
        <v>598</v>
      </c>
      <c r="E469" s="128" t="s">
        <v>598</v>
      </c>
      <c r="F469" s="64">
        <v>26</v>
      </c>
      <c r="G469" s="72" t="s">
        <v>250</v>
      </c>
      <c r="H469" s="65" t="s">
        <v>97</v>
      </c>
      <c r="I469" s="119"/>
      <c r="J469" s="119"/>
      <c r="K469" s="64">
        <v>3</v>
      </c>
      <c r="L469" s="52">
        <v>8</v>
      </c>
      <c r="M469" s="52">
        <v>3</v>
      </c>
      <c r="N469" s="52">
        <f t="shared" si="291"/>
        <v>4</v>
      </c>
      <c r="O469" s="52">
        <f t="shared" si="292"/>
        <v>25</v>
      </c>
      <c r="P469" s="52">
        <f t="shared" si="293"/>
        <v>16.950582301078729</v>
      </c>
      <c r="Q469" s="66"/>
      <c r="R469" s="37"/>
      <c r="S469" s="74" t="s">
        <v>431</v>
      </c>
      <c r="T469" s="81">
        <f t="shared" si="263"/>
        <v>7</v>
      </c>
      <c r="U469" s="81">
        <f t="shared" si="264"/>
        <v>4.5</v>
      </c>
      <c r="V469" s="234" t="s">
        <v>102</v>
      </c>
      <c r="W469" s="234" t="s">
        <v>102</v>
      </c>
      <c r="X469" s="52">
        <v>7</v>
      </c>
      <c r="Y469" s="52"/>
      <c r="Z469" s="52">
        <v>2</v>
      </c>
      <c r="AA469" s="52" t="s">
        <v>102</v>
      </c>
      <c r="AB469" s="52" t="s">
        <v>102</v>
      </c>
      <c r="AC469" s="144" t="s">
        <v>262</v>
      </c>
      <c r="AD469" s="52" t="s">
        <v>263</v>
      </c>
      <c r="AE469" s="144" t="s">
        <v>262</v>
      </c>
      <c r="AF469" s="144" t="s">
        <v>263</v>
      </c>
      <c r="AG469" s="144" t="s">
        <v>262</v>
      </c>
      <c r="AH469" s="52" t="s">
        <v>102</v>
      </c>
      <c r="AI469" s="52" t="s">
        <v>102</v>
      </c>
      <c r="AJ469" s="52" t="s">
        <v>102</v>
      </c>
      <c r="AK469" s="52" t="s">
        <v>102</v>
      </c>
      <c r="AL469" s="52" t="s">
        <v>102</v>
      </c>
      <c r="AM469" s="52" t="s">
        <v>102</v>
      </c>
      <c r="AN469" s="52" t="s">
        <v>102</v>
      </c>
      <c r="AO469" s="52" t="s">
        <v>102</v>
      </c>
      <c r="AP469" s="53" t="s">
        <v>263</v>
      </c>
      <c r="AQ469" s="53" t="s">
        <v>262</v>
      </c>
      <c r="AR469" s="53" t="s">
        <v>263</v>
      </c>
      <c r="AS469" s="52" t="s">
        <v>262</v>
      </c>
      <c r="AT469" s="52">
        <v>4</v>
      </c>
      <c r="AU469" s="52" t="s">
        <v>262</v>
      </c>
      <c r="AV469" s="52" t="s">
        <v>262</v>
      </c>
      <c r="AW469" s="52" t="s">
        <v>262</v>
      </c>
      <c r="AX469" s="51" t="s">
        <v>262</v>
      </c>
      <c r="AY469" s="53" t="s">
        <v>262</v>
      </c>
      <c r="AZ469" s="53" t="s">
        <v>102</v>
      </c>
      <c r="BA469" s="53" t="s">
        <v>262</v>
      </c>
      <c r="BB469" s="52" t="s">
        <v>262</v>
      </c>
      <c r="BC469" s="53" t="s">
        <v>264</v>
      </c>
      <c r="BD469" s="53" t="s">
        <v>102</v>
      </c>
      <c r="BE469" s="53" t="s">
        <v>264</v>
      </c>
      <c r="BF469" s="53" t="s">
        <v>264</v>
      </c>
      <c r="BG469" s="53" t="s">
        <v>264</v>
      </c>
      <c r="BH469" s="53" t="s">
        <v>262</v>
      </c>
      <c r="BI469" s="53" t="s">
        <v>264</v>
      </c>
      <c r="BJ469" s="53" t="s">
        <v>264</v>
      </c>
      <c r="BK469" s="53" t="s">
        <v>264</v>
      </c>
      <c r="BL469" s="53" t="s">
        <v>264</v>
      </c>
      <c r="BM469" s="53">
        <v>25</v>
      </c>
      <c r="BN469" s="53" t="s">
        <v>264</v>
      </c>
      <c r="BO469" s="53" t="s">
        <v>264</v>
      </c>
      <c r="BP469" s="53" t="s">
        <v>264</v>
      </c>
      <c r="BQ469" s="53" t="s">
        <v>102</v>
      </c>
      <c r="BR469" s="53">
        <v>25</v>
      </c>
      <c r="BS469" s="53">
        <v>25</v>
      </c>
      <c r="BT469" s="53">
        <v>25</v>
      </c>
      <c r="BU469" s="53">
        <v>25</v>
      </c>
      <c r="BV469" s="53" t="s">
        <v>264</v>
      </c>
      <c r="BW469" s="53" t="s">
        <v>264</v>
      </c>
      <c r="BX469" s="53" t="s">
        <v>264</v>
      </c>
      <c r="BY469" s="53" t="s">
        <v>264</v>
      </c>
      <c r="BZ469" s="53" t="s">
        <v>264</v>
      </c>
      <c r="CA469" s="53" t="s">
        <v>262</v>
      </c>
      <c r="CB469" s="53" t="s">
        <v>264</v>
      </c>
      <c r="CC469" s="53">
        <v>25</v>
      </c>
      <c r="CD469" s="53" t="s">
        <v>262</v>
      </c>
      <c r="CE469" s="53">
        <v>25</v>
      </c>
      <c r="CF469" s="53">
        <v>25</v>
      </c>
      <c r="CG469" s="53">
        <v>25</v>
      </c>
      <c r="CH469" s="53" t="s">
        <v>262</v>
      </c>
      <c r="CI469" s="53">
        <v>25</v>
      </c>
      <c r="CJ469" s="53" t="s">
        <v>262</v>
      </c>
      <c r="CK469" s="53">
        <v>25</v>
      </c>
      <c r="CL469" s="53">
        <v>1</v>
      </c>
      <c r="CM469" s="53" t="s">
        <v>264</v>
      </c>
      <c r="CN469" s="206"/>
      <c r="CO469" s="206"/>
      <c r="CP469" s="206"/>
      <c r="CQ469" s="8">
        <f t="shared" si="265"/>
        <v>1</v>
      </c>
      <c r="CR469" s="8">
        <f t="shared" si="266"/>
        <v>25</v>
      </c>
      <c r="CS469" s="8">
        <f t="shared" si="267"/>
        <v>19.266666666666666</v>
      </c>
      <c r="CT469">
        <f t="shared" si="268"/>
        <v>13.858042050970715</v>
      </c>
      <c r="CU469" s="143">
        <f t="shared" si="269"/>
        <v>4.5</v>
      </c>
      <c r="CV469" s="143">
        <f t="shared" si="270"/>
        <v>4.5</v>
      </c>
      <c r="CX469" s="7">
        <f t="shared" si="271"/>
        <v>1.7000000000000002</v>
      </c>
      <c r="CY469" s="7">
        <f t="shared" si="272"/>
        <v>4.3000000000000007</v>
      </c>
      <c r="CZ469" s="7">
        <f t="shared" si="273"/>
        <v>6.4</v>
      </c>
      <c r="DA469" s="7">
        <f t="shared" si="274"/>
        <v>16</v>
      </c>
      <c r="DB469" s="7">
        <f t="shared" si="275"/>
        <v>25</v>
      </c>
      <c r="DC469" s="7">
        <f t="shared" si="276"/>
        <v>25</v>
      </c>
      <c r="DD469" s="7">
        <f t="shared" si="277"/>
        <v>25</v>
      </c>
      <c r="DE469" s="7">
        <f t="shared" si="278"/>
        <v>25</v>
      </c>
      <c r="DF469" s="7">
        <f t="shared" si="279"/>
        <v>25</v>
      </c>
      <c r="DH469" s="7">
        <f t="shared" si="280"/>
        <v>2.2000000000000002</v>
      </c>
      <c r="DI469" s="7">
        <f t="shared" si="281"/>
        <v>2.6</v>
      </c>
      <c r="DJ469" s="7">
        <f t="shared" si="282"/>
        <v>2.8</v>
      </c>
      <c r="DK469" s="7">
        <f t="shared" si="283"/>
        <v>3</v>
      </c>
      <c r="DL469" s="7">
        <f t="shared" si="284"/>
        <v>4</v>
      </c>
      <c r="DM469" s="7">
        <f t="shared" si="285"/>
        <v>4.6000000000000005</v>
      </c>
      <c r="DN469" s="7">
        <f t="shared" si="286"/>
        <v>4.8999999999999995</v>
      </c>
      <c r="DO469" s="7">
        <f t="shared" si="287"/>
        <v>5.5</v>
      </c>
      <c r="DP469" s="7">
        <f t="shared" si="288"/>
        <v>6.1000000000000005</v>
      </c>
    </row>
    <row r="470" spans="1:130" ht="25.5" hidden="1" customHeight="1" x14ac:dyDescent="0.25">
      <c r="A470" s="92" t="str">
        <f t="shared" si="289"/>
        <v>CM-SWVI [10]</v>
      </c>
      <c r="B470" s="92" t="str">
        <f t="shared" si="290"/>
        <v>Southwest Vancouver Island</v>
      </c>
      <c r="C470" s="93" t="str">
        <f t="shared" si="262"/>
        <v>AMAI CREEK_Chum</v>
      </c>
      <c r="D470" s="128" t="s">
        <v>598</v>
      </c>
      <c r="E470" s="128" t="s">
        <v>598</v>
      </c>
      <c r="F470" s="64">
        <v>26</v>
      </c>
      <c r="G470" s="72" t="s">
        <v>250</v>
      </c>
      <c r="H470" s="65" t="s">
        <v>96</v>
      </c>
      <c r="I470" s="119"/>
      <c r="J470" s="119"/>
      <c r="K470" s="64">
        <v>3</v>
      </c>
      <c r="L470" s="52">
        <v>8</v>
      </c>
      <c r="M470" s="52">
        <v>7</v>
      </c>
      <c r="N470" s="52">
        <f t="shared" si="291"/>
        <v>1147.1295575726967</v>
      </c>
      <c r="O470" s="52">
        <f t="shared" si="292"/>
        <v>8000</v>
      </c>
      <c r="P470" s="52">
        <f t="shared" si="293"/>
        <v>1149.476615737937</v>
      </c>
      <c r="Q470" s="66"/>
      <c r="R470" s="37"/>
      <c r="S470" s="74" t="s">
        <v>430</v>
      </c>
      <c r="T470" s="81">
        <f t="shared" si="263"/>
        <v>259</v>
      </c>
      <c r="U470" s="81">
        <f t="shared" si="264"/>
        <v>560.28571428571433</v>
      </c>
      <c r="V470" s="234" t="s">
        <v>102</v>
      </c>
      <c r="W470" s="234" t="s">
        <v>102</v>
      </c>
      <c r="X470" s="52">
        <v>259</v>
      </c>
      <c r="Y470" s="52"/>
      <c r="Z470" s="52">
        <v>21</v>
      </c>
      <c r="AA470" s="52" t="s">
        <v>102</v>
      </c>
      <c r="AB470" s="52" t="s">
        <v>102</v>
      </c>
      <c r="AC470" s="52">
        <v>1019</v>
      </c>
      <c r="AD470" s="52">
        <v>658</v>
      </c>
      <c r="AE470" s="144">
        <v>250</v>
      </c>
      <c r="AF470" s="144">
        <v>389</v>
      </c>
      <c r="AG470" s="144">
        <v>1326</v>
      </c>
      <c r="AH470" s="52" t="s">
        <v>102</v>
      </c>
      <c r="AI470" s="52" t="s">
        <v>102</v>
      </c>
      <c r="AJ470" s="52" t="s">
        <v>102</v>
      </c>
      <c r="AK470" s="52" t="s">
        <v>102</v>
      </c>
      <c r="AL470" s="52" t="s">
        <v>102</v>
      </c>
      <c r="AM470" s="52" t="s">
        <v>102</v>
      </c>
      <c r="AN470" s="52" t="s">
        <v>102</v>
      </c>
      <c r="AO470" s="52" t="s">
        <v>102</v>
      </c>
      <c r="AP470" s="53">
        <v>453</v>
      </c>
      <c r="AQ470" s="53">
        <v>345</v>
      </c>
      <c r="AR470" s="53" t="s">
        <v>263</v>
      </c>
      <c r="AS470" s="52" t="s">
        <v>262</v>
      </c>
      <c r="AT470" s="52">
        <v>8000</v>
      </c>
      <c r="AU470" s="52">
        <v>2700</v>
      </c>
      <c r="AV470" s="52">
        <v>750</v>
      </c>
      <c r="AW470" s="52">
        <v>900</v>
      </c>
      <c r="AX470" s="51">
        <v>3000</v>
      </c>
      <c r="AY470" s="53">
        <v>1500</v>
      </c>
      <c r="AZ470" s="53">
        <v>6500</v>
      </c>
      <c r="BA470" s="53">
        <v>1250</v>
      </c>
      <c r="BB470" s="53">
        <v>1000</v>
      </c>
      <c r="BC470" s="53">
        <v>100</v>
      </c>
      <c r="BD470" s="53" t="s">
        <v>102</v>
      </c>
      <c r="BE470" s="53">
        <v>1200</v>
      </c>
      <c r="BF470" s="53">
        <v>3500</v>
      </c>
      <c r="BG470" s="53">
        <v>5000</v>
      </c>
      <c r="BH470" s="53">
        <v>3000</v>
      </c>
      <c r="BI470" s="53">
        <v>8000</v>
      </c>
      <c r="BJ470" s="53">
        <v>2000</v>
      </c>
      <c r="BK470" s="53">
        <v>1000</v>
      </c>
      <c r="BL470" s="53">
        <v>4000</v>
      </c>
      <c r="BM470" s="53">
        <v>304</v>
      </c>
      <c r="BN470" s="53">
        <v>2500</v>
      </c>
      <c r="BO470" s="53" t="s">
        <v>264</v>
      </c>
      <c r="BP470" s="53">
        <v>200</v>
      </c>
      <c r="BQ470" s="53" t="s">
        <v>102</v>
      </c>
      <c r="BR470" s="53">
        <v>400</v>
      </c>
      <c r="BS470" s="53">
        <v>1500</v>
      </c>
      <c r="BT470" s="53">
        <v>400</v>
      </c>
      <c r="BU470" s="53">
        <v>200</v>
      </c>
      <c r="BV470" s="53">
        <v>400</v>
      </c>
      <c r="BW470" s="53">
        <v>75</v>
      </c>
      <c r="BX470" s="53">
        <v>750</v>
      </c>
      <c r="BY470" s="53">
        <v>400</v>
      </c>
      <c r="BZ470" s="53">
        <v>400</v>
      </c>
      <c r="CA470" s="53">
        <v>400</v>
      </c>
      <c r="CB470" s="53">
        <v>750</v>
      </c>
      <c r="CC470" s="53">
        <v>400</v>
      </c>
      <c r="CD470" s="53">
        <v>3500</v>
      </c>
      <c r="CE470" s="53">
        <v>750</v>
      </c>
      <c r="CF470" s="53">
        <v>3500</v>
      </c>
      <c r="CG470" s="53">
        <v>1500</v>
      </c>
      <c r="CH470" s="53">
        <v>7500</v>
      </c>
      <c r="CI470" s="53">
        <v>3500</v>
      </c>
      <c r="CJ470" s="53">
        <v>750</v>
      </c>
      <c r="CK470" s="53">
        <v>1500</v>
      </c>
      <c r="CL470" s="53">
        <v>3500</v>
      </c>
      <c r="CM470" s="53">
        <v>3500</v>
      </c>
      <c r="CN470" s="206"/>
      <c r="CO470" s="206"/>
      <c r="CP470" s="206"/>
      <c r="CQ470" s="8">
        <f t="shared" si="265"/>
        <v>21</v>
      </c>
      <c r="CR470" s="8">
        <f t="shared" si="266"/>
        <v>8000</v>
      </c>
      <c r="CS470" s="8">
        <f t="shared" si="267"/>
        <v>1859.5961538461538</v>
      </c>
      <c r="CT470">
        <f t="shared" si="268"/>
        <v>973.55987305408416</v>
      </c>
      <c r="CU470" s="143">
        <f t="shared" si="269"/>
        <v>140</v>
      </c>
      <c r="CV470" s="143">
        <f t="shared" si="270"/>
        <v>560.28571428571433</v>
      </c>
      <c r="CX470" s="7">
        <f t="shared" si="271"/>
        <v>155.00000000000003</v>
      </c>
      <c r="CY470" s="7">
        <f t="shared" si="272"/>
        <v>330.64999999999992</v>
      </c>
      <c r="CZ470" s="7">
        <f t="shared" si="273"/>
        <v>400</v>
      </c>
      <c r="DA470" s="7">
        <f t="shared" si="274"/>
        <v>400</v>
      </c>
      <c r="DB470" s="7">
        <f t="shared" si="275"/>
        <v>1000</v>
      </c>
      <c r="DC470" s="7">
        <f t="shared" si="276"/>
        <v>1430.3999999999996</v>
      </c>
      <c r="DD470" s="7">
        <f t="shared" si="277"/>
        <v>1500</v>
      </c>
      <c r="DE470" s="7">
        <f t="shared" si="278"/>
        <v>3000</v>
      </c>
      <c r="DF470" s="7">
        <f t="shared" si="279"/>
        <v>3500</v>
      </c>
      <c r="DH470" s="7">
        <f t="shared" si="280"/>
        <v>158.40000000000003</v>
      </c>
      <c r="DI470" s="7">
        <f t="shared" si="281"/>
        <v>257.2</v>
      </c>
      <c r="DJ470" s="7">
        <f t="shared" si="282"/>
        <v>293.40000000000003</v>
      </c>
      <c r="DK470" s="7">
        <f t="shared" si="283"/>
        <v>345</v>
      </c>
      <c r="DL470" s="7">
        <f t="shared" si="284"/>
        <v>658</v>
      </c>
      <c r="DM470" s="7">
        <f t="shared" si="285"/>
        <v>779.99999999999989</v>
      </c>
      <c r="DN470" s="7">
        <f t="shared" si="286"/>
        <v>870.00000000000011</v>
      </c>
      <c r="DO470" s="7">
        <f t="shared" si="287"/>
        <v>1019</v>
      </c>
      <c r="DP470" s="7">
        <f t="shared" si="288"/>
        <v>1600.799999999999</v>
      </c>
    </row>
    <row r="471" spans="1:130" ht="25.5" hidden="1" customHeight="1" x14ac:dyDescent="0.25">
      <c r="A471" s="92" t="str">
        <f t="shared" si="289"/>
        <v>CO-WVI [17]</v>
      </c>
      <c r="B471" s="92" t="str">
        <f t="shared" si="290"/>
        <v>West Vancouver Island</v>
      </c>
      <c r="C471" s="93" t="str">
        <f t="shared" si="262"/>
        <v>AMAI CREEK_Coho</v>
      </c>
      <c r="D471" s="128" t="s">
        <v>598</v>
      </c>
      <c r="E471" s="128" t="s">
        <v>598</v>
      </c>
      <c r="F471" s="64">
        <v>26</v>
      </c>
      <c r="G471" s="72" t="s">
        <v>250</v>
      </c>
      <c r="H471" s="65" t="s">
        <v>93</v>
      </c>
      <c r="I471" s="119"/>
      <c r="J471" s="119"/>
      <c r="K471" s="64">
        <v>3</v>
      </c>
      <c r="L471" s="52">
        <v>8</v>
      </c>
      <c r="M471" s="52">
        <v>7</v>
      </c>
      <c r="N471" s="52">
        <f t="shared" si="291"/>
        <v>79.56167817206024</v>
      </c>
      <c r="O471" s="52">
        <f t="shared" si="292"/>
        <v>1500</v>
      </c>
      <c r="P471" s="52">
        <f t="shared" si="293"/>
        <v>114.07254983037973</v>
      </c>
      <c r="Q471" s="66"/>
      <c r="R471" s="37"/>
      <c r="S471" s="74" t="s">
        <v>429</v>
      </c>
      <c r="T471" s="81">
        <f t="shared" si="263"/>
        <v>53</v>
      </c>
      <c r="U471" s="81">
        <f t="shared" si="264"/>
        <v>192.85714285714286</v>
      </c>
      <c r="V471" s="234" t="s">
        <v>102</v>
      </c>
      <c r="W471" s="234" t="s">
        <v>102</v>
      </c>
      <c r="X471" s="52">
        <v>53</v>
      </c>
      <c r="Y471" s="52"/>
      <c r="Z471" s="52">
        <v>136</v>
      </c>
      <c r="AA471" s="52" t="s">
        <v>102</v>
      </c>
      <c r="AB471" s="52" t="s">
        <v>102</v>
      </c>
      <c r="AC471" s="52">
        <v>121</v>
      </c>
      <c r="AD471" s="52">
        <v>313</v>
      </c>
      <c r="AE471" s="144">
        <v>63</v>
      </c>
      <c r="AF471" s="144">
        <v>90</v>
      </c>
      <c r="AG471" s="144">
        <v>574</v>
      </c>
      <c r="AH471" s="52" t="s">
        <v>102</v>
      </c>
      <c r="AI471" s="52" t="s">
        <v>102</v>
      </c>
      <c r="AJ471" s="52" t="s">
        <v>102</v>
      </c>
      <c r="AK471" s="52" t="s">
        <v>102</v>
      </c>
      <c r="AL471" s="52" t="s">
        <v>102</v>
      </c>
      <c r="AM471" s="52" t="s">
        <v>102</v>
      </c>
      <c r="AN471" s="52" t="s">
        <v>102</v>
      </c>
      <c r="AO471" s="52" t="s">
        <v>102</v>
      </c>
      <c r="AP471" s="53">
        <v>19</v>
      </c>
      <c r="AQ471" s="53">
        <v>102</v>
      </c>
      <c r="AR471" s="53" t="s">
        <v>263</v>
      </c>
      <c r="AS471" s="52" t="s">
        <v>262</v>
      </c>
      <c r="AT471" s="52">
        <v>235</v>
      </c>
      <c r="AU471" s="52">
        <v>140</v>
      </c>
      <c r="AV471" s="52" t="s">
        <v>263</v>
      </c>
      <c r="AW471" s="52">
        <v>50</v>
      </c>
      <c r="AX471" s="51">
        <v>10</v>
      </c>
      <c r="AY471" s="53" t="s">
        <v>262</v>
      </c>
      <c r="AZ471" s="53">
        <v>50</v>
      </c>
      <c r="BA471" s="53">
        <v>50</v>
      </c>
      <c r="BB471" s="53" t="s">
        <v>262</v>
      </c>
      <c r="BC471" s="53">
        <v>50</v>
      </c>
      <c r="BD471" s="53" t="s">
        <v>102</v>
      </c>
      <c r="BE471" s="53">
        <v>250</v>
      </c>
      <c r="BF471" s="53">
        <v>250</v>
      </c>
      <c r="BG471" s="53">
        <v>200</v>
      </c>
      <c r="BH471" s="53" t="s">
        <v>262</v>
      </c>
      <c r="BI471" s="53">
        <v>100</v>
      </c>
      <c r="BJ471" s="53" t="s">
        <v>264</v>
      </c>
      <c r="BK471" s="53">
        <v>200</v>
      </c>
      <c r="BL471" s="53" t="s">
        <v>264</v>
      </c>
      <c r="BM471" s="53">
        <v>121</v>
      </c>
      <c r="BN471" s="53" t="s">
        <v>264</v>
      </c>
      <c r="BO471" s="53" t="s">
        <v>264</v>
      </c>
      <c r="BP471" s="53">
        <v>25</v>
      </c>
      <c r="BQ471" s="53" t="s">
        <v>102</v>
      </c>
      <c r="BR471" s="53">
        <v>25</v>
      </c>
      <c r="BS471" s="53">
        <v>25</v>
      </c>
      <c r="BT471" s="53">
        <v>75</v>
      </c>
      <c r="BU471" s="53">
        <v>200</v>
      </c>
      <c r="BV471" s="53">
        <v>25</v>
      </c>
      <c r="BW471" s="53" t="s">
        <v>264</v>
      </c>
      <c r="BX471" s="53">
        <v>75</v>
      </c>
      <c r="BY471" s="53" t="s">
        <v>262</v>
      </c>
      <c r="BZ471" s="53">
        <v>400</v>
      </c>
      <c r="CA471" s="53">
        <v>200</v>
      </c>
      <c r="CB471" s="53">
        <v>25</v>
      </c>
      <c r="CC471" s="53">
        <v>25</v>
      </c>
      <c r="CD471" s="53">
        <v>200</v>
      </c>
      <c r="CE471" s="53">
        <v>25</v>
      </c>
      <c r="CF471" s="53">
        <v>400</v>
      </c>
      <c r="CG471" s="53">
        <v>200</v>
      </c>
      <c r="CH471" s="53">
        <v>400</v>
      </c>
      <c r="CI471" s="53">
        <v>400</v>
      </c>
      <c r="CJ471" s="53">
        <v>1500</v>
      </c>
      <c r="CK471" s="53">
        <v>1500</v>
      </c>
      <c r="CL471" s="53">
        <v>750</v>
      </c>
      <c r="CM471" s="53">
        <v>400</v>
      </c>
      <c r="CN471" s="206"/>
      <c r="CO471" s="206"/>
      <c r="CP471" s="206"/>
      <c r="CQ471" s="8">
        <f t="shared" si="265"/>
        <v>10</v>
      </c>
      <c r="CR471" s="8">
        <f t="shared" si="266"/>
        <v>1500</v>
      </c>
      <c r="CS471" s="8">
        <f t="shared" si="267"/>
        <v>233.76744186046511</v>
      </c>
      <c r="CT471">
        <f t="shared" si="268"/>
        <v>117.47189438959268</v>
      </c>
      <c r="CU471" s="143">
        <f t="shared" si="269"/>
        <v>94.5</v>
      </c>
      <c r="CV471" s="143">
        <f t="shared" si="270"/>
        <v>192.85714285714286</v>
      </c>
      <c r="CX471" s="7">
        <f t="shared" si="271"/>
        <v>25</v>
      </c>
      <c r="CY471" s="7">
        <f t="shared" si="272"/>
        <v>25</v>
      </c>
      <c r="CZ471" s="7">
        <f t="shared" si="273"/>
        <v>35.000000000000007</v>
      </c>
      <c r="DA471" s="7">
        <f t="shared" si="274"/>
        <v>50</v>
      </c>
      <c r="DB471" s="7">
        <f t="shared" si="275"/>
        <v>121</v>
      </c>
      <c r="DC471" s="7">
        <f t="shared" si="276"/>
        <v>200</v>
      </c>
      <c r="DD471" s="7">
        <f t="shared" si="277"/>
        <v>200</v>
      </c>
      <c r="DE471" s="7">
        <f t="shared" si="278"/>
        <v>250</v>
      </c>
      <c r="DF471" s="7">
        <f t="shared" si="279"/>
        <v>400</v>
      </c>
      <c r="DH471" s="7">
        <f t="shared" si="280"/>
        <v>36.049999999999997</v>
      </c>
      <c r="DI471" s="7">
        <f t="shared" si="281"/>
        <v>51.95</v>
      </c>
      <c r="DJ471" s="7">
        <f t="shared" si="282"/>
        <v>55</v>
      </c>
      <c r="DK471" s="7">
        <f t="shared" si="283"/>
        <v>60.5</v>
      </c>
      <c r="DL471" s="7">
        <f t="shared" si="284"/>
        <v>111.5</v>
      </c>
      <c r="DM471" s="7">
        <f t="shared" si="285"/>
        <v>130</v>
      </c>
      <c r="DN471" s="7">
        <f t="shared" si="286"/>
        <v>136.6</v>
      </c>
      <c r="DO471" s="7">
        <f t="shared" si="287"/>
        <v>163.75</v>
      </c>
      <c r="DP471" s="7">
        <f t="shared" si="288"/>
        <v>262.29999999999995</v>
      </c>
    </row>
    <row r="472" spans="1:130" ht="25.5" hidden="1" customHeight="1" x14ac:dyDescent="0.25">
      <c r="A472" s="92" t="str">
        <f t="shared" si="289"/>
        <v>SK-WVI [R10]</v>
      </c>
      <c r="B472" s="92" t="str">
        <f t="shared" si="290"/>
        <v>West Vancouver Island</v>
      </c>
      <c r="C472" s="93" t="str">
        <f t="shared" si="262"/>
        <v>AMAI CREEK_Sockeye</v>
      </c>
      <c r="D472" s="128" t="s">
        <v>598</v>
      </c>
      <c r="E472" s="128" t="s">
        <v>598</v>
      </c>
      <c r="F472" s="64">
        <v>26</v>
      </c>
      <c r="G472" s="72" t="s">
        <v>250</v>
      </c>
      <c r="H472" s="65" t="s">
        <v>91</v>
      </c>
      <c r="I472" s="119"/>
      <c r="J472" s="119"/>
      <c r="K472" s="64">
        <v>3</v>
      </c>
      <c r="L472" s="52">
        <v>8</v>
      </c>
      <c r="M472" s="52">
        <v>4</v>
      </c>
      <c r="N472" s="52">
        <f t="shared" si="291"/>
        <v>28.284271247461902</v>
      </c>
      <c r="O472" s="52">
        <f t="shared" si="292"/>
        <v>200</v>
      </c>
      <c r="P472" s="52">
        <f t="shared" si="293"/>
        <v>25.198420997897461</v>
      </c>
      <c r="Q472" s="66"/>
      <c r="R472" s="37"/>
      <c r="S472" s="74" t="s">
        <v>428</v>
      </c>
      <c r="T472" s="81">
        <f t="shared" si="263"/>
        <v>4</v>
      </c>
      <c r="U472" s="81">
        <f t="shared" si="264"/>
        <v>4</v>
      </c>
      <c r="V472" s="234" t="s">
        <v>102</v>
      </c>
      <c r="W472" s="234" t="s">
        <v>102</v>
      </c>
      <c r="X472" s="52">
        <v>4</v>
      </c>
      <c r="Y472" s="52"/>
      <c r="Z472" s="52" t="s">
        <v>263</v>
      </c>
      <c r="AA472" s="52" t="s">
        <v>102</v>
      </c>
      <c r="AB472" s="52" t="s">
        <v>102</v>
      </c>
      <c r="AC472" s="52" t="s">
        <v>263</v>
      </c>
      <c r="AD472" s="52" t="s">
        <v>262</v>
      </c>
      <c r="AE472" s="144" t="s">
        <v>262</v>
      </c>
      <c r="AF472" s="144" t="s">
        <v>262</v>
      </c>
      <c r="AG472" s="144" t="s">
        <v>262</v>
      </c>
      <c r="AH472" s="52" t="s">
        <v>102</v>
      </c>
      <c r="AI472" s="52" t="s">
        <v>102</v>
      </c>
      <c r="AJ472" s="52" t="s">
        <v>102</v>
      </c>
      <c r="AK472" s="52" t="s">
        <v>102</v>
      </c>
      <c r="AL472" s="52" t="s">
        <v>102</v>
      </c>
      <c r="AM472" s="52" t="s">
        <v>102</v>
      </c>
      <c r="AN472" s="52" t="s">
        <v>102</v>
      </c>
      <c r="AO472" s="52" t="s">
        <v>102</v>
      </c>
      <c r="AP472" s="53" t="s">
        <v>262</v>
      </c>
      <c r="AQ472" s="53" t="s">
        <v>262</v>
      </c>
      <c r="AR472" s="53" t="s">
        <v>263</v>
      </c>
      <c r="AS472" s="52" t="s">
        <v>263</v>
      </c>
      <c r="AT472" s="52">
        <v>4</v>
      </c>
      <c r="AU472" s="52">
        <v>200</v>
      </c>
      <c r="AV472" s="52" t="s">
        <v>262</v>
      </c>
      <c r="AW472" s="52" t="s">
        <v>262</v>
      </c>
      <c r="AX472" s="51" t="s">
        <v>264</v>
      </c>
      <c r="AY472" s="53" t="s">
        <v>262</v>
      </c>
      <c r="AZ472" s="53" t="s">
        <v>102</v>
      </c>
      <c r="BA472" s="53" t="s">
        <v>262</v>
      </c>
      <c r="BB472" s="52" t="s">
        <v>262</v>
      </c>
      <c r="BC472" s="53" t="s">
        <v>264</v>
      </c>
      <c r="BD472" s="53" t="s">
        <v>102</v>
      </c>
      <c r="BE472" s="53" t="s">
        <v>264</v>
      </c>
      <c r="BF472" s="53" t="s">
        <v>264</v>
      </c>
      <c r="BG472" s="53" t="s">
        <v>264</v>
      </c>
      <c r="BH472" s="53" t="s">
        <v>262</v>
      </c>
      <c r="BI472" s="53">
        <v>20</v>
      </c>
      <c r="BJ472" s="53" t="s">
        <v>264</v>
      </c>
      <c r="BK472" s="53" t="s">
        <v>264</v>
      </c>
      <c r="BL472" s="53" t="s">
        <v>264</v>
      </c>
      <c r="BM472" s="53" t="s">
        <v>264</v>
      </c>
      <c r="BN472" s="53" t="s">
        <v>264</v>
      </c>
      <c r="BO472" s="53" t="s">
        <v>264</v>
      </c>
      <c r="BP472" s="53" t="s">
        <v>264</v>
      </c>
      <c r="BQ472" s="53" t="s">
        <v>102</v>
      </c>
      <c r="BR472" s="53" t="s">
        <v>264</v>
      </c>
      <c r="BS472" s="53" t="s">
        <v>264</v>
      </c>
      <c r="BT472" s="53" t="s">
        <v>264</v>
      </c>
      <c r="BU472" s="53" t="s">
        <v>264</v>
      </c>
      <c r="BV472" s="53" t="s">
        <v>264</v>
      </c>
      <c r="BW472" s="53" t="s">
        <v>264</v>
      </c>
      <c r="BX472" s="53" t="s">
        <v>264</v>
      </c>
      <c r="BY472" s="53" t="s">
        <v>264</v>
      </c>
      <c r="BZ472" s="53" t="s">
        <v>264</v>
      </c>
      <c r="CA472" s="53" t="s">
        <v>262</v>
      </c>
      <c r="CB472" s="53" t="s">
        <v>264</v>
      </c>
      <c r="CC472" s="53" t="s">
        <v>264</v>
      </c>
      <c r="CD472" s="53" t="s">
        <v>264</v>
      </c>
      <c r="CE472" s="53" t="s">
        <v>264</v>
      </c>
      <c r="CF472" s="53" t="s">
        <v>264</v>
      </c>
      <c r="CG472" s="53" t="s">
        <v>264</v>
      </c>
      <c r="CH472" s="53" t="s">
        <v>264</v>
      </c>
      <c r="CI472" s="53" t="s">
        <v>264</v>
      </c>
      <c r="CJ472" s="53" t="s">
        <v>264</v>
      </c>
      <c r="CK472" s="53" t="s">
        <v>264</v>
      </c>
      <c r="CL472" s="53" t="s">
        <v>264</v>
      </c>
      <c r="CM472" s="53" t="s">
        <v>264</v>
      </c>
      <c r="CN472" s="206"/>
      <c r="CO472" s="206"/>
      <c r="CP472" s="206"/>
      <c r="CQ472" s="8">
        <f t="shared" si="265"/>
        <v>4</v>
      </c>
      <c r="CR472" s="8">
        <f t="shared" si="266"/>
        <v>200</v>
      </c>
      <c r="CS472" s="8">
        <f t="shared" si="267"/>
        <v>57</v>
      </c>
      <c r="CT472">
        <f t="shared" si="268"/>
        <v>15.905414575341014</v>
      </c>
      <c r="CU472" s="143">
        <f t="shared" si="269"/>
        <v>4</v>
      </c>
      <c r="CV472" s="143">
        <f t="shared" si="270"/>
        <v>4</v>
      </c>
      <c r="CX472" s="7">
        <f t="shared" si="271"/>
        <v>4</v>
      </c>
      <c r="CY472" s="7">
        <f t="shared" si="272"/>
        <v>4</v>
      </c>
      <c r="CZ472" s="7">
        <f t="shared" si="273"/>
        <v>4</v>
      </c>
      <c r="DA472" s="7">
        <f t="shared" si="274"/>
        <v>4</v>
      </c>
      <c r="DB472" s="7">
        <f t="shared" si="275"/>
        <v>12</v>
      </c>
      <c r="DC472" s="7">
        <f t="shared" si="276"/>
        <v>16.799999999999997</v>
      </c>
      <c r="DD472" s="7">
        <f t="shared" si="277"/>
        <v>19.200000000000003</v>
      </c>
      <c r="DE472" s="7">
        <f t="shared" si="278"/>
        <v>65</v>
      </c>
      <c r="DF472" s="7">
        <f t="shared" si="279"/>
        <v>118.99999999999997</v>
      </c>
      <c r="DH472" s="7">
        <f t="shared" si="280"/>
        <v>4</v>
      </c>
      <c r="DI472" s="7">
        <f t="shared" si="281"/>
        <v>4</v>
      </c>
      <c r="DJ472" s="7">
        <f t="shared" si="282"/>
        <v>4</v>
      </c>
      <c r="DK472" s="7">
        <f t="shared" si="283"/>
        <v>4</v>
      </c>
      <c r="DL472" s="7">
        <f t="shared" si="284"/>
        <v>4</v>
      </c>
      <c r="DM472" s="7">
        <f t="shared" si="285"/>
        <v>43.200000000000031</v>
      </c>
      <c r="DN472" s="7">
        <f t="shared" si="286"/>
        <v>62.799999999999969</v>
      </c>
      <c r="DO472" s="7">
        <f t="shared" si="287"/>
        <v>102</v>
      </c>
      <c r="DP472" s="7">
        <f t="shared" si="288"/>
        <v>141.20000000000005</v>
      </c>
    </row>
    <row r="473" spans="1:130" ht="25.5" customHeight="1" x14ac:dyDescent="0.25">
      <c r="A473" s="92" t="str">
        <f t="shared" si="289"/>
        <v>CK-NoKy [32]</v>
      </c>
      <c r="B473" s="92" t="str">
        <f t="shared" si="290"/>
        <v>Nootka and Kyuquot</v>
      </c>
      <c r="C473" s="93" t="str">
        <f t="shared" si="262"/>
        <v>ARTLISH RIVER_Chinook</v>
      </c>
      <c r="D473" s="128" t="s">
        <v>599</v>
      </c>
      <c r="E473" s="128" t="s">
        <v>599</v>
      </c>
      <c r="F473" s="64">
        <v>26</v>
      </c>
      <c r="G473" s="72" t="s">
        <v>252</v>
      </c>
      <c r="H473" s="65" t="s">
        <v>97</v>
      </c>
      <c r="I473" s="119"/>
      <c r="J473" s="119"/>
      <c r="K473" s="64">
        <v>2</v>
      </c>
      <c r="L473" s="52">
        <v>11</v>
      </c>
      <c r="M473" s="52">
        <v>11</v>
      </c>
      <c r="N473" s="52">
        <f t="shared" si="291"/>
        <v>178.57068689754246</v>
      </c>
      <c r="O473" s="52">
        <f t="shared" si="292"/>
        <v>3500</v>
      </c>
      <c r="P473" s="52">
        <f t="shared" si="293"/>
        <v>168.92127501355648</v>
      </c>
      <c r="Q473" s="66" t="s">
        <v>269</v>
      </c>
      <c r="R473" s="37"/>
      <c r="S473" s="74" t="s">
        <v>1</v>
      </c>
      <c r="T473" s="81">
        <f t="shared" si="263"/>
        <v>257.75</v>
      </c>
      <c r="U473" s="81">
        <f t="shared" si="264"/>
        <v>321.58333333333331</v>
      </c>
      <c r="V473" s="144">
        <v>231</v>
      </c>
      <c r="W473" s="144">
        <v>242</v>
      </c>
      <c r="X473" s="52">
        <v>117</v>
      </c>
      <c r="Y473" s="52">
        <v>441</v>
      </c>
      <c r="Z473" s="52">
        <v>555</v>
      </c>
      <c r="AA473" s="52">
        <v>274</v>
      </c>
      <c r="AB473" s="52">
        <v>160</v>
      </c>
      <c r="AC473" s="52">
        <v>1113</v>
      </c>
      <c r="AD473" s="52">
        <v>91</v>
      </c>
      <c r="AE473" s="144">
        <v>399</v>
      </c>
      <c r="AF473" s="144">
        <v>141</v>
      </c>
      <c r="AG473" s="215">
        <v>95</v>
      </c>
      <c r="AH473" s="53">
        <v>110</v>
      </c>
      <c r="AI473" s="216">
        <v>214</v>
      </c>
      <c r="AJ473" s="53">
        <v>200</v>
      </c>
      <c r="AK473" s="179">
        <v>162</v>
      </c>
      <c r="AL473" s="89">
        <v>228</v>
      </c>
      <c r="AM473" s="52">
        <v>199</v>
      </c>
      <c r="AN473" s="177">
        <v>454</v>
      </c>
      <c r="AO473" s="179">
        <v>379</v>
      </c>
      <c r="AP473" s="53">
        <v>41</v>
      </c>
      <c r="AQ473" s="53">
        <v>139</v>
      </c>
      <c r="AR473" s="179">
        <v>75</v>
      </c>
      <c r="AS473" s="52">
        <v>539</v>
      </c>
      <c r="AT473" s="52">
        <v>300</v>
      </c>
      <c r="AU473" s="52">
        <v>402</v>
      </c>
      <c r="AV473" s="52">
        <v>53</v>
      </c>
      <c r="AW473" s="177">
        <v>90</v>
      </c>
      <c r="AX473" s="178">
        <v>100</v>
      </c>
      <c r="AY473" s="179">
        <v>10</v>
      </c>
      <c r="AZ473" s="179">
        <v>10</v>
      </c>
      <c r="BA473" s="179">
        <v>20</v>
      </c>
      <c r="BB473" s="179">
        <v>50</v>
      </c>
      <c r="BC473" s="179">
        <v>40</v>
      </c>
      <c r="BD473" s="179" t="s">
        <v>264</v>
      </c>
      <c r="BE473" s="179">
        <v>100</v>
      </c>
      <c r="BF473" s="179">
        <v>100</v>
      </c>
      <c r="BG473" s="179">
        <v>400</v>
      </c>
      <c r="BH473" s="179">
        <v>650</v>
      </c>
      <c r="BI473" s="179" t="s">
        <v>102</v>
      </c>
      <c r="BJ473" s="179">
        <v>100</v>
      </c>
      <c r="BK473" s="179">
        <v>500</v>
      </c>
      <c r="BL473" s="179">
        <v>100</v>
      </c>
      <c r="BM473" s="179">
        <v>40</v>
      </c>
      <c r="BN473" s="179" t="s">
        <v>262</v>
      </c>
      <c r="BO473" s="179">
        <v>60</v>
      </c>
      <c r="BP473" s="179">
        <v>25</v>
      </c>
      <c r="BQ473" s="179">
        <v>25</v>
      </c>
      <c r="BR473" s="179">
        <v>200</v>
      </c>
      <c r="BS473" s="179">
        <v>750</v>
      </c>
      <c r="BT473" s="179">
        <v>400</v>
      </c>
      <c r="BU473" s="179">
        <v>200</v>
      </c>
      <c r="BV473" s="179">
        <v>200</v>
      </c>
      <c r="BW473" s="179">
        <v>200</v>
      </c>
      <c r="BX473" s="179">
        <v>25</v>
      </c>
      <c r="BY473" s="179">
        <v>25</v>
      </c>
      <c r="BZ473" s="179">
        <v>3500</v>
      </c>
      <c r="CA473" s="179">
        <v>400</v>
      </c>
      <c r="CB473" s="179">
        <v>25</v>
      </c>
      <c r="CC473" s="179">
        <v>750</v>
      </c>
      <c r="CD473" s="179">
        <v>200</v>
      </c>
      <c r="CE473" s="179">
        <v>400</v>
      </c>
      <c r="CF473" s="179">
        <v>750</v>
      </c>
      <c r="CG473" s="179">
        <v>200</v>
      </c>
      <c r="CH473" s="179">
        <v>3500</v>
      </c>
      <c r="CI473" s="179">
        <v>400</v>
      </c>
      <c r="CJ473" s="179">
        <v>400</v>
      </c>
      <c r="CK473" s="179">
        <v>750</v>
      </c>
      <c r="CL473" s="179">
        <v>750</v>
      </c>
      <c r="CM473" s="179">
        <v>1500</v>
      </c>
      <c r="CN473" s="209"/>
      <c r="CO473" s="209"/>
      <c r="CP473" s="209"/>
      <c r="CQ473" s="8">
        <f t="shared" si="265"/>
        <v>10</v>
      </c>
      <c r="CR473" s="8">
        <f t="shared" si="266"/>
        <v>3500</v>
      </c>
      <c r="CS473" s="8">
        <f t="shared" si="267"/>
        <v>377.59701492537312</v>
      </c>
      <c r="CT473">
        <f t="shared" si="268"/>
        <v>179.47795507335516</v>
      </c>
      <c r="CU473" s="143">
        <f t="shared" si="269"/>
        <v>317.2</v>
      </c>
      <c r="CV473" s="143">
        <f t="shared" si="270"/>
        <v>321.58333333333331</v>
      </c>
      <c r="CX473" s="7">
        <f t="shared" si="271"/>
        <v>25</v>
      </c>
      <c r="CY473" s="7">
        <f t="shared" si="272"/>
        <v>40.9</v>
      </c>
      <c r="CZ473" s="7">
        <f t="shared" si="273"/>
        <v>63.000000000000014</v>
      </c>
      <c r="DA473" s="7">
        <f t="shared" si="274"/>
        <v>93</v>
      </c>
      <c r="DB473" s="7">
        <f t="shared" si="275"/>
        <v>200</v>
      </c>
      <c r="DC473" s="7">
        <f t="shared" si="276"/>
        <v>237.60000000000002</v>
      </c>
      <c r="DD473" s="7">
        <f t="shared" si="277"/>
        <v>371.09999999999991</v>
      </c>
      <c r="DE473" s="7">
        <f t="shared" si="278"/>
        <v>400</v>
      </c>
      <c r="DF473" s="7">
        <f t="shared" si="279"/>
        <v>564.50000000000011</v>
      </c>
      <c r="DH473" s="7">
        <f t="shared" si="280"/>
        <v>60.7</v>
      </c>
      <c r="DI473" s="7">
        <f t="shared" si="281"/>
        <v>91.2</v>
      </c>
      <c r="DJ473" s="7">
        <f t="shared" si="282"/>
        <v>101</v>
      </c>
      <c r="DK473" s="7">
        <f t="shared" si="283"/>
        <v>115.25</v>
      </c>
      <c r="DL473" s="7">
        <f t="shared" si="284"/>
        <v>207</v>
      </c>
      <c r="DM473" s="7">
        <f t="shared" si="285"/>
        <v>233.2</v>
      </c>
      <c r="DN473" s="7">
        <f t="shared" si="286"/>
        <v>259.60000000000002</v>
      </c>
      <c r="DO473" s="7">
        <f t="shared" si="287"/>
        <v>384</v>
      </c>
      <c r="DP473" s="7">
        <f t="shared" si="288"/>
        <v>439.04999999999995</v>
      </c>
      <c r="DR473" s="7">
        <f>_xlfn.PERCENTILE.INC((Y473:AJ473,AL473:AM473,AP473:AQ473,AS473:AV473),0.05)</f>
        <v>52.400000000000006</v>
      </c>
      <c r="DS473" s="7">
        <f>_xlfn.PERCENTILE.INC((Y473:AJ473,AL473:AM473,AP473:AQ473,AS473:AV473),0.15)</f>
        <v>94.4</v>
      </c>
      <c r="DT473" s="7">
        <f>_xlfn.PERCENTILE.INC((Y473:AJ473,AL473:AM473,AP473:AQ473,AS473:AV473),0.2)</f>
        <v>107.00000000000001</v>
      </c>
      <c r="DU473" s="7">
        <f>_xlfn.PERCENTILE.INC((Y473:AJ473,AL473:AM473,AP473:AQ473,AS473:AV473),0.25)</f>
        <v>131.75</v>
      </c>
      <c r="DV473" s="7">
        <f>_xlfn.PERCENTILE.INC((Y473:AJ473,AL473:AM473,AP473:AQ473,AS473:AV473),0.5)</f>
        <v>207</v>
      </c>
      <c r="DW473" s="7">
        <f>_xlfn.PERCENTILE.INC((Y473:AJ473,AL473:AM473,AP473:AQ473,AS473:AV473),0.6)</f>
        <v>246.4</v>
      </c>
      <c r="DX473" s="7">
        <f>_xlfn.PERCENTILE.INC((Y473:AJ473,AL473:AM473,AP473:AQ473,AS473:AV473),0.65)</f>
        <v>283.09999999999997</v>
      </c>
      <c r="DY473" s="7">
        <f>_xlfn.PERCENTILE.INC((Y473:AJ473,AL473:AM473,AP473:AQ473,AS473:AV473),0.75)</f>
        <v>399.75</v>
      </c>
      <c r="DZ473" s="7">
        <f>_xlfn.PERCENTILE.INC((Y473:AJ473,AL473:AM473,AP473:AQ473,AS473:AV473),0.85)</f>
        <v>455.69999999999987</v>
      </c>
    </row>
    <row r="474" spans="1:130" ht="25.5" hidden="1" customHeight="1" x14ac:dyDescent="0.25">
      <c r="A474" s="92" t="str">
        <f t="shared" si="289"/>
        <v>CM-SWVI [10]</v>
      </c>
      <c r="B474" s="92" t="str">
        <f t="shared" si="290"/>
        <v>Southwest Vancouver Island</v>
      </c>
      <c r="C474" s="93" t="str">
        <f t="shared" si="262"/>
        <v>ARTLISH RIVER_Chum</v>
      </c>
      <c r="D474" s="128" t="s">
        <v>598</v>
      </c>
      <c r="E474" s="128" t="s">
        <v>598</v>
      </c>
      <c r="F474" s="64">
        <v>26</v>
      </c>
      <c r="G474" s="72" t="s">
        <v>252</v>
      </c>
      <c r="H474" s="65" t="s">
        <v>96</v>
      </c>
      <c r="I474" s="119"/>
      <c r="J474" s="119"/>
      <c r="K474" s="64">
        <v>2</v>
      </c>
      <c r="L474" s="52">
        <v>11</v>
      </c>
      <c r="M474" s="52">
        <v>11</v>
      </c>
      <c r="N474" s="52">
        <f t="shared" si="291"/>
        <v>1877.0867478966532</v>
      </c>
      <c r="O474" s="52">
        <f t="shared" si="292"/>
        <v>10392</v>
      </c>
      <c r="P474" s="52">
        <f t="shared" si="293"/>
        <v>1093.5503157175031</v>
      </c>
      <c r="Q474" s="66" t="s">
        <v>269</v>
      </c>
      <c r="R474" s="37"/>
      <c r="S474" s="74" t="s">
        <v>1</v>
      </c>
      <c r="T474" s="81">
        <f t="shared" si="263"/>
        <v>2491.75</v>
      </c>
      <c r="U474" s="81">
        <f t="shared" si="264"/>
        <v>4772.416666666667</v>
      </c>
      <c r="V474" s="144">
        <v>1328</v>
      </c>
      <c r="W474" s="144">
        <v>4778</v>
      </c>
      <c r="X474" s="52">
        <v>2664</v>
      </c>
      <c r="Y474" s="52">
        <v>1197</v>
      </c>
      <c r="Z474" s="52">
        <v>1431</v>
      </c>
      <c r="AA474" s="216">
        <v>1567</v>
      </c>
      <c r="AB474" s="52">
        <v>15956</v>
      </c>
      <c r="AC474" s="216">
        <v>8133</v>
      </c>
      <c r="AD474" s="52">
        <v>1446</v>
      </c>
      <c r="AE474" s="144">
        <v>3746</v>
      </c>
      <c r="AF474" s="144">
        <v>5302</v>
      </c>
      <c r="AG474" s="215">
        <v>9721</v>
      </c>
      <c r="AH474" s="53">
        <v>1920</v>
      </c>
      <c r="AI474" s="53">
        <v>2775</v>
      </c>
      <c r="AJ474" s="53">
        <v>2730</v>
      </c>
      <c r="AK474" s="53">
        <v>6069</v>
      </c>
      <c r="AL474" s="89">
        <v>2524</v>
      </c>
      <c r="AM474" s="52">
        <v>4433</v>
      </c>
      <c r="AN474" s="52">
        <v>7595</v>
      </c>
      <c r="AO474" s="53">
        <v>7914</v>
      </c>
      <c r="AP474" s="53">
        <v>2763</v>
      </c>
      <c r="AQ474" s="53">
        <v>250</v>
      </c>
      <c r="AR474" s="53">
        <v>835</v>
      </c>
      <c r="AS474" s="52">
        <v>8207</v>
      </c>
      <c r="AT474" s="52">
        <v>10392</v>
      </c>
      <c r="AU474" s="52">
        <v>2458</v>
      </c>
      <c r="AV474" s="52">
        <v>1251</v>
      </c>
      <c r="AW474" s="216">
        <v>4</v>
      </c>
      <c r="AX474" s="51">
        <v>2000</v>
      </c>
      <c r="AY474" s="53">
        <v>750</v>
      </c>
      <c r="AZ474" s="53">
        <v>5000</v>
      </c>
      <c r="BA474" s="53">
        <v>1500</v>
      </c>
      <c r="BB474" s="53">
        <v>650</v>
      </c>
      <c r="BC474" s="53">
        <v>100</v>
      </c>
      <c r="BD474" s="53">
        <v>400</v>
      </c>
      <c r="BE474" s="53">
        <v>200</v>
      </c>
      <c r="BF474" s="53">
        <v>1500</v>
      </c>
      <c r="BG474" s="53">
        <v>4000</v>
      </c>
      <c r="BH474" s="53">
        <v>2000</v>
      </c>
      <c r="BI474" s="53" t="s">
        <v>102</v>
      </c>
      <c r="BJ474" s="53">
        <v>1000</v>
      </c>
      <c r="BK474" s="53">
        <v>2000</v>
      </c>
      <c r="BL474" s="53">
        <v>4000</v>
      </c>
      <c r="BM474" s="53">
        <v>500</v>
      </c>
      <c r="BN474" s="53">
        <v>2100</v>
      </c>
      <c r="BO474" s="53">
        <v>400</v>
      </c>
      <c r="BP474" s="53">
        <v>200</v>
      </c>
      <c r="BQ474" s="53">
        <v>750</v>
      </c>
      <c r="BR474" s="53">
        <v>750</v>
      </c>
      <c r="BS474" s="53">
        <v>3500</v>
      </c>
      <c r="BT474" s="53">
        <v>750</v>
      </c>
      <c r="BU474" s="53">
        <v>400</v>
      </c>
      <c r="BV474" s="53">
        <v>750</v>
      </c>
      <c r="BW474" s="53">
        <v>75</v>
      </c>
      <c r="BX474" s="53">
        <v>1500</v>
      </c>
      <c r="BY474" s="53">
        <v>1500</v>
      </c>
      <c r="BZ474" s="53">
        <v>200</v>
      </c>
      <c r="CA474" s="53">
        <v>750</v>
      </c>
      <c r="CB474" s="53" t="s">
        <v>262</v>
      </c>
      <c r="CC474" s="53">
        <v>400</v>
      </c>
      <c r="CD474" s="53">
        <v>750</v>
      </c>
      <c r="CE474" s="53">
        <v>750</v>
      </c>
      <c r="CF474" s="53">
        <v>400</v>
      </c>
      <c r="CG474" s="53">
        <v>400</v>
      </c>
      <c r="CH474" s="53">
        <v>3500</v>
      </c>
      <c r="CI474" s="53">
        <v>1500</v>
      </c>
      <c r="CJ474" s="53">
        <v>1500</v>
      </c>
      <c r="CK474" s="53">
        <v>1500</v>
      </c>
      <c r="CL474" s="53">
        <v>5500</v>
      </c>
      <c r="CM474" s="53">
        <v>1500</v>
      </c>
      <c r="CN474" s="206"/>
      <c r="CO474" s="206"/>
      <c r="CP474" s="206"/>
      <c r="CQ474" s="8">
        <f t="shared" si="265"/>
        <v>4</v>
      </c>
      <c r="CR474" s="8">
        <f t="shared" si="266"/>
        <v>15956</v>
      </c>
      <c r="CS474" s="8">
        <f t="shared" si="267"/>
        <v>2592.8529411764707</v>
      </c>
      <c r="CT474">
        <f t="shared" si="268"/>
        <v>1358.1157102979485</v>
      </c>
      <c r="CU474" s="143">
        <f t="shared" si="269"/>
        <v>2279.6</v>
      </c>
      <c r="CV474" s="143">
        <f t="shared" si="270"/>
        <v>4772.416666666667</v>
      </c>
      <c r="CX474" s="7">
        <f t="shared" si="271"/>
        <v>200</v>
      </c>
      <c r="CY474" s="7">
        <f t="shared" si="272"/>
        <v>400</v>
      </c>
      <c r="CZ474" s="7">
        <f t="shared" si="273"/>
        <v>560</v>
      </c>
      <c r="DA474" s="7">
        <f t="shared" si="274"/>
        <v>750</v>
      </c>
      <c r="DB474" s="7">
        <f t="shared" si="275"/>
        <v>1500</v>
      </c>
      <c r="DC474" s="7">
        <f t="shared" si="276"/>
        <v>2000</v>
      </c>
      <c r="DD474" s="7">
        <f t="shared" si="277"/>
        <v>2296.9000000000015</v>
      </c>
      <c r="DE474" s="7">
        <f t="shared" si="278"/>
        <v>3500</v>
      </c>
      <c r="DF474" s="7">
        <f t="shared" si="279"/>
        <v>4988.8999999999987</v>
      </c>
      <c r="DH474" s="7">
        <f t="shared" si="280"/>
        <v>454.75000000000006</v>
      </c>
      <c r="DI474" s="7">
        <f t="shared" si="281"/>
        <v>1254.8499999999999</v>
      </c>
      <c r="DJ474" s="7">
        <f t="shared" si="282"/>
        <v>1369.2</v>
      </c>
      <c r="DK474" s="7">
        <f t="shared" si="283"/>
        <v>1442.25</v>
      </c>
      <c r="DL474" s="7">
        <f t="shared" si="284"/>
        <v>2746.5</v>
      </c>
      <c r="DM474" s="7">
        <f t="shared" si="285"/>
        <v>3883.3999999999996</v>
      </c>
      <c r="DN474" s="7">
        <f t="shared" si="286"/>
        <v>4622.75</v>
      </c>
      <c r="DO474" s="7">
        <f t="shared" si="287"/>
        <v>6450.5</v>
      </c>
      <c r="DP474" s="7">
        <f t="shared" si="288"/>
        <v>8122.05</v>
      </c>
    </row>
    <row r="475" spans="1:130" ht="25.5" hidden="1" customHeight="1" x14ac:dyDescent="0.25">
      <c r="A475" s="92" t="str">
        <f t="shared" si="289"/>
        <v>CO-WVI [17]</v>
      </c>
      <c r="B475" s="92" t="str">
        <f t="shared" si="290"/>
        <v>West Vancouver Island</v>
      </c>
      <c r="C475" s="93" t="str">
        <f t="shared" si="262"/>
        <v>ARTLISH RIVER_Coho</v>
      </c>
      <c r="D475" s="128" t="s">
        <v>598</v>
      </c>
      <c r="E475" s="128" t="s">
        <v>598</v>
      </c>
      <c r="F475" s="64">
        <v>26</v>
      </c>
      <c r="G475" s="72" t="s">
        <v>252</v>
      </c>
      <c r="H475" s="65" t="s">
        <v>93</v>
      </c>
      <c r="I475" s="119"/>
      <c r="J475" s="119"/>
      <c r="K475" s="64">
        <v>2</v>
      </c>
      <c r="L475" s="52">
        <v>11</v>
      </c>
      <c r="M475" s="52">
        <v>11</v>
      </c>
      <c r="N475" s="52">
        <f t="shared" si="291"/>
        <v>694.56632445321259</v>
      </c>
      <c r="O475" s="52">
        <f t="shared" si="292"/>
        <v>7500</v>
      </c>
      <c r="P475" s="52">
        <f t="shared" si="293"/>
        <v>382.71249084210382</v>
      </c>
      <c r="Q475" s="66" t="s">
        <v>269</v>
      </c>
      <c r="R475" s="37"/>
      <c r="S475" s="74" t="s">
        <v>1</v>
      </c>
      <c r="T475" s="81">
        <f t="shared" si="263"/>
        <v>1884.25</v>
      </c>
      <c r="U475" s="81">
        <f t="shared" si="264"/>
        <v>1833.9166666666667</v>
      </c>
      <c r="V475" s="144">
        <v>2479</v>
      </c>
      <c r="W475" s="144">
        <v>3533</v>
      </c>
      <c r="X475" s="52">
        <v>692</v>
      </c>
      <c r="Y475" s="52">
        <v>833</v>
      </c>
      <c r="Z475" s="52">
        <v>2692</v>
      </c>
      <c r="AA475" s="216">
        <v>1244</v>
      </c>
      <c r="AB475" s="216">
        <v>1012</v>
      </c>
      <c r="AC475" s="216">
        <v>1486</v>
      </c>
      <c r="AD475" s="52">
        <v>1789</v>
      </c>
      <c r="AE475" s="144">
        <v>3062</v>
      </c>
      <c r="AF475" s="144">
        <v>1312</v>
      </c>
      <c r="AG475" s="215">
        <v>1873</v>
      </c>
      <c r="AH475" s="53">
        <v>890</v>
      </c>
      <c r="AI475" s="216">
        <v>1925</v>
      </c>
      <c r="AJ475" s="53">
        <v>770</v>
      </c>
      <c r="AK475" s="53">
        <v>623</v>
      </c>
      <c r="AL475" s="89">
        <v>632</v>
      </c>
      <c r="AM475" s="52">
        <v>636</v>
      </c>
      <c r="AN475" s="52">
        <v>1683</v>
      </c>
      <c r="AO475" s="53">
        <v>1492</v>
      </c>
      <c r="AP475" s="53">
        <v>965</v>
      </c>
      <c r="AQ475" s="53">
        <v>610</v>
      </c>
      <c r="AR475" s="53">
        <v>925</v>
      </c>
      <c r="AS475" s="52">
        <v>501</v>
      </c>
      <c r="AT475" s="52">
        <v>2002</v>
      </c>
      <c r="AU475" s="52">
        <v>678</v>
      </c>
      <c r="AV475" s="52">
        <v>212</v>
      </c>
      <c r="AW475" s="52">
        <v>160</v>
      </c>
      <c r="AX475" s="51" t="s">
        <v>262</v>
      </c>
      <c r="AY475" s="53">
        <v>50</v>
      </c>
      <c r="AZ475" s="53">
        <v>500</v>
      </c>
      <c r="BA475" s="53">
        <v>750</v>
      </c>
      <c r="BB475" s="53">
        <v>500</v>
      </c>
      <c r="BC475" s="53">
        <v>100</v>
      </c>
      <c r="BD475" s="53">
        <v>75</v>
      </c>
      <c r="BE475" s="53">
        <v>100</v>
      </c>
      <c r="BF475" s="53">
        <v>400</v>
      </c>
      <c r="BG475" s="53">
        <v>300</v>
      </c>
      <c r="BH475" s="53">
        <v>300</v>
      </c>
      <c r="BI475" s="53" t="s">
        <v>102</v>
      </c>
      <c r="BJ475" s="53" t="s">
        <v>264</v>
      </c>
      <c r="BK475" s="53">
        <v>250</v>
      </c>
      <c r="BL475" s="53">
        <v>400</v>
      </c>
      <c r="BM475" s="53">
        <v>100</v>
      </c>
      <c r="BN475" s="53" t="s">
        <v>262</v>
      </c>
      <c r="BO475" s="53">
        <v>100</v>
      </c>
      <c r="BP475" s="53">
        <v>25</v>
      </c>
      <c r="BQ475" s="53">
        <v>25</v>
      </c>
      <c r="BR475" s="53">
        <v>750</v>
      </c>
      <c r="BS475" s="53">
        <v>750</v>
      </c>
      <c r="BT475" s="53">
        <v>75</v>
      </c>
      <c r="BU475" s="53">
        <v>400</v>
      </c>
      <c r="BV475" s="53">
        <v>400</v>
      </c>
      <c r="BW475" s="53">
        <v>25</v>
      </c>
      <c r="BX475" s="53">
        <v>25</v>
      </c>
      <c r="BY475" s="53">
        <v>200</v>
      </c>
      <c r="BZ475" s="53">
        <v>400</v>
      </c>
      <c r="CA475" s="53">
        <v>200</v>
      </c>
      <c r="CB475" s="53">
        <v>1500</v>
      </c>
      <c r="CC475" s="53">
        <v>400</v>
      </c>
      <c r="CD475" s="53">
        <v>75</v>
      </c>
      <c r="CE475" s="53">
        <v>400</v>
      </c>
      <c r="CF475" s="53">
        <v>750</v>
      </c>
      <c r="CG475" s="53">
        <v>750</v>
      </c>
      <c r="CH475" s="53">
        <v>1500</v>
      </c>
      <c r="CI475" s="53">
        <v>1500</v>
      </c>
      <c r="CJ475" s="53">
        <v>7500</v>
      </c>
      <c r="CK475" s="53">
        <v>3500</v>
      </c>
      <c r="CL475" s="53">
        <v>3500</v>
      </c>
      <c r="CM475" s="53">
        <v>1500</v>
      </c>
      <c r="CN475" s="206"/>
      <c r="CO475" s="206"/>
      <c r="CP475" s="206"/>
      <c r="CQ475" s="8">
        <f t="shared" si="265"/>
        <v>25</v>
      </c>
      <c r="CR475" s="8">
        <f t="shared" si="266"/>
        <v>7500</v>
      </c>
      <c r="CS475" s="8">
        <f t="shared" si="267"/>
        <v>1011.9090909090909</v>
      </c>
      <c r="CT475">
        <f t="shared" si="268"/>
        <v>516.76873131444802</v>
      </c>
      <c r="CU475" s="143">
        <f t="shared" si="269"/>
        <v>2045.8</v>
      </c>
      <c r="CV475" s="143">
        <f t="shared" si="270"/>
        <v>1833.9166666666667</v>
      </c>
      <c r="CX475" s="7">
        <f t="shared" si="271"/>
        <v>31.25</v>
      </c>
      <c r="CY475" s="7">
        <f t="shared" si="272"/>
        <v>100</v>
      </c>
      <c r="CZ475" s="7">
        <f t="shared" si="273"/>
        <v>200</v>
      </c>
      <c r="DA475" s="7">
        <f t="shared" si="274"/>
        <v>262.5</v>
      </c>
      <c r="DB475" s="7">
        <f t="shared" si="275"/>
        <v>657</v>
      </c>
      <c r="DC475" s="7">
        <f t="shared" si="276"/>
        <v>750</v>
      </c>
      <c r="DD475" s="7">
        <f t="shared" si="277"/>
        <v>898.75</v>
      </c>
      <c r="DE475" s="7">
        <f t="shared" si="278"/>
        <v>1490.5</v>
      </c>
      <c r="DF475" s="7">
        <f t="shared" si="279"/>
        <v>1810</v>
      </c>
      <c r="DH475" s="7">
        <f t="shared" si="280"/>
        <v>313.15000000000003</v>
      </c>
      <c r="DI475" s="7">
        <f t="shared" si="281"/>
        <v>623.45000000000005</v>
      </c>
      <c r="DJ475" s="7">
        <f t="shared" si="282"/>
        <v>633.6</v>
      </c>
      <c r="DK475" s="7">
        <f t="shared" si="283"/>
        <v>667.5</v>
      </c>
      <c r="DL475" s="7">
        <f t="shared" si="284"/>
        <v>988.5</v>
      </c>
      <c r="DM475" s="7">
        <f t="shared" si="285"/>
        <v>1346.8</v>
      </c>
      <c r="DN475" s="7">
        <f t="shared" si="286"/>
        <v>1489.3</v>
      </c>
      <c r="DO475" s="7">
        <f t="shared" si="287"/>
        <v>1810</v>
      </c>
      <c r="DP475" s="7">
        <f t="shared" si="288"/>
        <v>1998.1499999999999</v>
      </c>
    </row>
    <row r="476" spans="1:130" ht="25.5" hidden="1" customHeight="1" x14ac:dyDescent="0.25">
      <c r="A476" s="92" t="str">
        <f t="shared" si="289"/>
        <v>SK-WVI [R10]</v>
      </c>
      <c r="B476" s="92" t="str">
        <f t="shared" si="290"/>
        <v>West Vancouver Island</v>
      </c>
      <c r="C476" s="93" t="str">
        <f t="shared" si="262"/>
        <v>ARTLISH RIVER_Sockeye</v>
      </c>
      <c r="D476" s="128" t="s">
        <v>598</v>
      </c>
      <c r="E476" s="128" t="s">
        <v>598</v>
      </c>
      <c r="F476" s="64">
        <v>26</v>
      </c>
      <c r="G476" s="72" t="s">
        <v>252</v>
      </c>
      <c r="H476" s="65" t="s">
        <v>91</v>
      </c>
      <c r="I476" s="119"/>
      <c r="J476" s="119"/>
      <c r="K476" s="64">
        <v>2</v>
      </c>
      <c r="L476" s="52">
        <v>11</v>
      </c>
      <c r="M476" s="52">
        <v>11</v>
      </c>
      <c r="N476" s="52">
        <f t="shared" si="291"/>
        <v>11.300945838159425</v>
      </c>
      <c r="O476" s="52">
        <f t="shared" si="292"/>
        <v>329</v>
      </c>
      <c r="P476" s="52">
        <f t="shared" si="293"/>
        <v>16.248750851431769</v>
      </c>
      <c r="Q476" s="66" t="s">
        <v>269</v>
      </c>
      <c r="R476" s="37"/>
      <c r="S476" s="74"/>
      <c r="T476" s="81">
        <f t="shared" si="263"/>
        <v>10</v>
      </c>
      <c r="U476" s="81">
        <f t="shared" si="264"/>
        <v>11.545454545454545</v>
      </c>
      <c r="V476" s="144">
        <v>24</v>
      </c>
      <c r="W476" s="144">
        <v>13</v>
      </c>
      <c r="X476" s="52">
        <v>1</v>
      </c>
      <c r="Y476" s="52">
        <v>2</v>
      </c>
      <c r="Z476" s="52">
        <v>6</v>
      </c>
      <c r="AA476" s="52" t="s">
        <v>263</v>
      </c>
      <c r="AB476" s="52">
        <v>11</v>
      </c>
      <c r="AC476" s="52">
        <v>23</v>
      </c>
      <c r="AD476" s="52">
        <v>12</v>
      </c>
      <c r="AE476" s="144">
        <v>5</v>
      </c>
      <c r="AF476" s="144">
        <v>16</v>
      </c>
      <c r="AG476" s="144">
        <v>14</v>
      </c>
      <c r="AH476" s="53">
        <v>12</v>
      </c>
      <c r="AI476" s="53">
        <v>15</v>
      </c>
      <c r="AJ476" s="53">
        <v>4</v>
      </c>
      <c r="AK476" s="53">
        <v>61</v>
      </c>
      <c r="AL476" s="89">
        <v>1</v>
      </c>
      <c r="AM476" s="52">
        <v>8</v>
      </c>
      <c r="AN476" s="52">
        <v>13</v>
      </c>
      <c r="AO476" s="53">
        <v>4</v>
      </c>
      <c r="AP476" s="53">
        <v>4</v>
      </c>
      <c r="AQ476" s="53">
        <v>36</v>
      </c>
      <c r="AR476" s="53">
        <v>1</v>
      </c>
      <c r="AS476" s="52">
        <v>23</v>
      </c>
      <c r="AT476" s="52">
        <v>167</v>
      </c>
      <c r="AU476" s="52">
        <v>329</v>
      </c>
      <c r="AV476" s="52">
        <v>6</v>
      </c>
      <c r="AW476" s="52">
        <v>5</v>
      </c>
      <c r="AX476" s="51" t="s">
        <v>262</v>
      </c>
      <c r="AY476" s="53" t="s">
        <v>262</v>
      </c>
      <c r="AZ476" s="53" t="s">
        <v>262</v>
      </c>
      <c r="BA476" s="53">
        <v>50</v>
      </c>
      <c r="BB476" s="53" t="s">
        <v>262</v>
      </c>
      <c r="BC476" s="53">
        <v>60</v>
      </c>
      <c r="BD476" s="53">
        <v>75</v>
      </c>
      <c r="BE476" s="53" t="s">
        <v>264</v>
      </c>
      <c r="BF476" s="53" t="s">
        <v>264</v>
      </c>
      <c r="BG476" s="53" t="s">
        <v>264</v>
      </c>
      <c r="BH476" s="53" t="s">
        <v>262</v>
      </c>
      <c r="BI476" s="53" t="s">
        <v>102</v>
      </c>
      <c r="BJ476" s="53" t="s">
        <v>264</v>
      </c>
      <c r="BK476" s="53">
        <v>50</v>
      </c>
      <c r="BL476" s="53" t="s">
        <v>264</v>
      </c>
      <c r="BM476" s="53" t="s">
        <v>264</v>
      </c>
      <c r="BN476" s="53" t="s">
        <v>262</v>
      </c>
      <c r="BO476" s="53" t="s">
        <v>264</v>
      </c>
      <c r="BP476" s="53" t="s">
        <v>264</v>
      </c>
      <c r="BQ476" s="53" t="s">
        <v>264</v>
      </c>
      <c r="BR476" s="53" t="s">
        <v>264</v>
      </c>
      <c r="BS476" s="53" t="s">
        <v>264</v>
      </c>
      <c r="BT476" s="53" t="s">
        <v>264</v>
      </c>
      <c r="BU476" s="53" t="s">
        <v>264</v>
      </c>
      <c r="BV476" s="53" t="s">
        <v>264</v>
      </c>
      <c r="BW476" s="53" t="s">
        <v>264</v>
      </c>
      <c r="BX476" s="53" t="s">
        <v>264</v>
      </c>
      <c r="BY476" s="53" t="s">
        <v>264</v>
      </c>
      <c r="BZ476" s="53" t="s">
        <v>264</v>
      </c>
      <c r="CA476" s="53" t="s">
        <v>264</v>
      </c>
      <c r="CB476" s="53" t="s">
        <v>264</v>
      </c>
      <c r="CC476" s="53" t="s">
        <v>264</v>
      </c>
      <c r="CD476" s="53" t="s">
        <v>264</v>
      </c>
      <c r="CE476" s="53" t="s">
        <v>264</v>
      </c>
      <c r="CF476" s="53" t="s">
        <v>264</v>
      </c>
      <c r="CG476" s="53" t="s">
        <v>264</v>
      </c>
      <c r="CH476" s="53" t="s">
        <v>264</v>
      </c>
      <c r="CI476" s="53" t="s">
        <v>264</v>
      </c>
      <c r="CJ476" s="53" t="s">
        <v>264</v>
      </c>
      <c r="CK476" s="53" t="s">
        <v>264</v>
      </c>
      <c r="CL476" s="53" t="s">
        <v>264</v>
      </c>
      <c r="CM476" s="53" t="s">
        <v>264</v>
      </c>
      <c r="CN476" s="206"/>
      <c r="CO476" s="206"/>
      <c r="CP476" s="206"/>
      <c r="CQ476" s="8">
        <f t="shared" si="265"/>
        <v>1</v>
      </c>
      <c r="CR476" s="8">
        <f t="shared" si="266"/>
        <v>329</v>
      </c>
      <c r="CS476" s="8">
        <f t="shared" si="267"/>
        <v>33.903225806451616</v>
      </c>
      <c r="CT476">
        <f t="shared" si="268"/>
        <v>12.640683954033827</v>
      </c>
      <c r="CU476" s="143">
        <f t="shared" si="269"/>
        <v>9.1999999999999993</v>
      </c>
      <c r="CV476" s="143">
        <f t="shared" si="270"/>
        <v>11.545454545454545</v>
      </c>
      <c r="CX476" s="7">
        <f t="shared" si="271"/>
        <v>1</v>
      </c>
      <c r="CY476" s="7">
        <f t="shared" si="272"/>
        <v>4</v>
      </c>
      <c r="CZ476" s="7">
        <f t="shared" si="273"/>
        <v>4</v>
      </c>
      <c r="DA476" s="7">
        <f t="shared" si="274"/>
        <v>5</v>
      </c>
      <c r="DB476" s="7">
        <f t="shared" si="275"/>
        <v>13</v>
      </c>
      <c r="DC476" s="7">
        <f t="shared" si="276"/>
        <v>15</v>
      </c>
      <c r="DD476" s="7">
        <f t="shared" si="277"/>
        <v>19.5</v>
      </c>
      <c r="DE476" s="7">
        <f t="shared" si="278"/>
        <v>30</v>
      </c>
      <c r="DF476" s="7">
        <f t="shared" si="279"/>
        <v>55</v>
      </c>
      <c r="DH476" s="7">
        <f t="shared" si="280"/>
        <v>1</v>
      </c>
      <c r="DI476" s="7">
        <f t="shared" si="281"/>
        <v>3.8000000000000007</v>
      </c>
      <c r="DJ476" s="7">
        <f t="shared" si="282"/>
        <v>4</v>
      </c>
      <c r="DK476" s="7">
        <f t="shared" si="283"/>
        <v>4.5</v>
      </c>
      <c r="DL476" s="7">
        <f t="shared" si="284"/>
        <v>12</v>
      </c>
      <c r="DM476" s="7">
        <f t="shared" si="285"/>
        <v>13</v>
      </c>
      <c r="DN476" s="7">
        <f t="shared" si="286"/>
        <v>13.900000000000002</v>
      </c>
      <c r="DO476" s="7">
        <f t="shared" si="287"/>
        <v>19.5</v>
      </c>
      <c r="DP476" s="7">
        <f t="shared" si="288"/>
        <v>25.199999999999974</v>
      </c>
    </row>
    <row r="477" spans="1:130" ht="25.5" hidden="1" customHeight="1" x14ac:dyDescent="0.25">
      <c r="A477" s="92" t="e">
        <f t="shared" si="289"/>
        <v>#N/A</v>
      </c>
      <c r="B477" s="92" t="e">
        <f t="shared" si="290"/>
        <v>#N/A</v>
      </c>
      <c r="C477" s="93" t="str">
        <f t="shared" si="262"/>
        <v>BATTLE BAY RIVER_Chum</v>
      </c>
      <c r="D477" s="128" t="s">
        <v>598</v>
      </c>
      <c r="E477" s="128" t="s">
        <v>598</v>
      </c>
      <c r="F477" s="64">
        <v>26</v>
      </c>
      <c r="G477" s="72" t="s">
        <v>671</v>
      </c>
      <c r="H477" s="65" t="s">
        <v>96</v>
      </c>
      <c r="I477" s="119"/>
      <c r="J477" s="119"/>
      <c r="K477" s="64"/>
      <c r="L477" s="52"/>
      <c r="M477" s="52"/>
      <c r="N477" s="52"/>
      <c r="O477" s="52"/>
      <c r="P477" s="52"/>
      <c r="Q477" s="66"/>
      <c r="R477" s="37"/>
      <c r="S477" s="74"/>
      <c r="T477" s="81" t="e">
        <f t="shared" si="263"/>
        <v>#DIV/0!</v>
      </c>
      <c r="U477" s="81" t="e">
        <f t="shared" si="264"/>
        <v>#DIV/0!</v>
      </c>
      <c r="V477" s="234" t="s">
        <v>102</v>
      </c>
      <c r="W477" s="52" t="s">
        <v>102</v>
      </c>
      <c r="X477" s="52" t="s">
        <v>102</v>
      </c>
      <c r="Y477" s="52" t="s">
        <v>102</v>
      </c>
      <c r="Z477" s="52" t="s">
        <v>102</v>
      </c>
      <c r="AA477" s="52" t="s">
        <v>102</v>
      </c>
      <c r="AB477" s="123" t="s">
        <v>102</v>
      </c>
      <c r="AC477" s="123" t="s">
        <v>102</v>
      </c>
      <c r="AD477" s="123" t="s">
        <v>102</v>
      </c>
      <c r="AE477" s="123" t="s">
        <v>102</v>
      </c>
      <c r="AF477" s="123" t="s">
        <v>102</v>
      </c>
      <c r="AG477" s="123" t="s">
        <v>102</v>
      </c>
      <c r="AH477" s="123" t="s">
        <v>102</v>
      </c>
      <c r="AI477" s="123" t="s">
        <v>102</v>
      </c>
      <c r="AJ477" s="123" t="s">
        <v>102</v>
      </c>
      <c r="AK477" s="123" t="s">
        <v>102</v>
      </c>
      <c r="AL477" s="123" t="s">
        <v>102</v>
      </c>
      <c r="AM477" s="52" t="s">
        <v>102</v>
      </c>
      <c r="AN477" s="52" t="s">
        <v>102</v>
      </c>
      <c r="AO477" s="52" t="s">
        <v>102</v>
      </c>
      <c r="AP477" s="53" t="s">
        <v>102</v>
      </c>
      <c r="AQ477" s="53" t="s">
        <v>102</v>
      </c>
      <c r="AR477" s="53" t="s">
        <v>102</v>
      </c>
      <c r="AS477" s="52" t="s">
        <v>102</v>
      </c>
      <c r="AT477" s="52" t="s">
        <v>102</v>
      </c>
      <c r="AU477" s="52" t="s">
        <v>102</v>
      </c>
      <c r="AV477" s="52">
        <v>320</v>
      </c>
      <c r="AW477" s="52">
        <v>50</v>
      </c>
      <c r="AX477" s="51">
        <v>1000</v>
      </c>
      <c r="AY477" s="53">
        <v>200</v>
      </c>
      <c r="AZ477" s="53">
        <v>1000</v>
      </c>
      <c r="BA477" s="53">
        <v>100</v>
      </c>
      <c r="BB477" s="53" t="s">
        <v>102</v>
      </c>
      <c r="BC477" s="53" t="s">
        <v>262</v>
      </c>
      <c r="BD477" s="53" t="s">
        <v>102</v>
      </c>
      <c r="BE477" s="53">
        <v>200</v>
      </c>
      <c r="BF477" s="53">
        <v>100</v>
      </c>
      <c r="BG477" s="53">
        <v>500</v>
      </c>
      <c r="BH477" s="53" t="s">
        <v>262</v>
      </c>
      <c r="BI477" s="53" t="s">
        <v>102</v>
      </c>
      <c r="BJ477" s="53" t="s">
        <v>102</v>
      </c>
      <c r="BK477" s="53"/>
      <c r="BL477" s="53" t="s">
        <v>102</v>
      </c>
      <c r="BM477" s="53">
        <v>100</v>
      </c>
      <c r="BN477" s="53">
        <v>2500</v>
      </c>
      <c r="BO477" s="53" t="s">
        <v>102</v>
      </c>
      <c r="BP477" s="53"/>
      <c r="BQ477" s="53" t="s">
        <v>102</v>
      </c>
      <c r="BR477" s="53">
        <v>25</v>
      </c>
      <c r="BS477" s="53">
        <v>400</v>
      </c>
      <c r="BT477" s="53">
        <v>400</v>
      </c>
      <c r="BU477" s="53" t="s">
        <v>102</v>
      </c>
      <c r="BV477" s="53">
        <v>200</v>
      </c>
      <c r="BW477" s="53">
        <v>200</v>
      </c>
      <c r="BX477" s="53">
        <v>750</v>
      </c>
      <c r="BY477" s="53">
        <v>200</v>
      </c>
      <c r="BZ477" s="53">
        <v>400</v>
      </c>
      <c r="CA477" s="53">
        <v>400</v>
      </c>
      <c r="CB477" s="53">
        <v>200</v>
      </c>
      <c r="CC477" s="53">
        <v>200</v>
      </c>
      <c r="CD477" s="53">
        <v>75</v>
      </c>
      <c r="CE477" s="53">
        <v>400</v>
      </c>
      <c r="CF477" s="53">
        <v>1500</v>
      </c>
      <c r="CG477" s="53">
        <v>400</v>
      </c>
      <c r="CH477" s="53">
        <v>3500</v>
      </c>
      <c r="CI477" s="53">
        <v>7500</v>
      </c>
      <c r="CJ477" s="53">
        <v>1500</v>
      </c>
      <c r="CK477" s="53">
        <v>25</v>
      </c>
      <c r="CL477" s="53">
        <v>2500</v>
      </c>
      <c r="CM477" s="53">
        <v>3500</v>
      </c>
      <c r="CN477" s="206"/>
      <c r="CO477" s="206"/>
      <c r="CP477" s="206"/>
      <c r="CQ477" s="8">
        <f t="shared" si="265"/>
        <v>25</v>
      </c>
      <c r="CR477" s="8">
        <f t="shared" si="266"/>
        <v>7500</v>
      </c>
      <c r="CS477" s="8">
        <f t="shared" si="267"/>
        <v>948.28125</v>
      </c>
      <c r="CT477">
        <f t="shared" si="268"/>
        <v>372.60405161472909</v>
      </c>
      <c r="CU477" s="143" t="e">
        <f t="shared" si="269"/>
        <v>#DIV/0!</v>
      </c>
      <c r="CV477" s="143" t="e">
        <f t="shared" si="270"/>
        <v>#DIV/0!</v>
      </c>
      <c r="CX477" s="7">
        <f t="shared" si="271"/>
        <v>38.75</v>
      </c>
      <c r="CY477" s="7">
        <f t="shared" si="272"/>
        <v>100</v>
      </c>
      <c r="CZ477" s="7">
        <f t="shared" si="273"/>
        <v>120.00000000000001</v>
      </c>
      <c r="DA477" s="7">
        <f t="shared" si="274"/>
        <v>200</v>
      </c>
      <c r="DB477" s="7">
        <f t="shared" si="275"/>
        <v>400</v>
      </c>
      <c r="DC477" s="7">
        <f t="shared" si="276"/>
        <v>400</v>
      </c>
      <c r="DD477" s="7">
        <f t="shared" si="277"/>
        <v>415.00000000000023</v>
      </c>
      <c r="DE477" s="7">
        <f t="shared" si="278"/>
        <v>1000</v>
      </c>
      <c r="DF477" s="7">
        <f t="shared" si="279"/>
        <v>1849.9999999999977</v>
      </c>
      <c r="DH477" s="7">
        <f t="shared" si="280"/>
        <v>63.500000000000014</v>
      </c>
      <c r="DI477" s="7">
        <f t="shared" si="281"/>
        <v>90.499999999999972</v>
      </c>
      <c r="DJ477" s="7">
        <f t="shared" si="282"/>
        <v>103.99999999999999</v>
      </c>
      <c r="DK477" s="7">
        <f t="shared" si="283"/>
        <v>117.5</v>
      </c>
      <c r="DL477" s="7">
        <f t="shared" si="284"/>
        <v>185</v>
      </c>
      <c r="DM477" s="7">
        <f t="shared" si="285"/>
        <v>212.00000000000003</v>
      </c>
      <c r="DN477" s="7">
        <f t="shared" si="286"/>
        <v>225.49999999999997</v>
      </c>
      <c r="DO477" s="7">
        <f t="shared" si="287"/>
        <v>252.5</v>
      </c>
      <c r="DP477" s="7">
        <f t="shared" si="288"/>
        <v>279.5</v>
      </c>
    </row>
    <row r="478" spans="1:130" ht="25.5" hidden="1" customHeight="1" x14ac:dyDescent="0.25">
      <c r="A478" s="92" t="e">
        <f t="shared" si="289"/>
        <v>#N/A</v>
      </c>
      <c r="B478" s="92" t="e">
        <f t="shared" si="290"/>
        <v>#N/A</v>
      </c>
      <c r="C478" s="93" t="str">
        <f t="shared" si="262"/>
        <v>BATTLE BAY RIVER_Coho</v>
      </c>
      <c r="D478" s="128" t="s">
        <v>598</v>
      </c>
      <c r="E478" s="128" t="s">
        <v>598</v>
      </c>
      <c r="F478" s="64">
        <v>26</v>
      </c>
      <c r="G478" s="72" t="s">
        <v>671</v>
      </c>
      <c r="H478" s="65" t="s">
        <v>93</v>
      </c>
      <c r="I478" s="119"/>
      <c r="J478" s="119"/>
      <c r="K478" s="64"/>
      <c r="L478" s="52"/>
      <c r="M478" s="52"/>
      <c r="N478" s="52"/>
      <c r="O478" s="52"/>
      <c r="P478" s="52"/>
      <c r="Q478" s="66"/>
      <c r="R478" s="37"/>
      <c r="S478" s="74"/>
      <c r="T478" s="81" t="e">
        <f t="shared" si="263"/>
        <v>#DIV/0!</v>
      </c>
      <c r="U478" s="81" t="e">
        <f t="shared" si="264"/>
        <v>#DIV/0!</v>
      </c>
      <c r="V478" s="234" t="s">
        <v>102</v>
      </c>
      <c r="W478" s="52" t="s">
        <v>102</v>
      </c>
      <c r="X478" s="52" t="s">
        <v>102</v>
      </c>
      <c r="Y478" s="52" t="s">
        <v>102</v>
      </c>
      <c r="Z478" s="52" t="s">
        <v>102</v>
      </c>
      <c r="AA478" s="52" t="s">
        <v>102</v>
      </c>
      <c r="AB478" s="123" t="s">
        <v>102</v>
      </c>
      <c r="AC478" s="123" t="s">
        <v>102</v>
      </c>
      <c r="AD478" s="123" t="s">
        <v>102</v>
      </c>
      <c r="AE478" s="123" t="s">
        <v>102</v>
      </c>
      <c r="AF478" s="123" t="s">
        <v>102</v>
      </c>
      <c r="AG478" s="123" t="s">
        <v>102</v>
      </c>
      <c r="AH478" s="123" t="s">
        <v>102</v>
      </c>
      <c r="AI478" s="123" t="s">
        <v>102</v>
      </c>
      <c r="AJ478" s="123" t="s">
        <v>102</v>
      </c>
      <c r="AK478" s="123" t="s">
        <v>102</v>
      </c>
      <c r="AL478" s="123" t="s">
        <v>102</v>
      </c>
      <c r="AM478" s="52" t="s">
        <v>102</v>
      </c>
      <c r="AN478" s="52" t="s">
        <v>102</v>
      </c>
      <c r="AO478" s="52" t="s">
        <v>102</v>
      </c>
      <c r="AP478" s="53" t="s">
        <v>102</v>
      </c>
      <c r="AQ478" s="53" t="s">
        <v>102</v>
      </c>
      <c r="AR478" s="53" t="s">
        <v>102</v>
      </c>
      <c r="AS478" s="52" t="s">
        <v>102</v>
      </c>
      <c r="AT478" s="52" t="s">
        <v>102</v>
      </c>
      <c r="AU478" s="52" t="s">
        <v>102</v>
      </c>
      <c r="AV478" s="52" t="s">
        <v>263</v>
      </c>
      <c r="AW478" s="52">
        <v>100</v>
      </c>
      <c r="AX478" s="51">
        <v>50</v>
      </c>
      <c r="AY478" s="53">
        <v>50</v>
      </c>
      <c r="AZ478" s="53">
        <v>500</v>
      </c>
      <c r="BA478" s="53">
        <v>200</v>
      </c>
      <c r="BB478" s="53" t="s">
        <v>102</v>
      </c>
      <c r="BC478" s="53" t="s">
        <v>262</v>
      </c>
      <c r="BD478" s="53" t="s">
        <v>102</v>
      </c>
      <c r="BE478" s="53">
        <v>100</v>
      </c>
      <c r="BF478" s="53">
        <v>100</v>
      </c>
      <c r="BG478" s="53">
        <v>50</v>
      </c>
      <c r="BH478" s="53" t="s">
        <v>262</v>
      </c>
      <c r="BI478" s="53" t="s">
        <v>102</v>
      </c>
      <c r="BJ478" s="53" t="s">
        <v>102</v>
      </c>
      <c r="BK478" s="53" t="s">
        <v>262</v>
      </c>
      <c r="BL478" s="53" t="s">
        <v>102</v>
      </c>
      <c r="BM478" s="53"/>
      <c r="BN478" s="53">
        <v>30</v>
      </c>
      <c r="BO478" s="53" t="s">
        <v>102</v>
      </c>
      <c r="BP478" s="53">
        <v>25</v>
      </c>
      <c r="BQ478" s="53" t="s">
        <v>102</v>
      </c>
      <c r="BR478" s="53"/>
      <c r="BS478" s="53">
        <v>200</v>
      </c>
      <c r="BT478" s="53">
        <v>25</v>
      </c>
      <c r="BU478" s="53" t="s">
        <v>102</v>
      </c>
      <c r="BV478" s="53">
        <v>200</v>
      </c>
      <c r="BW478" s="53"/>
      <c r="BX478" s="53" t="s">
        <v>262</v>
      </c>
      <c r="BY478" s="53"/>
      <c r="BZ478" s="53">
        <v>25</v>
      </c>
      <c r="CA478" s="53"/>
      <c r="CB478" s="53"/>
      <c r="CC478" s="53">
        <v>25</v>
      </c>
      <c r="CD478" s="53"/>
      <c r="CE478" s="53">
        <v>200</v>
      </c>
      <c r="CF478" s="53">
        <v>25</v>
      </c>
      <c r="CG478" s="53">
        <v>200</v>
      </c>
      <c r="CH478" s="53">
        <v>200</v>
      </c>
      <c r="CI478" s="53">
        <v>750</v>
      </c>
      <c r="CJ478" s="53">
        <v>750</v>
      </c>
      <c r="CK478" s="53">
        <v>750</v>
      </c>
      <c r="CL478" s="53">
        <v>400</v>
      </c>
      <c r="CM478" s="53">
        <v>400</v>
      </c>
      <c r="CN478" s="206"/>
      <c r="CO478" s="206"/>
      <c r="CP478" s="206"/>
      <c r="CQ478" s="8">
        <f t="shared" si="265"/>
        <v>25</v>
      </c>
      <c r="CR478" s="8">
        <f t="shared" si="266"/>
        <v>750</v>
      </c>
      <c r="CS478" s="8">
        <f t="shared" si="267"/>
        <v>223.125</v>
      </c>
      <c r="CT478">
        <f t="shared" si="268"/>
        <v>119.97507891311177</v>
      </c>
      <c r="CU478" s="143" t="e">
        <f t="shared" si="269"/>
        <v>#DIV/0!</v>
      </c>
      <c r="CV478" s="143" t="e">
        <f t="shared" si="270"/>
        <v>#DIV/0!</v>
      </c>
      <c r="CX478" s="7">
        <f t="shared" si="271"/>
        <v>25</v>
      </c>
      <c r="CY478" s="7">
        <f t="shared" si="272"/>
        <v>25</v>
      </c>
      <c r="CZ478" s="7">
        <f t="shared" si="273"/>
        <v>28.000000000000004</v>
      </c>
      <c r="DA478" s="7">
        <f t="shared" si="274"/>
        <v>45</v>
      </c>
      <c r="DB478" s="7">
        <f t="shared" si="275"/>
        <v>150</v>
      </c>
      <c r="DC478" s="7">
        <f t="shared" si="276"/>
        <v>200</v>
      </c>
      <c r="DD478" s="7">
        <f t="shared" si="277"/>
        <v>200</v>
      </c>
      <c r="DE478" s="7">
        <f t="shared" si="278"/>
        <v>250</v>
      </c>
      <c r="DF478" s="7">
        <f t="shared" si="279"/>
        <v>455.00000000000006</v>
      </c>
      <c r="DH478" s="7">
        <f t="shared" si="280"/>
        <v>100</v>
      </c>
      <c r="DI478" s="7">
        <f t="shared" si="281"/>
        <v>100</v>
      </c>
      <c r="DJ478" s="7">
        <f t="shared" si="282"/>
        <v>100</v>
      </c>
      <c r="DK478" s="7">
        <f t="shared" si="283"/>
        <v>100</v>
      </c>
      <c r="DL478" s="7">
        <f t="shared" si="284"/>
        <v>100</v>
      </c>
      <c r="DM478" s="7">
        <f t="shared" si="285"/>
        <v>100</v>
      </c>
      <c r="DN478" s="7">
        <f t="shared" si="286"/>
        <v>100</v>
      </c>
      <c r="DO478" s="7">
        <f t="shared" si="287"/>
        <v>100</v>
      </c>
      <c r="DP478" s="7">
        <f t="shared" si="288"/>
        <v>100</v>
      </c>
    </row>
    <row r="479" spans="1:130" ht="25.5" hidden="1" customHeight="1" x14ac:dyDescent="0.25">
      <c r="A479" s="92" t="str">
        <f t="shared" si="289"/>
        <v>CM-SWVI [10]</v>
      </c>
      <c r="B479" s="92" t="str">
        <f t="shared" si="290"/>
        <v>Southwest Vancouver Island</v>
      </c>
      <c r="C479" s="93" t="str">
        <f t="shared" si="262"/>
        <v>CACHALOT CREEK_Chum</v>
      </c>
      <c r="D479" s="128" t="s">
        <v>598</v>
      </c>
      <c r="E479" s="128" t="s">
        <v>598</v>
      </c>
      <c r="F479" s="64">
        <v>26</v>
      </c>
      <c r="G479" s="72" t="s">
        <v>248</v>
      </c>
      <c r="H479" s="65" t="s">
        <v>96</v>
      </c>
      <c r="I479" s="119"/>
      <c r="J479" s="119"/>
      <c r="K479" s="64">
        <v>3</v>
      </c>
      <c r="L479" s="52">
        <v>9</v>
      </c>
      <c r="M479" s="52">
        <v>9</v>
      </c>
      <c r="N479" s="52">
        <f t="shared" ref="N479:N509" si="294">GEOMEAN(AJ479:AW479)</f>
        <v>511.2601291909553</v>
      </c>
      <c r="O479" s="52">
        <f t="shared" ref="O479:O509" si="295">MAX(AJ479:CM479)</f>
        <v>4900</v>
      </c>
      <c r="P479" s="52">
        <f t="shared" ref="P479:P509" si="296">GEOMEAN(AJ479:CM479)</f>
        <v>457.16167148798428</v>
      </c>
      <c r="Q479" s="66"/>
      <c r="R479" s="37"/>
      <c r="S479" s="74" t="s">
        <v>419</v>
      </c>
      <c r="T479" s="81" t="e">
        <f t="shared" si="263"/>
        <v>#DIV/0!</v>
      </c>
      <c r="U479" s="81">
        <f t="shared" si="264"/>
        <v>298.25</v>
      </c>
      <c r="V479" s="234" t="s">
        <v>102</v>
      </c>
      <c r="W479" s="52" t="s">
        <v>102</v>
      </c>
      <c r="X479" s="52" t="s">
        <v>102</v>
      </c>
      <c r="Y479" s="52" t="s">
        <v>102</v>
      </c>
      <c r="Z479" s="52" t="s">
        <v>102</v>
      </c>
      <c r="AA479" s="52" t="s">
        <v>102</v>
      </c>
      <c r="AB479" s="52" t="s">
        <v>102</v>
      </c>
      <c r="AC479" s="52">
        <v>211</v>
      </c>
      <c r="AD479" s="52">
        <v>278</v>
      </c>
      <c r="AE479" s="144">
        <v>17</v>
      </c>
      <c r="AF479" s="144" t="s">
        <v>263</v>
      </c>
      <c r="AG479" s="144">
        <v>687</v>
      </c>
      <c r="AH479" s="52" t="s">
        <v>102</v>
      </c>
      <c r="AI479" s="52" t="s">
        <v>102</v>
      </c>
      <c r="AJ479" s="52" t="s">
        <v>102</v>
      </c>
      <c r="AK479" s="52" t="s">
        <v>102</v>
      </c>
      <c r="AL479" s="52" t="s">
        <v>102</v>
      </c>
      <c r="AM479" s="52" t="s">
        <v>102</v>
      </c>
      <c r="AN479" s="52" t="s">
        <v>102</v>
      </c>
      <c r="AO479" s="53">
        <v>429</v>
      </c>
      <c r="AP479" s="53">
        <v>1742</v>
      </c>
      <c r="AQ479" s="53">
        <v>1781</v>
      </c>
      <c r="AR479" s="53" t="s">
        <v>263</v>
      </c>
      <c r="AS479" s="52" t="s">
        <v>263</v>
      </c>
      <c r="AT479" s="52">
        <v>4900</v>
      </c>
      <c r="AU479" s="52">
        <v>700</v>
      </c>
      <c r="AV479" s="52">
        <v>20</v>
      </c>
      <c r="AW479" s="52">
        <v>100</v>
      </c>
      <c r="AX479" s="51">
        <v>1000</v>
      </c>
      <c r="AY479" s="53">
        <v>300</v>
      </c>
      <c r="AZ479" s="53">
        <v>400</v>
      </c>
      <c r="BA479" s="53">
        <v>350</v>
      </c>
      <c r="BB479" s="53" t="s">
        <v>102</v>
      </c>
      <c r="BC479" s="53">
        <v>20</v>
      </c>
      <c r="BD479" s="53">
        <v>400</v>
      </c>
      <c r="BE479" s="53">
        <v>400</v>
      </c>
      <c r="BF479" s="53">
        <v>2500</v>
      </c>
      <c r="BG479" s="53">
        <v>2500</v>
      </c>
      <c r="BH479" s="53">
        <v>2000</v>
      </c>
      <c r="BI479" s="53">
        <v>3500</v>
      </c>
      <c r="BJ479" s="53">
        <v>1000</v>
      </c>
      <c r="BK479" s="53">
        <v>800</v>
      </c>
      <c r="BL479" s="53">
        <v>1000</v>
      </c>
      <c r="BM479" s="53">
        <v>400</v>
      </c>
      <c r="BN479" s="53">
        <v>500</v>
      </c>
      <c r="BO479" s="53" t="s">
        <v>102</v>
      </c>
      <c r="BP479" s="53">
        <v>75</v>
      </c>
      <c r="BQ479" s="53">
        <v>400</v>
      </c>
      <c r="BR479" s="53">
        <v>1500</v>
      </c>
      <c r="BS479" s="53">
        <v>1500</v>
      </c>
      <c r="BT479" s="53">
        <v>1500</v>
      </c>
      <c r="BU479" s="53">
        <v>400</v>
      </c>
      <c r="BV479" s="53">
        <v>25</v>
      </c>
      <c r="BW479" s="53">
        <v>25</v>
      </c>
      <c r="BX479" s="53">
        <v>400</v>
      </c>
      <c r="BY479" s="53">
        <v>400</v>
      </c>
      <c r="BZ479" s="53">
        <v>750</v>
      </c>
      <c r="CA479" s="53">
        <v>400</v>
      </c>
      <c r="CB479" s="53">
        <v>750</v>
      </c>
      <c r="CC479" s="53">
        <v>75</v>
      </c>
      <c r="CD479" s="53">
        <v>200</v>
      </c>
      <c r="CE479" s="53">
        <v>200</v>
      </c>
      <c r="CF479" s="53">
        <v>750</v>
      </c>
      <c r="CG479" s="53">
        <v>200</v>
      </c>
      <c r="CH479" s="53">
        <v>1500</v>
      </c>
      <c r="CI479" s="53" t="s">
        <v>102</v>
      </c>
      <c r="CJ479" s="53" t="s">
        <v>102</v>
      </c>
      <c r="CK479" s="53" t="s">
        <v>102</v>
      </c>
      <c r="CL479" s="53" t="s">
        <v>102</v>
      </c>
      <c r="CM479" s="53" t="s">
        <v>102</v>
      </c>
      <c r="CN479" s="206"/>
      <c r="CO479" s="206"/>
      <c r="CP479" s="206"/>
      <c r="CQ479" s="8">
        <f t="shared" si="265"/>
        <v>17</v>
      </c>
      <c r="CR479" s="8">
        <f t="shared" si="266"/>
        <v>4900</v>
      </c>
      <c r="CS479" s="8">
        <f t="shared" si="267"/>
        <v>847.5</v>
      </c>
      <c r="CT479">
        <f t="shared" si="268"/>
        <v>417.67698350680598</v>
      </c>
      <c r="CU479" s="143" t="e">
        <f t="shared" si="269"/>
        <v>#DIV/0!</v>
      </c>
      <c r="CV479" s="143">
        <f t="shared" si="270"/>
        <v>298.25</v>
      </c>
      <c r="CX479" s="7">
        <f t="shared" si="271"/>
        <v>21.25</v>
      </c>
      <c r="CY479" s="7">
        <f t="shared" si="272"/>
        <v>93.75</v>
      </c>
      <c r="CZ479" s="7">
        <f t="shared" si="273"/>
        <v>200</v>
      </c>
      <c r="DA479" s="7">
        <f t="shared" si="274"/>
        <v>227.75</v>
      </c>
      <c r="DB479" s="7">
        <f t="shared" si="275"/>
        <v>400</v>
      </c>
      <c r="DC479" s="7">
        <f t="shared" si="276"/>
        <v>700</v>
      </c>
      <c r="DD479" s="7">
        <f t="shared" si="277"/>
        <v>750</v>
      </c>
      <c r="DE479" s="7">
        <f t="shared" si="278"/>
        <v>1000</v>
      </c>
      <c r="DF479" s="7">
        <f t="shared" si="279"/>
        <v>1560.5</v>
      </c>
      <c r="DH479" s="7">
        <f t="shared" si="280"/>
        <v>18.5</v>
      </c>
      <c r="DI479" s="7">
        <f t="shared" si="281"/>
        <v>60</v>
      </c>
      <c r="DJ479" s="7">
        <f t="shared" si="282"/>
        <v>100</v>
      </c>
      <c r="DK479" s="7">
        <f t="shared" si="283"/>
        <v>155.5</v>
      </c>
      <c r="DL479" s="7">
        <f t="shared" si="284"/>
        <v>429</v>
      </c>
      <c r="DM479" s="7">
        <f t="shared" si="285"/>
        <v>687</v>
      </c>
      <c r="DN479" s="7">
        <f t="shared" si="286"/>
        <v>693.5</v>
      </c>
      <c r="DO479" s="7">
        <f t="shared" si="287"/>
        <v>1221</v>
      </c>
      <c r="DP479" s="7">
        <f t="shared" si="288"/>
        <v>1761.5</v>
      </c>
    </row>
    <row r="480" spans="1:130" ht="25.5" hidden="1" customHeight="1" x14ac:dyDescent="0.25">
      <c r="A480" s="92" t="str">
        <f t="shared" si="289"/>
        <v>CO-WVI [17]</v>
      </c>
      <c r="B480" s="92" t="str">
        <f t="shared" si="290"/>
        <v>West Vancouver Island</v>
      </c>
      <c r="C480" s="93" t="str">
        <f t="shared" si="262"/>
        <v>CACHALOT CREEK_Coho</v>
      </c>
      <c r="D480" s="128" t="s">
        <v>598</v>
      </c>
      <c r="E480" s="128" t="s">
        <v>598</v>
      </c>
      <c r="F480" s="64">
        <v>26</v>
      </c>
      <c r="G480" s="72" t="s">
        <v>248</v>
      </c>
      <c r="H480" s="65" t="s">
        <v>93</v>
      </c>
      <c r="I480" s="119"/>
      <c r="J480" s="119"/>
      <c r="K480" s="64">
        <v>3</v>
      </c>
      <c r="L480" s="52">
        <v>9</v>
      </c>
      <c r="M480" s="52">
        <v>5</v>
      </c>
      <c r="N480" s="52">
        <f t="shared" si="294"/>
        <v>267.20154794303261</v>
      </c>
      <c r="O480" s="52">
        <f t="shared" si="295"/>
        <v>423</v>
      </c>
      <c r="P480" s="52">
        <f t="shared" si="296"/>
        <v>68.998780369180125</v>
      </c>
      <c r="Q480" s="66"/>
      <c r="R480" s="37"/>
      <c r="S480" s="74" t="s">
        <v>418</v>
      </c>
      <c r="T480" s="81" t="e">
        <f t="shared" si="263"/>
        <v>#DIV/0!</v>
      </c>
      <c r="U480" s="81">
        <f t="shared" si="264"/>
        <v>36.25</v>
      </c>
      <c r="V480" s="234" t="s">
        <v>102</v>
      </c>
      <c r="W480" s="52" t="s">
        <v>102</v>
      </c>
      <c r="X480" s="52" t="s">
        <v>102</v>
      </c>
      <c r="Y480" s="52" t="s">
        <v>102</v>
      </c>
      <c r="Z480" s="52" t="s">
        <v>102</v>
      </c>
      <c r="AA480" s="52" t="s">
        <v>102</v>
      </c>
      <c r="AB480" s="52" t="s">
        <v>102</v>
      </c>
      <c r="AC480" s="52">
        <v>19</v>
      </c>
      <c r="AD480" s="52">
        <v>79</v>
      </c>
      <c r="AE480" s="144">
        <v>45</v>
      </c>
      <c r="AF480" s="144" t="s">
        <v>263</v>
      </c>
      <c r="AG480" s="144">
        <v>2</v>
      </c>
      <c r="AH480" s="52" t="s">
        <v>102</v>
      </c>
      <c r="AI480" s="52" t="s">
        <v>102</v>
      </c>
      <c r="AJ480" s="52" t="s">
        <v>102</v>
      </c>
      <c r="AK480" s="52" t="s">
        <v>102</v>
      </c>
      <c r="AL480" s="52" t="s">
        <v>102</v>
      </c>
      <c r="AM480" s="52" t="s">
        <v>102</v>
      </c>
      <c r="AN480" s="52" t="s">
        <v>102</v>
      </c>
      <c r="AO480" s="53">
        <v>410</v>
      </c>
      <c r="AP480" s="53">
        <v>110</v>
      </c>
      <c r="AQ480" s="53">
        <v>423</v>
      </c>
      <c r="AR480" s="53" t="s">
        <v>263</v>
      </c>
      <c r="AS480" s="52" t="s">
        <v>263</v>
      </c>
      <c r="AT480" s="52" t="s">
        <v>262</v>
      </c>
      <c r="AU480" s="52" t="s">
        <v>262</v>
      </c>
      <c r="AV480" s="52" t="s">
        <v>262</v>
      </c>
      <c r="AW480" s="52" t="s">
        <v>262</v>
      </c>
      <c r="AX480" s="51" t="s">
        <v>262</v>
      </c>
      <c r="AY480" s="53" t="s">
        <v>262</v>
      </c>
      <c r="AZ480" s="53" t="s">
        <v>262</v>
      </c>
      <c r="BA480" s="53" t="s">
        <v>262</v>
      </c>
      <c r="BB480" s="53" t="s">
        <v>102</v>
      </c>
      <c r="BC480" s="53" t="s">
        <v>262</v>
      </c>
      <c r="BD480" s="53">
        <v>50</v>
      </c>
      <c r="BE480" s="53">
        <v>100</v>
      </c>
      <c r="BF480" s="53">
        <v>125</v>
      </c>
      <c r="BG480" s="53">
        <v>100</v>
      </c>
      <c r="BH480" s="53" t="s">
        <v>262</v>
      </c>
      <c r="BI480" s="53" t="s">
        <v>264</v>
      </c>
      <c r="BJ480" s="53" t="s">
        <v>264</v>
      </c>
      <c r="BK480" s="53" t="s">
        <v>264</v>
      </c>
      <c r="BL480" s="53" t="s">
        <v>264</v>
      </c>
      <c r="BM480" s="53" t="s">
        <v>264</v>
      </c>
      <c r="BN480" s="53" t="s">
        <v>262</v>
      </c>
      <c r="BO480" s="53" t="s">
        <v>102</v>
      </c>
      <c r="BP480" s="53" t="s">
        <v>264</v>
      </c>
      <c r="BQ480" s="53" t="s">
        <v>264</v>
      </c>
      <c r="BR480" s="53" t="s">
        <v>264</v>
      </c>
      <c r="BS480" s="53">
        <v>25</v>
      </c>
      <c r="BT480" s="53">
        <v>25</v>
      </c>
      <c r="BU480" s="53">
        <v>25</v>
      </c>
      <c r="BV480" s="53" t="s">
        <v>264</v>
      </c>
      <c r="BW480" s="53" t="s">
        <v>264</v>
      </c>
      <c r="BX480" s="53" t="s">
        <v>264</v>
      </c>
      <c r="BY480" s="53" t="s">
        <v>264</v>
      </c>
      <c r="BZ480" s="53" t="s">
        <v>264</v>
      </c>
      <c r="CA480" s="53" t="s">
        <v>264</v>
      </c>
      <c r="CB480" s="53" t="s">
        <v>264</v>
      </c>
      <c r="CC480" s="53" t="s">
        <v>264</v>
      </c>
      <c r="CD480" s="53" t="s">
        <v>264</v>
      </c>
      <c r="CE480" s="53" t="s">
        <v>262</v>
      </c>
      <c r="CF480" s="53">
        <v>25</v>
      </c>
      <c r="CG480" s="53" t="s">
        <v>262</v>
      </c>
      <c r="CH480" s="53">
        <v>25</v>
      </c>
      <c r="CI480" s="53" t="s">
        <v>102</v>
      </c>
      <c r="CJ480" s="53" t="s">
        <v>102</v>
      </c>
      <c r="CK480" s="53" t="s">
        <v>102</v>
      </c>
      <c r="CL480" s="53" t="s">
        <v>102</v>
      </c>
      <c r="CM480" s="53" t="s">
        <v>102</v>
      </c>
      <c r="CN480" s="206"/>
      <c r="CO480" s="206"/>
      <c r="CP480" s="206"/>
      <c r="CQ480" s="8">
        <f t="shared" si="265"/>
        <v>2</v>
      </c>
      <c r="CR480" s="8">
        <f t="shared" si="266"/>
        <v>423</v>
      </c>
      <c r="CS480" s="8">
        <f t="shared" si="267"/>
        <v>99.25</v>
      </c>
      <c r="CT480">
        <f t="shared" si="268"/>
        <v>50.09507264459301</v>
      </c>
      <c r="CU480" s="143" t="e">
        <f t="shared" si="269"/>
        <v>#DIV/0!</v>
      </c>
      <c r="CV480" s="143">
        <f t="shared" si="270"/>
        <v>36.25</v>
      </c>
      <c r="CX480" s="7">
        <f t="shared" si="271"/>
        <v>14.75</v>
      </c>
      <c r="CY480" s="7">
        <f t="shared" si="272"/>
        <v>25</v>
      </c>
      <c r="CZ480" s="7">
        <f t="shared" si="273"/>
        <v>25</v>
      </c>
      <c r="DA480" s="7">
        <f t="shared" si="274"/>
        <v>25</v>
      </c>
      <c r="DB480" s="7">
        <f t="shared" si="275"/>
        <v>47.5</v>
      </c>
      <c r="DC480" s="7">
        <f t="shared" si="276"/>
        <v>79</v>
      </c>
      <c r="DD480" s="7">
        <f t="shared" si="277"/>
        <v>94.75</v>
      </c>
      <c r="DE480" s="7">
        <f t="shared" si="278"/>
        <v>102.5</v>
      </c>
      <c r="DF480" s="7">
        <f t="shared" si="279"/>
        <v>121.25</v>
      </c>
      <c r="DH480" s="7">
        <f t="shared" si="280"/>
        <v>7.1000000000000005</v>
      </c>
      <c r="DI480" s="7">
        <f t="shared" si="281"/>
        <v>17.299999999999997</v>
      </c>
      <c r="DJ480" s="7">
        <f t="shared" si="282"/>
        <v>24.200000000000003</v>
      </c>
      <c r="DK480" s="7">
        <f t="shared" si="283"/>
        <v>32</v>
      </c>
      <c r="DL480" s="7">
        <f t="shared" si="284"/>
        <v>79</v>
      </c>
      <c r="DM480" s="7">
        <f t="shared" si="285"/>
        <v>97.6</v>
      </c>
      <c r="DN480" s="7">
        <f t="shared" si="286"/>
        <v>106.9</v>
      </c>
      <c r="DO480" s="7">
        <f t="shared" si="287"/>
        <v>260</v>
      </c>
      <c r="DP480" s="7">
        <f t="shared" si="288"/>
        <v>411.3</v>
      </c>
    </row>
    <row r="481" spans="1:130" ht="25.5" hidden="1" customHeight="1" x14ac:dyDescent="0.25">
      <c r="A481" s="92" t="str">
        <f t="shared" si="289"/>
        <v>CM-SWVI [10]</v>
      </c>
      <c r="B481" s="92" t="str">
        <f t="shared" si="290"/>
        <v>Southwest Vancouver Island</v>
      </c>
      <c r="C481" s="93" t="str">
        <f t="shared" si="262"/>
        <v>CHAMISS CREEK_Chum</v>
      </c>
      <c r="D481" s="128" t="s">
        <v>598</v>
      </c>
      <c r="E481" s="128" t="s">
        <v>598</v>
      </c>
      <c r="F481" s="64">
        <v>26</v>
      </c>
      <c r="G481" s="72" t="s">
        <v>260</v>
      </c>
      <c r="H481" s="65" t="s">
        <v>96</v>
      </c>
      <c r="I481" s="119"/>
      <c r="J481" s="119"/>
      <c r="K481" s="64">
        <v>3</v>
      </c>
      <c r="L481" s="52">
        <v>9</v>
      </c>
      <c r="M481" s="52">
        <v>8</v>
      </c>
      <c r="N481" s="52">
        <f t="shared" si="294"/>
        <v>3582.0679633377781</v>
      </c>
      <c r="O481" s="52">
        <f t="shared" si="295"/>
        <v>16600</v>
      </c>
      <c r="P481" s="52">
        <f t="shared" si="296"/>
        <v>4276.8243913733222</v>
      </c>
      <c r="Q481" s="66"/>
      <c r="R481" s="37"/>
      <c r="S481" s="74" t="s">
        <v>420</v>
      </c>
      <c r="T481" s="81">
        <f t="shared" si="263"/>
        <v>372.66666666666669</v>
      </c>
      <c r="U481" s="81">
        <f t="shared" si="264"/>
        <v>2383.625</v>
      </c>
      <c r="V481" s="234" t="s">
        <v>102</v>
      </c>
      <c r="W481" s="235">
        <v>185</v>
      </c>
      <c r="X481" s="52">
        <v>798</v>
      </c>
      <c r="Y481" s="52">
        <v>135</v>
      </c>
      <c r="Z481" s="52">
        <v>225</v>
      </c>
      <c r="AA481" s="52" t="s">
        <v>102</v>
      </c>
      <c r="AB481" s="52" t="s">
        <v>102</v>
      </c>
      <c r="AC481" s="52">
        <v>3332</v>
      </c>
      <c r="AD481" s="52">
        <v>4372</v>
      </c>
      <c r="AE481" s="144">
        <v>2036</v>
      </c>
      <c r="AF481" s="144" t="s">
        <v>102</v>
      </c>
      <c r="AG481" s="144">
        <v>7986</v>
      </c>
      <c r="AH481" s="52" t="s">
        <v>102</v>
      </c>
      <c r="AI481" s="52" t="s">
        <v>102</v>
      </c>
      <c r="AJ481" s="52" t="s">
        <v>102</v>
      </c>
      <c r="AK481" s="52" t="s">
        <v>102</v>
      </c>
      <c r="AL481" s="52" t="s">
        <v>102</v>
      </c>
      <c r="AM481" s="52" t="s">
        <v>102</v>
      </c>
      <c r="AN481" s="52">
        <v>2177</v>
      </c>
      <c r="AO481" s="53">
        <v>1929</v>
      </c>
      <c r="AP481" s="53">
        <v>1410</v>
      </c>
      <c r="AQ481" s="53" t="s">
        <v>263</v>
      </c>
      <c r="AR481" s="53" t="s">
        <v>263</v>
      </c>
      <c r="AS481" s="52" t="s">
        <v>262</v>
      </c>
      <c r="AT481" s="52">
        <v>16600</v>
      </c>
      <c r="AU481" s="52">
        <v>6000</v>
      </c>
      <c r="AV481" s="52" t="s">
        <v>102</v>
      </c>
      <c r="AW481" s="52" t="s">
        <v>263</v>
      </c>
      <c r="AX481" s="51">
        <v>8000</v>
      </c>
      <c r="AY481" s="53">
        <v>7000</v>
      </c>
      <c r="AZ481" s="53">
        <v>8000</v>
      </c>
      <c r="BA481" s="53">
        <v>1000</v>
      </c>
      <c r="BB481" s="53">
        <v>1500</v>
      </c>
      <c r="BC481" s="53">
        <v>250</v>
      </c>
      <c r="BD481" s="53">
        <v>1500</v>
      </c>
      <c r="BE481" s="53">
        <v>1800</v>
      </c>
      <c r="BF481" s="53">
        <v>5000</v>
      </c>
      <c r="BG481" s="53">
        <v>10000</v>
      </c>
      <c r="BH481" s="53">
        <v>6000</v>
      </c>
      <c r="BI481" s="53">
        <v>10000</v>
      </c>
      <c r="BJ481" s="53" t="s">
        <v>102</v>
      </c>
      <c r="BK481" s="53">
        <v>2000</v>
      </c>
      <c r="BL481" s="53">
        <v>10000</v>
      </c>
      <c r="BM481" s="53">
        <v>3600</v>
      </c>
      <c r="BN481" s="53">
        <v>12000</v>
      </c>
      <c r="BO481" s="53">
        <v>1500</v>
      </c>
      <c r="BP481" s="53">
        <v>3500</v>
      </c>
      <c r="BQ481" s="53">
        <v>3500</v>
      </c>
      <c r="BR481" s="53">
        <v>7500</v>
      </c>
      <c r="BS481" s="53">
        <v>15000</v>
      </c>
      <c r="BT481" s="53">
        <v>15000</v>
      </c>
      <c r="BU481" s="53">
        <v>3500</v>
      </c>
      <c r="BV481" s="53">
        <v>15000</v>
      </c>
      <c r="BW481" s="53">
        <v>3500</v>
      </c>
      <c r="BX481" s="53">
        <v>7500</v>
      </c>
      <c r="BY481" s="53">
        <v>3500</v>
      </c>
      <c r="BZ481" s="53">
        <v>3500</v>
      </c>
      <c r="CA481" s="53">
        <v>3500</v>
      </c>
      <c r="CB481" s="53">
        <v>3500</v>
      </c>
      <c r="CC481" s="53">
        <v>400</v>
      </c>
      <c r="CD481" s="53">
        <v>3500</v>
      </c>
      <c r="CE481" s="53">
        <v>3500</v>
      </c>
      <c r="CF481" s="53">
        <v>3500</v>
      </c>
      <c r="CG481" s="53">
        <v>7500</v>
      </c>
      <c r="CH481" s="53">
        <v>15000</v>
      </c>
      <c r="CI481" s="53">
        <v>7500</v>
      </c>
      <c r="CJ481" s="53">
        <v>7500</v>
      </c>
      <c r="CK481" s="53">
        <v>3500</v>
      </c>
      <c r="CL481" s="53">
        <v>8490</v>
      </c>
      <c r="CM481" s="53">
        <v>7500</v>
      </c>
      <c r="CN481" s="206"/>
      <c r="CO481" s="206"/>
      <c r="CP481" s="206"/>
      <c r="CQ481" s="8">
        <f t="shared" si="265"/>
        <v>135</v>
      </c>
      <c r="CR481" s="8">
        <f t="shared" si="266"/>
        <v>16600</v>
      </c>
      <c r="CS481" s="8">
        <f t="shared" si="267"/>
        <v>5411.5740740740739</v>
      </c>
      <c r="CT481">
        <f t="shared" si="268"/>
        <v>3452.2864342593261</v>
      </c>
      <c r="CU481" s="143">
        <f t="shared" si="269"/>
        <v>335.75</v>
      </c>
      <c r="CV481" s="143">
        <f t="shared" si="270"/>
        <v>2383.625</v>
      </c>
      <c r="CX481" s="7">
        <f t="shared" si="271"/>
        <v>241.25</v>
      </c>
      <c r="CY481" s="7">
        <f t="shared" si="272"/>
        <v>1495.5</v>
      </c>
      <c r="CZ481" s="7">
        <f t="shared" si="273"/>
        <v>1680.0000000000005</v>
      </c>
      <c r="DA481" s="7">
        <f t="shared" si="274"/>
        <v>2009</v>
      </c>
      <c r="DB481" s="7">
        <f t="shared" si="275"/>
        <v>3500</v>
      </c>
      <c r="DC481" s="7">
        <f t="shared" si="276"/>
        <v>5799.9999999999973</v>
      </c>
      <c r="DD481" s="7">
        <f t="shared" si="277"/>
        <v>7225.0000000000018</v>
      </c>
      <c r="DE481" s="7">
        <f t="shared" si="278"/>
        <v>7500</v>
      </c>
      <c r="DF481" s="7">
        <f t="shared" si="279"/>
        <v>10000</v>
      </c>
      <c r="DH481" s="7">
        <f t="shared" si="280"/>
        <v>165</v>
      </c>
      <c r="DI481" s="7">
        <f t="shared" si="281"/>
        <v>217</v>
      </c>
      <c r="DJ481" s="7">
        <f t="shared" si="282"/>
        <v>454.20000000000022</v>
      </c>
      <c r="DK481" s="7">
        <f t="shared" si="283"/>
        <v>798</v>
      </c>
      <c r="DL481" s="7">
        <f t="shared" si="284"/>
        <v>2036</v>
      </c>
      <c r="DM481" s="7">
        <f t="shared" si="285"/>
        <v>2407.9999999999991</v>
      </c>
      <c r="DN481" s="7">
        <f t="shared" si="286"/>
        <v>3101.0000000000009</v>
      </c>
      <c r="DO481" s="7">
        <f t="shared" si="287"/>
        <v>4372</v>
      </c>
      <c r="DP481" s="7">
        <f t="shared" si="288"/>
        <v>6397.1999999999989</v>
      </c>
    </row>
    <row r="482" spans="1:130" ht="25.5" hidden="1" customHeight="1" x14ac:dyDescent="0.25">
      <c r="A482" s="92" t="str">
        <f t="shared" si="289"/>
        <v>CO-WVI [17]</v>
      </c>
      <c r="B482" s="92" t="str">
        <f t="shared" si="290"/>
        <v>West Vancouver Island</v>
      </c>
      <c r="C482" s="93" t="str">
        <f t="shared" si="262"/>
        <v>CHAMISS CREEK_Coho</v>
      </c>
      <c r="D482" s="128" t="s">
        <v>598</v>
      </c>
      <c r="E482" s="128" t="s">
        <v>598</v>
      </c>
      <c r="F482" s="64">
        <v>26</v>
      </c>
      <c r="G482" s="72" t="s">
        <v>260</v>
      </c>
      <c r="H482" s="65" t="s">
        <v>93</v>
      </c>
      <c r="I482" s="119"/>
      <c r="J482" s="119"/>
      <c r="K482" s="64">
        <v>3</v>
      </c>
      <c r="L482" s="52">
        <v>9</v>
      </c>
      <c r="M482" s="52">
        <v>8</v>
      </c>
      <c r="N482" s="52">
        <f t="shared" si="294"/>
        <v>26.580800682993335</v>
      </c>
      <c r="O482" s="52">
        <f t="shared" si="295"/>
        <v>1500</v>
      </c>
      <c r="P482" s="52">
        <f t="shared" si="296"/>
        <v>80.151192466915433</v>
      </c>
      <c r="Q482" s="66"/>
      <c r="R482" s="37"/>
      <c r="S482" s="74" t="s">
        <v>421</v>
      </c>
      <c r="T482" s="81">
        <f t="shared" si="263"/>
        <v>101.33333333333333</v>
      </c>
      <c r="U482" s="81">
        <f t="shared" si="264"/>
        <v>78.625</v>
      </c>
      <c r="V482" s="234" t="s">
        <v>102</v>
      </c>
      <c r="W482" s="235">
        <v>155</v>
      </c>
      <c r="X482" s="52">
        <v>62</v>
      </c>
      <c r="Y482" s="52">
        <v>87</v>
      </c>
      <c r="Z482" s="52">
        <v>71</v>
      </c>
      <c r="AA482" s="52" t="s">
        <v>102</v>
      </c>
      <c r="AB482" s="52" t="s">
        <v>102</v>
      </c>
      <c r="AC482" s="52">
        <v>93</v>
      </c>
      <c r="AD482" s="52">
        <v>57</v>
      </c>
      <c r="AE482" s="144">
        <v>80</v>
      </c>
      <c r="AF482" s="144" t="s">
        <v>102</v>
      </c>
      <c r="AG482" s="144">
        <v>24</v>
      </c>
      <c r="AH482" s="52" t="s">
        <v>102</v>
      </c>
      <c r="AI482" s="52" t="s">
        <v>102</v>
      </c>
      <c r="AJ482" s="52" t="s">
        <v>102</v>
      </c>
      <c r="AK482" s="52" t="s">
        <v>102</v>
      </c>
      <c r="AL482" s="52" t="s">
        <v>102</v>
      </c>
      <c r="AM482" s="52" t="s">
        <v>102</v>
      </c>
      <c r="AN482" s="52">
        <v>27</v>
      </c>
      <c r="AO482" s="53">
        <v>145</v>
      </c>
      <c r="AP482" s="53">
        <v>13</v>
      </c>
      <c r="AQ482" s="53" t="s">
        <v>263</v>
      </c>
      <c r="AR482" s="53" t="s">
        <v>263</v>
      </c>
      <c r="AS482" s="52" t="s">
        <v>262</v>
      </c>
      <c r="AT482" s="52">
        <v>66</v>
      </c>
      <c r="AU482" s="52">
        <v>15</v>
      </c>
      <c r="AV482" s="52" t="s">
        <v>102</v>
      </c>
      <c r="AW482" s="52">
        <v>7</v>
      </c>
      <c r="AX482" s="51" t="s">
        <v>262</v>
      </c>
      <c r="AY482" s="53">
        <v>50</v>
      </c>
      <c r="AZ482" s="53">
        <v>50</v>
      </c>
      <c r="BA482" s="53">
        <v>50</v>
      </c>
      <c r="BB482" s="53">
        <v>50</v>
      </c>
      <c r="BC482" s="53">
        <v>50</v>
      </c>
      <c r="BD482" s="53">
        <v>75</v>
      </c>
      <c r="BE482" s="53">
        <v>100</v>
      </c>
      <c r="BF482" s="53">
        <v>125</v>
      </c>
      <c r="BG482" s="53">
        <v>100</v>
      </c>
      <c r="BH482" s="53" t="s">
        <v>262</v>
      </c>
      <c r="BI482" s="53" t="s">
        <v>264</v>
      </c>
      <c r="BJ482" s="53" t="s">
        <v>102</v>
      </c>
      <c r="BK482" s="53" t="s">
        <v>264</v>
      </c>
      <c r="BL482" s="53" t="s">
        <v>264</v>
      </c>
      <c r="BM482" s="53">
        <v>25</v>
      </c>
      <c r="BN482" s="53">
        <v>8</v>
      </c>
      <c r="BO482" s="53">
        <v>20</v>
      </c>
      <c r="BP482" s="53">
        <v>25</v>
      </c>
      <c r="BQ482" s="53">
        <v>25</v>
      </c>
      <c r="BR482" s="53" t="s">
        <v>264</v>
      </c>
      <c r="BS482" s="53">
        <v>75</v>
      </c>
      <c r="BT482" s="53" t="s">
        <v>264</v>
      </c>
      <c r="BU482" s="53">
        <v>400</v>
      </c>
      <c r="BV482" s="53">
        <v>400</v>
      </c>
      <c r="BW482" s="53">
        <v>25</v>
      </c>
      <c r="BX482" s="53">
        <v>200</v>
      </c>
      <c r="BY482" s="53" t="s">
        <v>264</v>
      </c>
      <c r="BZ482" s="53">
        <v>200</v>
      </c>
      <c r="CA482" s="53" t="s">
        <v>262</v>
      </c>
      <c r="CB482" s="53" t="s">
        <v>264</v>
      </c>
      <c r="CC482" s="53">
        <v>25</v>
      </c>
      <c r="CD482" s="53">
        <v>75</v>
      </c>
      <c r="CE482" s="53">
        <v>200</v>
      </c>
      <c r="CF482" s="53">
        <v>75</v>
      </c>
      <c r="CG482" s="53">
        <v>200</v>
      </c>
      <c r="CH482" s="53">
        <v>200</v>
      </c>
      <c r="CI482" s="53">
        <v>750</v>
      </c>
      <c r="CJ482" s="53">
        <v>1500</v>
      </c>
      <c r="CK482" s="53">
        <v>200</v>
      </c>
      <c r="CL482" s="53">
        <v>887</v>
      </c>
      <c r="CM482" s="53">
        <v>400</v>
      </c>
      <c r="CN482" s="206"/>
      <c r="CO482" s="206"/>
      <c r="CP482" s="206"/>
      <c r="CQ482" s="8">
        <f t="shared" si="265"/>
        <v>7</v>
      </c>
      <c r="CR482" s="8">
        <f t="shared" si="266"/>
        <v>1500</v>
      </c>
      <c r="CS482" s="8">
        <f t="shared" si="267"/>
        <v>165.93333333333334</v>
      </c>
      <c r="CT482">
        <f t="shared" si="268"/>
        <v>78.326248111335644</v>
      </c>
      <c r="CU482" s="143">
        <f t="shared" si="269"/>
        <v>93.75</v>
      </c>
      <c r="CV482" s="143">
        <f t="shared" si="270"/>
        <v>78.625</v>
      </c>
      <c r="CX482" s="7">
        <f t="shared" si="271"/>
        <v>13.4</v>
      </c>
      <c r="CY482" s="7">
        <f t="shared" si="272"/>
        <v>25</v>
      </c>
      <c r="CZ482" s="7">
        <f t="shared" si="273"/>
        <v>25</v>
      </c>
      <c r="DA482" s="7">
        <f t="shared" si="274"/>
        <v>27</v>
      </c>
      <c r="DB482" s="7">
        <f t="shared" si="275"/>
        <v>75</v>
      </c>
      <c r="DC482" s="7">
        <f t="shared" si="276"/>
        <v>89.399999999999991</v>
      </c>
      <c r="DD482" s="7">
        <f t="shared" si="277"/>
        <v>100</v>
      </c>
      <c r="DE482" s="7">
        <f t="shared" si="278"/>
        <v>200</v>
      </c>
      <c r="DF482" s="7">
        <f t="shared" si="279"/>
        <v>200</v>
      </c>
      <c r="DH482" s="7">
        <f t="shared" si="280"/>
        <v>10.899999999999999</v>
      </c>
      <c r="DI482" s="7">
        <f t="shared" si="281"/>
        <v>14.9</v>
      </c>
      <c r="DJ482" s="7">
        <f t="shared" si="282"/>
        <v>20.399999999999999</v>
      </c>
      <c r="DK482" s="7">
        <f t="shared" si="283"/>
        <v>24.75</v>
      </c>
      <c r="DL482" s="7">
        <f t="shared" si="284"/>
        <v>64</v>
      </c>
      <c r="DM482" s="7">
        <f t="shared" si="285"/>
        <v>70</v>
      </c>
      <c r="DN482" s="7">
        <f t="shared" si="286"/>
        <v>75.050000000000011</v>
      </c>
      <c r="DO482" s="7">
        <f t="shared" si="287"/>
        <v>85.25</v>
      </c>
      <c r="DP482" s="7">
        <f t="shared" si="288"/>
        <v>95.599999999999937</v>
      </c>
    </row>
    <row r="483" spans="1:130" ht="25.5" hidden="1" customHeight="1" x14ac:dyDescent="0.25">
      <c r="A483" s="92" t="str">
        <f t="shared" si="289"/>
        <v>CM-SWVI [10]</v>
      </c>
      <c r="B483" s="92" t="str">
        <f t="shared" si="290"/>
        <v>Southwest Vancouver Island</v>
      </c>
      <c r="C483" s="93" t="str">
        <f t="shared" si="262"/>
        <v>CLANNINICK CREEK_Chum</v>
      </c>
      <c r="D483" s="128" t="s">
        <v>598</v>
      </c>
      <c r="E483" s="128" t="s">
        <v>598</v>
      </c>
      <c r="F483" s="64">
        <v>26</v>
      </c>
      <c r="G483" s="72" t="s">
        <v>261</v>
      </c>
      <c r="H483" s="65" t="s">
        <v>96</v>
      </c>
      <c r="I483" s="119"/>
      <c r="J483" s="119"/>
      <c r="K483" s="64">
        <v>5</v>
      </c>
      <c r="L483" s="52">
        <v>3</v>
      </c>
      <c r="M483" s="52">
        <v>3</v>
      </c>
      <c r="N483" s="52">
        <f t="shared" si="294"/>
        <v>1379.9153487247138</v>
      </c>
      <c r="O483" s="52">
        <f t="shared" si="295"/>
        <v>35000</v>
      </c>
      <c r="P483" s="52">
        <f t="shared" si="296"/>
        <v>2278.729251587923</v>
      </c>
      <c r="Q483" s="66"/>
      <c r="R483" s="37"/>
      <c r="S483" s="76" t="s">
        <v>422</v>
      </c>
      <c r="T483" s="81">
        <f t="shared" si="263"/>
        <v>254</v>
      </c>
      <c r="U483" s="81">
        <f t="shared" si="264"/>
        <v>4723.2</v>
      </c>
      <c r="V483" s="234" t="s">
        <v>102</v>
      </c>
      <c r="W483" s="234" t="s">
        <v>102</v>
      </c>
      <c r="X483" s="52">
        <v>254</v>
      </c>
      <c r="Y483" s="52" t="s">
        <v>102</v>
      </c>
      <c r="Z483" s="52">
        <v>390</v>
      </c>
      <c r="AA483" s="52" t="s">
        <v>102</v>
      </c>
      <c r="AB483" s="52" t="s">
        <v>102</v>
      </c>
      <c r="AC483" s="52" t="s">
        <v>262</v>
      </c>
      <c r="AD483" s="52" t="s">
        <v>263</v>
      </c>
      <c r="AE483" s="144">
        <v>1857</v>
      </c>
      <c r="AF483" s="144">
        <v>15115</v>
      </c>
      <c r="AG483" s="144">
        <v>6000</v>
      </c>
      <c r="AH483" s="52" t="s">
        <v>102</v>
      </c>
      <c r="AI483" s="52" t="s">
        <v>102</v>
      </c>
      <c r="AJ483" s="52" t="s">
        <v>102</v>
      </c>
      <c r="AK483" s="52" t="s">
        <v>102</v>
      </c>
      <c r="AL483" s="52" t="s">
        <v>102</v>
      </c>
      <c r="AM483" s="52" t="s">
        <v>102</v>
      </c>
      <c r="AN483" s="52" t="s">
        <v>102</v>
      </c>
      <c r="AO483" s="53">
        <v>1478</v>
      </c>
      <c r="AP483" s="53">
        <v>2963</v>
      </c>
      <c r="AQ483" s="53" t="s">
        <v>102</v>
      </c>
      <c r="AR483" s="53" t="s">
        <v>102</v>
      </c>
      <c r="AS483" s="52" t="s">
        <v>102</v>
      </c>
      <c r="AT483" s="52" t="s">
        <v>102</v>
      </c>
      <c r="AU483" s="52" t="s">
        <v>102</v>
      </c>
      <c r="AV483" s="52" t="s">
        <v>102</v>
      </c>
      <c r="AW483" s="52">
        <v>600</v>
      </c>
      <c r="AX483" s="51" t="s">
        <v>102</v>
      </c>
      <c r="AY483" s="53" t="s">
        <v>102</v>
      </c>
      <c r="AZ483" s="53">
        <v>1500</v>
      </c>
      <c r="BA483" s="53">
        <v>500</v>
      </c>
      <c r="BB483" s="53">
        <v>250</v>
      </c>
      <c r="BC483" s="53">
        <v>850</v>
      </c>
      <c r="BD483" s="53" t="s">
        <v>102</v>
      </c>
      <c r="BE483" s="53">
        <v>1400</v>
      </c>
      <c r="BF483" s="53">
        <v>1500</v>
      </c>
      <c r="BG483" s="53">
        <v>5000</v>
      </c>
      <c r="BH483" s="53" t="s">
        <v>262</v>
      </c>
      <c r="BI483" s="53">
        <v>5500</v>
      </c>
      <c r="BJ483" s="53" t="s">
        <v>102</v>
      </c>
      <c r="BK483" s="53">
        <v>3000</v>
      </c>
      <c r="BL483" s="53">
        <v>7000</v>
      </c>
      <c r="BM483" s="53">
        <v>510</v>
      </c>
      <c r="BN483" s="53">
        <v>9500</v>
      </c>
      <c r="BO483" s="53">
        <v>1500</v>
      </c>
      <c r="BP483" s="53">
        <v>25</v>
      </c>
      <c r="BQ483" s="53">
        <v>3500</v>
      </c>
      <c r="BR483" s="53">
        <v>7500</v>
      </c>
      <c r="BS483" s="53">
        <v>7500</v>
      </c>
      <c r="BT483" s="53">
        <v>7500</v>
      </c>
      <c r="BU483" s="53">
        <v>3500</v>
      </c>
      <c r="BV483" s="53">
        <v>7500</v>
      </c>
      <c r="BW483" s="53">
        <v>1500</v>
      </c>
      <c r="BX483" s="53">
        <v>3500</v>
      </c>
      <c r="BY483" s="53">
        <v>200</v>
      </c>
      <c r="BZ483" s="53">
        <v>35000</v>
      </c>
      <c r="CA483" s="53">
        <v>3500</v>
      </c>
      <c r="CB483" s="53">
        <v>1500</v>
      </c>
      <c r="CC483" s="53">
        <v>750</v>
      </c>
      <c r="CD483" s="53">
        <v>1500</v>
      </c>
      <c r="CE483" s="53">
        <v>1500</v>
      </c>
      <c r="CF483" s="53">
        <v>15000</v>
      </c>
      <c r="CG483" s="53">
        <v>3500</v>
      </c>
      <c r="CH483" s="53">
        <v>15000</v>
      </c>
      <c r="CI483" s="53">
        <v>7500</v>
      </c>
      <c r="CJ483" s="53">
        <v>1500</v>
      </c>
      <c r="CK483" s="53">
        <v>750</v>
      </c>
      <c r="CL483" s="53">
        <v>7500</v>
      </c>
      <c r="CM483" s="53">
        <v>3500</v>
      </c>
      <c r="CN483" s="206"/>
      <c r="CO483" s="206"/>
      <c r="CP483" s="206"/>
      <c r="CQ483" s="8">
        <f t="shared" si="265"/>
        <v>25</v>
      </c>
      <c r="CR483" s="8">
        <f t="shared" si="266"/>
        <v>35000</v>
      </c>
      <c r="CS483" s="8">
        <f t="shared" si="267"/>
        <v>4597.6000000000004</v>
      </c>
      <c r="CT483">
        <f t="shared" si="268"/>
        <v>2213.6585762120717</v>
      </c>
      <c r="CU483" s="143">
        <f t="shared" si="269"/>
        <v>322</v>
      </c>
      <c r="CV483" s="143">
        <f t="shared" si="270"/>
        <v>4723.2</v>
      </c>
      <c r="CX483" s="7">
        <f t="shared" si="271"/>
        <v>250.8</v>
      </c>
      <c r="CY483" s="7">
        <f t="shared" si="272"/>
        <v>564</v>
      </c>
      <c r="CZ483" s="7">
        <f t="shared" si="273"/>
        <v>750</v>
      </c>
      <c r="DA483" s="7">
        <f t="shared" si="274"/>
        <v>1400</v>
      </c>
      <c r="DB483" s="7">
        <f t="shared" si="275"/>
        <v>2963</v>
      </c>
      <c r="DC483" s="7">
        <f t="shared" si="276"/>
        <v>3500</v>
      </c>
      <c r="DD483" s="7">
        <f t="shared" si="277"/>
        <v>3500</v>
      </c>
      <c r="DE483" s="7">
        <f t="shared" si="278"/>
        <v>7000</v>
      </c>
      <c r="DF483" s="7">
        <f t="shared" si="279"/>
        <v>7500</v>
      </c>
      <c r="DH483" s="7">
        <f t="shared" si="280"/>
        <v>301.60000000000002</v>
      </c>
      <c r="DI483" s="7">
        <f t="shared" si="281"/>
        <v>400.49999999999994</v>
      </c>
      <c r="DJ483" s="7">
        <f t="shared" si="282"/>
        <v>474.00000000000006</v>
      </c>
      <c r="DK483" s="7">
        <f t="shared" si="283"/>
        <v>547.5</v>
      </c>
      <c r="DL483" s="7">
        <f t="shared" si="284"/>
        <v>1667.5</v>
      </c>
      <c r="DM483" s="7">
        <f t="shared" si="285"/>
        <v>2078.2000000000003</v>
      </c>
      <c r="DN483" s="7">
        <f t="shared" si="286"/>
        <v>2465.2999999999997</v>
      </c>
      <c r="DO483" s="7">
        <f t="shared" si="287"/>
        <v>3722.25</v>
      </c>
      <c r="DP483" s="7">
        <f t="shared" si="288"/>
        <v>5848.1500000000005</v>
      </c>
    </row>
    <row r="484" spans="1:130" ht="25.5" hidden="1" customHeight="1" x14ac:dyDescent="0.25">
      <c r="A484" s="92" t="str">
        <f t="shared" si="289"/>
        <v>CO-WVI [17]</v>
      </c>
      <c r="B484" s="92" t="str">
        <f t="shared" si="290"/>
        <v>West Vancouver Island</v>
      </c>
      <c r="C484" s="93" t="str">
        <f t="shared" si="262"/>
        <v>CLANNINICK CREEK_Coho</v>
      </c>
      <c r="D484" s="128" t="s">
        <v>598</v>
      </c>
      <c r="E484" s="128" t="s">
        <v>598</v>
      </c>
      <c r="F484" s="64">
        <v>26</v>
      </c>
      <c r="G484" s="72" t="s">
        <v>261</v>
      </c>
      <c r="H484" s="65" t="s">
        <v>93</v>
      </c>
      <c r="I484" s="119"/>
      <c r="J484" s="119"/>
      <c r="K484" s="64">
        <v>5</v>
      </c>
      <c r="L484" s="52">
        <v>3</v>
      </c>
      <c r="M484" s="52">
        <v>2</v>
      </c>
      <c r="N484" s="52">
        <f t="shared" si="294"/>
        <v>119.49895397031726</v>
      </c>
      <c r="O484" s="52">
        <f t="shared" si="295"/>
        <v>750</v>
      </c>
      <c r="P484" s="52">
        <f t="shared" si="296"/>
        <v>209.84501423042798</v>
      </c>
      <c r="Q484" s="66"/>
      <c r="R484" s="37"/>
      <c r="S484" s="76" t="s">
        <v>422</v>
      </c>
      <c r="T484" s="81">
        <f t="shared" si="263"/>
        <v>138</v>
      </c>
      <c r="U484" s="81">
        <f t="shared" si="264"/>
        <v>227.71428571428572</v>
      </c>
      <c r="V484" s="234" t="s">
        <v>102</v>
      </c>
      <c r="W484" s="234" t="s">
        <v>102</v>
      </c>
      <c r="X484" s="52">
        <v>138</v>
      </c>
      <c r="Y484" s="52" t="s">
        <v>102</v>
      </c>
      <c r="Z484" s="52">
        <v>148</v>
      </c>
      <c r="AA484" s="52" t="s">
        <v>102</v>
      </c>
      <c r="AB484" s="52" t="s">
        <v>102</v>
      </c>
      <c r="AC484" s="52">
        <v>230</v>
      </c>
      <c r="AD484" s="52">
        <v>702</v>
      </c>
      <c r="AE484" s="144">
        <v>147</v>
      </c>
      <c r="AF484" s="144">
        <v>222</v>
      </c>
      <c r="AG484" s="144">
        <v>7</v>
      </c>
      <c r="AH484" s="52" t="s">
        <v>102</v>
      </c>
      <c r="AI484" s="52" t="s">
        <v>102</v>
      </c>
      <c r="AJ484" s="52" t="s">
        <v>102</v>
      </c>
      <c r="AK484" s="52" t="s">
        <v>102</v>
      </c>
      <c r="AL484" s="52" t="s">
        <v>102</v>
      </c>
      <c r="AM484" s="52" t="s">
        <v>102</v>
      </c>
      <c r="AN484" s="52" t="s">
        <v>102</v>
      </c>
      <c r="AO484" s="53">
        <v>168</v>
      </c>
      <c r="AP484" s="53">
        <v>85</v>
      </c>
      <c r="AQ484" s="53" t="s">
        <v>102</v>
      </c>
      <c r="AR484" s="53" t="s">
        <v>102</v>
      </c>
      <c r="AS484" s="52" t="s">
        <v>102</v>
      </c>
      <c r="AT484" s="52" t="s">
        <v>102</v>
      </c>
      <c r="AU484" s="52" t="s">
        <v>102</v>
      </c>
      <c r="AV484" s="52" t="s">
        <v>102</v>
      </c>
      <c r="AW484" s="52" t="s">
        <v>262</v>
      </c>
      <c r="AX484" s="51" t="s">
        <v>102</v>
      </c>
      <c r="AY484" s="53" t="s">
        <v>102</v>
      </c>
      <c r="AZ484" s="53" t="s">
        <v>262</v>
      </c>
      <c r="BA484" s="53">
        <v>150</v>
      </c>
      <c r="BB484" s="53">
        <v>250</v>
      </c>
      <c r="BC484" s="53">
        <v>500</v>
      </c>
      <c r="BD484" s="53" t="s">
        <v>102</v>
      </c>
      <c r="BE484" s="53">
        <v>150</v>
      </c>
      <c r="BF484" s="53">
        <v>200</v>
      </c>
      <c r="BG484" s="53">
        <v>150</v>
      </c>
      <c r="BH484" s="53" t="s">
        <v>262</v>
      </c>
      <c r="BI484" s="53" t="s">
        <v>264</v>
      </c>
      <c r="BJ484" s="53" t="s">
        <v>102</v>
      </c>
      <c r="BK484" s="53" t="s">
        <v>264</v>
      </c>
      <c r="BL484" s="53" t="s">
        <v>264</v>
      </c>
      <c r="BM484" s="53">
        <v>100</v>
      </c>
      <c r="BN484" s="53">
        <v>100</v>
      </c>
      <c r="BO484" s="53" t="s">
        <v>264</v>
      </c>
      <c r="BP484" s="53" t="s">
        <v>264</v>
      </c>
      <c r="BQ484" s="53">
        <v>25</v>
      </c>
      <c r="BR484" s="53">
        <v>750</v>
      </c>
      <c r="BS484" s="53">
        <v>400</v>
      </c>
      <c r="BT484" s="53">
        <v>25</v>
      </c>
      <c r="BU484" s="53">
        <v>200</v>
      </c>
      <c r="BV484" s="53">
        <v>400</v>
      </c>
      <c r="BW484" s="53">
        <v>25</v>
      </c>
      <c r="BX484" s="53">
        <v>200</v>
      </c>
      <c r="BY484" s="53" t="s">
        <v>262</v>
      </c>
      <c r="BZ484" s="53">
        <v>400</v>
      </c>
      <c r="CA484" s="53">
        <v>400</v>
      </c>
      <c r="CB484" s="53">
        <v>200</v>
      </c>
      <c r="CC484" s="53">
        <v>400</v>
      </c>
      <c r="CD484" s="53">
        <v>200</v>
      </c>
      <c r="CE484" s="53">
        <v>400</v>
      </c>
      <c r="CF484" s="53">
        <v>75</v>
      </c>
      <c r="CG484" s="53">
        <v>400</v>
      </c>
      <c r="CH484" s="53">
        <v>200</v>
      </c>
      <c r="CI484" s="53">
        <v>400</v>
      </c>
      <c r="CJ484" s="53">
        <v>750</v>
      </c>
      <c r="CK484" s="53">
        <v>750</v>
      </c>
      <c r="CL484" s="53">
        <v>400</v>
      </c>
      <c r="CM484" s="53">
        <v>400</v>
      </c>
      <c r="CN484" s="206"/>
      <c r="CO484" s="206"/>
      <c r="CP484" s="206"/>
      <c r="CQ484" s="8">
        <f t="shared" si="265"/>
        <v>7</v>
      </c>
      <c r="CR484" s="8">
        <f t="shared" si="266"/>
        <v>750</v>
      </c>
      <c r="CS484" s="8">
        <f t="shared" si="267"/>
        <v>278.12820512820514</v>
      </c>
      <c r="CT484">
        <f t="shared" si="268"/>
        <v>193.46770897255305</v>
      </c>
      <c r="CU484" s="143">
        <f t="shared" si="269"/>
        <v>143</v>
      </c>
      <c r="CV484" s="143">
        <f t="shared" si="270"/>
        <v>227.71428571428572</v>
      </c>
      <c r="CX484" s="7">
        <f t="shared" si="271"/>
        <v>25</v>
      </c>
      <c r="CY484" s="7">
        <f t="shared" si="272"/>
        <v>95.5</v>
      </c>
      <c r="CZ484" s="7">
        <f t="shared" si="273"/>
        <v>122.80000000000005</v>
      </c>
      <c r="DA484" s="7">
        <f t="shared" si="274"/>
        <v>147.5</v>
      </c>
      <c r="DB484" s="7">
        <f t="shared" si="275"/>
        <v>200</v>
      </c>
      <c r="DC484" s="7">
        <f t="shared" si="276"/>
        <v>246</v>
      </c>
      <c r="DD484" s="7">
        <f t="shared" si="277"/>
        <v>400</v>
      </c>
      <c r="DE484" s="7">
        <f t="shared" si="278"/>
        <v>400</v>
      </c>
      <c r="DF484" s="7">
        <f t="shared" si="279"/>
        <v>400</v>
      </c>
      <c r="DH484" s="7">
        <f t="shared" si="280"/>
        <v>38.199999999999989</v>
      </c>
      <c r="DI484" s="7">
        <f t="shared" si="281"/>
        <v>95.600000000000009</v>
      </c>
      <c r="DJ484" s="7">
        <f t="shared" si="282"/>
        <v>116.80000000000001</v>
      </c>
      <c r="DK484" s="7">
        <f t="shared" si="283"/>
        <v>138</v>
      </c>
      <c r="DL484" s="7">
        <f t="shared" si="284"/>
        <v>148</v>
      </c>
      <c r="DM484" s="7">
        <f t="shared" si="285"/>
        <v>164</v>
      </c>
      <c r="DN484" s="7">
        <f t="shared" si="286"/>
        <v>178.8</v>
      </c>
      <c r="DO484" s="7">
        <f t="shared" si="287"/>
        <v>222</v>
      </c>
      <c r="DP484" s="7">
        <f t="shared" si="288"/>
        <v>228.4</v>
      </c>
    </row>
    <row r="485" spans="1:130" ht="25.5" customHeight="1" x14ac:dyDescent="0.25">
      <c r="A485" s="92" t="str">
        <f t="shared" si="289"/>
        <v>CK-NoKy [32]</v>
      </c>
      <c r="B485" s="92" t="str">
        <f t="shared" si="290"/>
        <v>Nootka and Kyuquot</v>
      </c>
      <c r="C485" s="93" t="str">
        <f t="shared" si="262"/>
        <v>EASY CREEK_Chinook</v>
      </c>
      <c r="D485" s="128" t="s">
        <v>598</v>
      </c>
      <c r="E485" s="128" t="s">
        <v>598</v>
      </c>
      <c r="F485" s="64">
        <v>26</v>
      </c>
      <c r="G485" s="72" t="s">
        <v>257</v>
      </c>
      <c r="H485" s="65" t="s">
        <v>97</v>
      </c>
      <c r="I485" s="119"/>
      <c r="J485" s="119"/>
      <c r="K485" s="64">
        <v>3</v>
      </c>
      <c r="L485" s="52">
        <v>10</v>
      </c>
      <c r="M485" s="52">
        <v>4</v>
      </c>
      <c r="N485" s="52">
        <f t="shared" si="294"/>
        <v>4.7026693754415154</v>
      </c>
      <c r="O485" s="52">
        <f t="shared" si="295"/>
        <v>400</v>
      </c>
      <c r="P485" s="52">
        <f t="shared" si="296"/>
        <v>20.269662097057399</v>
      </c>
      <c r="Q485" s="66"/>
      <c r="R485" s="37"/>
      <c r="S485" s="74" t="s">
        <v>434</v>
      </c>
      <c r="T485" s="81">
        <f t="shared" si="263"/>
        <v>7.666666666666667</v>
      </c>
      <c r="U485" s="81">
        <f t="shared" si="264"/>
        <v>11.666666666666666</v>
      </c>
      <c r="V485" s="234" t="s">
        <v>102</v>
      </c>
      <c r="W485" s="235">
        <v>3</v>
      </c>
      <c r="X485" s="52">
        <v>0</v>
      </c>
      <c r="Y485" s="52">
        <v>20</v>
      </c>
      <c r="Z485" s="52">
        <v>18</v>
      </c>
      <c r="AA485" s="52" t="s">
        <v>102</v>
      </c>
      <c r="AB485" s="52" t="s">
        <v>102</v>
      </c>
      <c r="AC485" s="52" t="s">
        <v>263</v>
      </c>
      <c r="AD485" s="52" t="s">
        <v>263</v>
      </c>
      <c r="AE485" s="144">
        <v>18</v>
      </c>
      <c r="AF485" s="144">
        <v>11</v>
      </c>
      <c r="AG485" s="144" t="s">
        <v>262</v>
      </c>
      <c r="AH485" s="52" t="s">
        <v>102</v>
      </c>
      <c r="AI485" s="52" t="s">
        <v>102</v>
      </c>
      <c r="AJ485" s="52" t="s">
        <v>102</v>
      </c>
      <c r="AK485" s="52" t="s">
        <v>102</v>
      </c>
      <c r="AL485" s="52" t="s">
        <v>102</v>
      </c>
      <c r="AM485" s="52" t="s">
        <v>102</v>
      </c>
      <c r="AN485" s="52" t="s">
        <v>262</v>
      </c>
      <c r="AO485" s="53">
        <v>26</v>
      </c>
      <c r="AP485" s="53" t="s">
        <v>262</v>
      </c>
      <c r="AQ485" s="53" t="s">
        <v>262</v>
      </c>
      <c r="AR485" s="53" t="s">
        <v>263</v>
      </c>
      <c r="AS485" s="52" t="s">
        <v>262</v>
      </c>
      <c r="AT485" s="52">
        <v>4</v>
      </c>
      <c r="AU485" s="52">
        <v>1</v>
      </c>
      <c r="AV485" s="52" t="s">
        <v>262</v>
      </c>
      <c r="AW485" s="52" t="s">
        <v>262</v>
      </c>
      <c r="AX485" s="51" t="s">
        <v>102</v>
      </c>
      <c r="AY485" s="53" t="s">
        <v>262</v>
      </c>
      <c r="AZ485" s="53" t="s">
        <v>262</v>
      </c>
      <c r="BA485" s="53">
        <v>20</v>
      </c>
      <c r="BB485" s="53">
        <v>10</v>
      </c>
      <c r="BC485" s="53">
        <v>12</v>
      </c>
      <c r="BD485" s="53" t="s">
        <v>102</v>
      </c>
      <c r="BE485" s="53" t="s">
        <v>264</v>
      </c>
      <c r="BF485" s="53" t="s">
        <v>264</v>
      </c>
      <c r="BG485" s="53">
        <v>250</v>
      </c>
      <c r="BH485" s="53">
        <v>400</v>
      </c>
      <c r="BI485" s="53" t="s">
        <v>264</v>
      </c>
      <c r="BJ485" s="53">
        <v>10</v>
      </c>
      <c r="BK485" s="53" t="s">
        <v>264</v>
      </c>
      <c r="BL485" s="53" t="s">
        <v>264</v>
      </c>
      <c r="BM485" s="53" t="s">
        <v>264</v>
      </c>
      <c r="BN485" s="53" t="s">
        <v>262</v>
      </c>
      <c r="BO485" s="53" t="s">
        <v>264</v>
      </c>
      <c r="BP485" s="53" t="s">
        <v>264</v>
      </c>
      <c r="BQ485" s="53">
        <v>25</v>
      </c>
      <c r="BR485" s="53" t="s">
        <v>264</v>
      </c>
      <c r="BS485" s="53" t="s">
        <v>264</v>
      </c>
      <c r="BT485" s="53">
        <v>25</v>
      </c>
      <c r="BU485" s="53" t="s">
        <v>264</v>
      </c>
      <c r="BV485" s="53">
        <v>25</v>
      </c>
      <c r="BW485" s="53" t="s">
        <v>264</v>
      </c>
      <c r="BX485" s="53" t="s">
        <v>264</v>
      </c>
      <c r="BY485" s="53" t="s">
        <v>264</v>
      </c>
      <c r="BZ485" s="53">
        <v>25</v>
      </c>
      <c r="CA485" s="53" t="s">
        <v>264</v>
      </c>
      <c r="CB485" s="53" t="s">
        <v>264</v>
      </c>
      <c r="CC485" s="53" t="s">
        <v>264</v>
      </c>
      <c r="CD485" s="53" t="s">
        <v>264</v>
      </c>
      <c r="CE485" s="53" t="s">
        <v>264</v>
      </c>
      <c r="CF485" s="53" t="s">
        <v>264</v>
      </c>
      <c r="CG485" s="53" t="s">
        <v>264</v>
      </c>
      <c r="CH485" s="53" t="s">
        <v>264</v>
      </c>
      <c r="CI485" s="53" t="s">
        <v>264</v>
      </c>
      <c r="CJ485" s="53" t="s">
        <v>264</v>
      </c>
      <c r="CK485" s="53" t="s">
        <v>264</v>
      </c>
      <c r="CL485" s="53" t="s">
        <v>264</v>
      </c>
      <c r="CM485" s="53" t="s">
        <v>264</v>
      </c>
      <c r="CN485" s="211"/>
      <c r="CO485" s="211"/>
      <c r="CP485" s="211"/>
      <c r="CQ485" s="8">
        <f t="shared" si="265"/>
        <v>0</v>
      </c>
      <c r="CR485" s="8">
        <f t="shared" si="266"/>
        <v>400</v>
      </c>
      <c r="CS485" s="8">
        <f t="shared" si="267"/>
        <v>47.526315789473685</v>
      </c>
      <c r="CT485" t="e">
        <f t="shared" si="268"/>
        <v>#NUM!</v>
      </c>
      <c r="CU485" s="143">
        <f t="shared" si="269"/>
        <v>10.25</v>
      </c>
      <c r="CV485" s="143">
        <f t="shared" si="270"/>
        <v>11.666666666666666</v>
      </c>
      <c r="CX485" s="7">
        <f t="shared" si="271"/>
        <v>0.89999999999999991</v>
      </c>
      <c r="CY485" s="7">
        <f t="shared" si="272"/>
        <v>3.6999999999999997</v>
      </c>
      <c r="CZ485" s="7">
        <f t="shared" si="273"/>
        <v>7.5999999999999979</v>
      </c>
      <c r="DA485" s="7">
        <f t="shared" si="274"/>
        <v>10</v>
      </c>
      <c r="DB485" s="7">
        <f t="shared" si="275"/>
        <v>18</v>
      </c>
      <c r="DC485" s="7">
        <f t="shared" si="276"/>
        <v>20</v>
      </c>
      <c r="DD485" s="7">
        <f t="shared" si="277"/>
        <v>23.500000000000007</v>
      </c>
      <c r="DE485" s="7">
        <f t="shared" si="278"/>
        <v>25</v>
      </c>
      <c r="DF485" s="7">
        <f t="shared" si="279"/>
        <v>25.299999999999997</v>
      </c>
      <c r="DH485" s="7">
        <f t="shared" si="280"/>
        <v>0.39999999999999991</v>
      </c>
      <c r="DI485" s="7">
        <f t="shared" si="281"/>
        <v>1.4000000000000004</v>
      </c>
      <c r="DJ485" s="7">
        <f t="shared" si="282"/>
        <v>2.2000000000000002</v>
      </c>
      <c r="DK485" s="7">
        <f t="shared" si="283"/>
        <v>3</v>
      </c>
      <c r="DL485" s="7">
        <f t="shared" si="284"/>
        <v>11</v>
      </c>
      <c r="DM485" s="7">
        <f t="shared" si="285"/>
        <v>16.599999999999998</v>
      </c>
      <c r="DN485" s="7">
        <f t="shared" si="286"/>
        <v>18</v>
      </c>
      <c r="DO485" s="7">
        <f t="shared" si="287"/>
        <v>18</v>
      </c>
      <c r="DP485" s="7">
        <f t="shared" si="288"/>
        <v>19.600000000000001</v>
      </c>
      <c r="DR485" s="7">
        <f>_xlfn.PERCENTILE.INC((Y485:AI485,AK485:AL485,AO485:AR485,AT485),0.05)</f>
        <v>5.75</v>
      </c>
      <c r="DS485" s="7">
        <f>_xlfn.PERCENTILE.INC((Y485:AI485,AK485:AL485,AO485:AR485,AT485),0.15)</f>
        <v>9.25</v>
      </c>
      <c r="DT485" s="7">
        <f>_xlfn.PERCENTILE.INC((Y485:AI485,AK485:AL485,AO485:AR485,AT485),0.2)</f>
        <v>11</v>
      </c>
      <c r="DU485" s="7">
        <f>_xlfn.PERCENTILE.INC((Y485:AI485,AK485:AL485,AO485:AR485,AT485),0.25)</f>
        <v>12.75</v>
      </c>
      <c r="DV485" s="7">
        <f>_xlfn.PERCENTILE.INC((Y485:AI485,AK485:AL485,AO485:AR485,AT485),0.5)</f>
        <v>18</v>
      </c>
      <c r="DW485" s="7">
        <f>_xlfn.PERCENTILE.INC((Y485:AI485,AK485:AL485,AO485:AR485,AT485),0.6)</f>
        <v>18</v>
      </c>
      <c r="DX485" s="7">
        <f>_xlfn.PERCENTILE.INC((Y485:AI485,AK485:AL485,AO485:AR485,AT485),0.65)</f>
        <v>18.5</v>
      </c>
      <c r="DY485" s="7">
        <f>_xlfn.PERCENTILE.INC((Y485:AI485,AK485:AL485,AO485:AR485,AT485),0.75)</f>
        <v>19.5</v>
      </c>
      <c r="DZ485" s="7">
        <f>_xlfn.PERCENTILE.INC((Y485:AI485,AK485:AL485,AO485:AR485,AT485),0.85)</f>
        <v>21.5</v>
      </c>
    </row>
    <row r="486" spans="1:130" ht="25.5" hidden="1" customHeight="1" x14ac:dyDescent="0.25">
      <c r="A486" s="92" t="str">
        <f t="shared" si="289"/>
        <v>CM-SWVI [10]</v>
      </c>
      <c r="B486" s="92" t="str">
        <f t="shared" si="290"/>
        <v>Southwest Vancouver Island</v>
      </c>
      <c r="C486" s="93" t="str">
        <f t="shared" si="262"/>
        <v>EASY CREEK_Chum</v>
      </c>
      <c r="D486" s="128" t="s">
        <v>598</v>
      </c>
      <c r="E486" s="128" t="s">
        <v>598</v>
      </c>
      <c r="F486" s="64">
        <v>26</v>
      </c>
      <c r="G486" s="72" t="s">
        <v>257</v>
      </c>
      <c r="H486" s="65" t="s">
        <v>96</v>
      </c>
      <c r="I486" s="119"/>
      <c r="J486" s="119"/>
      <c r="K486" s="64">
        <v>3</v>
      </c>
      <c r="L486" s="52">
        <v>10</v>
      </c>
      <c r="M486" s="52">
        <v>8</v>
      </c>
      <c r="N486" s="52">
        <f t="shared" si="294"/>
        <v>1608.3980365363666</v>
      </c>
      <c r="O486" s="52">
        <f t="shared" si="295"/>
        <v>12000</v>
      </c>
      <c r="P486" s="52">
        <f t="shared" si="296"/>
        <v>1915.749787729156</v>
      </c>
      <c r="Q486" s="66"/>
      <c r="R486" s="37"/>
      <c r="S486" s="74" t="s">
        <v>433</v>
      </c>
      <c r="T486" s="81">
        <f t="shared" si="263"/>
        <v>196</v>
      </c>
      <c r="U486" s="81">
        <f t="shared" si="264"/>
        <v>2370.8888888888887</v>
      </c>
      <c r="V486" s="234" t="s">
        <v>102</v>
      </c>
      <c r="W486" s="235">
        <v>71</v>
      </c>
      <c r="X486" s="52">
        <v>388</v>
      </c>
      <c r="Y486" s="52">
        <v>129</v>
      </c>
      <c r="Z486" s="52">
        <v>720</v>
      </c>
      <c r="AA486" s="52" t="s">
        <v>102</v>
      </c>
      <c r="AB486" s="52" t="s">
        <v>102</v>
      </c>
      <c r="AC486" s="52">
        <v>727</v>
      </c>
      <c r="AD486" s="52">
        <v>1149</v>
      </c>
      <c r="AE486" s="144">
        <v>1758</v>
      </c>
      <c r="AF486" s="144">
        <v>7203</v>
      </c>
      <c r="AG486" s="144">
        <v>9193</v>
      </c>
      <c r="AH486" s="52" t="s">
        <v>102</v>
      </c>
      <c r="AI486" s="52" t="s">
        <v>102</v>
      </c>
      <c r="AJ486" s="52" t="s">
        <v>102</v>
      </c>
      <c r="AK486" s="52" t="s">
        <v>102</v>
      </c>
      <c r="AL486" s="52" t="s">
        <v>102</v>
      </c>
      <c r="AM486" s="52" t="s">
        <v>102</v>
      </c>
      <c r="AN486" s="52">
        <v>3009</v>
      </c>
      <c r="AO486" s="53">
        <v>974</v>
      </c>
      <c r="AP486" s="53">
        <v>1619</v>
      </c>
      <c r="AQ486" s="53">
        <v>291</v>
      </c>
      <c r="AR486" s="53" t="s">
        <v>263</v>
      </c>
      <c r="AS486" s="52" t="s">
        <v>263</v>
      </c>
      <c r="AT486" s="52">
        <v>10600</v>
      </c>
      <c r="AU486" s="52">
        <v>4000</v>
      </c>
      <c r="AV486" s="52">
        <v>850</v>
      </c>
      <c r="AW486" s="52">
        <v>900</v>
      </c>
      <c r="AX486" s="51">
        <v>4100</v>
      </c>
      <c r="AY486" s="53">
        <v>3500</v>
      </c>
      <c r="AZ486" s="53">
        <v>12000</v>
      </c>
      <c r="BA486" s="53">
        <v>2000</v>
      </c>
      <c r="BB486" s="53">
        <v>2000</v>
      </c>
      <c r="BC486" s="53">
        <v>600</v>
      </c>
      <c r="BD486" s="53">
        <v>1500</v>
      </c>
      <c r="BE486" s="53">
        <v>1800</v>
      </c>
      <c r="BF486" s="53">
        <v>6500</v>
      </c>
      <c r="BG486" s="53">
        <v>9500</v>
      </c>
      <c r="BH486" s="53">
        <v>9000</v>
      </c>
      <c r="BI486" s="53">
        <v>7000</v>
      </c>
      <c r="BJ486" s="53">
        <v>8000</v>
      </c>
      <c r="BK486" s="53">
        <v>500</v>
      </c>
      <c r="BL486" s="53">
        <v>2000</v>
      </c>
      <c r="BM486" s="53">
        <v>1530</v>
      </c>
      <c r="BN486" s="53">
        <v>5000</v>
      </c>
      <c r="BO486" s="53" t="s">
        <v>264</v>
      </c>
      <c r="BP486" s="53">
        <v>75</v>
      </c>
      <c r="BQ486" s="53">
        <v>25</v>
      </c>
      <c r="BR486" s="53">
        <v>400</v>
      </c>
      <c r="BS486" s="53">
        <v>1500</v>
      </c>
      <c r="BT486" s="53" t="s">
        <v>264</v>
      </c>
      <c r="BU486" s="53">
        <v>3500</v>
      </c>
      <c r="BV486" s="53">
        <v>7500</v>
      </c>
      <c r="BW486" s="53">
        <v>1500</v>
      </c>
      <c r="BX486" s="53">
        <v>3500</v>
      </c>
      <c r="BY486" s="53">
        <v>1500</v>
      </c>
      <c r="BZ486" s="53">
        <v>3500</v>
      </c>
      <c r="CA486" s="53">
        <v>3500</v>
      </c>
      <c r="CB486" s="53">
        <v>3500</v>
      </c>
      <c r="CC486" s="53">
        <v>400</v>
      </c>
      <c r="CD486" s="53">
        <v>750</v>
      </c>
      <c r="CE486" s="53">
        <v>1500</v>
      </c>
      <c r="CF486" s="53">
        <v>3500</v>
      </c>
      <c r="CG486" s="53">
        <v>3500</v>
      </c>
      <c r="CH486" s="53">
        <v>3500</v>
      </c>
      <c r="CI486" s="53">
        <v>3500</v>
      </c>
      <c r="CJ486" s="53">
        <v>1500</v>
      </c>
      <c r="CK486" s="53">
        <v>400</v>
      </c>
      <c r="CL486" s="53">
        <v>2120</v>
      </c>
      <c r="CM486" s="53">
        <v>3500</v>
      </c>
      <c r="CN486" s="212"/>
      <c r="CO486" s="212"/>
      <c r="CP486" s="212"/>
      <c r="CQ486" s="8">
        <f t="shared" si="265"/>
        <v>25</v>
      </c>
      <c r="CR486" s="8">
        <f t="shared" si="266"/>
        <v>12000</v>
      </c>
      <c r="CS486" s="8">
        <f t="shared" si="267"/>
        <v>3057.5614035087719</v>
      </c>
      <c r="CT486">
        <f t="shared" si="268"/>
        <v>1687.1743526035239</v>
      </c>
      <c r="CU486" s="143">
        <f t="shared" si="269"/>
        <v>327</v>
      </c>
      <c r="CV486" s="143">
        <f t="shared" si="270"/>
        <v>2370.8888888888887</v>
      </c>
      <c r="CX486" s="7">
        <f t="shared" si="271"/>
        <v>118.20000000000002</v>
      </c>
      <c r="CY486" s="7">
        <f t="shared" si="272"/>
        <v>440.00000000000006</v>
      </c>
      <c r="CZ486" s="7">
        <f t="shared" si="273"/>
        <v>721.4</v>
      </c>
      <c r="DA486" s="7">
        <f t="shared" si="274"/>
        <v>850</v>
      </c>
      <c r="DB486" s="7">
        <f t="shared" si="275"/>
        <v>2000</v>
      </c>
      <c r="DC486" s="7">
        <f t="shared" si="276"/>
        <v>3500</v>
      </c>
      <c r="DD486" s="7">
        <f t="shared" si="277"/>
        <v>3500</v>
      </c>
      <c r="DE486" s="7">
        <f t="shared" si="278"/>
        <v>3500</v>
      </c>
      <c r="DF486" s="7">
        <f t="shared" si="279"/>
        <v>6800.0000000000009</v>
      </c>
      <c r="DH486" s="7">
        <f t="shared" si="280"/>
        <v>117.4</v>
      </c>
      <c r="DI486" s="7">
        <f t="shared" si="281"/>
        <v>329.8</v>
      </c>
      <c r="DJ486" s="7">
        <f t="shared" si="282"/>
        <v>454.40000000000009</v>
      </c>
      <c r="DK486" s="7">
        <f t="shared" si="283"/>
        <v>720</v>
      </c>
      <c r="DL486" s="7">
        <f t="shared" si="284"/>
        <v>974</v>
      </c>
      <c r="DM486" s="7">
        <f t="shared" si="285"/>
        <v>1430.9999999999998</v>
      </c>
      <c r="DN486" s="7">
        <f t="shared" si="286"/>
        <v>1674.6000000000001</v>
      </c>
      <c r="DO486" s="7">
        <f t="shared" si="287"/>
        <v>3009</v>
      </c>
      <c r="DP486" s="7">
        <f t="shared" si="288"/>
        <v>5921.7999999999993</v>
      </c>
    </row>
    <row r="487" spans="1:130" ht="25.5" hidden="1" customHeight="1" x14ac:dyDescent="0.25">
      <c r="A487" s="92" t="str">
        <f t="shared" si="289"/>
        <v>CO-WVI [17]</v>
      </c>
      <c r="B487" s="92" t="str">
        <f t="shared" si="290"/>
        <v>West Vancouver Island</v>
      </c>
      <c r="C487" s="93" t="str">
        <f t="shared" si="262"/>
        <v>EASY CREEK_Coho</v>
      </c>
      <c r="D487" s="128" t="s">
        <v>598</v>
      </c>
      <c r="E487" s="128" t="s">
        <v>598</v>
      </c>
      <c r="F487" s="64">
        <v>26</v>
      </c>
      <c r="G487" s="72" t="s">
        <v>257</v>
      </c>
      <c r="H487" s="65" t="s">
        <v>93</v>
      </c>
      <c r="I487" s="119"/>
      <c r="J487" s="119"/>
      <c r="K487" s="64">
        <v>3</v>
      </c>
      <c r="L487" s="52">
        <v>10</v>
      </c>
      <c r="M487" s="52">
        <v>7</v>
      </c>
      <c r="N487" s="52">
        <f t="shared" si="294"/>
        <v>81.507587349123369</v>
      </c>
      <c r="O487" s="52">
        <f t="shared" si="295"/>
        <v>1500</v>
      </c>
      <c r="P487" s="52">
        <f t="shared" si="296"/>
        <v>103.98553219962241</v>
      </c>
      <c r="Q487" s="66"/>
      <c r="R487" s="37"/>
      <c r="S487" s="74" t="s">
        <v>432</v>
      </c>
      <c r="T487" s="81">
        <f t="shared" si="263"/>
        <v>53</v>
      </c>
      <c r="U487" s="81">
        <f t="shared" si="264"/>
        <v>173</v>
      </c>
      <c r="V487" s="234" t="s">
        <v>102</v>
      </c>
      <c r="W487" s="235">
        <v>26</v>
      </c>
      <c r="X487" s="52">
        <v>56</v>
      </c>
      <c r="Y487" s="52">
        <v>77</v>
      </c>
      <c r="Z487" s="52">
        <v>226</v>
      </c>
      <c r="AA487" s="52" t="s">
        <v>102</v>
      </c>
      <c r="AB487" s="52" t="s">
        <v>102</v>
      </c>
      <c r="AC487" s="52">
        <v>297</v>
      </c>
      <c r="AD487" s="52">
        <v>298</v>
      </c>
      <c r="AE487" s="144">
        <v>501</v>
      </c>
      <c r="AF487" s="144">
        <v>73</v>
      </c>
      <c r="AG487" s="144">
        <v>3</v>
      </c>
      <c r="AH487" s="52" t="s">
        <v>102</v>
      </c>
      <c r="AI487" s="52" t="s">
        <v>102</v>
      </c>
      <c r="AJ487" s="52" t="s">
        <v>102</v>
      </c>
      <c r="AK487" s="52" t="s">
        <v>102</v>
      </c>
      <c r="AL487" s="52" t="s">
        <v>102</v>
      </c>
      <c r="AM487" s="52" t="s">
        <v>102</v>
      </c>
      <c r="AN487" s="52">
        <v>351</v>
      </c>
      <c r="AO487" s="53">
        <v>388</v>
      </c>
      <c r="AP487" s="53">
        <v>32</v>
      </c>
      <c r="AQ487" s="53">
        <v>15</v>
      </c>
      <c r="AR487" s="53" t="s">
        <v>263</v>
      </c>
      <c r="AS487" s="52" t="s">
        <v>263</v>
      </c>
      <c r="AT487" s="52">
        <v>457</v>
      </c>
      <c r="AU487" s="52">
        <v>40</v>
      </c>
      <c r="AV487" s="52" t="s">
        <v>262</v>
      </c>
      <c r="AW487" s="52">
        <v>20</v>
      </c>
      <c r="AX487" s="51" t="s">
        <v>262</v>
      </c>
      <c r="AY487" s="53">
        <v>50</v>
      </c>
      <c r="AZ487" s="53">
        <v>50</v>
      </c>
      <c r="BA487" s="53">
        <v>100</v>
      </c>
      <c r="BB487" s="53">
        <v>50</v>
      </c>
      <c r="BC487" s="53" t="s">
        <v>262</v>
      </c>
      <c r="BD487" s="53">
        <v>75</v>
      </c>
      <c r="BE487" s="53">
        <v>100</v>
      </c>
      <c r="BF487" s="53">
        <v>100</v>
      </c>
      <c r="BG487" s="53">
        <v>200</v>
      </c>
      <c r="BH487" s="53" t="s">
        <v>262</v>
      </c>
      <c r="BI487" s="53" t="s">
        <v>264</v>
      </c>
      <c r="BJ487" s="53">
        <v>50</v>
      </c>
      <c r="BK487" s="53" t="s">
        <v>264</v>
      </c>
      <c r="BL487" s="53" t="s">
        <v>264</v>
      </c>
      <c r="BM487" s="53">
        <v>1</v>
      </c>
      <c r="BN487" s="53" t="s">
        <v>262</v>
      </c>
      <c r="BO487" s="53" t="s">
        <v>264</v>
      </c>
      <c r="BP487" s="53">
        <v>75</v>
      </c>
      <c r="BQ487" s="53">
        <v>75</v>
      </c>
      <c r="BR487" s="53" t="s">
        <v>264</v>
      </c>
      <c r="BS487" s="53" t="s">
        <v>264</v>
      </c>
      <c r="BT487" s="53">
        <v>75</v>
      </c>
      <c r="BU487" s="53">
        <v>25</v>
      </c>
      <c r="BV487" s="53">
        <v>750</v>
      </c>
      <c r="BW487" s="53">
        <v>25</v>
      </c>
      <c r="BX487" s="53" t="s">
        <v>264</v>
      </c>
      <c r="BY487" s="53">
        <v>25</v>
      </c>
      <c r="BZ487" s="53">
        <v>200</v>
      </c>
      <c r="CA487" s="53">
        <v>25</v>
      </c>
      <c r="CB487" s="53" t="s">
        <v>264</v>
      </c>
      <c r="CC487" s="53">
        <v>400</v>
      </c>
      <c r="CD487" s="53" t="s">
        <v>262</v>
      </c>
      <c r="CE487" s="53">
        <v>25</v>
      </c>
      <c r="CF487" s="53">
        <v>400</v>
      </c>
      <c r="CG487" s="53">
        <v>400</v>
      </c>
      <c r="CH487" s="53">
        <v>400</v>
      </c>
      <c r="CI487" s="53">
        <v>400</v>
      </c>
      <c r="CJ487" s="53">
        <v>1500</v>
      </c>
      <c r="CK487" s="53">
        <v>750</v>
      </c>
      <c r="CL487" s="53">
        <v>640</v>
      </c>
      <c r="CM487" s="53">
        <v>400</v>
      </c>
      <c r="CN487" s="212"/>
      <c r="CO487" s="212"/>
      <c r="CP487" s="212"/>
      <c r="CQ487" s="8">
        <f t="shared" si="265"/>
        <v>1</v>
      </c>
      <c r="CR487" s="8">
        <f t="shared" si="266"/>
        <v>1500</v>
      </c>
      <c r="CS487" s="8">
        <f t="shared" si="267"/>
        <v>227.24444444444444</v>
      </c>
      <c r="CT487">
        <f t="shared" si="268"/>
        <v>100.01043981733982</v>
      </c>
      <c r="CU487" s="143">
        <f t="shared" si="269"/>
        <v>96.25</v>
      </c>
      <c r="CV487" s="143">
        <f t="shared" si="270"/>
        <v>173</v>
      </c>
      <c r="CX487" s="7">
        <f t="shared" si="271"/>
        <v>16</v>
      </c>
      <c r="CY487" s="7">
        <f t="shared" si="272"/>
        <v>25</v>
      </c>
      <c r="CZ487" s="7">
        <f t="shared" si="273"/>
        <v>25.8</v>
      </c>
      <c r="DA487" s="7">
        <f t="shared" si="274"/>
        <v>40</v>
      </c>
      <c r="DB487" s="7">
        <f t="shared" si="275"/>
        <v>77</v>
      </c>
      <c r="DC487" s="7">
        <f t="shared" si="276"/>
        <v>200</v>
      </c>
      <c r="DD487" s="7">
        <f t="shared" si="277"/>
        <v>268.60000000000008</v>
      </c>
      <c r="DE487" s="7">
        <f t="shared" si="278"/>
        <v>400</v>
      </c>
      <c r="DF487" s="7">
        <f t="shared" si="279"/>
        <v>400</v>
      </c>
      <c r="DH487" s="7">
        <f t="shared" si="280"/>
        <v>12</v>
      </c>
      <c r="DI487" s="7">
        <f t="shared" si="281"/>
        <v>21.5</v>
      </c>
      <c r="DJ487" s="7">
        <f t="shared" si="282"/>
        <v>26</v>
      </c>
      <c r="DK487" s="7">
        <f t="shared" si="283"/>
        <v>30.5</v>
      </c>
      <c r="DL487" s="7">
        <f t="shared" si="284"/>
        <v>75</v>
      </c>
      <c r="DM487" s="7">
        <f t="shared" si="285"/>
        <v>226</v>
      </c>
      <c r="DN487" s="7">
        <f t="shared" si="286"/>
        <v>279.25</v>
      </c>
      <c r="DO487" s="7">
        <f t="shared" si="287"/>
        <v>311.25</v>
      </c>
      <c r="DP487" s="7">
        <f t="shared" si="288"/>
        <v>378.75</v>
      </c>
    </row>
    <row r="488" spans="1:130" ht="25.5" hidden="1" customHeight="1" x14ac:dyDescent="0.25">
      <c r="A488" s="92" t="str">
        <f t="shared" si="289"/>
        <v>CM-SWVI [10]</v>
      </c>
      <c r="B488" s="92" t="str">
        <f t="shared" si="290"/>
        <v>Southwest Vancouver Island</v>
      </c>
      <c r="C488" s="93" t="str">
        <f t="shared" si="262"/>
        <v>ELAINE CREEK_Chum</v>
      </c>
      <c r="D488" s="128" t="s">
        <v>598</v>
      </c>
      <c r="E488" s="128" t="s">
        <v>598</v>
      </c>
      <c r="F488" s="64">
        <v>26</v>
      </c>
      <c r="G488" s="72" t="s">
        <v>258</v>
      </c>
      <c r="H488" s="65" t="s">
        <v>96</v>
      </c>
      <c r="I488" s="119"/>
      <c r="J488" s="119"/>
      <c r="K488" s="64">
        <v>5</v>
      </c>
      <c r="L488" s="52">
        <v>4</v>
      </c>
      <c r="M488" s="52">
        <v>4</v>
      </c>
      <c r="N488" s="52">
        <f t="shared" si="294"/>
        <v>182.37416686341621</v>
      </c>
      <c r="O488" s="52">
        <f t="shared" si="295"/>
        <v>1600</v>
      </c>
      <c r="P488" s="52">
        <f t="shared" si="296"/>
        <v>269.4270746035221</v>
      </c>
      <c r="Q488" s="66"/>
      <c r="R488" s="37"/>
      <c r="S488" s="74" t="s">
        <v>423</v>
      </c>
      <c r="T488" s="81" t="e">
        <f t="shared" si="263"/>
        <v>#DIV/0!</v>
      </c>
      <c r="U488" s="81" t="e">
        <f t="shared" si="264"/>
        <v>#DIV/0!</v>
      </c>
      <c r="V488" s="234" t="s">
        <v>102</v>
      </c>
      <c r="W488" s="52" t="s">
        <v>102</v>
      </c>
      <c r="X488" s="52" t="s">
        <v>102</v>
      </c>
      <c r="Y488" s="52" t="s">
        <v>102</v>
      </c>
      <c r="Z488" s="52" t="s">
        <v>102</v>
      </c>
      <c r="AA488" s="52" t="s">
        <v>102</v>
      </c>
      <c r="AB488" s="52" t="s">
        <v>102</v>
      </c>
      <c r="AC488" s="144" t="s">
        <v>102</v>
      </c>
      <c r="AD488" s="144" t="s">
        <v>102</v>
      </c>
      <c r="AE488" s="144" t="s">
        <v>102</v>
      </c>
      <c r="AF488" s="144" t="s">
        <v>102</v>
      </c>
      <c r="AG488" s="144" t="s">
        <v>102</v>
      </c>
      <c r="AH488" s="52" t="s">
        <v>102</v>
      </c>
      <c r="AI488" s="52" t="s">
        <v>102</v>
      </c>
      <c r="AJ488" s="52" t="s">
        <v>102</v>
      </c>
      <c r="AK488" s="52" t="s">
        <v>102</v>
      </c>
      <c r="AL488" s="52" t="s">
        <v>102</v>
      </c>
      <c r="AM488" s="52" t="s">
        <v>102</v>
      </c>
      <c r="AN488" s="52">
        <v>295</v>
      </c>
      <c r="AO488" s="52" t="s">
        <v>102</v>
      </c>
      <c r="AP488" s="53" t="s">
        <v>102</v>
      </c>
      <c r="AQ488" s="53" t="s">
        <v>102</v>
      </c>
      <c r="AR488" s="53" t="s">
        <v>102</v>
      </c>
      <c r="AS488" s="52" t="s">
        <v>102</v>
      </c>
      <c r="AT488" s="52" t="s">
        <v>102</v>
      </c>
      <c r="AU488" s="52">
        <v>500</v>
      </c>
      <c r="AV488" s="52">
        <v>150</v>
      </c>
      <c r="AW488" s="52">
        <v>50</v>
      </c>
      <c r="AX488" s="51">
        <v>700</v>
      </c>
      <c r="AY488" s="53">
        <v>350</v>
      </c>
      <c r="AZ488" s="53">
        <v>1500</v>
      </c>
      <c r="BA488" s="53">
        <v>250</v>
      </c>
      <c r="BB488" s="53" t="s">
        <v>102</v>
      </c>
      <c r="BC488" s="53" t="s">
        <v>102</v>
      </c>
      <c r="BD488" s="53" t="s">
        <v>102</v>
      </c>
      <c r="BE488" s="53">
        <v>1600</v>
      </c>
      <c r="BF488" s="53">
        <v>1200</v>
      </c>
      <c r="BG488" s="53">
        <v>200</v>
      </c>
      <c r="BH488" s="53" t="s">
        <v>262</v>
      </c>
      <c r="BI488" s="53" t="s">
        <v>102</v>
      </c>
      <c r="BJ488" s="53" t="s">
        <v>102</v>
      </c>
      <c r="BK488" s="53" t="s">
        <v>102</v>
      </c>
      <c r="BL488" s="53">
        <v>400</v>
      </c>
      <c r="BM488" s="53" t="s">
        <v>102</v>
      </c>
      <c r="BN488" s="53">
        <v>500</v>
      </c>
      <c r="BO488" s="53">
        <v>200</v>
      </c>
      <c r="BP488" s="53">
        <v>25</v>
      </c>
      <c r="BQ488" s="53" t="s">
        <v>264</v>
      </c>
      <c r="BR488" s="53">
        <v>25</v>
      </c>
      <c r="BS488" s="53">
        <v>750</v>
      </c>
      <c r="BT488" s="53">
        <v>750</v>
      </c>
      <c r="BU488" s="53">
        <v>400</v>
      </c>
      <c r="BV488" s="53">
        <v>750</v>
      </c>
      <c r="BW488" s="53">
        <v>400</v>
      </c>
      <c r="BX488" s="53">
        <v>400</v>
      </c>
      <c r="BY488" s="53">
        <v>75</v>
      </c>
      <c r="BZ488" s="53">
        <v>200</v>
      </c>
      <c r="CA488" s="53">
        <v>400</v>
      </c>
      <c r="CB488" s="53">
        <v>750</v>
      </c>
      <c r="CC488" s="53">
        <v>75</v>
      </c>
      <c r="CD488" s="53">
        <v>25</v>
      </c>
      <c r="CE488" s="53">
        <v>400</v>
      </c>
      <c r="CF488" s="53">
        <v>200</v>
      </c>
      <c r="CG488" s="53">
        <v>75</v>
      </c>
      <c r="CH488" s="53">
        <v>1500</v>
      </c>
      <c r="CI488" s="53">
        <v>75</v>
      </c>
      <c r="CJ488" s="53">
        <v>200</v>
      </c>
      <c r="CK488" s="53">
        <v>25</v>
      </c>
      <c r="CL488" s="53">
        <v>750</v>
      </c>
      <c r="CM488" s="53">
        <v>1500</v>
      </c>
      <c r="CN488" s="206"/>
      <c r="CO488" s="206"/>
      <c r="CP488" s="206"/>
      <c r="CQ488" s="8">
        <f t="shared" si="265"/>
        <v>25</v>
      </c>
      <c r="CR488" s="8">
        <f t="shared" si="266"/>
        <v>1600</v>
      </c>
      <c r="CS488" s="8">
        <f t="shared" si="267"/>
        <v>476.89189189189187</v>
      </c>
      <c r="CT488">
        <f t="shared" si="268"/>
        <v>269.4270746035221</v>
      </c>
      <c r="CU488" s="143" t="e">
        <f t="shared" si="269"/>
        <v>#DIV/0!</v>
      </c>
      <c r="CV488" s="143" t="e">
        <f t="shared" si="270"/>
        <v>#DIV/0!</v>
      </c>
      <c r="CX488" s="7">
        <f t="shared" si="271"/>
        <v>25</v>
      </c>
      <c r="CY488" s="7">
        <f t="shared" si="272"/>
        <v>75</v>
      </c>
      <c r="CZ488" s="7">
        <f t="shared" si="273"/>
        <v>75</v>
      </c>
      <c r="DA488" s="7">
        <f t="shared" si="274"/>
        <v>150</v>
      </c>
      <c r="DB488" s="7">
        <f t="shared" si="275"/>
        <v>400</v>
      </c>
      <c r="DC488" s="7">
        <f t="shared" si="276"/>
        <v>400</v>
      </c>
      <c r="DD488" s="7">
        <f t="shared" si="277"/>
        <v>440.00000000000023</v>
      </c>
      <c r="DE488" s="7">
        <f t="shared" si="278"/>
        <v>750</v>
      </c>
      <c r="DF488" s="7">
        <f t="shared" si="279"/>
        <v>750</v>
      </c>
      <c r="DH488" s="7">
        <f t="shared" si="280"/>
        <v>64.999999999999986</v>
      </c>
      <c r="DI488" s="7">
        <f t="shared" si="281"/>
        <v>95</v>
      </c>
      <c r="DJ488" s="7">
        <f t="shared" si="282"/>
        <v>110</v>
      </c>
      <c r="DK488" s="7">
        <f t="shared" si="283"/>
        <v>125</v>
      </c>
      <c r="DL488" s="7">
        <f t="shared" si="284"/>
        <v>222.5</v>
      </c>
      <c r="DM488" s="7">
        <f t="shared" si="285"/>
        <v>266</v>
      </c>
      <c r="DN488" s="7">
        <f t="shared" si="286"/>
        <v>287.75</v>
      </c>
      <c r="DO488" s="7">
        <f t="shared" si="287"/>
        <v>346.25</v>
      </c>
      <c r="DP488" s="7">
        <f t="shared" si="288"/>
        <v>407.74999999999994</v>
      </c>
    </row>
    <row r="489" spans="1:130" ht="25.5" hidden="1" customHeight="1" x14ac:dyDescent="0.25">
      <c r="A489" s="92" t="str">
        <f t="shared" si="289"/>
        <v>CO-WVI [17]</v>
      </c>
      <c r="B489" s="92" t="str">
        <f t="shared" si="290"/>
        <v>West Vancouver Island</v>
      </c>
      <c r="C489" s="93" t="str">
        <f t="shared" si="262"/>
        <v>ELAINE CREEK_Coho</v>
      </c>
      <c r="D489" s="128" t="s">
        <v>598</v>
      </c>
      <c r="E489" s="128" t="s">
        <v>598</v>
      </c>
      <c r="F489" s="64">
        <v>26</v>
      </c>
      <c r="G489" s="72" t="s">
        <v>258</v>
      </c>
      <c r="H489" s="65" t="s">
        <v>93</v>
      </c>
      <c r="I489" s="119"/>
      <c r="J489" s="119"/>
      <c r="K489" s="64">
        <v>5</v>
      </c>
      <c r="L489" s="52">
        <v>4</v>
      </c>
      <c r="M489" s="52">
        <v>0</v>
      </c>
      <c r="N489" s="52" t="e">
        <f t="shared" si="294"/>
        <v>#NUM!</v>
      </c>
      <c r="O489" s="52">
        <f t="shared" si="295"/>
        <v>400</v>
      </c>
      <c r="P489" s="52">
        <f t="shared" si="296"/>
        <v>74.38689130822452</v>
      </c>
      <c r="Q489" s="66"/>
      <c r="R489" s="37"/>
      <c r="S489" s="74" t="s">
        <v>423</v>
      </c>
      <c r="T489" s="81" t="e">
        <f t="shared" si="263"/>
        <v>#DIV/0!</v>
      </c>
      <c r="U489" s="81" t="e">
        <f t="shared" si="264"/>
        <v>#DIV/0!</v>
      </c>
      <c r="V489" s="234" t="s">
        <v>102</v>
      </c>
      <c r="W489" s="52" t="s">
        <v>102</v>
      </c>
      <c r="X489" s="52" t="s">
        <v>102</v>
      </c>
      <c r="Y489" s="52" t="s">
        <v>102</v>
      </c>
      <c r="Z489" s="52" t="s">
        <v>102</v>
      </c>
      <c r="AA489" s="52" t="s">
        <v>102</v>
      </c>
      <c r="AB489" s="52" t="s">
        <v>102</v>
      </c>
      <c r="AC489" s="144" t="s">
        <v>102</v>
      </c>
      <c r="AD489" s="144" t="s">
        <v>102</v>
      </c>
      <c r="AE489" s="144" t="s">
        <v>102</v>
      </c>
      <c r="AF489" s="144" t="s">
        <v>102</v>
      </c>
      <c r="AG489" s="144" t="s">
        <v>102</v>
      </c>
      <c r="AH489" s="52" t="s">
        <v>102</v>
      </c>
      <c r="AI489" s="52" t="s">
        <v>102</v>
      </c>
      <c r="AJ489" s="52" t="s">
        <v>102</v>
      </c>
      <c r="AK489" s="52" t="s">
        <v>102</v>
      </c>
      <c r="AL489" s="52" t="s">
        <v>102</v>
      </c>
      <c r="AM489" s="52" t="s">
        <v>102</v>
      </c>
      <c r="AN489" s="52" t="s">
        <v>262</v>
      </c>
      <c r="AO489" s="52" t="s">
        <v>102</v>
      </c>
      <c r="AP489" s="53" t="s">
        <v>102</v>
      </c>
      <c r="AQ489" s="53" t="s">
        <v>102</v>
      </c>
      <c r="AR489" s="53" t="s">
        <v>102</v>
      </c>
      <c r="AS489" s="52" t="s">
        <v>102</v>
      </c>
      <c r="AT489" s="52" t="s">
        <v>102</v>
      </c>
      <c r="AU489" s="52" t="s">
        <v>262</v>
      </c>
      <c r="AV489" s="52" t="s">
        <v>262</v>
      </c>
      <c r="AW489" s="52" t="s">
        <v>262</v>
      </c>
      <c r="AX489" s="51" t="s">
        <v>262</v>
      </c>
      <c r="AY489" s="53" t="s">
        <v>262</v>
      </c>
      <c r="AZ489" s="53" t="s">
        <v>262</v>
      </c>
      <c r="BA489" s="53" t="s">
        <v>262</v>
      </c>
      <c r="BB489" s="53" t="s">
        <v>102</v>
      </c>
      <c r="BC489" s="53" t="s">
        <v>102</v>
      </c>
      <c r="BD489" s="53" t="s">
        <v>102</v>
      </c>
      <c r="BE489" s="53">
        <v>100</v>
      </c>
      <c r="BF489" s="53">
        <v>100</v>
      </c>
      <c r="BG489" s="53">
        <v>50</v>
      </c>
      <c r="BH489" s="53" t="s">
        <v>262</v>
      </c>
      <c r="BI489" s="53" t="s">
        <v>102</v>
      </c>
      <c r="BJ489" s="53" t="s">
        <v>102</v>
      </c>
      <c r="BK489" s="53" t="s">
        <v>102</v>
      </c>
      <c r="BL489" s="53" t="s">
        <v>264</v>
      </c>
      <c r="BM489" s="53" t="s">
        <v>102</v>
      </c>
      <c r="BN489" s="53" t="s">
        <v>262</v>
      </c>
      <c r="BO489" s="53" t="s">
        <v>264</v>
      </c>
      <c r="BP489" s="53">
        <v>25</v>
      </c>
      <c r="BQ489" s="53" t="s">
        <v>262</v>
      </c>
      <c r="BR489" s="53" t="s">
        <v>264</v>
      </c>
      <c r="BS489" s="53" t="s">
        <v>264</v>
      </c>
      <c r="BT489" s="53" t="s">
        <v>264</v>
      </c>
      <c r="BU489" s="53" t="s">
        <v>264</v>
      </c>
      <c r="BV489" s="53" t="s">
        <v>264</v>
      </c>
      <c r="BW489" s="53">
        <v>25</v>
      </c>
      <c r="BX489" s="53" t="s">
        <v>262</v>
      </c>
      <c r="BY489" s="53" t="s">
        <v>264</v>
      </c>
      <c r="BZ489" s="53">
        <v>200</v>
      </c>
      <c r="CA489" s="53">
        <v>200</v>
      </c>
      <c r="CB489" s="53">
        <v>400</v>
      </c>
      <c r="CC489" s="53" t="s">
        <v>262</v>
      </c>
      <c r="CD489" s="53" t="s">
        <v>264</v>
      </c>
      <c r="CE489" s="53">
        <v>75</v>
      </c>
      <c r="CF489" s="53">
        <v>25</v>
      </c>
      <c r="CG489" s="53" t="s">
        <v>262</v>
      </c>
      <c r="CH489" s="53">
        <v>25</v>
      </c>
      <c r="CI489" s="53">
        <v>25</v>
      </c>
      <c r="CJ489" s="53">
        <v>75</v>
      </c>
      <c r="CK489" s="53">
        <v>25</v>
      </c>
      <c r="CL489" s="53">
        <v>400</v>
      </c>
      <c r="CM489" s="53">
        <v>200</v>
      </c>
      <c r="CN489" s="206"/>
      <c r="CO489" s="206"/>
      <c r="CP489" s="206"/>
      <c r="CQ489" s="8">
        <f t="shared" si="265"/>
        <v>25</v>
      </c>
      <c r="CR489" s="8">
        <f t="shared" si="266"/>
        <v>400</v>
      </c>
      <c r="CS489" s="8">
        <f t="shared" si="267"/>
        <v>121.875</v>
      </c>
      <c r="CT489">
        <f t="shared" si="268"/>
        <v>74.38689130822452</v>
      </c>
      <c r="CU489" s="143" t="e">
        <f t="shared" si="269"/>
        <v>#DIV/0!</v>
      </c>
      <c r="CV489" s="143" t="e">
        <f t="shared" si="270"/>
        <v>#DIV/0!</v>
      </c>
      <c r="CX489" s="7">
        <f t="shared" si="271"/>
        <v>25</v>
      </c>
      <c r="CY489" s="7">
        <f t="shared" si="272"/>
        <v>25</v>
      </c>
      <c r="CZ489" s="7">
        <f t="shared" si="273"/>
        <v>25</v>
      </c>
      <c r="DA489" s="7">
        <f t="shared" si="274"/>
        <v>25</v>
      </c>
      <c r="DB489" s="7">
        <f t="shared" si="275"/>
        <v>75</v>
      </c>
      <c r="DC489" s="7">
        <f t="shared" si="276"/>
        <v>100</v>
      </c>
      <c r="DD489" s="7">
        <f t="shared" si="277"/>
        <v>100</v>
      </c>
      <c r="DE489" s="7">
        <f t="shared" si="278"/>
        <v>200</v>
      </c>
      <c r="DF489" s="7">
        <f t="shared" si="279"/>
        <v>200</v>
      </c>
      <c r="DH489" s="7" t="e">
        <f t="shared" si="280"/>
        <v>#NUM!</v>
      </c>
      <c r="DI489" s="7" t="e">
        <f t="shared" si="281"/>
        <v>#NUM!</v>
      </c>
      <c r="DJ489" s="7" t="e">
        <f t="shared" si="282"/>
        <v>#NUM!</v>
      </c>
      <c r="DK489" s="7" t="e">
        <f t="shared" si="283"/>
        <v>#NUM!</v>
      </c>
      <c r="DL489" s="7" t="e">
        <f t="shared" si="284"/>
        <v>#NUM!</v>
      </c>
      <c r="DM489" s="7" t="e">
        <f t="shared" si="285"/>
        <v>#NUM!</v>
      </c>
      <c r="DN489" s="7" t="e">
        <f t="shared" si="286"/>
        <v>#NUM!</v>
      </c>
      <c r="DO489" s="7" t="e">
        <f t="shared" si="287"/>
        <v>#NUM!</v>
      </c>
      <c r="DP489" s="7" t="e">
        <f t="shared" si="288"/>
        <v>#NUM!</v>
      </c>
    </row>
    <row r="490" spans="1:130" ht="25.5" hidden="1" customHeight="1" x14ac:dyDescent="0.25">
      <c r="A490" s="92" t="str">
        <f t="shared" si="289"/>
        <v>CM-SWVI [10]</v>
      </c>
      <c r="B490" s="92" t="str">
        <f t="shared" si="290"/>
        <v>Southwest Vancouver Island</v>
      </c>
      <c r="C490" s="93" t="str">
        <f t="shared" si="262"/>
        <v>JANSEN LAKE CREEK_Chum</v>
      </c>
      <c r="D490" s="128" t="s">
        <v>598</v>
      </c>
      <c r="E490" s="128" t="s">
        <v>598</v>
      </c>
      <c r="F490" s="64">
        <v>26</v>
      </c>
      <c r="G490" s="72" t="s">
        <v>259</v>
      </c>
      <c r="H490" s="65" t="s">
        <v>96</v>
      </c>
      <c r="I490" s="119"/>
      <c r="J490" s="119"/>
      <c r="K490" s="64">
        <v>3</v>
      </c>
      <c r="L490" s="52">
        <v>1</v>
      </c>
      <c r="M490" s="52">
        <v>0</v>
      </c>
      <c r="N490" s="52" t="e">
        <f t="shared" si="294"/>
        <v>#NUM!</v>
      </c>
      <c r="O490" s="52">
        <f t="shared" si="295"/>
        <v>750</v>
      </c>
      <c r="P490" s="52">
        <f t="shared" si="296"/>
        <v>69.601492338469257</v>
      </c>
      <c r="Q490" s="66"/>
      <c r="R490" s="37"/>
      <c r="S490" s="74" t="s">
        <v>424</v>
      </c>
      <c r="T490" s="81" t="e">
        <f t="shared" si="263"/>
        <v>#DIV/0!</v>
      </c>
      <c r="U490" s="81" t="e">
        <f t="shared" si="264"/>
        <v>#DIV/0!</v>
      </c>
      <c r="V490" s="52" t="s">
        <v>102</v>
      </c>
      <c r="W490" s="52" t="s">
        <v>102</v>
      </c>
      <c r="X490" s="52" t="s">
        <v>102</v>
      </c>
      <c r="Y490" s="52" t="s">
        <v>102</v>
      </c>
      <c r="Z490" s="52" t="s">
        <v>262</v>
      </c>
      <c r="AA490" s="52" t="s">
        <v>263</v>
      </c>
      <c r="AB490" s="52" t="s">
        <v>262</v>
      </c>
      <c r="AC490" s="52" t="s">
        <v>262</v>
      </c>
      <c r="AD490" s="52" t="s">
        <v>262</v>
      </c>
      <c r="AE490" s="144" t="s">
        <v>102</v>
      </c>
      <c r="AF490" s="144" t="s">
        <v>102</v>
      </c>
      <c r="AG490" s="144" t="s">
        <v>102</v>
      </c>
      <c r="AH490" s="52" t="s">
        <v>102</v>
      </c>
      <c r="AI490" s="52" t="s">
        <v>102</v>
      </c>
      <c r="AJ490" s="52" t="s">
        <v>102</v>
      </c>
      <c r="AK490" s="52" t="s">
        <v>102</v>
      </c>
      <c r="AL490" s="52" t="s">
        <v>102</v>
      </c>
      <c r="AM490" s="52" t="s">
        <v>102</v>
      </c>
      <c r="AN490" s="52" t="s">
        <v>102</v>
      </c>
      <c r="AO490" s="52" t="s">
        <v>102</v>
      </c>
      <c r="AP490" s="53" t="s">
        <v>102</v>
      </c>
      <c r="AQ490" s="53" t="s">
        <v>102</v>
      </c>
      <c r="AR490" s="53" t="s">
        <v>102</v>
      </c>
      <c r="AS490" s="52" t="s">
        <v>102</v>
      </c>
      <c r="AT490" s="52" t="s">
        <v>102</v>
      </c>
      <c r="AU490" s="52" t="s">
        <v>102</v>
      </c>
      <c r="AV490" s="52" t="s">
        <v>262</v>
      </c>
      <c r="AW490" s="52" t="s">
        <v>102</v>
      </c>
      <c r="AX490" s="51" t="s">
        <v>102</v>
      </c>
      <c r="AY490" s="53" t="s">
        <v>102</v>
      </c>
      <c r="AZ490" s="53" t="s">
        <v>262</v>
      </c>
      <c r="BA490" s="53" t="s">
        <v>264</v>
      </c>
      <c r="BB490" s="53" t="s">
        <v>102</v>
      </c>
      <c r="BC490" s="53" t="s">
        <v>102</v>
      </c>
      <c r="BD490" s="53" t="s">
        <v>102</v>
      </c>
      <c r="BE490" s="53">
        <v>100</v>
      </c>
      <c r="BF490" s="53" t="s">
        <v>102</v>
      </c>
      <c r="BG490" s="53">
        <v>200</v>
      </c>
      <c r="BH490" s="53" t="s">
        <v>262</v>
      </c>
      <c r="BI490" s="53" t="s">
        <v>264</v>
      </c>
      <c r="BJ490" s="53" t="s">
        <v>264</v>
      </c>
      <c r="BK490" s="53" t="s">
        <v>102</v>
      </c>
      <c r="BL490" s="53">
        <v>100</v>
      </c>
      <c r="BM490" s="53" t="s">
        <v>264</v>
      </c>
      <c r="BN490" s="53" t="s">
        <v>264</v>
      </c>
      <c r="BO490" s="53" t="s">
        <v>264</v>
      </c>
      <c r="BP490" s="53" t="s">
        <v>102</v>
      </c>
      <c r="BQ490" s="53" t="s">
        <v>264</v>
      </c>
      <c r="BR490" s="53" t="s">
        <v>264</v>
      </c>
      <c r="BS490" s="53" t="s">
        <v>264</v>
      </c>
      <c r="BT490" s="53" t="s">
        <v>264</v>
      </c>
      <c r="BU490" s="53" t="s">
        <v>264</v>
      </c>
      <c r="BV490" s="53">
        <v>25</v>
      </c>
      <c r="BW490" s="53">
        <v>25</v>
      </c>
      <c r="BX490" s="53">
        <v>400</v>
      </c>
      <c r="BY490" s="53">
        <v>25</v>
      </c>
      <c r="BZ490" s="53">
        <v>750</v>
      </c>
      <c r="CA490" s="53" t="s">
        <v>264</v>
      </c>
      <c r="CB490" s="53">
        <v>25</v>
      </c>
      <c r="CC490" s="53" t="s">
        <v>262</v>
      </c>
      <c r="CD490" s="53" t="s">
        <v>264</v>
      </c>
      <c r="CE490" s="53">
        <v>25</v>
      </c>
      <c r="CF490" s="53">
        <v>25</v>
      </c>
      <c r="CG490" s="53" t="s">
        <v>262</v>
      </c>
      <c r="CH490" s="53" t="s">
        <v>262</v>
      </c>
      <c r="CI490" s="53">
        <v>25</v>
      </c>
      <c r="CJ490" s="53">
        <v>25</v>
      </c>
      <c r="CK490" s="53" t="s">
        <v>264</v>
      </c>
      <c r="CL490" s="53">
        <v>119</v>
      </c>
      <c r="CM490" s="53">
        <v>400</v>
      </c>
      <c r="CN490" s="206"/>
      <c r="CO490" s="206"/>
      <c r="CP490" s="206"/>
      <c r="CQ490" s="8">
        <f t="shared" si="265"/>
        <v>25</v>
      </c>
      <c r="CR490" s="8">
        <f t="shared" si="266"/>
        <v>750</v>
      </c>
      <c r="CS490" s="8">
        <f t="shared" si="267"/>
        <v>151.26666666666668</v>
      </c>
      <c r="CT490">
        <f t="shared" si="268"/>
        <v>69.601492338469257</v>
      </c>
      <c r="CU490" s="143" t="e">
        <f t="shared" si="269"/>
        <v>#DIV/0!</v>
      </c>
      <c r="CV490" s="143" t="e">
        <f t="shared" si="270"/>
        <v>#DIV/0!</v>
      </c>
      <c r="CX490" s="7">
        <f t="shared" si="271"/>
        <v>25</v>
      </c>
      <c r="CY490" s="7">
        <f t="shared" si="272"/>
        <v>25</v>
      </c>
      <c r="CZ490" s="7">
        <f t="shared" si="273"/>
        <v>25</v>
      </c>
      <c r="DA490" s="7">
        <f t="shared" si="274"/>
        <v>25</v>
      </c>
      <c r="DB490" s="7">
        <f t="shared" si="275"/>
        <v>25</v>
      </c>
      <c r="DC490" s="7">
        <f t="shared" si="276"/>
        <v>100</v>
      </c>
      <c r="DD490" s="7">
        <f t="shared" si="277"/>
        <v>101.89999999999999</v>
      </c>
      <c r="DE490" s="7">
        <f t="shared" si="278"/>
        <v>159.5</v>
      </c>
      <c r="DF490" s="7">
        <f t="shared" si="279"/>
        <v>380.00000000000006</v>
      </c>
      <c r="DH490" s="7" t="e">
        <f t="shared" si="280"/>
        <v>#NUM!</v>
      </c>
      <c r="DI490" s="7" t="e">
        <f t="shared" si="281"/>
        <v>#NUM!</v>
      </c>
      <c r="DJ490" s="7" t="e">
        <f t="shared" si="282"/>
        <v>#NUM!</v>
      </c>
      <c r="DK490" s="7" t="e">
        <f t="shared" si="283"/>
        <v>#NUM!</v>
      </c>
      <c r="DL490" s="7" t="e">
        <f t="shared" si="284"/>
        <v>#NUM!</v>
      </c>
      <c r="DM490" s="7" t="e">
        <f t="shared" si="285"/>
        <v>#NUM!</v>
      </c>
      <c r="DN490" s="7" t="e">
        <f t="shared" si="286"/>
        <v>#NUM!</v>
      </c>
      <c r="DO490" s="7" t="e">
        <f t="shared" si="287"/>
        <v>#NUM!</v>
      </c>
      <c r="DP490" s="7" t="e">
        <f t="shared" si="288"/>
        <v>#NUM!</v>
      </c>
    </row>
    <row r="491" spans="1:130" ht="25.5" hidden="1" customHeight="1" x14ac:dyDescent="0.25">
      <c r="A491" s="92" t="str">
        <f t="shared" si="289"/>
        <v>CO-WVI [17]</v>
      </c>
      <c r="B491" s="92" t="str">
        <f t="shared" si="290"/>
        <v>West Vancouver Island</v>
      </c>
      <c r="C491" s="93" t="str">
        <f t="shared" si="262"/>
        <v>JANSEN LAKE CREEK_Coho</v>
      </c>
      <c r="D491" s="128" t="s">
        <v>598</v>
      </c>
      <c r="E491" s="128" t="s">
        <v>598</v>
      </c>
      <c r="F491" s="64">
        <v>26</v>
      </c>
      <c r="G491" s="72" t="s">
        <v>259</v>
      </c>
      <c r="H491" s="65" t="s">
        <v>93</v>
      </c>
      <c r="I491" s="119"/>
      <c r="J491" s="119"/>
      <c r="K491" s="64">
        <v>3</v>
      </c>
      <c r="L491" s="52">
        <v>1</v>
      </c>
      <c r="M491" s="52">
        <v>1</v>
      </c>
      <c r="N491" s="52">
        <f t="shared" si="294"/>
        <v>3</v>
      </c>
      <c r="O491" s="52">
        <f t="shared" si="295"/>
        <v>3500</v>
      </c>
      <c r="P491" s="52">
        <f t="shared" si="296"/>
        <v>113.02487718206393</v>
      </c>
      <c r="Q491" s="66"/>
      <c r="R491" s="37"/>
      <c r="S491" s="74" t="s">
        <v>424</v>
      </c>
      <c r="T491" s="81" t="e">
        <f t="shared" si="263"/>
        <v>#DIV/0!</v>
      </c>
      <c r="U491" s="81">
        <f t="shared" si="264"/>
        <v>144.19999999999999</v>
      </c>
      <c r="V491" s="52" t="s">
        <v>102</v>
      </c>
      <c r="W491" s="52" t="s">
        <v>102</v>
      </c>
      <c r="X491" s="52" t="s">
        <v>102</v>
      </c>
      <c r="Y491" s="52" t="s">
        <v>102</v>
      </c>
      <c r="Z491" s="52">
        <v>2</v>
      </c>
      <c r="AA491" s="52">
        <v>156</v>
      </c>
      <c r="AB491" s="52">
        <v>18</v>
      </c>
      <c r="AC491" s="52">
        <v>65</v>
      </c>
      <c r="AD491" s="52">
        <v>480</v>
      </c>
      <c r="AE491" s="144" t="s">
        <v>102</v>
      </c>
      <c r="AF491" s="144" t="s">
        <v>102</v>
      </c>
      <c r="AG491" s="144" t="s">
        <v>102</v>
      </c>
      <c r="AH491" s="52" t="s">
        <v>102</v>
      </c>
      <c r="AI491" s="52" t="s">
        <v>102</v>
      </c>
      <c r="AJ491" s="52" t="s">
        <v>102</v>
      </c>
      <c r="AK491" s="52" t="s">
        <v>102</v>
      </c>
      <c r="AL491" s="52" t="s">
        <v>102</v>
      </c>
      <c r="AM491" s="52" t="s">
        <v>102</v>
      </c>
      <c r="AN491" s="52" t="s">
        <v>102</v>
      </c>
      <c r="AO491" s="52" t="s">
        <v>102</v>
      </c>
      <c r="AP491" s="53" t="s">
        <v>102</v>
      </c>
      <c r="AQ491" s="53" t="s">
        <v>102</v>
      </c>
      <c r="AR491" s="53" t="s">
        <v>102</v>
      </c>
      <c r="AS491" s="52" t="s">
        <v>102</v>
      </c>
      <c r="AT491" s="52" t="s">
        <v>102</v>
      </c>
      <c r="AU491" s="52" t="s">
        <v>102</v>
      </c>
      <c r="AV491" s="52">
        <v>3</v>
      </c>
      <c r="AW491" s="52" t="s">
        <v>102</v>
      </c>
      <c r="AX491" s="51" t="s">
        <v>102</v>
      </c>
      <c r="AY491" s="53" t="s">
        <v>102</v>
      </c>
      <c r="AZ491" s="53" t="s">
        <v>262</v>
      </c>
      <c r="BA491" s="53">
        <v>20</v>
      </c>
      <c r="BB491" s="53" t="s">
        <v>102</v>
      </c>
      <c r="BC491" s="53" t="s">
        <v>102</v>
      </c>
      <c r="BD491" s="53" t="s">
        <v>102</v>
      </c>
      <c r="BE491" s="53">
        <v>100</v>
      </c>
      <c r="BF491" s="53" t="s">
        <v>102</v>
      </c>
      <c r="BG491" s="53">
        <v>50</v>
      </c>
      <c r="BH491" s="53" t="s">
        <v>262</v>
      </c>
      <c r="BI491" s="53" t="s">
        <v>264</v>
      </c>
      <c r="BJ491" s="53" t="s">
        <v>264</v>
      </c>
      <c r="BK491" s="53" t="s">
        <v>102</v>
      </c>
      <c r="BL491" s="53" t="s">
        <v>264</v>
      </c>
      <c r="BM491" s="53" t="s">
        <v>264</v>
      </c>
      <c r="BN491" s="53" t="s">
        <v>264</v>
      </c>
      <c r="BO491" s="53" t="s">
        <v>264</v>
      </c>
      <c r="BP491" s="53" t="s">
        <v>102</v>
      </c>
      <c r="BQ491" s="53">
        <v>25</v>
      </c>
      <c r="BR491" s="53" t="s">
        <v>262</v>
      </c>
      <c r="BS491" s="53">
        <v>4</v>
      </c>
      <c r="BT491" s="53">
        <v>1</v>
      </c>
      <c r="BU491" s="53" t="s">
        <v>264</v>
      </c>
      <c r="BV491" s="53">
        <v>25</v>
      </c>
      <c r="BW491" s="53">
        <v>25</v>
      </c>
      <c r="BX491" s="53" t="s">
        <v>264</v>
      </c>
      <c r="BY491" s="53" t="s">
        <v>264</v>
      </c>
      <c r="BZ491" s="53">
        <v>25</v>
      </c>
      <c r="CA491" s="53" t="s">
        <v>264</v>
      </c>
      <c r="CB491" s="53" t="s">
        <v>264</v>
      </c>
      <c r="CC491" s="53">
        <v>75</v>
      </c>
      <c r="CD491" s="53">
        <v>750</v>
      </c>
      <c r="CE491" s="53">
        <v>200</v>
      </c>
      <c r="CF491" s="53">
        <v>400</v>
      </c>
      <c r="CG491" s="53">
        <v>200</v>
      </c>
      <c r="CH491" s="53">
        <v>1500</v>
      </c>
      <c r="CI491" s="53">
        <v>1500</v>
      </c>
      <c r="CJ491" s="53">
        <v>3500</v>
      </c>
      <c r="CK491" s="53">
        <v>3500</v>
      </c>
      <c r="CL491" s="53">
        <v>1500</v>
      </c>
      <c r="CM491" s="53">
        <v>750</v>
      </c>
      <c r="CN491" s="206"/>
      <c r="CO491" s="206"/>
      <c r="CP491" s="206"/>
      <c r="CQ491" s="8">
        <f t="shared" si="265"/>
        <v>1</v>
      </c>
      <c r="CR491" s="8">
        <f t="shared" si="266"/>
        <v>3500</v>
      </c>
      <c r="CS491" s="8">
        <f t="shared" si="267"/>
        <v>572.07692307692309</v>
      </c>
      <c r="CT491">
        <f t="shared" si="268"/>
        <v>94.491711622274764</v>
      </c>
      <c r="CU491" s="143">
        <f t="shared" si="269"/>
        <v>2</v>
      </c>
      <c r="CV491" s="143">
        <f t="shared" si="270"/>
        <v>144.19999999999999</v>
      </c>
      <c r="CX491" s="7">
        <f t="shared" si="271"/>
        <v>2.25</v>
      </c>
      <c r="CY491" s="7">
        <f t="shared" si="272"/>
        <v>14.5</v>
      </c>
      <c r="CZ491" s="7">
        <f t="shared" si="273"/>
        <v>20</v>
      </c>
      <c r="DA491" s="7">
        <f t="shared" si="274"/>
        <v>25</v>
      </c>
      <c r="DB491" s="7">
        <f t="shared" si="275"/>
        <v>87.5</v>
      </c>
      <c r="DC491" s="7">
        <f t="shared" si="276"/>
        <v>200</v>
      </c>
      <c r="DD491" s="7">
        <f t="shared" si="277"/>
        <v>250</v>
      </c>
      <c r="DE491" s="7">
        <f t="shared" si="278"/>
        <v>682.5</v>
      </c>
      <c r="DF491" s="7">
        <f t="shared" si="279"/>
        <v>1500</v>
      </c>
      <c r="DH491" s="7">
        <f t="shared" si="280"/>
        <v>2.25</v>
      </c>
      <c r="DI491" s="7">
        <f t="shared" si="281"/>
        <v>2.75</v>
      </c>
      <c r="DJ491" s="7">
        <f t="shared" si="282"/>
        <v>3</v>
      </c>
      <c r="DK491" s="7">
        <f t="shared" si="283"/>
        <v>6.75</v>
      </c>
      <c r="DL491" s="7">
        <f t="shared" si="284"/>
        <v>41.5</v>
      </c>
      <c r="DM491" s="7">
        <f t="shared" si="285"/>
        <v>65</v>
      </c>
      <c r="DN491" s="7">
        <f t="shared" si="286"/>
        <v>87.75</v>
      </c>
      <c r="DO491" s="7">
        <f t="shared" si="287"/>
        <v>133.25</v>
      </c>
      <c r="DP491" s="7">
        <f t="shared" si="288"/>
        <v>237</v>
      </c>
    </row>
    <row r="492" spans="1:130" ht="25.5" hidden="1" customHeight="1" x14ac:dyDescent="0.25">
      <c r="A492" s="92" t="str">
        <f t="shared" si="289"/>
        <v>SK-L-13-14</v>
      </c>
      <c r="B492" s="92" t="str">
        <f t="shared" si="290"/>
        <v>Jansen</v>
      </c>
      <c r="C492" s="93" t="str">
        <f t="shared" si="262"/>
        <v>JANSEN LAKE CREEK_Sockeye</v>
      </c>
      <c r="D492" s="128" t="s">
        <v>598</v>
      </c>
      <c r="E492" s="128" t="s">
        <v>598</v>
      </c>
      <c r="F492" s="64">
        <v>26</v>
      </c>
      <c r="G492" s="72" t="s">
        <v>259</v>
      </c>
      <c r="H492" s="65" t="s">
        <v>91</v>
      </c>
      <c r="I492" s="119"/>
      <c r="J492" s="119"/>
      <c r="K492" s="64">
        <v>3</v>
      </c>
      <c r="L492" s="52">
        <v>1</v>
      </c>
      <c r="M492" s="52">
        <v>0</v>
      </c>
      <c r="N492" s="52" t="e">
        <f t="shared" si="294"/>
        <v>#NUM!</v>
      </c>
      <c r="O492" s="52">
        <f t="shared" si="295"/>
        <v>5000</v>
      </c>
      <c r="P492" s="52">
        <f t="shared" si="296"/>
        <v>1508.4440982315039</v>
      </c>
      <c r="Q492" s="66"/>
      <c r="R492" s="37"/>
      <c r="S492" s="74" t="s">
        <v>424</v>
      </c>
      <c r="T492" s="81" t="e">
        <f t="shared" si="263"/>
        <v>#DIV/0!</v>
      </c>
      <c r="U492" s="81" t="e">
        <f t="shared" si="264"/>
        <v>#DIV/0!</v>
      </c>
      <c r="V492" s="52" t="s">
        <v>102</v>
      </c>
      <c r="W492" s="52" t="s">
        <v>102</v>
      </c>
      <c r="X492" s="52" t="s">
        <v>102</v>
      </c>
      <c r="Y492" s="52" t="s">
        <v>102</v>
      </c>
      <c r="Z492" s="52" t="s">
        <v>262</v>
      </c>
      <c r="AA492" s="52" t="s">
        <v>262</v>
      </c>
      <c r="AB492" s="52" t="s">
        <v>262</v>
      </c>
      <c r="AC492" s="52" t="s">
        <v>262</v>
      </c>
      <c r="AD492" s="52" t="s">
        <v>262</v>
      </c>
      <c r="AE492" s="144" t="s">
        <v>102</v>
      </c>
      <c r="AF492" s="144" t="s">
        <v>102</v>
      </c>
      <c r="AG492" s="144" t="s">
        <v>102</v>
      </c>
      <c r="AH492" s="52" t="s">
        <v>102</v>
      </c>
      <c r="AI492" s="52" t="s">
        <v>102</v>
      </c>
      <c r="AJ492" s="52" t="s">
        <v>102</v>
      </c>
      <c r="AK492" s="52" t="s">
        <v>102</v>
      </c>
      <c r="AL492" s="52" t="s">
        <v>102</v>
      </c>
      <c r="AM492" s="52" t="s">
        <v>102</v>
      </c>
      <c r="AN492" s="52" t="s">
        <v>102</v>
      </c>
      <c r="AO492" s="52" t="s">
        <v>102</v>
      </c>
      <c r="AP492" s="53" t="s">
        <v>102</v>
      </c>
      <c r="AQ492" s="53" t="s">
        <v>102</v>
      </c>
      <c r="AR492" s="53" t="s">
        <v>102</v>
      </c>
      <c r="AS492" s="52" t="s">
        <v>102</v>
      </c>
      <c r="AT492" s="52" t="s">
        <v>102</v>
      </c>
      <c r="AU492" s="52" t="s">
        <v>102</v>
      </c>
      <c r="AV492" s="52" t="s">
        <v>262</v>
      </c>
      <c r="AW492" s="52" t="s">
        <v>102</v>
      </c>
      <c r="AX492" s="51" t="s">
        <v>102</v>
      </c>
      <c r="AY492" s="53" t="s">
        <v>102</v>
      </c>
      <c r="AZ492" s="53">
        <v>50</v>
      </c>
      <c r="BA492" s="53" t="s">
        <v>264</v>
      </c>
      <c r="BB492" s="53" t="s">
        <v>102</v>
      </c>
      <c r="BC492" s="53" t="s">
        <v>102</v>
      </c>
      <c r="BD492" s="53" t="s">
        <v>102</v>
      </c>
      <c r="BE492" s="53" t="s">
        <v>264</v>
      </c>
      <c r="BF492" s="53" t="s">
        <v>102</v>
      </c>
      <c r="BG492" s="53">
        <v>1000</v>
      </c>
      <c r="BH492" s="53">
        <v>2000</v>
      </c>
      <c r="BI492" s="53">
        <v>3000</v>
      </c>
      <c r="BJ492" s="53">
        <v>5000</v>
      </c>
      <c r="BK492" s="53" t="s">
        <v>102</v>
      </c>
      <c r="BL492" s="53">
        <v>160</v>
      </c>
      <c r="BM492" s="53">
        <v>2000</v>
      </c>
      <c r="BN492" s="53">
        <v>2500</v>
      </c>
      <c r="BO492" s="53">
        <v>3000</v>
      </c>
      <c r="BP492" s="53" t="s">
        <v>102</v>
      </c>
      <c r="BQ492" s="53">
        <v>1500</v>
      </c>
      <c r="BR492" s="53" t="s">
        <v>264</v>
      </c>
      <c r="BS492" s="53" t="s">
        <v>264</v>
      </c>
      <c r="BT492" s="53" t="s">
        <v>264</v>
      </c>
      <c r="BU492" s="53">
        <v>1500</v>
      </c>
      <c r="BV492" s="53">
        <v>3500</v>
      </c>
      <c r="BW492" s="53">
        <v>3500</v>
      </c>
      <c r="BX492" s="53">
        <v>3500</v>
      </c>
      <c r="BY492" s="53">
        <v>3500</v>
      </c>
      <c r="BZ492" s="53">
        <v>3500</v>
      </c>
      <c r="CA492" s="53" t="s">
        <v>264</v>
      </c>
      <c r="CB492" s="53">
        <v>3500</v>
      </c>
      <c r="CC492" s="53">
        <v>3500</v>
      </c>
      <c r="CD492" s="53">
        <v>1500</v>
      </c>
      <c r="CE492" s="53">
        <v>3500</v>
      </c>
      <c r="CF492" s="53">
        <v>1500</v>
      </c>
      <c r="CG492" s="53">
        <v>200</v>
      </c>
      <c r="CH492" s="53">
        <v>1500</v>
      </c>
      <c r="CI492" s="53">
        <v>1500</v>
      </c>
      <c r="CJ492" s="53">
        <v>200</v>
      </c>
      <c r="CK492" s="53">
        <v>1500</v>
      </c>
      <c r="CL492" s="53">
        <v>2400</v>
      </c>
      <c r="CM492" s="53">
        <v>750</v>
      </c>
      <c r="CN492" s="206"/>
      <c r="CO492" s="206"/>
      <c r="CP492" s="206"/>
      <c r="CQ492" s="8">
        <f t="shared" si="265"/>
        <v>50</v>
      </c>
      <c r="CR492" s="8">
        <f t="shared" si="266"/>
        <v>5000</v>
      </c>
      <c r="CS492" s="8">
        <f t="shared" si="267"/>
        <v>2170</v>
      </c>
      <c r="CT492">
        <f t="shared" si="268"/>
        <v>1508.4440982315039</v>
      </c>
      <c r="CU492" s="143" t="e">
        <f t="shared" si="269"/>
        <v>#DIV/0!</v>
      </c>
      <c r="CV492" s="143" t="e">
        <f t="shared" si="270"/>
        <v>#DIV/0!</v>
      </c>
      <c r="CX492" s="7">
        <f t="shared" si="271"/>
        <v>174</v>
      </c>
      <c r="CY492" s="7">
        <f t="shared" si="272"/>
        <v>762.5</v>
      </c>
      <c r="CZ492" s="7">
        <f t="shared" si="273"/>
        <v>1200.0000000000002</v>
      </c>
      <c r="DA492" s="7">
        <f t="shared" si="274"/>
        <v>1500</v>
      </c>
      <c r="DB492" s="7">
        <f t="shared" si="275"/>
        <v>2000</v>
      </c>
      <c r="DC492" s="7">
        <f t="shared" si="276"/>
        <v>2599.9999999999995</v>
      </c>
      <c r="DD492" s="7">
        <f t="shared" si="277"/>
        <v>3000</v>
      </c>
      <c r="DE492" s="7">
        <f t="shared" si="278"/>
        <v>3500</v>
      </c>
      <c r="DF492" s="7">
        <f t="shared" si="279"/>
        <v>3500</v>
      </c>
      <c r="DH492" s="7" t="e">
        <f t="shared" si="280"/>
        <v>#NUM!</v>
      </c>
      <c r="DI492" s="7" t="e">
        <f t="shared" si="281"/>
        <v>#NUM!</v>
      </c>
      <c r="DJ492" s="7" t="e">
        <f t="shared" si="282"/>
        <v>#NUM!</v>
      </c>
      <c r="DK492" s="7" t="e">
        <f t="shared" si="283"/>
        <v>#NUM!</v>
      </c>
      <c r="DL492" s="7" t="e">
        <f t="shared" si="284"/>
        <v>#NUM!</v>
      </c>
      <c r="DM492" s="7" t="e">
        <f t="shared" si="285"/>
        <v>#NUM!</v>
      </c>
      <c r="DN492" s="7" t="e">
        <f t="shared" si="286"/>
        <v>#NUM!</v>
      </c>
      <c r="DO492" s="7" t="e">
        <f t="shared" si="287"/>
        <v>#NUM!</v>
      </c>
      <c r="DP492" s="7" t="e">
        <f t="shared" si="288"/>
        <v>#NUM!</v>
      </c>
    </row>
    <row r="493" spans="1:130" ht="25.5" customHeight="1" x14ac:dyDescent="0.25">
      <c r="A493" s="92" t="str">
        <f t="shared" si="289"/>
        <v>CK-NoKy [32]</v>
      </c>
      <c r="B493" s="92" t="str">
        <f t="shared" si="290"/>
        <v>Nootka and Kyuquot</v>
      </c>
      <c r="C493" s="93" t="str">
        <f t="shared" si="262"/>
        <v>KAOUK RIVER_Chinook</v>
      </c>
      <c r="D493" s="128" t="s">
        <v>599</v>
      </c>
      <c r="E493" s="128" t="s">
        <v>599</v>
      </c>
      <c r="F493" s="64">
        <v>26</v>
      </c>
      <c r="G493" s="72" t="s">
        <v>251</v>
      </c>
      <c r="H493" s="65" t="s">
        <v>97</v>
      </c>
      <c r="I493" s="119"/>
      <c r="J493" s="119"/>
      <c r="K493" s="64">
        <v>2</v>
      </c>
      <c r="L493" s="52">
        <v>11</v>
      </c>
      <c r="M493" s="52">
        <v>11</v>
      </c>
      <c r="N493" s="52">
        <f t="shared" si="294"/>
        <v>330.7918418102326</v>
      </c>
      <c r="O493" s="52">
        <f t="shared" si="295"/>
        <v>3500</v>
      </c>
      <c r="P493" s="52">
        <f t="shared" si="296"/>
        <v>239.75480102694783</v>
      </c>
      <c r="Q493" s="66" t="s">
        <v>269</v>
      </c>
      <c r="R493" s="37"/>
      <c r="S493" s="74" t="s">
        <v>1</v>
      </c>
      <c r="T493" s="81">
        <f t="shared" si="263"/>
        <v>420</v>
      </c>
      <c r="U493" s="81">
        <f t="shared" si="264"/>
        <v>363.58333333333331</v>
      </c>
      <c r="V493" s="144">
        <v>739</v>
      </c>
      <c r="W493" s="235">
        <v>325</v>
      </c>
      <c r="X493" s="52">
        <v>350</v>
      </c>
      <c r="Y493" s="52">
        <v>266</v>
      </c>
      <c r="Z493" s="52">
        <v>420</v>
      </c>
      <c r="AA493" s="52">
        <v>605</v>
      </c>
      <c r="AB493" s="52">
        <v>370</v>
      </c>
      <c r="AC493" s="52">
        <v>331</v>
      </c>
      <c r="AD493" s="52">
        <v>192</v>
      </c>
      <c r="AE493" s="144">
        <v>240</v>
      </c>
      <c r="AF493" s="144">
        <v>223</v>
      </c>
      <c r="AG493" s="144">
        <v>302</v>
      </c>
      <c r="AH493" s="53">
        <v>185</v>
      </c>
      <c r="AI493" s="53">
        <v>550</v>
      </c>
      <c r="AJ493" s="53">
        <v>264</v>
      </c>
      <c r="AK493" s="179">
        <v>193</v>
      </c>
      <c r="AL493" s="89">
        <v>536</v>
      </c>
      <c r="AM493" s="52">
        <v>488</v>
      </c>
      <c r="AN493" s="217">
        <v>301</v>
      </c>
      <c r="AO493" s="53">
        <v>358</v>
      </c>
      <c r="AP493" s="53">
        <v>251</v>
      </c>
      <c r="AQ493" s="216">
        <v>409</v>
      </c>
      <c r="AR493" s="53">
        <v>105</v>
      </c>
      <c r="AS493" s="52">
        <v>453</v>
      </c>
      <c r="AT493" s="52">
        <v>824</v>
      </c>
      <c r="AU493" s="52">
        <v>558</v>
      </c>
      <c r="AV493" s="52">
        <v>219</v>
      </c>
      <c r="AW493" s="52">
        <v>266</v>
      </c>
      <c r="AX493" s="178">
        <v>150</v>
      </c>
      <c r="AY493" s="179">
        <v>20</v>
      </c>
      <c r="AZ493" s="179" t="s">
        <v>262</v>
      </c>
      <c r="BA493" s="179">
        <v>20</v>
      </c>
      <c r="BB493" s="179">
        <v>10</v>
      </c>
      <c r="BC493" s="179">
        <v>30</v>
      </c>
      <c r="BD493" s="179" t="s">
        <v>262</v>
      </c>
      <c r="BE493" s="179">
        <v>100</v>
      </c>
      <c r="BF493" s="179">
        <v>100</v>
      </c>
      <c r="BG493" s="179">
        <v>300</v>
      </c>
      <c r="BH493" s="179">
        <v>400</v>
      </c>
      <c r="BI493" s="179">
        <v>300</v>
      </c>
      <c r="BJ493" s="179" t="s">
        <v>264</v>
      </c>
      <c r="BK493" s="179">
        <v>100</v>
      </c>
      <c r="BL493" s="179" t="s">
        <v>264</v>
      </c>
      <c r="BM493" s="179">
        <v>60</v>
      </c>
      <c r="BN493" s="179">
        <v>50</v>
      </c>
      <c r="BO493" s="179">
        <v>75</v>
      </c>
      <c r="BP493" s="179">
        <v>25</v>
      </c>
      <c r="BQ493" s="179">
        <v>75</v>
      </c>
      <c r="BR493" s="179">
        <v>200</v>
      </c>
      <c r="BS493" s="179">
        <v>1500</v>
      </c>
      <c r="BT493" s="179">
        <v>300</v>
      </c>
      <c r="BU493" s="179">
        <v>750</v>
      </c>
      <c r="BV493" s="179">
        <v>750</v>
      </c>
      <c r="BW493" s="179">
        <v>750</v>
      </c>
      <c r="BX493" s="179">
        <v>750</v>
      </c>
      <c r="BY493" s="179">
        <v>400</v>
      </c>
      <c r="BZ493" s="179">
        <v>3500</v>
      </c>
      <c r="CA493" s="179">
        <v>400</v>
      </c>
      <c r="CB493" s="179">
        <v>1500</v>
      </c>
      <c r="CC493" s="179">
        <v>400</v>
      </c>
      <c r="CD493" s="179">
        <v>400</v>
      </c>
      <c r="CE493" s="179">
        <v>200</v>
      </c>
      <c r="CF493" s="179">
        <v>75</v>
      </c>
      <c r="CG493" s="179">
        <v>75</v>
      </c>
      <c r="CH493" s="179">
        <v>200</v>
      </c>
      <c r="CI493" s="179">
        <v>750</v>
      </c>
      <c r="CJ493" s="179">
        <v>400</v>
      </c>
      <c r="CK493" s="179">
        <v>750</v>
      </c>
      <c r="CL493" s="179">
        <v>750</v>
      </c>
      <c r="CM493" s="179">
        <v>750</v>
      </c>
      <c r="CN493" s="212"/>
      <c r="CO493" s="212"/>
      <c r="CP493" s="212"/>
      <c r="CQ493" s="8">
        <f t="shared" si="265"/>
        <v>10</v>
      </c>
      <c r="CR493" s="8">
        <f t="shared" si="266"/>
        <v>3500</v>
      </c>
      <c r="CS493" s="8">
        <f t="shared" si="267"/>
        <v>419.5151515151515</v>
      </c>
      <c r="CT493">
        <f t="shared" si="268"/>
        <v>257.30668693911849</v>
      </c>
      <c r="CU493" s="143">
        <f t="shared" si="269"/>
        <v>420</v>
      </c>
      <c r="CV493" s="143">
        <f t="shared" si="270"/>
        <v>363.58333333333331</v>
      </c>
      <c r="CX493" s="7">
        <f t="shared" si="271"/>
        <v>26.25</v>
      </c>
      <c r="CY493" s="7">
        <f t="shared" si="272"/>
        <v>75</v>
      </c>
      <c r="CZ493" s="7">
        <f t="shared" si="273"/>
        <v>100</v>
      </c>
      <c r="DA493" s="7">
        <f t="shared" si="274"/>
        <v>186.75</v>
      </c>
      <c r="DB493" s="7">
        <f t="shared" si="275"/>
        <v>301.5</v>
      </c>
      <c r="DC493" s="7">
        <f t="shared" si="276"/>
        <v>400</v>
      </c>
      <c r="DD493" s="7">
        <f t="shared" si="277"/>
        <v>400</v>
      </c>
      <c r="DE493" s="7">
        <f t="shared" si="278"/>
        <v>524</v>
      </c>
      <c r="DF493" s="7">
        <f t="shared" si="279"/>
        <v>750</v>
      </c>
      <c r="DH493" s="7">
        <f t="shared" si="280"/>
        <v>187.45</v>
      </c>
      <c r="DI493" s="7">
        <f t="shared" si="281"/>
        <v>219.2</v>
      </c>
      <c r="DJ493" s="7">
        <f t="shared" si="282"/>
        <v>229.8</v>
      </c>
      <c r="DK493" s="7">
        <f t="shared" si="283"/>
        <v>248.25</v>
      </c>
      <c r="DL493" s="7">
        <f t="shared" si="284"/>
        <v>328</v>
      </c>
      <c r="DM493" s="7">
        <f t="shared" si="285"/>
        <v>360.4</v>
      </c>
      <c r="DN493" s="7">
        <f t="shared" si="286"/>
        <v>391.45000000000005</v>
      </c>
      <c r="DO493" s="7">
        <f t="shared" si="287"/>
        <v>461.75</v>
      </c>
      <c r="DP493" s="7">
        <f t="shared" si="288"/>
        <v>549.29999999999995</v>
      </c>
    </row>
    <row r="494" spans="1:130" ht="25.5" hidden="1" customHeight="1" x14ac:dyDescent="0.25">
      <c r="A494" s="92" t="str">
        <f t="shared" si="289"/>
        <v>CM-SWVI [10]</v>
      </c>
      <c r="B494" s="92" t="str">
        <f t="shared" si="290"/>
        <v>Southwest Vancouver Island</v>
      </c>
      <c r="C494" s="93" t="str">
        <f t="shared" si="262"/>
        <v>KAOUK RIVER_Chum</v>
      </c>
      <c r="D494" s="128" t="s">
        <v>598</v>
      </c>
      <c r="E494" s="128" t="s">
        <v>598</v>
      </c>
      <c r="F494" s="64">
        <v>26</v>
      </c>
      <c r="G494" s="72" t="s">
        <v>251</v>
      </c>
      <c r="H494" s="65" t="s">
        <v>96</v>
      </c>
      <c r="I494" s="119"/>
      <c r="J494" s="119"/>
      <c r="K494" s="64">
        <v>2</v>
      </c>
      <c r="L494" s="52">
        <v>11</v>
      </c>
      <c r="M494" s="52">
        <v>11</v>
      </c>
      <c r="N494" s="52">
        <f t="shared" si="294"/>
        <v>5201.4543317617909</v>
      </c>
      <c r="O494" s="52">
        <f t="shared" si="295"/>
        <v>25940</v>
      </c>
      <c r="P494" s="52">
        <f t="shared" si="296"/>
        <v>3421.9527891255811</v>
      </c>
      <c r="Q494" s="66" t="s">
        <v>269</v>
      </c>
      <c r="R494" s="37"/>
      <c r="S494" s="74" t="s">
        <v>1</v>
      </c>
      <c r="T494" s="81">
        <f t="shared" si="263"/>
        <v>2967.75</v>
      </c>
      <c r="U494" s="81">
        <f t="shared" si="264"/>
        <v>6111.166666666667</v>
      </c>
      <c r="V494" s="144">
        <v>3764</v>
      </c>
      <c r="W494" s="235">
        <v>2420</v>
      </c>
      <c r="X494" s="52">
        <v>3931</v>
      </c>
      <c r="Y494" s="52">
        <v>1756</v>
      </c>
      <c r="Z494" s="52">
        <v>2184</v>
      </c>
      <c r="AA494" s="52">
        <v>3245</v>
      </c>
      <c r="AB494" s="52">
        <v>6492</v>
      </c>
      <c r="AC494" s="52">
        <v>10274</v>
      </c>
      <c r="AD494" s="52">
        <v>5714</v>
      </c>
      <c r="AE494" s="144">
        <v>8287</v>
      </c>
      <c r="AF494" s="144">
        <v>6766</v>
      </c>
      <c r="AG494" s="144">
        <v>18501</v>
      </c>
      <c r="AH494" s="53">
        <v>8075</v>
      </c>
      <c r="AI494" s="53">
        <v>6040</v>
      </c>
      <c r="AJ494" s="53">
        <v>3215</v>
      </c>
      <c r="AK494" s="53">
        <v>12953</v>
      </c>
      <c r="AL494" s="89">
        <v>6588</v>
      </c>
      <c r="AM494" s="52">
        <v>11514</v>
      </c>
      <c r="AN494" s="52">
        <v>7824</v>
      </c>
      <c r="AO494" s="53">
        <v>10309</v>
      </c>
      <c r="AP494" s="53">
        <v>2813</v>
      </c>
      <c r="AQ494" s="53">
        <v>891</v>
      </c>
      <c r="AR494" s="53">
        <v>1447</v>
      </c>
      <c r="AS494" s="52">
        <v>19544</v>
      </c>
      <c r="AT494" s="52">
        <v>25940</v>
      </c>
      <c r="AU494" s="52">
        <v>3193</v>
      </c>
      <c r="AV494" s="52">
        <v>3538</v>
      </c>
      <c r="AW494" s="52">
        <v>2005</v>
      </c>
      <c r="AX494" s="51">
        <v>10000</v>
      </c>
      <c r="AY494" s="53">
        <v>6000</v>
      </c>
      <c r="AZ494" s="53">
        <v>21000</v>
      </c>
      <c r="BA494" s="53">
        <v>4000</v>
      </c>
      <c r="BB494" s="53">
        <v>4500</v>
      </c>
      <c r="BC494" s="53">
        <v>1600</v>
      </c>
      <c r="BD494" s="53">
        <v>3000</v>
      </c>
      <c r="BE494" s="53">
        <v>4000</v>
      </c>
      <c r="BF494" s="53">
        <v>7000</v>
      </c>
      <c r="BG494" s="53">
        <v>17000</v>
      </c>
      <c r="BH494" s="53">
        <v>15000</v>
      </c>
      <c r="BI494" s="53">
        <v>15000</v>
      </c>
      <c r="BJ494" s="53">
        <v>10000</v>
      </c>
      <c r="BK494" s="53">
        <v>8000</v>
      </c>
      <c r="BL494" s="53">
        <v>7500</v>
      </c>
      <c r="BM494" s="53">
        <v>1300</v>
      </c>
      <c r="BN494" s="53">
        <v>6500</v>
      </c>
      <c r="BO494" s="53">
        <v>1000</v>
      </c>
      <c r="BP494" s="53">
        <v>3500</v>
      </c>
      <c r="BQ494" s="53">
        <v>7500</v>
      </c>
      <c r="BR494" s="53">
        <v>3500</v>
      </c>
      <c r="BS494" s="53">
        <v>15000</v>
      </c>
      <c r="BT494" s="53">
        <v>11000</v>
      </c>
      <c r="BU494" s="53">
        <v>7500</v>
      </c>
      <c r="BV494" s="53">
        <v>3500</v>
      </c>
      <c r="BW494" s="53">
        <v>750</v>
      </c>
      <c r="BX494" s="53">
        <v>750</v>
      </c>
      <c r="BY494" s="53">
        <v>750</v>
      </c>
      <c r="BZ494" s="53">
        <v>750</v>
      </c>
      <c r="CA494" s="53">
        <v>750</v>
      </c>
      <c r="CB494" s="53">
        <v>75</v>
      </c>
      <c r="CC494" s="53">
        <v>750</v>
      </c>
      <c r="CD494" s="53">
        <v>750</v>
      </c>
      <c r="CE494" s="53">
        <v>750</v>
      </c>
      <c r="CF494" s="53">
        <v>1500</v>
      </c>
      <c r="CG494" s="53">
        <v>750</v>
      </c>
      <c r="CH494" s="53">
        <v>3500</v>
      </c>
      <c r="CI494" s="53">
        <v>3500</v>
      </c>
      <c r="CJ494" s="53">
        <v>3500</v>
      </c>
      <c r="CK494" s="53">
        <v>750</v>
      </c>
      <c r="CL494" s="53">
        <v>3500</v>
      </c>
      <c r="CM494" s="53">
        <v>3500</v>
      </c>
      <c r="CN494" s="212"/>
      <c r="CO494" s="212"/>
      <c r="CP494" s="212"/>
      <c r="CQ494" s="8">
        <f t="shared" si="265"/>
        <v>75</v>
      </c>
      <c r="CR494" s="8">
        <f t="shared" si="266"/>
        <v>25940</v>
      </c>
      <c r="CS494" s="8">
        <f t="shared" si="267"/>
        <v>5995.6857142857143</v>
      </c>
      <c r="CT494">
        <f t="shared" si="268"/>
        <v>3709.6696933142307</v>
      </c>
      <c r="CU494" s="143">
        <f t="shared" si="269"/>
        <v>2811</v>
      </c>
      <c r="CV494" s="143">
        <f t="shared" si="270"/>
        <v>6111.166666666667</v>
      </c>
      <c r="CX494" s="7">
        <f t="shared" si="271"/>
        <v>750</v>
      </c>
      <c r="CY494" s="7">
        <f t="shared" si="272"/>
        <v>799.34999999999991</v>
      </c>
      <c r="CZ494" s="7">
        <f t="shared" si="273"/>
        <v>1417.6000000000001</v>
      </c>
      <c r="DA494" s="7">
        <f t="shared" si="274"/>
        <v>1818.25</v>
      </c>
      <c r="DB494" s="7">
        <f t="shared" si="275"/>
        <v>3651</v>
      </c>
      <c r="DC494" s="7">
        <f t="shared" si="276"/>
        <v>6016</v>
      </c>
      <c r="DD494" s="7">
        <f t="shared" si="277"/>
        <v>6574.8</v>
      </c>
      <c r="DE494" s="7">
        <f t="shared" si="278"/>
        <v>7956</v>
      </c>
      <c r="DF494" s="7">
        <f t="shared" si="279"/>
        <v>10758.15</v>
      </c>
      <c r="DH494" s="7">
        <f t="shared" si="280"/>
        <v>1555.15</v>
      </c>
      <c r="DI494" s="7">
        <f t="shared" si="281"/>
        <v>2195.8000000000002</v>
      </c>
      <c r="DJ494" s="7">
        <f t="shared" si="282"/>
        <v>2577.2000000000003</v>
      </c>
      <c r="DK494" s="7">
        <f t="shared" si="283"/>
        <v>3098</v>
      </c>
      <c r="DL494" s="7">
        <f t="shared" si="284"/>
        <v>5877</v>
      </c>
      <c r="DM494" s="7">
        <f t="shared" si="285"/>
        <v>6623.5999999999995</v>
      </c>
      <c r="DN494" s="7">
        <f t="shared" si="286"/>
        <v>7347.9000000000005</v>
      </c>
      <c r="DO494" s="7">
        <f t="shared" si="287"/>
        <v>8783.75</v>
      </c>
      <c r="DP494" s="7">
        <f t="shared" si="288"/>
        <v>11453.75</v>
      </c>
    </row>
    <row r="495" spans="1:130" ht="25.5" hidden="1" customHeight="1" x14ac:dyDescent="0.25">
      <c r="A495" s="92" t="str">
        <f t="shared" si="289"/>
        <v>CO-WVI [17]</v>
      </c>
      <c r="B495" s="92" t="str">
        <f t="shared" si="290"/>
        <v>West Vancouver Island</v>
      </c>
      <c r="C495" s="93" t="str">
        <f t="shared" si="262"/>
        <v>KAOUK RIVER_Coho</v>
      </c>
      <c r="D495" s="128" t="s">
        <v>598</v>
      </c>
      <c r="E495" s="128" t="s">
        <v>598</v>
      </c>
      <c r="F495" s="64">
        <v>26</v>
      </c>
      <c r="G495" s="72" t="s">
        <v>251</v>
      </c>
      <c r="H495" s="65" t="s">
        <v>93</v>
      </c>
      <c r="I495" s="119"/>
      <c r="J495" s="119"/>
      <c r="K495" s="64">
        <v>2</v>
      </c>
      <c r="L495" s="52">
        <v>11</v>
      </c>
      <c r="M495" s="52">
        <v>11</v>
      </c>
      <c r="N495" s="52">
        <f t="shared" si="294"/>
        <v>1611.8742189403451</v>
      </c>
      <c r="O495" s="52">
        <f t="shared" si="295"/>
        <v>5077</v>
      </c>
      <c r="P495" s="52">
        <f t="shared" si="296"/>
        <v>740.70010116189792</v>
      </c>
      <c r="Q495" s="66" t="s">
        <v>269</v>
      </c>
      <c r="R495" s="37"/>
      <c r="S495" s="74" t="s">
        <v>1</v>
      </c>
      <c r="T495" s="81">
        <f t="shared" si="263"/>
        <v>2988</v>
      </c>
      <c r="U495" s="81">
        <f t="shared" si="264"/>
        <v>2814.8333333333335</v>
      </c>
      <c r="V495" s="144">
        <v>4765</v>
      </c>
      <c r="W495" s="235">
        <v>4381</v>
      </c>
      <c r="X495" s="52">
        <v>2156</v>
      </c>
      <c r="Y495" s="52">
        <v>650</v>
      </c>
      <c r="Z495" s="52">
        <v>2901</v>
      </c>
      <c r="AA495" s="52">
        <v>2159</v>
      </c>
      <c r="AB495" s="52">
        <v>3656</v>
      </c>
      <c r="AC495" s="52">
        <v>3223</v>
      </c>
      <c r="AD495" s="52">
        <v>2621</v>
      </c>
      <c r="AE495" s="144">
        <v>2265</v>
      </c>
      <c r="AF495" s="144">
        <v>1424</v>
      </c>
      <c r="AG495" s="215">
        <v>3577</v>
      </c>
      <c r="AH495" s="53">
        <v>2750</v>
      </c>
      <c r="AI495" s="53">
        <v>3275</v>
      </c>
      <c r="AJ495" s="53">
        <v>2423</v>
      </c>
      <c r="AK495" s="53">
        <v>892</v>
      </c>
      <c r="AL495" s="89">
        <v>818</v>
      </c>
      <c r="AM495" s="52">
        <v>2141</v>
      </c>
      <c r="AN495" s="52">
        <v>1720</v>
      </c>
      <c r="AO495" s="53">
        <v>3044</v>
      </c>
      <c r="AP495" s="53">
        <v>1871</v>
      </c>
      <c r="AQ495" s="53">
        <v>1816</v>
      </c>
      <c r="AR495" s="53">
        <v>1081</v>
      </c>
      <c r="AS495" s="52">
        <v>1950</v>
      </c>
      <c r="AT495" s="52">
        <v>5077</v>
      </c>
      <c r="AU495" s="52">
        <v>1263</v>
      </c>
      <c r="AV495" s="52">
        <v>813</v>
      </c>
      <c r="AW495" s="52">
        <v>1080</v>
      </c>
      <c r="AX495" s="51" t="s">
        <v>262</v>
      </c>
      <c r="AY495" s="53">
        <v>100</v>
      </c>
      <c r="AZ495" s="53" t="s">
        <v>262</v>
      </c>
      <c r="BA495" s="53">
        <v>500</v>
      </c>
      <c r="BB495" s="53">
        <v>750</v>
      </c>
      <c r="BC495" s="53">
        <v>750</v>
      </c>
      <c r="BD495" s="53">
        <v>500</v>
      </c>
      <c r="BE495" s="53">
        <v>800</v>
      </c>
      <c r="BF495" s="53">
        <v>1200</v>
      </c>
      <c r="BG495" s="53">
        <v>1000</v>
      </c>
      <c r="BH495" s="53">
        <v>1500</v>
      </c>
      <c r="BI495" s="53" t="s">
        <v>264</v>
      </c>
      <c r="BJ495" s="53" t="s">
        <v>264</v>
      </c>
      <c r="BK495" s="53" t="s">
        <v>264</v>
      </c>
      <c r="BL495" s="53" t="s">
        <v>264</v>
      </c>
      <c r="BM495" s="53">
        <v>200</v>
      </c>
      <c r="BN495" s="53">
        <v>50</v>
      </c>
      <c r="BO495" s="53">
        <v>200</v>
      </c>
      <c r="BP495" s="53">
        <v>75</v>
      </c>
      <c r="BQ495" s="53">
        <v>200</v>
      </c>
      <c r="BR495" s="53">
        <v>1500</v>
      </c>
      <c r="BS495" s="53">
        <v>1500</v>
      </c>
      <c r="BT495" s="53">
        <v>1500</v>
      </c>
      <c r="BU495" s="53">
        <v>400</v>
      </c>
      <c r="BV495" s="53">
        <v>1500</v>
      </c>
      <c r="BW495" s="53">
        <v>200</v>
      </c>
      <c r="BX495" s="53" t="s">
        <v>262</v>
      </c>
      <c r="BY495" s="53">
        <v>25</v>
      </c>
      <c r="BZ495" s="53">
        <v>200</v>
      </c>
      <c r="CA495" s="53">
        <v>400</v>
      </c>
      <c r="CB495" s="53">
        <v>750</v>
      </c>
      <c r="CC495" s="53">
        <v>750</v>
      </c>
      <c r="CD495" s="53">
        <v>400</v>
      </c>
      <c r="CE495" s="53">
        <v>400</v>
      </c>
      <c r="CF495" s="53">
        <v>750</v>
      </c>
      <c r="CG495" s="53">
        <v>400</v>
      </c>
      <c r="CH495" s="53">
        <v>3500</v>
      </c>
      <c r="CI495" s="53">
        <v>1500</v>
      </c>
      <c r="CJ495" s="53">
        <v>3500</v>
      </c>
      <c r="CK495" s="53">
        <v>3500</v>
      </c>
      <c r="CL495" s="53">
        <v>1500</v>
      </c>
      <c r="CM495" s="53">
        <v>400</v>
      </c>
      <c r="CN495" s="206"/>
      <c r="CO495" s="206"/>
      <c r="CP495" s="206"/>
      <c r="CQ495" s="8">
        <f t="shared" si="265"/>
        <v>25</v>
      </c>
      <c r="CR495" s="8">
        <f t="shared" si="266"/>
        <v>5077</v>
      </c>
      <c r="CS495" s="8">
        <f t="shared" si="267"/>
        <v>1558.6031746031747</v>
      </c>
      <c r="CT495">
        <f t="shared" si="268"/>
        <v>977.66059797841524</v>
      </c>
      <c r="CU495" s="143">
        <f t="shared" si="269"/>
        <v>2970.6</v>
      </c>
      <c r="CV495" s="143">
        <f t="shared" si="270"/>
        <v>2814.8333333333335</v>
      </c>
      <c r="CX495" s="7">
        <f t="shared" si="271"/>
        <v>109.99999999999997</v>
      </c>
      <c r="CY495" s="7">
        <f t="shared" si="272"/>
        <v>400</v>
      </c>
      <c r="CZ495" s="7">
        <f t="shared" si="273"/>
        <v>400</v>
      </c>
      <c r="DA495" s="7">
        <f t="shared" si="274"/>
        <v>500</v>
      </c>
      <c r="DB495" s="7">
        <f t="shared" si="275"/>
        <v>1263</v>
      </c>
      <c r="DC495" s="7">
        <f t="shared" si="276"/>
        <v>1500</v>
      </c>
      <c r="DD495" s="7">
        <f t="shared" si="277"/>
        <v>1748.8000000000004</v>
      </c>
      <c r="DE495" s="7">
        <f t="shared" si="278"/>
        <v>2212</v>
      </c>
      <c r="DF495" s="7">
        <f t="shared" si="279"/>
        <v>3169.2999999999993</v>
      </c>
      <c r="DH495" s="7">
        <f t="shared" si="280"/>
        <v>814.75</v>
      </c>
      <c r="DI495" s="7">
        <f t="shared" si="281"/>
        <v>1080.05</v>
      </c>
      <c r="DJ495" s="7">
        <f t="shared" si="282"/>
        <v>1153.8000000000002</v>
      </c>
      <c r="DK495" s="7">
        <f t="shared" si="283"/>
        <v>1383.75</v>
      </c>
      <c r="DL495" s="7">
        <f t="shared" si="284"/>
        <v>2157.5</v>
      </c>
      <c r="DM495" s="7">
        <f t="shared" si="285"/>
        <v>2462.6</v>
      </c>
      <c r="DN495" s="7">
        <f t="shared" si="286"/>
        <v>2691.9500000000003</v>
      </c>
      <c r="DO495" s="7">
        <f t="shared" si="287"/>
        <v>3088.75</v>
      </c>
      <c r="DP495" s="7">
        <f t="shared" si="288"/>
        <v>3561.8999999999996</v>
      </c>
    </row>
    <row r="496" spans="1:130" ht="25.5" hidden="1" customHeight="1" x14ac:dyDescent="0.25">
      <c r="A496" s="92" t="str">
        <f t="shared" si="289"/>
        <v>Pkodd-WVI [6]</v>
      </c>
      <c r="B496" s="92" t="str">
        <f t="shared" si="290"/>
        <v>West Vancouver Island</v>
      </c>
      <c r="C496" s="93" t="str">
        <f t="shared" si="262"/>
        <v>KAOUK RIVER_Pink</v>
      </c>
      <c r="D496" s="128" t="s">
        <v>598</v>
      </c>
      <c r="E496" s="128" t="s">
        <v>598</v>
      </c>
      <c r="F496" s="64">
        <v>26</v>
      </c>
      <c r="G496" s="72" t="s">
        <v>251</v>
      </c>
      <c r="H496" s="65" t="s">
        <v>95</v>
      </c>
      <c r="I496" s="119"/>
      <c r="J496" s="119"/>
      <c r="K496" s="64">
        <v>2</v>
      </c>
      <c r="L496" s="52">
        <v>11</v>
      </c>
      <c r="M496" s="52">
        <v>7</v>
      </c>
      <c r="N496" s="52">
        <f t="shared" si="294"/>
        <v>3.9620182380484676</v>
      </c>
      <c r="O496" s="52">
        <f t="shared" si="295"/>
        <v>75000</v>
      </c>
      <c r="P496" s="52">
        <f t="shared" si="296"/>
        <v>295.36516445643667</v>
      </c>
      <c r="Q496" s="66" t="s">
        <v>269</v>
      </c>
      <c r="R496" s="37"/>
      <c r="S496" s="74"/>
      <c r="T496" s="81">
        <f t="shared" si="263"/>
        <v>4</v>
      </c>
      <c r="U496" s="81">
        <f t="shared" si="264"/>
        <v>5.666666666666667</v>
      </c>
      <c r="V496" s="234" t="s">
        <v>262</v>
      </c>
      <c r="W496" s="213" t="s">
        <v>262</v>
      </c>
      <c r="X496" s="52">
        <v>5</v>
      </c>
      <c r="Y496" s="52">
        <v>3</v>
      </c>
      <c r="Z496" s="52" t="s">
        <v>262</v>
      </c>
      <c r="AA496" s="52" t="s">
        <v>263</v>
      </c>
      <c r="AB496" s="52">
        <v>1</v>
      </c>
      <c r="AC496" s="52">
        <v>9</v>
      </c>
      <c r="AD496" s="52" t="s">
        <v>262</v>
      </c>
      <c r="AE496" s="144">
        <v>8</v>
      </c>
      <c r="AF496" s="144" t="s">
        <v>262</v>
      </c>
      <c r="AG496" s="144">
        <v>8</v>
      </c>
      <c r="AH496" s="53">
        <v>13</v>
      </c>
      <c r="AI496" s="52" t="s">
        <v>262</v>
      </c>
      <c r="AJ496" s="53" t="s">
        <v>262</v>
      </c>
      <c r="AK496" s="53" t="s">
        <v>262</v>
      </c>
      <c r="AL496" s="89">
        <v>1</v>
      </c>
      <c r="AM496" s="52" t="s">
        <v>262</v>
      </c>
      <c r="AN496" s="52" t="s">
        <v>262</v>
      </c>
      <c r="AO496" s="53" t="s">
        <v>262</v>
      </c>
      <c r="AP496" s="53">
        <v>2</v>
      </c>
      <c r="AQ496" s="53">
        <v>12</v>
      </c>
      <c r="AR496" s="53">
        <v>1</v>
      </c>
      <c r="AS496" s="52">
        <v>10</v>
      </c>
      <c r="AT496" s="52">
        <v>1</v>
      </c>
      <c r="AU496" s="52">
        <v>11</v>
      </c>
      <c r="AV496" s="52">
        <v>23</v>
      </c>
      <c r="AW496" s="52" t="s">
        <v>262</v>
      </c>
      <c r="AX496" s="51" t="s">
        <v>262</v>
      </c>
      <c r="AY496" s="53" t="s">
        <v>262</v>
      </c>
      <c r="AZ496" s="53" t="s">
        <v>262</v>
      </c>
      <c r="BA496" s="53" t="s">
        <v>262</v>
      </c>
      <c r="BB496" s="53" t="s">
        <v>262</v>
      </c>
      <c r="BC496" s="53" t="s">
        <v>262</v>
      </c>
      <c r="BD496" s="53" t="s">
        <v>262</v>
      </c>
      <c r="BE496" s="53" t="s">
        <v>262</v>
      </c>
      <c r="BF496" s="53">
        <v>200</v>
      </c>
      <c r="BG496" s="53" t="s">
        <v>264</v>
      </c>
      <c r="BH496" s="53">
        <v>200</v>
      </c>
      <c r="BI496" s="53" t="s">
        <v>264</v>
      </c>
      <c r="BJ496" s="53">
        <v>1500</v>
      </c>
      <c r="BK496" s="53" t="s">
        <v>264</v>
      </c>
      <c r="BL496" s="53">
        <v>9700</v>
      </c>
      <c r="BM496" s="53" t="s">
        <v>264</v>
      </c>
      <c r="BN496" s="53">
        <v>10000</v>
      </c>
      <c r="BO496" s="53" t="s">
        <v>264</v>
      </c>
      <c r="BP496" s="53">
        <v>35000</v>
      </c>
      <c r="BQ496" s="53" t="s">
        <v>264</v>
      </c>
      <c r="BR496" s="53">
        <v>15000</v>
      </c>
      <c r="BS496" s="53" t="s">
        <v>264</v>
      </c>
      <c r="BT496" s="53">
        <v>75000</v>
      </c>
      <c r="BU496" s="53">
        <v>25</v>
      </c>
      <c r="BV496" s="53">
        <v>15000</v>
      </c>
      <c r="BW496" s="53" t="s">
        <v>264</v>
      </c>
      <c r="BX496" s="53">
        <v>7500</v>
      </c>
      <c r="BY496" s="53">
        <v>25</v>
      </c>
      <c r="BZ496" s="53">
        <v>7500</v>
      </c>
      <c r="CA496" s="53">
        <v>200</v>
      </c>
      <c r="CB496" s="53">
        <v>400</v>
      </c>
      <c r="CC496" s="53" t="s">
        <v>262</v>
      </c>
      <c r="CD496" s="53">
        <v>400</v>
      </c>
      <c r="CE496" s="53" t="s">
        <v>264</v>
      </c>
      <c r="CF496" s="53">
        <v>1500</v>
      </c>
      <c r="CG496" s="53" t="s">
        <v>264</v>
      </c>
      <c r="CH496" s="53">
        <v>3500</v>
      </c>
      <c r="CI496" s="53" t="s">
        <v>262</v>
      </c>
      <c r="CJ496" s="53">
        <v>1500</v>
      </c>
      <c r="CK496" s="53" t="s">
        <v>264</v>
      </c>
      <c r="CL496" s="53">
        <v>800</v>
      </c>
      <c r="CM496" s="53" t="s">
        <v>264</v>
      </c>
      <c r="CN496" s="206"/>
      <c r="CO496" s="206"/>
      <c r="CP496" s="206"/>
      <c r="CQ496" s="8">
        <f t="shared" si="265"/>
        <v>1</v>
      </c>
      <c r="CR496" s="8">
        <f t="shared" si="266"/>
        <v>75000</v>
      </c>
      <c r="CS496" s="8">
        <f t="shared" si="267"/>
        <v>5287.3714285714286</v>
      </c>
      <c r="CT496">
        <f t="shared" si="268"/>
        <v>132.00372678784368</v>
      </c>
      <c r="CU496" s="143">
        <f t="shared" si="269"/>
        <v>4</v>
      </c>
      <c r="CV496" s="143">
        <f t="shared" si="270"/>
        <v>5.666666666666667</v>
      </c>
      <c r="CX496" s="7">
        <f t="shared" si="271"/>
        <v>1</v>
      </c>
      <c r="CY496" s="7">
        <f t="shared" si="272"/>
        <v>3.1999999999999993</v>
      </c>
      <c r="CZ496" s="7">
        <f t="shared" si="273"/>
        <v>7.4000000000000021</v>
      </c>
      <c r="DA496" s="7">
        <f t="shared" si="274"/>
        <v>8.5</v>
      </c>
      <c r="DB496" s="7">
        <f t="shared" si="275"/>
        <v>200</v>
      </c>
      <c r="DC496" s="7">
        <f t="shared" si="276"/>
        <v>400</v>
      </c>
      <c r="DD496" s="7">
        <f t="shared" si="277"/>
        <v>870.00000000000102</v>
      </c>
      <c r="DE496" s="7">
        <f t="shared" si="278"/>
        <v>2500</v>
      </c>
      <c r="DF496" s="7">
        <f t="shared" si="279"/>
        <v>9479.9999999999964</v>
      </c>
      <c r="DH496" s="7">
        <f t="shared" si="280"/>
        <v>1</v>
      </c>
      <c r="DI496" s="7">
        <f t="shared" si="281"/>
        <v>1</v>
      </c>
      <c r="DJ496" s="7">
        <f t="shared" si="282"/>
        <v>1</v>
      </c>
      <c r="DK496" s="7">
        <f t="shared" si="283"/>
        <v>1.5</v>
      </c>
      <c r="DL496" s="7">
        <f t="shared" si="284"/>
        <v>8</v>
      </c>
      <c r="DM496" s="7">
        <f t="shared" si="285"/>
        <v>8.4</v>
      </c>
      <c r="DN496" s="7">
        <f t="shared" si="286"/>
        <v>9.1</v>
      </c>
      <c r="DO496" s="7">
        <f t="shared" si="287"/>
        <v>10.5</v>
      </c>
      <c r="DP496" s="7">
        <f t="shared" si="288"/>
        <v>11.9</v>
      </c>
    </row>
    <row r="497" spans="1:130" ht="25.5" hidden="1" customHeight="1" x14ac:dyDescent="0.25">
      <c r="A497" s="92" t="str">
        <f t="shared" si="289"/>
        <v>SK-WVI [R10]</v>
      </c>
      <c r="B497" s="92" t="str">
        <f t="shared" si="290"/>
        <v>West Vancouver Island</v>
      </c>
      <c r="C497" s="93" t="str">
        <f t="shared" si="262"/>
        <v>KAOUK RIVER_Sockeye</v>
      </c>
      <c r="D497" s="128" t="s">
        <v>598</v>
      </c>
      <c r="E497" s="128" t="s">
        <v>598</v>
      </c>
      <c r="F497" s="64">
        <v>26</v>
      </c>
      <c r="G497" s="72" t="s">
        <v>251</v>
      </c>
      <c r="H497" s="65" t="s">
        <v>91</v>
      </c>
      <c r="I497" s="119"/>
      <c r="J497" s="119"/>
      <c r="K497" s="64">
        <v>2</v>
      </c>
      <c r="L497" s="52">
        <v>11</v>
      </c>
      <c r="M497" s="52">
        <v>10</v>
      </c>
      <c r="N497" s="52">
        <f t="shared" si="294"/>
        <v>26.672348996468944</v>
      </c>
      <c r="O497" s="52">
        <f t="shared" si="295"/>
        <v>534</v>
      </c>
      <c r="P497" s="52">
        <f t="shared" si="296"/>
        <v>33.681471195692303</v>
      </c>
      <c r="Q497" s="66" t="s">
        <v>269</v>
      </c>
      <c r="R497" s="37"/>
      <c r="S497" s="74"/>
      <c r="T497" s="81">
        <f t="shared" si="263"/>
        <v>26.25</v>
      </c>
      <c r="U497" s="81">
        <f t="shared" si="264"/>
        <v>63.083333333333336</v>
      </c>
      <c r="V497" s="144">
        <v>25</v>
      </c>
      <c r="W497" s="235">
        <v>15</v>
      </c>
      <c r="X497" s="52">
        <v>62</v>
      </c>
      <c r="Y497" s="52">
        <v>3</v>
      </c>
      <c r="Z497" s="52">
        <v>12</v>
      </c>
      <c r="AA497" s="52">
        <v>9</v>
      </c>
      <c r="AB497" s="52">
        <v>50</v>
      </c>
      <c r="AC497" s="52">
        <v>120</v>
      </c>
      <c r="AD497" s="52">
        <v>54</v>
      </c>
      <c r="AE497" s="144">
        <v>85</v>
      </c>
      <c r="AF497" s="144">
        <v>89</v>
      </c>
      <c r="AG497" s="144">
        <v>233</v>
      </c>
      <c r="AH497" s="142"/>
      <c r="AI497" s="53">
        <v>44</v>
      </c>
      <c r="AJ497" s="53">
        <v>24</v>
      </c>
      <c r="AK497" s="53">
        <v>45</v>
      </c>
      <c r="AL497" s="89">
        <v>1</v>
      </c>
      <c r="AM497" s="52">
        <v>20</v>
      </c>
      <c r="AN497" s="52" t="s">
        <v>262</v>
      </c>
      <c r="AO497" s="53">
        <v>6</v>
      </c>
      <c r="AP497" s="53">
        <v>3</v>
      </c>
      <c r="AQ497" s="53">
        <v>21</v>
      </c>
      <c r="AR497" s="53">
        <v>10</v>
      </c>
      <c r="AS497" s="52">
        <v>109</v>
      </c>
      <c r="AT497" s="52">
        <v>212</v>
      </c>
      <c r="AU497" s="52">
        <v>534</v>
      </c>
      <c r="AV497" s="52">
        <v>52</v>
      </c>
      <c r="AW497" s="52">
        <v>66</v>
      </c>
      <c r="AX497" s="51">
        <v>200</v>
      </c>
      <c r="AY497" s="53">
        <v>200</v>
      </c>
      <c r="AZ497" s="53" t="s">
        <v>262</v>
      </c>
      <c r="BA497" s="53" t="s">
        <v>262</v>
      </c>
      <c r="BB497" s="53" t="s">
        <v>262</v>
      </c>
      <c r="BC497" s="53">
        <v>100</v>
      </c>
      <c r="BD497" s="53" t="s">
        <v>264</v>
      </c>
      <c r="BE497" s="53" t="s">
        <v>264</v>
      </c>
      <c r="BF497" s="53" t="s">
        <v>264</v>
      </c>
      <c r="BG497" s="53" t="s">
        <v>264</v>
      </c>
      <c r="BH497" s="53" t="s">
        <v>262</v>
      </c>
      <c r="BI497" s="53" t="s">
        <v>264</v>
      </c>
      <c r="BJ497" s="53" t="s">
        <v>264</v>
      </c>
      <c r="BK497" s="53" t="s">
        <v>264</v>
      </c>
      <c r="BL497" s="53" t="s">
        <v>264</v>
      </c>
      <c r="BM497" s="53" t="s">
        <v>264</v>
      </c>
      <c r="BN497" s="53" t="s">
        <v>262</v>
      </c>
      <c r="BO497" s="53" t="s">
        <v>264</v>
      </c>
      <c r="BP497" s="53">
        <v>25</v>
      </c>
      <c r="BQ497" s="53" t="s">
        <v>264</v>
      </c>
      <c r="BR497" s="53" t="s">
        <v>264</v>
      </c>
      <c r="BS497" s="53" t="s">
        <v>264</v>
      </c>
      <c r="BT497" s="53" t="s">
        <v>264</v>
      </c>
      <c r="BU497" s="53" t="s">
        <v>264</v>
      </c>
      <c r="BV497" s="53" t="s">
        <v>264</v>
      </c>
      <c r="BW497" s="53" t="s">
        <v>264</v>
      </c>
      <c r="BX497" s="53" t="s">
        <v>264</v>
      </c>
      <c r="BY497" s="53" t="s">
        <v>264</v>
      </c>
      <c r="BZ497" s="53" t="s">
        <v>264</v>
      </c>
      <c r="CA497" s="53" t="s">
        <v>264</v>
      </c>
      <c r="CB497" s="53" t="s">
        <v>264</v>
      </c>
      <c r="CC497" s="53" t="s">
        <v>264</v>
      </c>
      <c r="CD497" s="53" t="s">
        <v>264</v>
      </c>
      <c r="CE497" s="53" t="s">
        <v>264</v>
      </c>
      <c r="CF497" s="53" t="s">
        <v>264</v>
      </c>
      <c r="CG497" s="53" t="s">
        <v>264</v>
      </c>
      <c r="CH497" s="53" t="s">
        <v>264</v>
      </c>
      <c r="CI497" s="53" t="s">
        <v>264</v>
      </c>
      <c r="CJ497" s="53" t="s">
        <v>264</v>
      </c>
      <c r="CK497" s="53" t="s">
        <v>264</v>
      </c>
      <c r="CL497" s="53">
        <v>9</v>
      </c>
      <c r="CM497" s="53" t="s">
        <v>264</v>
      </c>
      <c r="CN497" s="206"/>
      <c r="CO497" s="206"/>
      <c r="CP497" s="206"/>
      <c r="CQ497" s="8">
        <f t="shared" si="265"/>
        <v>1</v>
      </c>
      <c r="CR497" s="8">
        <f t="shared" si="266"/>
        <v>534</v>
      </c>
      <c r="CS497" s="8">
        <f t="shared" si="267"/>
        <v>78.645161290322577</v>
      </c>
      <c r="CT497">
        <f t="shared" si="268"/>
        <v>34.751472268740969</v>
      </c>
      <c r="CU497" s="143">
        <f t="shared" si="269"/>
        <v>23.4</v>
      </c>
      <c r="CV497" s="143">
        <f t="shared" si="270"/>
        <v>63.083333333333336</v>
      </c>
      <c r="CX497" s="7">
        <f t="shared" si="271"/>
        <v>3</v>
      </c>
      <c r="CY497" s="7">
        <f t="shared" si="272"/>
        <v>9</v>
      </c>
      <c r="CZ497" s="7">
        <f t="shared" si="273"/>
        <v>10</v>
      </c>
      <c r="DA497" s="7">
        <f t="shared" si="274"/>
        <v>13.5</v>
      </c>
      <c r="DB497" s="7">
        <f t="shared" si="275"/>
        <v>45</v>
      </c>
      <c r="DC497" s="7">
        <f t="shared" si="276"/>
        <v>54</v>
      </c>
      <c r="DD497" s="7">
        <f t="shared" si="277"/>
        <v>64</v>
      </c>
      <c r="DE497" s="7">
        <f t="shared" si="278"/>
        <v>94.5</v>
      </c>
      <c r="DF497" s="7">
        <f t="shared" si="279"/>
        <v>160</v>
      </c>
      <c r="DH497" s="7">
        <f t="shared" si="280"/>
        <v>3</v>
      </c>
      <c r="DI497" s="7">
        <f t="shared" si="281"/>
        <v>8.25</v>
      </c>
      <c r="DJ497" s="7">
        <f t="shared" si="282"/>
        <v>10</v>
      </c>
      <c r="DK497" s="7">
        <f t="shared" si="283"/>
        <v>12.75</v>
      </c>
      <c r="DL497" s="7">
        <f t="shared" si="284"/>
        <v>44.5</v>
      </c>
      <c r="DM497" s="7">
        <f t="shared" si="285"/>
        <v>52</v>
      </c>
      <c r="DN497" s="7">
        <f t="shared" si="286"/>
        <v>56</v>
      </c>
      <c r="DO497" s="7">
        <f t="shared" si="287"/>
        <v>80.25</v>
      </c>
      <c r="DP497" s="7">
        <f t="shared" si="288"/>
        <v>111.75</v>
      </c>
    </row>
    <row r="498" spans="1:130" ht="25.5" customHeight="1" x14ac:dyDescent="0.25">
      <c r="A498" s="92" t="str">
        <f t="shared" ref="A498:A529" si="297">VLOOKUP(C498,CU,6,FALSE)</f>
        <v>CK-NoKy [32]</v>
      </c>
      <c r="B498" s="92" t="str">
        <f t="shared" ref="B498:B529" si="298">VLOOKUP(C498,CU,7,FALSE)</f>
        <v>Nootka and Kyuquot</v>
      </c>
      <c r="C498" s="93" t="str">
        <f t="shared" si="262"/>
        <v>KASHUTL RIVER_Chinook</v>
      </c>
      <c r="D498" s="128" t="s">
        <v>598</v>
      </c>
      <c r="E498" s="128" t="s">
        <v>598</v>
      </c>
      <c r="F498" s="64">
        <v>26</v>
      </c>
      <c r="G498" s="72" t="s">
        <v>256</v>
      </c>
      <c r="H498" s="65" t="s">
        <v>97</v>
      </c>
      <c r="I498" s="119"/>
      <c r="J498" s="119"/>
      <c r="K498" s="64">
        <v>3</v>
      </c>
      <c r="L498" s="52">
        <v>10</v>
      </c>
      <c r="M498" s="52">
        <v>6</v>
      </c>
      <c r="N498" s="52">
        <f t="shared" si="294"/>
        <v>48.989794855663561</v>
      </c>
      <c r="O498" s="52">
        <f t="shared" si="295"/>
        <v>75</v>
      </c>
      <c r="P498" s="52">
        <f t="shared" si="296"/>
        <v>28.862735021655563</v>
      </c>
      <c r="Q498" s="66" t="s">
        <v>271</v>
      </c>
      <c r="R498" s="37"/>
      <c r="S498" s="74" t="s">
        <v>438</v>
      </c>
      <c r="T498" s="81">
        <f t="shared" si="263"/>
        <v>1</v>
      </c>
      <c r="U498" s="81">
        <f t="shared" si="264"/>
        <v>2.8</v>
      </c>
      <c r="V498" s="234" t="s">
        <v>102</v>
      </c>
      <c r="W498" s="234" t="s">
        <v>102</v>
      </c>
      <c r="X498" s="52" t="s">
        <v>262</v>
      </c>
      <c r="Y498" s="52">
        <v>1</v>
      </c>
      <c r="Z498" s="52">
        <v>4</v>
      </c>
      <c r="AA498" s="52">
        <v>8</v>
      </c>
      <c r="AB498" s="52">
        <v>0</v>
      </c>
      <c r="AC498" s="52" t="s">
        <v>263</v>
      </c>
      <c r="AD498" s="52" t="s">
        <v>263</v>
      </c>
      <c r="AE498" s="53" t="s">
        <v>262</v>
      </c>
      <c r="AF498" s="144" t="s">
        <v>263</v>
      </c>
      <c r="AG498" s="144">
        <v>1</v>
      </c>
      <c r="AH498" s="52" t="s">
        <v>102</v>
      </c>
      <c r="AI498" s="52" t="s">
        <v>102</v>
      </c>
      <c r="AJ498" s="52" t="s">
        <v>102</v>
      </c>
      <c r="AK498" s="52" t="s">
        <v>102</v>
      </c>
      <c r="AL498" s="52" t="s">
        <v>102</v>
      </c>
      <c r="AM498" s="52" t="s">
        <v>102</v>
      </c>
      <c r="AN498" s="52" t="s">
        <v>262</v>
      </c>
      <c r="AO498" s="52" t="s">
        <v>262</v>
      </c>
      <c r="AP498" s="52" t="s">
        <v>262</v>
      </c>
      <c r="AQ498" s="52" t="s">
        <v>262</v>
      </c>
      <c r="AR498" s="52" t="s">
        <v>263</v>
      </c>
      <c r="AS498" s="52" t="s">
        <v>263</v>
      </c>
      <c r="AT498" s="52">
        <v>60</v>
      </c>
      <c r="AU498" s="52">
        <v>40</v>
      </c>
      <c r="AV498" s="52" t="s">
        <v>262</v>
      </c>
      <c r="AW498" s="52" t="s">
        <v>263</v>
      </c>
      <c r="AX498" s="51" t="s">
        <v>262</v>
      </c>
      <c r="AY498" s="53" t="s">
        <v>262</v>
      </c>
      <c r="AZ498" s="53">
        <v>20</v>
      </c>
      <c r="BA498" s="53">
        <v>65</v>
      </c>
      <c r="BB498" s="53" t="s">
        <v>262</v>
      </c>
      <c r="BC498" s="53">
        <v>25</v>
      </c>
      <c r="BD498" s="53" t="s">
        <v>264</v>
      </c>
      <c r="BE498" s="53" t="s">
        <v>264</v>
      </c>
      <c r="BF498" s="53" t="s">
        <v>264</v>
      </c>
      <c r="BG498" s="53" t="s">
        <v>264</v>
      </c>
      <c r="BH498" s="53" t="s">
        <v>262</v>
      </c>
      <c r="BI498" s="53" t="s">
        <v>264</v>
      </c>
      <c r="BJ498" s="53" t="s">
        <v>264</v>
      </c>
      <c r="BK498" s="53" t="s">
        <v>264</v>
      </c>
      <c r="BL498" s="53" t="s">
        <v>262</v>
      </c>
      <c r="BM498" s="53">
        <v>12</v>
      </c>
      <c r="BN498" s="53" t="s">
        <v>262</v>
      </c>
      <c r="BO498" s="53" t="s">
        <v>264</v>
      </c>
      <c r="BP498" s="53" t="s">
        <v>264</v>
      </c>
      <c r="BQ498" s="53">
        <v>25</v>
      </c>
      <c r="BR498" s="53">
        <v>25</v>
      </c>
      <c r="BS498" s="53" t="s">
        <v>264</v>
      </c>
      <c r="BT498" s="53" t="s">
        <v>264</v>
      </c>
      <c r="BU498" s="53" t="s">
        <v>264</v>
      </c>
      <c r="BV498" s="53" t="s">
        <v>264</v>
      </c>
      <c r="BW498" s="53">
        <v>25</v>
      </c>
      <c r="BX498" s="53">
        <v>25</v>
      </c>
      <c r="BY498" s="53" t="s">
        <v>264</v>
      </c>
      <c r="BZ498" s="53">
        <v>25</v>
      </c>
      <c r="CA498" s="53" t="s">
        <v>262</v>
      </c>
      <c r="CB498" s="53" t="s">
        <v>262</v>
      </c>
      <c r="CC498" s="53" t="s">
        <v>262</v>
      </c>
      <c r="CD498" s="53" t="s">
        <v>262</v>
      </c>
      <c r="CE498" s="53">
        <v>25</v>
      </c>
      <c r="CF498" s="53">
        <v>25</v>
      </c>
      <c r="CG498" s="53" t="s">
        <v>262</v>
      </c>
      <c r="CH498" s="53" t="s">
        <v>264</v>
      </c>
      <c r="CI498" s="53">
        <v>25</v>
      </c>
      <c r="CJ498" s="53">
        <v>25</v>
      </c>
      <c r="CK498" s="53">
        <v>25</v>
      </c>
      <c r="CL498" s="53" t="s">
        <v>264</v>
      </c>
      <c r="CM498" s="53">
        <v>75</v>
      </c>
      <c r="CN498" s="209"/>
      <c r="CO498" s="209"/>
      <c r="CP498" s="209"/>
      <c r="CQ498" s="8">
        <f t="shared" si="265"/>
        <v>0</v>
      </c>
      <c r="CR498" s="8">
        <f t="shared" si="266"/>
        <v>75</v>
      </c>
      <c r="CS498" s="8">
        <f t="shared" si="267"/>
        <v>25.5</v>
      </c>
      <c r="CT498" t="e">
        <f t="shared" si="268"/>
        <v>#NUM!</v>
      </c>
      <c r="CU498" s="143">
        <f t="shared" si="269"/>
        <v>2.5</v>
      </c>
      <c r="CV498" s="143">
        <f t="shared" si="270"/>
        <v>2.8</v>
      </c>
      <c r="CX498" s="7">
        <f t="shared" si="271"/>
        <v>1</v>
      </c>
      <c r="CY498" s="7">
        <f t="shared" si="272"/>
        <v>4.6000000000000014</v>
      </c>
      <c r="CZ498" s="7">
        <f t="shared" si="273"/>
        <v>8.8000000000000007</v>
      </c>
      <c r="DA498" s="7">
        <f t="shared" si="274"/>
        <v>14</v>
      </c>
      <c r="DB498" s="7">
        <f t="shared" si="275"/>
        <v>25</v>
      </c>
      <c r="DC498" s="7">
        <f t="shared" si="276"/>
        <v>25</v>
      </c>
      <c r="DD498" s="7">
        <f t="shared" si="277"/>
        <v>25</v>
      </c>
      <c r="DE498" s="7">
        <f t="shared" si="278"/>
        <v>25</v>
      </c>
      <c r="DF498" s="7">
        <f t="shared" si="279"/>
        <v>37.749999999999972</v>
      </c>
      <c r="DH498" s="7">
        <f t="shared" si="280"/>
        <v>0.30000000000000004</v>
      </c>
      <c r="DI498" s="7">
        <f t="shared" si="281"/>
        <v>0.89999999999999991</v>
      </c>
      <c r="DJ498" s="7">
        <f t="shared" si="282"/>
        <v>1</v>
      </c>
      <c r="DK498" s="7">
        <f t="shared" si="283"/>
        <v>1</v>
      </c>
      <c r="DL498" s="7">
        <f t="shared" si="284"/>
        <v>4</v>
      </c>
      <c r="DM498" s="7">
        <f t="shared" si="285"/>
        <v>6.3999999999999986</v>
      </c>
      <c r="DN498" s="7">
        <f t="shared" si="286"/>
        <v>7.6000000000000014</v>
      </c>
      <c r="DO498" s="7">
        <f t="shared" si="287"/>
        <v>24</v>
      </c>
      <c r="DP498" s="7">
        <f t="shared" si="288"/>
        <v>41.999999999999993</v>
      </c>
      <c r="DR498" s="7">
        <f>_xlfn.PERCENTILE.INC((Y498:AJ498,AL498:AM498,AO498:AW498),0.05)</f>
        <v>0.30000000000000004</v>
      </c>
      <c r="DS498" s="7">
        <f>_xlfn.PERCENTILE.INC((Y498:AJ498,AL498:AM498,AO498:AW498),0.15)</f>
        <v>0.89999999999999991</v>
      </c>
      <c r="DT498" s="7">
        <f>_xlfn.PERCENTILE.INC((Y498:AJ498,AL498:AM498,AO498:AW498),0.2)</f>
        <v>1</v>
      </c>
      <c r="DU498" s="7">
        <f>_xlfn.PERCENTILE.INC((Y498:AJ498,AL498:AM498,AO498:AW498),0.25)</f>
        <v>1</v>
      </c>
      <c r="DV498" s="7">
        <f>_xlfn.PERCENTILE.INC((Y498:AJ498,AL498:AM498,AO498:AW498),0.5)</f>
        <v>4</v>
      </c>
      <c r="DW498" s="7">
        <f>_xlfn.PERCENTILE.INC((Y498:AJ498,AL498:AM498,AO498:AW498),0.6)</f>
        <v>6.3999999999999986</v>
      </c>
      <c r="DX498" s="7">
        <f>_xlfn.PERCENTILE.INC((Y498:AJ498,AL498:AM498,AO498:AW498),0.65)</f>
        <v>7.6000000000000014</v>
      </c>
      <c r="DY498" s="7">
        <f>_xlfn.PERCENTILE.INC((Y498:AJ498,AL498:AM498,AO498:AW498),0.75)</f>
        <v>24</v>
      </c>
      <c r="DZ498" s="7">
        <f>_xlfn.PERCENTILE.INC((Y498:AJ498,AL498:AM498,AO498:AW498),0.85)</f>
        <v>41.999999999999993</v>
      </c>
    </row>
    <row r="499" spans="1:130" ht="25.5" hidden="1" customHeight="1" x14ac:dyDescent="0.25">
      <c r="A499" s="92" t="str">
        <f t="shared" si="297"/>
        <v>CM-SWVI [10]</v>
      </c>
      <c r="B499" s="92" t="str">
        <f t="shared" si="298"/>
        <v>Southwest Vancouver Island</v>
      </c>
      <c r="C499" s="93" t="str">
        <f t="shared" si="262"/>
        <v>KASHUTL RIVER_Chum</v>
      </c>
      <c r="D499" s="128" t="s">
        <v>598</v>
      </c>
      <c r="E499" s="128" t="s">
        <v>598</v>
      </c>
      <c r="F499" s="64">
        <v>26</v>
      </c>
      <c r="G499" s="72" t="s">
        <v>256</v>
      </c>
      <c r="H499" s="65" t="s">
        <v>96</v>
      </c>
      <c r="I499" s="119"/>
      <c r="J499" s="119"/>
      <c r="K499" s="64">
        <v>3</v>
      </c>
      <c r="L499" s="52">
        <v>10</v>
      </c>
      <c r="M499" s="52">
        <v>10</v>
      </c>
      <c r="N499" s="52">
        <f t="shared" si="294"/>
        <v>1744.528730325924</v>
      </c>
      <c r="O499" s="52">
        <f t="shared" si="295"/>
        <v>19000</v>
      </c>
      <c r="P499" s="52">
        <f t="shared" si="296"/>
        <v>2583.8663635856092</v>
      </c>
      <c r="Q499" s="66" t="s">
        <v>271</v>
      </c>
      <c r="R499" s="37"/>
      <c r="S499" s="74" t="s">
        <v>439</v>
      </c>
      <c r="T499" s="81">
        <f t="shared" si="263"/>
        <v>97</v>
      </c>
      <c r="U499" s="81">
        <f t="shared" si="264"/>
        <v>1674.3</v>
      </c>
      <c r="V499" s="234" t="s">
        <v>102</v>
      </c>
      <c r="W499" s="234" t="s">
        <v>102</v>
      </c>
      <c r="X499" s="52">
        <v>56</v>
      </c>
      <c r="Y499" s="52">
        <v>138</v>
      </c>
      <c r="Z499" s="52">
        <v>607</v>
      </c>
      <c r="AA499" s="52">
        <v>147</v>
      </c>
      <c r="AB499" s="52">
        <v>151</v>
      </c>
      <c r="AC499" s="52">
        <v>337</v>
      </c>
      <c r="AD499" s="52">
        <v>97</v>
      </c>
      <c r="AE499" s="53">
        <v>2716</v>
      </c>
      <c r="AF499" s="144">
        <v>9532</v>
      </c>
      <c r="AG499" s="144">
        <v>2962</v>
      </c>
      <c r="AH499" s="52" t="s">
        <v>102</v>
      </c>
      <c r="AI499" s="52" t="s">
        <v>102</v>
      </c>
      <c r="AJ499" s="52" t="s">
        <v>102</v>
      </c>
      <c r="AK499" s="52" t="s">
        <v>102</v>
      </c>
      <c r="AL499" s="52" t="s">
        <v>102</v>
      </c>
      <c r="AM499" s="52" t="s">
        <v>102</v>
      </c>
      <c r="AN499" s="52">
        <v>1866</v>
      </c>
      <c r="AO499" s="52">
        <v>203</v>
      </c>
      <c r="AP499" s="52">
        <v>425</v>
      </c>
      <c r="AQ499" s="52">
        <v>1385</v>
      </c>
      <c r="AR499" s="52" t="s">
        <v>263</v>
      </c>
      <c r="AS499" s="52" t="s">
        <v>263</v>
      </c>
      <c r="AT499" s="52">
        <v>19000</v>
      </c>
      <c r="AU499" s="52">
        <v>8100</v>
      </c>
      <c r="AV499" s="52">
        <v>2500</v>
      </c>
      <c r="AW499" s="52">
        <v>1000</v>
      </c>
      <c r="AX499" s="51">
        <v>4500</v>
      </c>
      <c r="AY499" s="53">
        <v>8000</v>
      </c>
      <c r="AZ499" s="53">
        <v>15000</v>
      </c>
      <c r="BA499" s="53">
        <v>4500</v>
      </c>
      <c r="BB499" s="53">
        <v>1900</v>
      </c>
      <c r="BC499" s="53">
        <v>650</v>
      </c>
      <c r="BD499" s="53">
        <v>3500</v>
      </c>
      <c r="BE499" s="53">
        <v>5000</v>
      </c>
      <c r="BF499" s="53">
        <v>10000</v>
      </c>
      <c r="BG499" s="53">
        <v>7000</v>
      </c>
      <c r="BH499" s="53">
        <v>6000</v>
      </c>
      <c r="BI499" s="53">
        <v>1500</v>
      </c>
      <c r="BJ499" s="53">
        <v>11000</v>
      </c>
      <c r="BK499" s="53">
        <v>2000</v>
      </c>
      <c r="BL499" s="53">
        <v>5000</v>
      </c>
      <c r="BM499" s="53">
        <v>350</v>
      </c>
      <c r="BN499" s="53">
        <v>4500</v>
      </c>
      <c r="BO499" s="53">
        <v>1500</v>
      </c>
      <c r="BP499" s="53">
        <v>400</v>
      </c>
      <c r="BQ499" s="53">
        <v>400</v>
      </c>
      <c r="BR499" s="53">
        <v>7500</v>
      </c>
      <c r="BS499" s="53">
        <v>3500</v>
      </c>
      <c r="BT499" s="53">
        <v>750</v>
      </c>
      <c r="BU499" s="53">
        <v>3500</v>
      </c>
      <c r="BV499" s="53">
        <v>7500</v>
      </c>
      <c r="BW499" s="53">
        <v>3500</v>
      </c>
      <c r="BX499" s="53">
        <v>3500</v>
      </c>
      <c r="BY499" s="53">
        <v>3500</v>
      </c>
      <c r="BZ499" s="53">
        <v>7500</v>
      </c>
      <c r="CA499" s="53">
        <v>1500</v>
      </c>
      <c r="CB499" s="53">
        <v>3500</v>
      </c>
      <c r="CC499" s="53">
        <v>750</v>
      </c>
      <c r="CD499" s="53">
        <v>1500</v>
      </c>
      <c r="CE499" s="53">
        <v>1500</v>
      </c>
      <c r="CF499" s="53">
        <v>3500</v>
      </c>
      <c r="CG499" s="53">
        <v>3500</v>
      </c>
      <c r="CH499" s="53">
        <v>7500</v>
      </c>
      <c r="CI499" s="53">
        <v>3500</v>
      </c>
      <c r="CJ499" s="53">
        <v>1500</v>
      </c>
      <c r="CK499" s="53">
        <v>400</v>
      </c>
      <c r="CL499" s="53">
        <v>3500</v>
      </c>
      <c r="CM499" s="53">
        <v>3500</v>
      </c>
      <c r="CN499" s="206"/>
      <c r="CO499" s="206"/>
      <c r="CP499" s="206"/>
      <c r="CQ499" s="8">
        <f t="shared" si="265"/>
        <v>56</v>
      </c>
      <c r="CR499" s="8">
        <f t="shared" si="266"/>
        <v>19000</v>
      </c>
      <c r="CS499" s="8">
        <f t="shared" si="267"/>
        <v>3672.0333333333333</v>
      </c>
      <c r="CT499">
        <f t="shared" si="268"/>
        <v>1922.3651436833024</v>
      </c>
      <c r="CU499" s="143">
        <f t="shared" si="269"/>
        <v>267</v>
      </c>
      <c r="CV499" s="143">
        <f t="shared" si="270"/>
        <v>1674.3</v>
      </c>
      <c r="CX499" s="7">
        <f t="shared" si="271"/>
        <v>146.55000000000001</v>
      </c>
      <c r="CY499" s="7">
        <f t="shared" si="272"/>
        <v>400</v>
      </c>
      <c r="CZ499" s="7">
        <f t="shared" si="273"/>
        <v>570.60000000000014</v>
      </c>
      <c r="DA499" s="7">
        <f t="shared" si="274"/>
        <v>750</v>
      </c>
      <c r="DB499" s="7">
        <f t="shared" si="275"/>
        <v>3231</v>
      </c>
      <c r="DC499" s="7">
        <f t="shared" si="276"/>
        <v>3500</v>
      </c>
      <c r="DD499" s="7">
        <f t="shared" si="277"/>
        <v>3500</v>
      </c>
      <c r="DE499" s="7">
        <f t="shared" si="278"/>
        <v>4625</v>
      </c>
      <c r="DF499" s="7">
        <f t="shared" si="279"/>
        <v>7500</v>
      </c>
      <c r="DH499" s="7">
        <f t="shared" si="280"/>
        <v>90.85</v>
      </c>
      <c r="DI499" s="7">
        <f t="shared" si="281"/>
        <v>142.94999999999999</v>
      </c>
      <c r="DJ499" s="7">
        <f t="shared" si="282"/>
        <v>148.6</v>
      </c>
      <c r="DK499" s="7">
        <f t="shared" si="283"/>
        <v>164</v>
      </c>
      <c r="DL499" s="7">
        <f t="shared" si="284"/>
        <v>803.5</v>
      </c>
      <c r="DM499" s="7">
        <f t="shared" si="285"/>
        <v>1481.1999999999996</v>
      </c>
      <c r="DN499" s="7">
        <f t="shared" si="286"/>
        <v>1897.7000000000005</v>
      </c>
      <c r="DO499" s="7">
        <f t="shared" si="287"/>
        <v>2662</v>
      </c>
      <c r="DP499" s="7">
        <f t="shared" si="288"/>
        <v>5274.0999999999967</v>
      </c>
    </row>
    <row r="500" spans="1:130" ht="25.5" hidden="1" customHeight="1" x14ac:dyDescent="0.25">
      <c r="A500" s="92" t="str">
        <f t="shared" si="297"/>
        <v>CO-WVI [17]</v>
      </c>
      <c r="B500" s="92" t="str">
        <f t="shared" si="298"/>
        <v>West Vancouver Island</v>
      </c>
      <c r="C500" s="93" t="str">
        <f t="shared" si="262"/>
        <v>KASHUTL RIVER_Coho</v>
      </c>
      <c r="D500" s="128" t="s">
        <v>598</v>
      </c>
      <c r="E500" s="128" t="s">
        <v>598</v>
      </c>
      <c r="F500" s="64">
        <v>26</v>
      </c>
      <c r="G500" s="72" t="s">
        <v>256</v>
      </c>
      <c r="H500" s="65" t="s">
        <v>93</v>
      </c>
      <c r="I500" s="119"/>
      <c r="J500" s="119"/>
      <c r="K500" s="64">
        <v>3</v>
      </c>
      <c r="L500" s="52">
        <v>10</v>
      </c>
      <c r="M500" s="52">
        <v>9</v>
      </c>
      <c r="N500" s="52">
        <f t="shared" si="294"/>
        <v>84.081801705198231</v>
      </c>
      <c r="O500" s="52">
        <f t="shared" si="295"/>
        <v>1500</v>
      </c>
      <c r="P500" s="52">
        <f t="shared" si="296"/>
        <v>98.010895274563993</v>
      </c>
      <c r="Q500" s="66" t="s">
        <v>271</v>
      </c>
      <c r="R500" s="37"/>
      <c r="S500" s="74" t="s">
        <v>440</v>
      </c>
      <c r="T500" s="81">
        <f t="shared" si="263"/>
        <v>103</v>
      </c>
      <c r="U500" s="81">
        <f t="shared" si="264"/>
        <v>189.8</v>
      </c>
      <c r="V500" s="234" t="s">
        <v>102</v>
      </c>
      <c r="W500" s="234" t="s">
        <v>102</v>
      </c>
      <c r="X500" s="52">
        <v>60</v>
      </c>
      <c r="Y500" s="52">
        <v>146</v>
      </c>
      <c r="Z500" s="52">
        <v>97</v>
      </c>
      <c r="AA500" s="52">
        <v>72</v>
      </c>
      <c r="AB500" s="52">
        <v>108</v>
      </c>
      <c r="AC500" s="52">
        <v>80</v>
      </c>
      <c r="AD500" s="52">
        <v>154</v>
      </c>
      <c r="AE500" s="53">
        <v>320</v>
      </c>
      <c r="AF500" s="144">
        <v>443</v>
      </c>
      <c r="AG500" s="144">
        <v>418</v>
      </c>
      <c r="AH500" s="52" t="s">
        <v>102</v>
      </c>
      <c r="AI500" s="52" t="s">
        <v>102</v>
      </c>
      <c r="AJ500" s="52" t="s">
        <v>102</v>
      </c>
      <c r="AK500" s="52" t="s">
        <v>102</v>
      </c>
      <c r="AL500" s="52" t="s">
        <v>102</v>
      </c>
      <c r="AM500" s="52" t="s">
        <v>102</v>
      </c>
      <c r="AN500" s="52">
        <v>428</v>
      </c>
      <c r="AO500" s="52">
        <v>28</v>
      </c>
      <c r="AP500" s="52">
        <v>65</v>
      </c>
      <c r="AQ500" s="52">
        <v>139</v>
      </c>
      <c r="AR500" s="52" t="s">
        <v>263</v>
      </c>
      <c r="AS500" s="52" t="s">
        <v>263</v>
      </c>
      <c r="AT500" s="52">
        <v>196</v>
      </c>
      <c r="AU500" s="52">
        <v>50</v>
      </c>
      <c r="AV500" s="52" t="s">
        <v>262</v>
      </c>
      <c r="AW500" s="52">
        <v>28</v>
      </c>
      <c r="AX500" s="51">
        <v>50</v>
      </c>
      <c r="AY500" s="53">
        <v>20</v>
      </c>
      <c r="AZ500" s="53">
        <v>50</v>
      </c>
      <c r="BA500" s="53">
        <v>100</v>
      </c>
      <c r="BB500" s="53">
        <v>40</v>
      </c>
      <c r="BC500" s="53">
        <v>50</v>
      </c>
      <c r="BD500" s="53">
        <v>100</v>
      </c>
      <c r="BE500" s="53">
        <v>200</v>
      </c>
      <c r="BF500" s="53">
        <v>200</v>
      </c>
      <c r="BG500" s="53">
        <v>100</v>
      </c>
      <c r="BH500" s="53" t="s">
        <v>262</v>
      </c>
      <c r="BI500" s="53" t="s">
        <v>264</v>
      </c>
      <c r="BJ500" s="53" t="s">
        <v>264</v>
      </c>
      <c r="BK500" s="53" t="s">
        <v>264</v>
      </c>
      <c r="BL500" s="53">
        <v>100</v>
      </c>
      <c r="BM500" s="53">
        <v>200</v>
      </c>
      <c r="BN500" s="53">
        <v>50</v>
      </c>
      <c r="BO500" s="53">
        <v>200</v>
      </c>
      <c r="BP500" s="53">
        <v>25</v>
      </c>
      <c r="BQ500" s="53" t="s">
        <v>264</v>
      </c>
      <c r="BR500" s="53">
        <v>25</v>
      </c>
      <c r="BS500" s="53">
        <v>200</v>
      </c>
      <c r="BT500" s="53">
        <v>25</v>
      </c>
      <c r="BU500" s="53">
        <v>200</v>
      </c>
      <c r="BV500" s="53">
        <v>25</v>
      </c>
      <c r="BW500" s="53">
        <v>25</v>
      </c>
      <c r="BX500" s="53">
        <v>25</v>
      </c>
      <c r="BY500" s="53">
        <v>25</v>
      </c>
      <c r="BZ500" s="53">
        <v>200</v>
      </c>
      <c r="CA500" s="53">
        <v>25</v>
      </c>
      <c r="CB500" s="53">
        <v>25</v>
      </c>
      <c r="CC500" s="53">
        <v>200</v>
      </c>
      <c r="CD500" s="53">
        <v>200</v>
      </c>
      <c r="CE500" s="53">
        <v>75</v>
      </c>
      <c r="CF500" s="53">
        <v>25</v>
      </c>
      <c r="CG500" s="53">
        <v>200</v>
      </c>
      <c r="CH500" s="53">
        <v>750</v>
      </c>
      <c r="CI500" s="53">
        <v>750</v>
      </c>
      <c r="CJ500" s="53">
        <v>1500</v>
      </c>
      <c r="CK500" s="53">
        <v>1500</v>
      </c>
      <c r="CL500" s="53">
        <v>750</v>
      </c>
      <c r="CM500" s="53">
        <v>400</v>
      </c>
      <c r="CN500" s="206"/>
      <c r="CO500" s="206"/>
      <c r="CP500" s="206"/>
      <c r="CQ500" s="8">
        <f t="shared" si="265"/>
        <v>20</v>
      </c>
      <c r="CR500" s="8">
        <f t="shared" si="266"/>
        <v>1500</v>
      </c>
      <c r="CS500" s="8">
        <f t="shared" si="267"/>
        <v>212.35185185185185</v>
      </c>
      <c r="CT500">
        <f t="shared" si="268"/>
        <v>105.69727390343438</v>
      </c>
      <c r="CU500" s="143">
        <f t="shared" si="269"/>
        <v>101</v>
      </c>
      <c r="CV500" s="143">
        <f t="shared" si="270"/>
        <v>189.8</v>
      </c>
      <c r="CX500" s="7">
        <f t="shared" si="271"/>
        <v>25</v>
      </c>
      <c r="CY500" s="7">
        <f t="shared" si="272"/>
        <v>25</v>
      </c>
      <c r="CZ500" s="7">
        <f t="shared" si="273"/>
        <v>26.800000000000004</v>
      </c>
      <c r="DA500" s="7">
        <f t="shared" si="274"/>
        <v>42.5</v>
      </c>
      <c r="DB500" s="7">
        <f t="shared" si="275"/>
        <v>100</v>
      </c>
      <c r="DC500" s="7">
        <f t="shared" si="276"/>
        <v>152.39999999999998</v>
      </c>
      <c r="DD500" s="7">
        <f t="shared" si="277"/>
        <v>200</v>
      </c>
      <c r="DE500" s="7">
        <f t="shared" si="278"/>
        <v>200</v>
      </c>
      <c r="DF500" s="7">
        <f t="shared" si="279"/>
        <v>400.9</v>
      </c>
      <c r="DH500" s="7">
        <f t="shared" si="280"/>
        <v>28</v>
      </c>
      <c r="DI500" s="7">
        <f t="shared" si="281"/>
        <v>54</v>
      </c>
      <c r="DJ500" s="7">
        <f t="shared" si="282"/>
        <v>61</v>
      </c>
      <c r="DK500" s="7">
        <f t="shared" si="283"/>
        <v>65</v>
      </c>
      <c r="DL500" s="7">
        <f t="shared" si="284"/>
        <v>108</v>
      </c>
      <c r="DM500" s="7">
        <f t="shared" si="285"/>
        <v>143.19999999999999</v>
      </c>
      <c r="DN500" s="7">
        <f t="shared" si="286"/>
        <v>149.19999999999999</v>
      </c>
      <c r="DO500" s="7">
        <f t="shared" si="287"/>
        <v>196</v>
      </c>
      <c r="DP500" s="7">
        <f t="shared" si="288"/>
        <v>378.79999999999995</v>
      </c>
    </row>
    <row r="501" spans="1:130" ht="25.5" hidden="1" customHeight="1" x14ac:dyDescent="0.25">
      <c r="A501" s="92" t="str">
        <f t="shared" si="297"/>
        <v>SK-WVI [R10]</v>
      </c>
      <c r="B501" s="92" t="str">
        <f t="shared" si="298"/>
        <v>West Vancouver Island</v>
      </c>
      <c r="C501" s="93" t="str">
        <f t="shared" si="262"/>
        <v>KASHUTL RIVER_Sockeye</v>
      </c>
      <c r="D501" s="128" t="s">
        <v>598</v>
      </c>
      <c r="E501" s="128" t="s">
        <v>598</v>
      </c>
      <c r="F501" s="64">
        <v>26</v>
      </c>
      <c r="G501" s="72" t="s">
        <v>256</v>
      </c>
      <c r="H501" s="65" t="s">
        <v>91</v>
      </c>
      <c r="I501" s="119"/>
      <c r="J501" s="119"/>
      <c r="K501" s="64">
        <v>3</v>
      </c>
      <c r="L501" s="52">
        <v>10</v>
      </c>
      <c r="M501" s="52">
        <v>4</v>
      </c>
      <c r="N501" s="52">
        <f t="shared" si="294"/>
        <v>12.12309302805974</v>
      </c>
      <c r="O501" s="52">
        <f t="shared" si="295"/>
        <v>150</v>
      </c>
      <c r="P501" s="52">
        <f t="shared" si="296"/>
        <v>17.196088028966763</v>
      </c>
      <c r="Q501" s="66" t="s">
        <v>271</v>
      </c>
      <c r="R501" s="37"/>
      <c r="S501" s="74" t="s">
        <v>441</v>
      </c>
      <c r="T501" s="81">
        <f t="shared" si="263"/>
        <v>3</v>
      </c>
      <c r="U501" s="81">
        <f t="shared" si="264"/>
        <v>17.75</v>
      </c>
      <c r="V501" s="234" t="s">
        <v>102</v>
      </c>
      <c r="W501" s="234" t="s">
        <v>102</v>
      </c>
      <c r="X501" s="52" t="s">
        <v>262</v>
      </c>
      <c r="Y501" s="52">
        <v>3</v>
      </c>
      <c r="Z501" s="52" t="s">
        <v>262</v>
      </c>
      <c r="AA501" s="52">
        <v>39</v>
      </c>
      <c r="AB501" s="52">
        <v>1</v>
      </c>
      <c r="AC501" s="52" t="s">
        <v>263</v>
      </c>
      <c r="AD501" s="52" t="s">
        <v>262</v>
      </c>
      <c r="AE501" s="53" t="s">
        <v>263</v>
      </c>
      <c r="AF501" s="144" t="s">
        <v>262</v>
      </c>
      <c r="AG501" s="144">
        <v>28</v>
      </c>
      <c r="AH501" s="52" t="s">
        <v>102</v>
      </c>
      <c r="AI501" s="52" t="s">
        <v>102</v>
      </c>
      <c r="AJ501" s="52" t="s">
        <v>102</v>
      </c>
      <c r="AK501" s="52" t="s">
        <v>102</v>
      </c>
      <c r="AL501" s="52" t="s">
        <v>102</v>
      </c>
      <c r="AM501" s="52" t="s">
        <v>102</v>
      </c>
      <c r="AN501" s="52" t="s">
        <v>262</v>
      </c>
      <c r="AO501" s="52" t="s">
        <v>262</v>
      </c>
      <c r="AP501" s="52" t="s">
        <v>262</v>
      </c>
      <c r="AQ501" s="52">
        <v>1</v>
      </c>
      <c r="AR501" s="52" t="s">
        <v>262</v>
      </c>
      <c r="AS501" s="52" t="s">
        <v>262</v>
      </c>
      <c r="AT501" s="52">
        <v>90</v>
      </c>
      <c r="AU501" s="52">
        <v>120</v>
      </c>
      <c r="AV501" s="52" t="s">
        <v>262</v>
      </c>
      <c r="AW501" s="52">
        <v>2</v>
      </c>
      <c r="AX501" s="51">
        <v>20</v>
      </c>
      <c r="AY501" s="53">
        <v>20</v>
      </c>
      <c r="AZ501" s="53">
        <v>50</v>
      </c>
      <c r="BA501" s="53">
        <v>60</v>
      </c>
      <c r="BB501" s="52" t="s">
        <v>262</v>
      </c>
      <c r="BC501" s="53" t="s">
        <v>264</v>
      </c>
      <c r="BD501" s="53" t="s">
        <v>264</v>
      </c>
      <c r="BE501" s="53" t="s">
        <v>264</v>
      </c>
      <c r="BF501" s="53" t="s">
        <v>264</v>
      </c>
      <c r="BG501" s="53" t="s">
        <v>264</v>
      </c>
      <c r="BH501" s="53" t="s">
        <v>262</v>
      </c>
      <c r="BI501" s="53" t="s">
        <v>264</v>
      </c>
      <c r="BJ501" s="53" t="s">
        <v>264</v>
      </c>
      <c r="BK501" s="53" t="s">
        <v>264</v>
      </c>
      <c r="BL501" s="53">
        <v>5</v>
      </c>
      <c r="BM501" s="53">
        <v>2</v>
      </c>
      <c r="BN501" s="53">
        <v>150</v>
      </c>
      <c r="BO501" s="53" t="s">
        <v>264</v>
      </c>
      <c r="BP501" s="53" t="s">
        <v>264</v>
      </c>
      <c r="BQ501" s="53" t="s">
        <v>264</v>
      </c>
      <c r="BR501" s="53" t="s">
        <v>264</v>
      </c>
      <c r="BS501" s="53" t="s">
        <v>264</v>
      </c>
      <c r="BT501" s="53" t="s">
        <v>264</v>
      </c>
      <c r="BU501" s="53" t="s">
        <v>264</v>
      </c>
      <c r="BV501" s="53" t="s">
        <v>264</v>
      </c>
      <c r="BW501" s="53" t="s">
        <v>264</v>
      </c>
      <c r="BX501" s="53" t="s">
        <v>264</v>
      </c>
      <c r="BY501" s="53" t="s">
        <v>264</v>
      </c>
      <c r="BZ501" s="53" t="s">
        <v>264</v>
      </c>
      <c r="CA501" s="53" t="s">
        <v>264</v>
      </c>
      <c r="CB501" s="53" t="s">
        <v>264</v>
      </c>
      <c r="CC501" s="53" t="s">
        <v>264</v>
      </c>
      <c r="CD501" s="53" t="s">
        <v>264</v>
      </c>
      <c r="CE501" s="53" t="s">
        <v>264</v>
      </c>
      <c r="CF501" s="53" t="s">
        <v>264</v>
      </c>
      <c r="CG501" s="53" t="s">
        <v>264</v>
      </c>
      <c r="CH501" s="53" t="s">
        <v>264</v>
      </c>
      <c r="CI501" s="53" t="s">
        <v>264</v>
      </c>
      <c r="CJ501" s="53" t="s">
        <v>264</v>
      </c>
      <c r="CK501" s="53" t="s">
        <v>264</v>
      </c>
      <c r="CL501" s="53" t="s">
        <v>264</v>
      </c>
      <c r="CM501" s="53" t="s">
        <v>264</v>
      </c>
      <c r="CN501" s="206"/>
      <c r="CO501" s="206"/>
      <c r="CP501" s="206"/>
      <c r="CQ501" s="8">
        <f t="shared" si="265"/>
        <v>1</v>
      </c>
      <c r="CR501" s="8">
        <f t="shared" si="266"/>
        <v>150</v>
      </c>
      <c r="CS501" s="8">
        <f t="shared" si="267"/>
        <v>39.4</v>
      </c>
      <c r="CT501">
        <f t="shared" si="268"/>
        <v>13.814590312913671</v>
      </c>
      <c r="CU501" s="143">
        <f t="shared" si="269"/>
        <v>3</v>
      </c>
      <c r="CV501" s="143">
        <f t="shared" si="270"/>
        <v>17.75</v>
      </c>
      <c r="CX501" s="7">
        <f t="shared" si="271"/>
        <v>1</v>
      </c>
      <c r="CY501" s="7">
        <f t="shared" si="272"/>
        <v>2</v>
      </c>
      <c r="CZ501" s="7">
        <f t="shared" si="273"/>
        <v>2</v>
      </c>
      <c r="DA501" s="7">
        <f t="shared" si="274"/>
        <v>2.5</v>
      </c>
      <c r="DB501" s="7">
        <f t="shared" si="275"/>
        <v>20</v>
      </c>
      <c r="DC501" s="7">
        <f t="shared" si="276"/>
        <v>32.400000000000006</v>
      </c>
      <c r="DD501" s="7">
        <f t="shared" si="277"/>
        <v>40.099999999999994</v>
      </c>
      <c r="DE501" s="7">
        <f t="shared" si="278"/>
        <v>55</v>
      </c>
      <c r="DF501" s="7">
        <f t="shared" si="279"/>
        <v>87.000000000000014</v>
      </c>
      <c r="DH501" s="7">
        <f t="shared" si="280"/>
        <v>1</v>
      </c>
      <c r="DI501" s="7">
        <f t="shared" si="281"/>
        <v>1.0499999999999998</v>
      </c>
      <c r="DJ501" s="7">
        <f t="shared" si="282"/>
        <v>1.4000000000000004</v>
      </c>
      <c r="DK501" s="7">
        <f t="shared" si="283"/>
        <v>1.75</v>
      </c>
      <c r="DL501" s="7">
        <f t="shared" si="284"/>
        <v>15.5</v>
      </c>
      <c r="DM501" s="7">
        <f t="shared" si="285"/>
        <v>30.200000000000003</v>
      </c>
      <c r="DN501" s="7">
        <f t="shared" si="286"/>
        <v>34.049999999999997</v>
      </c>
      <c r="DO501" s="7">
        <f t="shared" si="287"/>
        <v>51.75</v>
      </c>
      <c r="DP501" s="7">
        <f t="shared" si="288"/>
        <v>87.450000000000017</v>
      </c>
    </row>
    <row r="502" spans="1:130" ht="25.5" customHeight="1" x14ac:dyDescent="0.25">
      <c r="A502" s="92" t="str">
        <f t="shared" si="297"/>
        <v>CK-NoKy [32]</v>
      </c>
      <c r="B502" s="92" t="str">
        <f t="shared" si="298"/>
        <v>Nootka and Kyuquot</v>
      </c>
      <c r="C502" s="93" t="str">
        <f t="shared" si="262"/>
        <v>KAUWINCH RIVER_Chinook</v>
      </c>
      <c r="D502" s="128" t="s">
        <v>598</v>
      </c>
      <c r="E502" s="128" t="s">
        <v>598</v>
      </c>
      <c r="F502" s="64">
        <v>26</v>
      </c>
      <c r="G502" s="72" t="s">
        <v>255</v>
      </c>
      <c r="H502" s="65" t="s">
        <v>97</v>
      </c>
      <c r="I502" s="119"/>
      <c r="J502" s="119"/>
      <c r="K502" s="64">
        <v>3</v>
      </c>
      <c r="L502" s="52">
        <v>10</v>
      </c>
      <c r="M502" s="52">
        <v>7</v>
      </c>
      <c r="N502" s="52">
        <f t="shared" si="294"/>
        <v>12.773084445875398</v>
      </c>
      <c r="O502" s="52">
        <f t="shared" si="295"/>
        <v>750</v>
      </c>
      <c r="P502" s="52">
        <f t="shared" si="296"/>
        <v>51.178212576367493</v>
      </c>
      <c r="Q502" s="66"/>
      <c r="R502" s="37"/>
      <c r="S502" s="74" t="s">
        <v>425</v>
      </c>
      <c r="T502" s="81">
        <f t="shared" si="263"/>
        <v>17</v>
      </c>
      <c r="U502" s="81">
        <f t="shared" si="264"/>
        <v>109.66666666666667</v>
      </c>
      <c r="V502" s="237" t="s">
        <v>102</v>
      </c>
      <c r="W502" s="235">
        <v>19</v>
      </c>
      <c r="X502" s="52">
        <v>15</v>
      </c>
      <c r="Y502" s="52" t="s">
        <v>262</v>
      </c>
      <c r="Z502" s="52">
        <v>175</v>
      </c>
      <c r="AA502" s="52">
        <v>307</v>
      </c>
      <c r="AB502" s="52">
        <v>17</v>
      </c>
      <c r="AC502" s="52">
        <v>347</v>
      </c>
      <c r="AD502" s="52">
        <v>51</v>
      </c>
      <c r="AE502" s="53">
        <v>19</v>
      </c>
      <c r="AF502" s="144" t="s">
        <v>263</v>
      </c>
      <c r="AG502" s="144">
        <v>37</v>
      </c>
      <c r="AH502" s="52" t="s">
        <v>102</v>
      </c>
      <c r="AI502" s="52" t="s">
        <v>102</v>
      </c>
      <c r="AJ502" s="52" t="s">
        <v>102</v>
      </c>
      <c r="AK502" s="52" t="s">
        <v>102</v>
      </c>
      <c r="AL502" s="52" t="s">
        <v>102</v>
      </c>
      <c r="AM502" s="52" t="s">
        <v>102</v>
      </c>
      <c r="AN502" s="52" t="s">
        <v>262</v>
      </c>
      <c r="AO502" s="53">
        <v>17</v>
      </c>
      <c r="AP502" s="53">
        <v>2</v>
      </c>
      <c r="AQ502" s="53">
        <v>5</v>
      </c>
      <c r="AR502" s="53" t="s">
        <v>263</v>
      </c>
      <c r="AS502" s="52" t="s">
        <v>263</v>
      </c>
      <c r="AT502" s="52">
        <v>20</v>
      </c>
      <c r="AU502" s="52" t="s">
        <v>262</v>
      </c>
      <c r="AV502" s="52">
        <v>100</v>
      </c>
      <c r="AW502" s="52" t="s">
        <v>262</v>
      </c>
      <c r="AX502" s="51">
        <v>30</v>
      </c>
      <c r="AY502" s="53" t="s">
        <v>262</v>
      </c>
      <c r="AZ502" s="53" t="s">
        <v>262</v>
      </c>
      <c r="BA502" s="53">
        <v>25</v>
      </c>
      <c r="BB502" s="53">
        <v>3</v>
      </c>
      <c r="BC502" s="53">
        <v>100</v>
      </c>
      <c r="BD502" s="53" t="s">
        <v>262</v>
      </c>
      <c r="BE502" s="53">
        <v>25</v>
      </c>
      <c r="BF502" s="53" t="s">
        <v>264</v>
      </c>
      <c r="BG502" s="53">
        <v>50</v>
      </c>
      <c r="BH502" s="53">
        <v>50</v>
      </c>
      <c r="BI502" s="53" t="s">
        <v>264</v>
      </c>
      <c r="BJ502" s="53" t="s">
        <v>264</v>
      </c>
      <c r="BK502" s="53" t="s">
        <v>264</v>
      </c>
      <c r="BL502" s="53">
        <v>100</v>
      </c>
      <c r="BM502" s="53">
        <v>30</v>
      </c>
      <c r="BN502" s="53" t="s">
        <v>262</v>
      </c>
      <c r="BO502" s="53">
        <v>4</v>
      </c>
      <c r="BP502" s="53" t="s">
        <v>264</v>
      </c>
      <c r="BQ502" s="53">
        <v>25</v>
      </c>
      <c r="BR502" s="53">
        <v>75</v>
      </c>
      <c r="BS502" s="53">
        <v>200</v>
      </c>
      <c r="BT502" s="53">
        <v>200</v>
      </c>
      <c r="BU502" s="53">
        <v>75</v>
      </c>
      <c r="BV502" s="53">
        <v>75</v>
      </c>
      <c r="BW502" s="53">
        <v>25</v>
      </c>
      <c r="BX502" s="53" t="s">
        <v>262</v>
      </c>
      <c r="BY502" s="53">
        <v>25</v>
      </c>
      <c r="BZ502" s="53">
        <v>25</v>
      </c>
      <c r="CA502" s="53">
        <v>25</v>
      </c>
      <c r="CB502" s="53">
        <v>25</v>
      </c>
      <c r="CC502" s="53">
        <v>25</v>
      </c>
      <c r="CD502" s="53" t="s">
        <v>262</v>
      </c>
      <c r="CE502" s="53">
        <v>750</v>
      </c>
      <c r="CF502" s="53">
        <v>75</v>
      </c>
      <c r="CG502" s="53">
        <v>75</v>
      </c>
      <c r="CH502" s="53">
        <v>75</v>
      </c>
      <c r="CI502" s="53">
        <v>750</v>
      </c>
      <c r="CJ502" s="53">
        <v>400</v>
      </c>
      <c r="CK502" s="53">
        <v>200</v>
      </c>
      <c r="CL502" s="53">
        <v>400</v>
      </c>
      <c r="CM502" s="53">
        <v>750</v>
      </c>
      <c r="CN502" s="206"/>
      <c r="CO502" s="206"/>
      <c r="CP502" s="206"/>
      <c r="CQ502" s="8">
        <f t="shared" si="265"/>
        <v>2</v>
      </c>
      <c r="CR502" s="8">
        <f t="shared" si="266"/>
        <v>750</v>
      </c>
      <c r="CS502" s="8">
        <f t="shared" si="267"/>
        <v>129.4</v>
      </c>
      <c r="CT502">
        <f t="shared" si="268"/>
        <v>51.515982146810799</v>
      </c>
      <c r="CU502" s="143">
        <f t="shared" si="269"/>
        <v>69.666666666666671</v>
      </c>
      <c r="CV502" s="143">
        <f t="shared" si="270"/>
        <v>109.66666666666667</v>
      </c>
      <c r="CX502" s="7">
        <f t="shared" si="271"/>
        <v>4.2</v>
      </c>
      <c r="CY502" s="7">
        <f t="shared" si="272"/>
        <v>18.2</v>
      </c>
      <c r="CZ502" s="7">
        <f t="shared" si="273"/>
        <v>19.8</v>
      </c>
      <c r="DA502" s="7">
        <f t="shared" si="274"/>
        <v>25</v>
      </c>
      <c r="DB502" s="7">
        <f t="shared" si="275"/>
        <v>50</v>
      </c>
      <c r="DC502" s="7">
        <f t="shared" si="276"/>
        <v>75</v>
      </c>
      <c r="DD502" s="7">
        <f t="shared" si="277"/>
        <v>75</v>
      </c>
      <c r="DE502" s="7">
        <f t="shared" si="278"/>
        <v>100</v>
      </c>
      <c r="DF502" s="7">
        <f t="shared" si="279"/>
        <v>242.79999999999984</v>
      </c>
      <c r="DH502" s="7">
        <f t="shared" si="280"/>
        <v>3.9499999999999997</v>
      </c>
      <c r="DI502" s="7">
        <f t="shared" si="281"/>
        <v>14.500000000000002</v>
      </c>
      <c r="DJ502" s="7">
        <f t="shared" si="282"/>
        <v>16.2</v>
      </c>
      <c r="DK502" s="7">
        <f t="shared" si="283"/>
        <v>17</v>
      </c>
      <c r="DL502" s="7">
        <f t="shared" si="284"/>
        <v>19.5</v>
      </c>
      <c r="DM502" s="7">
        <f t="shared" si="285"/>
        <v>33.600000000000009</v>
      </c>
      <c r="DN502" s="7">
        <f t="shared" si="286"/>
        <v>43.300000000000011</v>
      </c>
      <c r="DO502" s="7">
        <f t="shared" si="287"/>
        <v>87.75</v>
      </c>
      <c r="DP502" s="7">
        <f t="shared" si="288"/>
        <v>181.59999999999985</v>
      </c>
    </row>
    <row r="503" spans="1:130" ht="25.5" hidden="1" customHeight="1" x14ac:dyDescent="0.25">
      <c r="A503" s="92" t="str">
        <f t="shared" si="297"/>
        <v>CM-SWVI [10]</v>
      </c>
      <c r="B503" s="92" t="str">
        <f t="shared" si="298"/>
        <v>Southwest Vancouver Island</v>
      </c>
      <c r="C503" s="93" t="str">
        <f t="shared" si="262"/>
        <v>KAUWINCH RIVER_Chum</v>
      </c>
      <c r="D503" s="128" t="s">
        <v>598</v>
      </c>
      <c r="E503" s="128" t="s">
        <v>598</v>
      </c>
      <c r="F503" s="64">
        <v>26</v>
      </c>
      <c r="G503" s="72" t="s">
        <v>255</v>
      </c>
      <c r="H503" s="65" t="s">
        <v>96</v>
      </c>
      <c r="I503" s="119"/>
      <c r="J503" s="119"/>
      <c r="K503" s="64">
        <v>3</v>
      </c>
      <c r="L503" s="52">
        <v>10</v>
      </c>
      <c r="M503" s="52">
        <v>10</v>
      </c>
      <c r="N503" s="52">
        <f t="shared" si="294"/>
        <v>1819.8806427492545</v>
      </c>
      <c r="O503" s="52">
        <f t="shared" si="295"/>
        <v>25000</v>
      </c>
      <c r="P503" s="52">
        <f t="shared" si="296"/>
        <v>2910.8208861024609</v>
      </c>
      <c r="Q503" s="66"/>
      <c r="R503" s="37"/>
      <c r="S503" s="74" t="s">
        <v>427</v>
      </c>
      <c r="T503" s="81">
        <f t="shared" si="263"/>
        <v>506</v>
      </c>
      <c r="U503" s="81">
        <f t="shared" si="264"/>
        <v>1441.090909090909</v>
      </c>
      <c r="V503" s="237" t="s">
        <v>102</v>
      </c>
      <c r="W503" s="235">
        <v>788</v>
      </c>
      <c r="X503" s="52">
        <v>357</v>
      </c>
      <c r="Y503" s="52">
        <v>373</v>
      </c>
      <c r="Z503" s="52">
        <v>2151</v>
      </c>
      <c r="AA503" s="52">
        <v>924</v>
      </c>
      <c r="AB503" s="52">
        <v>418</v>
      </c>
      <c r="AC503" s="52">
        <v>468</v>
      </c>
      <c r="AD503" s="52">
        <v>1698</v>
      </c>
      <c r="AE503" s="53">
        <v>2922</v>
      </c>
      <c r="AF503" s="144">
        <v>4884</v>
      </c>
      <c r="AG503" s="144">
        <v>869</v>
      </c>
      <c r="AH503" s="52" t="s">
        <v>102</v>
      </c>
      <c r="AI503" s="52" t="s">
        <v>102</v>
      </c>
      <c r="AJ503" s="52" t="s">
        <v>102</v>
      </c>
      <c r="AK503" s="52" t="s">
        <v>102</v>
      </c>
      <c r="AL503" s="52" t="s">
        <v>102</v>
      </c>
      <c r="AM503" s="52" t="s">
        <v>102</v>
      </c>
      <c r="AN503" s="52">
        <v>3252</v>
      </c>
      <c r="AO503" s="53">
        <v>61</v>
      </c>
      <c r="AP503" s="53">
        <v>1471</v>
      </c>
      <c r="AQ503" s="53">
        <v>1960</v>
      </c>
      <c r="AR503" s="53" t="s">
        <v>263</v>
      </c>
      <c r="AS503" s="52" t="s">
        <v>263</v>
      </c>
      <c r="AT503" s="52">
        <v>16500</v>
      </c>
      <c r="AU503" s="52">
        <v>8500</v>
      </c>
      <c r="AV503" s="52">
        <v>1500</v>
      </c>
      <c r="AW503" s="52">
        <v>1000</v>
      </c>
      <c r="AX503" s="51">
        <v>5000</v>
      </c>
      <c r="AY503" s="53">
        <v>5000</v>
      </c>
      <c r="AZ503" s="53">
        <v>15000</v>
      </c>
      <c r="BA503" s="53">
        <v>7500</v>
      </c>
      <c r="BB503" s="53">
        <v>1500</v>
      </c>
      <c r="BC503" s="53">
        <v>900</v>
      </c>
      <c r="BD503" s="53">
        <v>2800</v>
      </c>
      <c r="BE503" s="53">
        <v>7000</v>
      </c>
      <c r="BF503" s="53">
        <v>10000</v>
      </c>
      <c r="BG503" s="53">
        <v>12000</v>
      </c>
      <c r="BH503" s="53">
        <v>6000</v>
      </c>
      <c r="BI503" s="53">
        <v>10000</v>
      </c>
      <c r="BJ503" s="53">
        <v>25000</v>
      </c>
      <c r="BK503" s="53">
        <v>4500</v>
      </c>
      <c r="BL503" s="53">
        <v>4000</v>
      </c>
      <c r="BM503" s="53">
        <v>1400</v>
      </c>
      <c r="BN503" s="53">
        <v>5500</v>
      </c>
      <c r="BO503" s="53" t="s">
        <v>264</v>
      </c>
      <c r="BP503" s="53">
        <v>1500</v>
      </c>
      <c r="BQ503" s="53">
        <v>3500</v>
      </c>
      <c r="BR503" s="53">
        <v>1500</v>
      </c>
      <c r="BS503" s="53">
        <v>1500</v>
      </c>
      <c r="BT503" s="53">
        <v>13000</v>
      </c>
      <c r="BU503" s="53">
        <v>7500</v>
      </c>
      <c r="BV503" s="53">
        <v>3500</v>
      </c>
      <c r="BW503" s="53">
        <v>750</v>
      </c>
      <c r="BX503" s="53">
        <v>400</v>
      </c>
      <c r="BY503" s="53">
        <v>3500</v>
      </c>
      <c r="BZ503" s="53">
        <v>1500</v>
      </c>
      <c r="CA503" s="53">
        <v>1500</v>
      </c>
      <c r="CB503" s="53">
        <v>1500</v>
      </c>
      <c r="CC503" s="53">
        <v>400</v>
      </c>
      <c r="CD503" s="53">
        <v>1500</v>
      </c>
      <c r="CE503" s="53">
        <v>1500</v>
      </c>
      <c r="CF503" s="53">
        <v>3500</v>
      </c>
      <c r="CG503" s="53">
        <v>1500</v>
      </c>
      <c r="CH503" s="53">
        <v>3500</v>
      </c>
      <c r="CI503" s="53">
        <v>7500</v>
      </c>
      <c r="CJ503" s="53">
        <v>1500</v>
      </c>
      <c r="CK503" s="53">
        <v>3500</v>
      </c>
      <c r="CL503" s="53">
        <v>3500</v>
      </c>
      <c r="CM503" s="53">
        <v>7500</v>
      </c>
      <c r="CN503" s="206"/>
      <c r="CO503" s="206"/>
      <c r="CP503" s="206"/>
      <c r="CQ503" s="8">
        <f t="shared" si="265"/>
        <v>61</v>
      </c>
      <c r="CR503" s="8">
        <f t="shared" si="266"/>
        <v>25000</v>
      </c>
      <c r="CS503" s="8">
        <f t="shared" si="267"/>
        <v>4162.4333333333334</v>
      </c>
      <c r="CT503">
        <f t="shared" si="268"/>
        <v>2386.9692771056207</v>
      </c>
      <c r="CU503" s="143">
        <f t="shared" si="269"/>
        <v>917.25</v>
      </c>
      <c r="CV503" s="143">
        <f t="shared" si="270"/>
        <v>1441.090909090909</v>
      </c>
      <c r="CX503" s="7">
        <f t="shared" si="271"/>
        <v>398.65</v>
      </c>
      <c r="CY503" s="7">
        <f t="shared" si="272"/>
        <v>856.84999999999991</v>
      </c>
      <c r="CZ503" s="7">
        <f t="shared" si="273"/>
        <v>984.80000000000007</v>
      </c>
      <c r="DA503" s="7">
        <f t="shared" si="274"/>
        <v>1492.75</v>
      </c>
      <c r="DB503" s="7">
        <f t="shared" si="275"/>
        <v>2475.5</v>
      </c>
      <c r="DC503" s="7">
        <f t="shared" si="276"/>
        <v>3500</v>
      </c>
      <c r="DD503" s="7">
        <f t="shared" si="277"/>
        <v>3500</v>
      </c>
      <c r="DE503" s="7">
        <f t="shared" si="278"/>
        <v>5125</v>
      </c>
      <c r="DF503" s="7">
        <f t="shared" si="279"/>
        <v>7500</v>
      </c>
      <c r="DH503" s="7">
        <f t="shared" si="280"/>
        <v>327.39999999999998</v>
      </c>
      <c r="DI503" s="7">
        <f t="shared" si="281"/>
        <v>404.5</v>
      </c>
      <c r="DJ503" s="7">
        <f t="shared" si="282"/>
        <v>448</v>
      </c>
      <c r="DK503" s="7">
        <f t="shared" si="283"/>
        <v>628</v>
      </c>
      <c r="DL503" s="7">
        <f t="shared" si="284"/>
        <v>1471</v>
      </c>
      <c r="DM503" s="7">
        <f t="shared" si="285"/>
        <v>1658.3999999999999</v>
      </c>
      <c r="DN503" s="7">
        <f t="shared" si="286"/>
        <v>1881.4000000000003</v>
      </c>
      <c r="DO503" s="7">
        <f t="shared" si="287"/>
        <v>2536.5</v>
      </c>
      <c r="DP503" s="7">
        <f t="shared" si="288"/>
        <v>3741.5999999999954</v>
      </c>
    </row>
    <row r="504" spans="1:130" ht="25.5" hidden="1" customHeight="1" x14ac:dyDescent="0.25">
      <c r="A504" s="92" t="str">
        <f t="shared" si="297"/>
        <v>CO-WVI [17]</v>
      </c>
      <c r="B504" s="92" t="str">
        <f t="shared" si="298"/>
        <v>West Vancouver Island</v>
      </c>
      <c r="C504" s="93" t="str">
        <f t="shared" si="262"/>
        <v>KAUWINCH RIVER_Coho</v>
      </c>
      <c r="D504" s="128" t="s">
        <v>598</v>
      </c>
      <c r="E504" s="128" t="s">
        <v>598</v>
      </c>
      <c r="F504" s="64">
        <v>26</v>
      </c>
      <c r="G504" s="72" t="s">
        <v>255</v>
      </c>
      <c r="H504" s="65" t="s">
        <v>93</v>
      </c>
      <c r="I504" s="119"/>
      <c r="J504" s="119"/>
      <c r="K504" s="64">
        <v>3</v>
      </c>
      <c r="L504" s="52">
        <v>10</v>
      </c>
      <c r="M504" s="52">
        <v>7</v>
      </c>
      <c r="N504" s="52">
        <f t="shared" si="294"/>
        <v>234.37154188808097</v>
      </c>
      <c r="O504" s="52">
        <f t="shared" si="295"/>
        <v>1500</v>
      </c>
      <c r="P504" s="52">
        <f t="shared" si="296"/>
        <v>252.00057935065101</v>
      </c>
      <c r="Q504" s="66"/>
      <c r="R504" s="37"/>
      <c r="S504" s="74" t="s">
        <v>426</v>
      </c>
      <c r="T504" s="81">
        <f t="shared" si="263"/>
        <v>74.333333333333329</v>
      </c>
      <c r="U504" s="81">
        <f t="shared" si="264"/>
        <v>973.4545454545455</v>
      </c>
      <c r="V504" s="237" t="s">
        <v>102</v>
      </c>
      <c r="W504" s="235">
        <v>172</v>
      </c>
      <c r="X504" s="52">
        <v>20</v>
      </c>
      <c r="Y504" s="52">
        <v>31</v>
      </c>
      <c r="Z504" s="52">
        <v>1022</v>
      </c>
      <c r="AA504" s="52">
        <v>896</v>
      </c>
      <c r="AB504" s="52">
        <v>240</v>
      </c>
      <c r="AC504" s="52">
        <v>577</v>
      </c>
      <c r="AD504" s="52">
        <v>1081</v>
      </c>
      <c r="AE504" s="53">
        <v>4375</v>
      </c>
      <c r="AF504" s="144">
        <v>477</v>
      </c>
      <c r="AG504" s="144">
        <v>1817</v>
      </c>
      <c r="AH504" s="52" t="s">
        <v>102</v>
      </c>
      <c r="AI504" s="52" t="s">
        <v>102</v>
      </c>
      <c r="AJ504" s="52" t="s">
        <v>102</v>
      </c>
      <c r="AK504" s="52" t="s">
        <v>102</v>
      </c>
      <c r="AL504" s="52" t="s">
        <v>102</v>
      </c>
      <c r="AM504" s="52" t="s">
        <v>102</v>
      </c>
      <c r="AN504" s="52">
        <v>474</v>
      </c>
      <c r="AO504" s="53">
        <v>223</v>
      </c>
      <c r="AP504" s="53">
        <v>112</v>
      </c>
      <c r="AQ504" s="53">
        <v>80</v>
      </c>
      <c r="AR504" s="53" t="s">
        <v>263</v>
      </c>
      <c r="AS504" s="52" t="s">
        <v>262</v>
      </c>
      <c r="AT504" s="52">
        <v>350</v>
      </c>
      <c r="AU504" s="52" t="s">
        <v>262</v>
      </c>
      <c r="AV504" s="52" t="s">
        <v>262</v>
      </c>
      <c r="AW504" s="52">
        <v>500</v>
      </c>
      <c r="AX504" s="51" t="s">
        <v>262</v>
      </c>
      <c r="AY504" s="53">
        <v>50</v>
      </c>
      <c r="AZ504" s="53">
        <v>500</v>
      </c>
      <c r="BA504" s="53">
        <v>500</v>
      </c>
      <c r="BB504" s="53">
        <v>100</v>
      </c>
      <c r="BC504" s="53">
        <v>200</v>
      </c>
      <c r="BD504" s="53">
        <v>150</v>
      </c>
      <c r="BE504" s="53">
        <v>250</v>
      </c>
      <c r="BF504" s="53">
        <v>300</v>
      </c>
      <c r="BG504" s="53">
        <v>200</v>
      </c>
      <c r="BH504" s="53" t="s">
        <v>262</v>
      </c>
      <c r="BI504" s="53" t="s">
        <v>264</v>
      </c>
      <c r="BJ504" s="53" t="s">
        <v>264</v>
      </c>
      <c r="BK504" s="53" t="s">
        <v>264</v>
      </c>
      <c r="BL504" s="53">
        <v>100</v>
      </c>
      <c r="BM504" s="53">
        <v>250</v>
      </c>
      <c r="BN504" s="53" t="s">
        <v>262</v>
      </c>
      <c r="BO504" s="53">
        <v>200</v>
      </c>
      <c r="BP504" s="53">
        <v>400</v>
      </c>
      <c r="BQ504" s="53">
        <v>400</v>
      </c>
      <c r="BR504" s="53">
        <v>750</v>
      </c>
      <c r="BS504" s="53" t="s">
        <v>264</v>
      </c>
      <c r="BT504" s="53">
        <v>1200</v>
      </c>
      <c r="BU504" s="53">
        <v>400</v>
      </c>
      <c r="BV504" s="53">
        <v>400</v>
      </c>
      <c r="BW504" s="53">
        <v>25</v>
      </c>
      <c r="BX504" s="53">
        <v>25</v>
      </c>
      <c r="BY504" s="53">
        <v>25</v>
      </c>
      <c r="BZ504" s="53">
        <v>25</v>
      </c>
      <c r="CA504" s="53">
        <v>25</v>
      </c>
      <c r="CB504" s="53">
        <v>1500</v>
      </c>
      <c r="CC504" s="53">
        <v>400</v>
      </c>
      <c r="CD504" s="53">
        <v>200</v>
      </c>
      <c r="CE504" s="53">
        <v>400</v>
      </c>
      <c r="CF504" s="53">
        <v>400</v>
      </c>
      <c r="CG504" s="53">
        <v>200</v>
      </c>
      <c r="CH504" s="53">
        <v>1500</v>
      </c>
      <c r="CI504" s="53">
        <v>750</v>
      </c>
      <c r="CJ504" s="53">
        <v>750</v>
      </c>
      <c r="CK504" s="53">
        <v>1500</v>
      </c>
      <c r="CL504" s="53">
        <v>750</v>
      </c>
      <c r="CM504" s="53">
        <v>750</v>
      </c>
      <c r="CN504" s="206"/>
      <c r="CO504" s="206"/>
      <c r="CP504" s="206"/>
      <c r="CQ504" s="8">
        <f t="shared" si="265"/>
        <v>20</v>
      </c>
      <c r="CR504" s="8">
        <f t="shared" si="266"/>
        <v>4375</v>
      </c>
      <c r="CS504" s="8">
        <f t="shared" si="267"/>
        <v>538.88461538461536</v>
      </c>
      <c r="CT504">
        <f t="shared" si="268"/>
        <v>279.36824754659636</v>
      </c>
      <c r="CU504" s="143">
        <f t="shared" si="269"/>
        <v>311.25</v>
      </c>
      <c r="CV504" s="143">
        <f t="shared" si="270"/>
        <v>973.4545454545455</v>
      </c>
      <c r="CX504" s="7">
        <f t="shared" si="271"/>
        <v>25</v>
      </c>
      <c r="CY504" s="7">
        <f t="shared" si="272"/>
        <v>69.499999999999957</v>
      </c>
      <c r="CZ504" s="7">
        <f t="shared" si="273"/>
        <v>102.4</v>
      </c>
      <c r="DA504" s="7">
        <f t="shared" si="274"/>
        <v>166.5</v>
      </c>
      <c r="DB504" s="7">
        <f t="shared" si="275"/>
        <v>400</v>
      </c>
      <c r="DC504" s="7">
        <f t="shared" si="276"/>
        <v>400</v>
      </c>
      <c r="DD504" s="7">
        <f t="shared" si="277"/>
        <v>480.45</v>
      </c>
      <c r="DE504" s="7">
        <f t="shared" si="278"/>
        <v>750</v>
      </c>
      <c r="DF504" s="7">
        <f t="shared" si="279"/>
        <v>940.10000000000014</v>
      </c>
      <c r="DH504" s="7">
        <f t="shared" si="280"/>
        <v>28.8</v>
      </c>
      <c r="DI504" s="7">
        <f t="shared" si="281"/>
        <v>92.8</v>
      </c>
      <c r="DJ504" s="7">
        <f t="shared" si="282"/>
        <v>124.00000000000001</v>
      </c>
      <c r="DK504" s="7">
        <f t="shared" si="283"/>
        <v>172</v>
      </c>
      <c r="DL504" s="7">
        <f t="shared" si="284"/>
        <v>474</v>
      </c>
      <c r="DM504" s="7">
        <f t="shared" si="285"/>
        <v>490.8</v>
      </c>
      <c r="DN504" s="7">
        <f t="shared" si="286"/>
        <v>530.80000000000007</v>
      </c>
      <c r="DO504" s="7">
        <f t="shared" si="287"/>
        <v>896</v>
      </c>
      <c r="DP504" s="7">
        <f t="shared" si="288"/>
        <v>1057.4000000000001</v>
      </c>
    </row>
    <row r="505" spans="1:130" ht="25.5" hidden="1" customHeight="1" x14ac:dyDescent="0.25">
      <c r="A505" s="92" t="str">
        <f t="shared" si="297"/>
        <v>SK-WVI [R10]</v>
      </c>
      <c r="B505" s="92" t="str">
        <f t="shared" si="298"/>
        <v>West Vancouver Island</v>
      </c>
      <c r="C505" s="93" t="str">
        <f t="shared" si="262"/>
        <v>KAUWINCH RIVER_Sockeye</v>
      </c>
      <c r="D505" s="128" t="s">
        <v>598</v>
      </c>
      <c r="E505" s="128" t="s">
        <v>598</v>
      </c>
      <c r="F505" s="64">
        <v>26</v>
      </c>
      <c r="G505" s="72" t="s">
        <v>255</v>
      </c>
      <c r="H505" s="65" t="s">
        <v>91</v>
      </c>
      <c r="I505" s="119"/>
      <c r="J505" s="119"/>
      <c r="K505" s="64">
        <v>3</v>
      </c>
      <c r="L505" s="52">
        <v>10</v>
      </c>
      <c r="M505" s="52">
        <v>2</v>
      </c>
      <c r="N505" s="52">
        <f t="shared" si="294"/>
        <v>20</v>
      </c>
      <c r="O505" s="52">
        <f t="shared" si="295"/>
        <v>100</v>
      </c>
      <c r="P505" s="52">
        <f t="shared" si="296"/>
        <v>36.840314986403868</v>
      </c>
      <c r="Q505" s="66"/>
      <c r="R505" s="37"/>
      <c r="S505" s="74" t="s">
        <v>435</v>
      </c>
      <c r="T505" s="81">
        <f t="shared" si="263"/>
        <v>3</v>
      </c>
      <c r="U505" s="81">
        <f t="shared" si="264"/>
        <v>21.857142857142858</v>
      </c>
      <c r="V505" s="237" t="s">
        <v>102</v>
      </c>
      <c r="W505" s="235">
        <v>3</v>
      </c>
      <c r="X505" s="198" t="s">
        <v>262</v>
      </c>
      <c r="Y505" s="52" t="s">
        <v>262</v>
      </c>
      <c r="Z505" s="52">
        <v>3</v>
      </c>
      <c r="AA505" s="52">
        <v>6</v>
      </c>
      <c r="AB505" s="52">
        <v>41</v>
      </c>
      <c r="AC505" s="52">
        <v>63</v>
      </c>
      <c r="AD505" s="52" t="s">
        <v>262</v>
      </c>
      <c r="AE505" s="53">
        <v>13</v>
      </c>
      <c r="AF505" s="144" t="s">
        <v>262</v>
      </c>
      <c r="AG505" s="144">
        <v>24</v>
      </c>
      <c r="AH505" s="52" t="s">
        <v>102</v>
      </c>
      <c r="AI505" s="52" t="s">
        <v>102</v>
      </c>
      <c r="AJ505" s="52" t="s">
        <v>102</v>
      </c>
      <c r="AK505" s="52" t="s">
        <v>102</v>
      </c>
      <c r="AL505" s="52" t="s">
        <v>102</v>
      </c>
      <c r="AM505" s="52" t="s">
        <v>102</v>
      </c>
      <c r="AN505" s="53" t="s">
        <v>262</v>
      </c>
      <c r="AO505" s="53" t="s">
        <v>262</v>
      </c>
      <c r="AP505" s="53" t="s">
        <v>262</v>
      </c>
      <c r="AQ505" s="53" t="s">
        <v>262</v>
      </c>
      <c r="AR505" s="53" t="s">
        <v>262</v>
      </c>
      <c r="AS505" s="52" t="s">
        <v>263</v>
      </c>
      <c r="AT505" s="52" t="s">
        <v>262</v>
      </c>
      <c r="AU505" s="52">
        <v>20</v>
      </c>
      <c r="AV505" s="52" t="s">
        <v>262</v>
      </c>
      <c r="AW505" s="52" t="s">
        <v>262</v>
      </c>
      <c r="AX505" s="51" t="s">
        <v>264</v>
      </c>
      <c r="AY505" s="53">
        <v>100</v>
      </c>
      <c r="AZ505" s="53" t="s">
        <v>262</v>
      </c>
      <c r="BA505" s="53" t="s">
        <v>262</v>
      </c>
      <c r="BB505" s="52" t="s">
        <v>262</v>
      </c>
      <c r="BC505" s="53" t="s">
        <v>264</v>
      </c>
      <c r="BD505" s="53" t="s">
        <v>264</v>
      </c>
      <c r="BE505" s="53">
        <v>25</v>
      </c>
      <c r="BF505" s="53" t="s">
        <v>264</v>
      </c>
      <c r="BG505" s="53" t="s">
        <v>264</v>
      </c>
      <c r="BH505" s="53" t="s">
        <v>262</v>
      </c>
      <c r="BI505" s="53" t="s">
        <v>264</v>
      </c>
      <c r="BJ505" s="53" t="s">
        <v>264</v>
      </c>
      <c r="BK505" s="53" t="s">
        <v>264</v>
      </c>
      <c r="BL505" s="53" t="s">
        <v>264</v>
      </c>
      <c r="BM505" s="53" t="s">
        <v>264</v>
      </c>
      <c r="BN505" s="53" t="s">
        <v>262</v>
      </c>
      <c r="BO505" s="53" t="s">
        <v>264</v>
      </c>
      <c r="BP505" s="53" t="s">
        <v>264</v>
      </c>
      <c r="BQ505" s="53" t="s">
        <v>264</v>
      </c>
      <c r="BR505" s="53" t="s">
        <v>264</v>
      </c>
      <c r="BS505" s="53" t="s">
        <v>264</v>
      </c>
      <c r="BT505" s="53" t="s">
        <v>264</v>
      </c>
      <c r="BU505" s="53" t="s">
        <v>264</v>
      </c>
      <c r="BV505" s="53" t="s">
        <v>264</v>
      </c>
      <c r="BW505" s="53" t="s">
        <v>264</v>
      </c>
      <c r="BX505" s="53" t="s">
        <v>264</v>
      </c>
      <c r="BY505" s="53" t="s">
        <v>264</v>
      </c>
      <c r="BZ505" s="53" t="s">
        <v>264</v>
      </c>
      <c r="CA505" s="53" t="s">
        <v>264</v>
      </c>
      <c r="CB505" s="53" t="s">
        <v>264</v>
      </c>
      <c r="CC505" s="53" t="s">
        <v>264</v>
      </c>
      <c r="CD505" s="53" t="s">
        <v>264</v>
      </c>
      <c r="CE505" s="53" t="s">
        <v>264</v>
      </c>
      <c r="CF505" s="53" t="s">
        <v>264</v>
      </c>
      <c r="CG505" s="53" t="s">
        <v>264</v>
      </c>
      <c r="CH505" s="53" t="s">
        <v>264</v>
      </c>
      <c r="CI505" s="53" t="s">
        <v>264</v>
      </c>
      <c r="CJ505" s="53" t="s">
        <v>264</v>
      </c>
      <c r="CK505" s="53" t="s">
        <v>264</v>
      </c>
      <c r="CL505" s="53" t="s">
        <v>264</v>
      </c>
      <c r="CM505" s="53" t="s">
        <v>264</v>
      </c>
      <c r="CN505" s="206"/>
      <c r="CO505" s="206"/>
      <c r="CP505" s="206"/>
      <c r="CQ505" s="8">
        <f t="shared" si="265"/>
        <v>3</v>
      </c>
      <c r="CR505" s="8">
        <f t="shared" si="266"/>
        <v>100</v>
      </c>
      <c r="CS505" s="8">
        <f t="shared" si="267"/>
        <v>29.8</v>
      </c>
      <c r="CT505">
        <f t="shared" si="268"/>
        <v>17.130272692104533</v>
      </c>
      <c r="CU505" s="143">
        <f t="shared" si="269"/>
        <v>3</v>
      </c>
      <c r="CV505" s="143">
        <f t="shared" si="270"/>
        <v>21.857142857142858</v>
      </c>
      <c r="CX505" s="7">
        <f t="shared" si="271"/>
        <v>3</v>
      </c>
      <c r="CY505" s="7">
        <f t="shared" si="272"/>
        <v>4.0499999999999989</v>
      </c>
      <c r="CZ505" s="7">
        <f t="shared" si="273"/>
        <v>5.3999999999999995</v>
      </c>
      <c r="DA505" s="7">
        <f t="shared" si="274"/>
        <v>7.75</v>
      </c>
      <c r="DB505" s="7">
        <f t="shared" si="275"/>
        <v>22</v>
      </c>
      <c r="DC505" s="7">
        <f t="shared" si="276"/>
        <v>24.4</v>
      </c>
      <c r="DD505" s="7">
        <f t="shared" si="277"/>
        <v>24.85</v>
      </c>
      <c r="DE505" s="7">
        <f t="shared" si="278"/>
        <v>37</v>
      </c>
      <c r="DF505" s="7">
        <f t="shared" si="279"/>
        <v>55.299999999999969</v>
      </c>
      <c r="DH505" s="7">
        <f t="shared" si="280"/>
        <v>3</v>
      </c>
      <c r="DI505" s="7">
        <f t="shared" si="281"/>
        <v>3.1499999999999995</v>
      </c>
      <c r="DJ505" s="7">
        <f t="shared" si="282"/>
        <v>4.2000000000000011</v>
      </c>
      <c r="DK505" s="7">
        <f t="shared" si="283"/>
        <v>5.25</v>
      </c>
      <c r="DL505" s="7">
        <f t="shared" si="284"/>
        <v>16.5</v>
      </c>
      <c r="DM505" s="7">
        <f t="shared" si="285"/>
        <v>20.8</v>
      </c>
      <c r="DN505" s="7">
        <f t="shared" si="286"/>
        <v>22.2</v>
      </c>
      <c r="DO505" s="7">
        <f t="shared" si="287"/>
        <v>28.25</v>
      </c>
      <c r="DP505" s="7">
        <f t="shared" si="288"/>
        <v>40.150000000000006</v>
      </c>
    </row>
    <row r="506" spans="1:130" ht="25.5" customHeight="1" x14ac:dyDescent="0.25">
      <c r="A506" s="92" t="str">
        <f t="shared" si="297"/>
        <v>CK-NoKy [32]</v>
      </c>
      <c r="B506" s="92" t="str">
        <f t="shared" si="298"/>
        <v>Nootka and Kyuquot</v>
      </c>
      <c r="C506" s="93" t="str">
        <f t="shared" si="262"/>
        <v>MALKSOPE RIVER_Chinook</v>
      </c>
      <c r="D506" s="128" t="s">
        <v>598</v>
      </c>
      <c r="E506" s="128" t="s">
        <v>598</v>
      </c>
      <c r="F506" s="64">
        <v>26</v>
      </c>
      <c r="G506" s="72" t="s">
        <v>265</v>
      </c>
      <c r="H506" s="65" t="s">
        <v>97</v>
      </c>
      <c r="I506" s="119"/>
      <c r="J506" s="119"/>
      <c r="K506" s="64">
        <v>3</v>
      </c>
      <c r="L506" s="52">
        <v>7</v>
      </c>
      <c r="M506" s="52">
        <v>7</v>
      </c>
      <c r="N506" s="52">
        <f t="shared" si="294"/>
        <v>6.9253727724466625</v>
      </c>
      <c r="O506" s="52">
        <f t="shared" si="295"/>
        <v>400</v>
      </c>
      <c r="P506" s="52">
        <f t="shared" si="296"/>
        <v>42.373755333778</v>
      </c>
      <c r="Q506" s="66" t="s">
        <v>271</v>
      </c>
      <c r="R506" s="37"/>
      <c r="S506" s="74" t="s">
        <v>437</v>
      </c>
      <c r="T506" s="81">
        <f t="shared" si="263"/>
        <v>18.25</v>
      </c>
      <c r="U506" s="81">
        <f t="shared" si="264"/>
        <v>21.833333333333332</v>
      </c>
      <c r="V506" s="144">
        <v>26</v>
      </c>
      <c r="W506" s="235">
        <v>24</v>
      </c>
      <c r="X506" s="52">
        <v>16</v>
      </c>
      <c r="Y506" s="52">
        <v>7</v>
      </c>
      <c r="Z506" s="52">
        <v>64</v>
      </c>
      <c r="AA506" s="52">
        <v>14</v>
      </c>
      <c r="AB506" s="52">
        <v>13</v>
      </c>
      <c r="AC506" s="52">
        <v>17</v>
      </c>
      <c r="AD506" s="52">
        <v>7</v>
      </c>
      <c r="AE506" s="53">
        <v>13</v>
      </c>
      <c r="AF506" s="52">
        <v>41</v>
      </c>
      <c r="AG506" s="144">
        <v>20</v>
      </c>
      <c r="AH506" s="52" t="s">
        <v>102</v>
      </c>
      <c r="AI506" s="52" t="s">
        <v>102</v>
      </c>
      <c r="AJ506" s="52" t="s">
        <v>102</v>
      </c>
      <c r="AK506" s="52" t="s">
        <v>102</v>
      </c>
      <c r="AL506" s="52" t="s">
        <v>102</v>
      </c>
      <c r="AM506" s="52" t="s">
        <v>102</v>
      </c>
      <c r="AN506" s="52" t="s">
        <v>102</v>
      </c>
      <c r="AO506" s="53">
        <v>15</v>
      </c>
      <c r="AP506" s="53">
        <v>6</v>
      </c>
      <c r="AQ506" s="53">
        <v>1</v>
      </c>
      <c r="AR506" s="53" t="s">
        <v>263</v>
      </c>
      <c r="AS506" s="52" t="s">
        <v>263</v>
      </c>
      <c r="AT506" s="52" t="s">
        <v>102</v>
      </c>
      <c r="AU506" s="52" t="s">
        <v>102</v>
      </c>
      <c r="AV506" s="52">
        <v>59</v>
      </c>
      <c r="AW506" s="52">
        <v>3</v>
      </c>
      <c r="AX506" s="51" t="s">
        <v>264</v>
      </c>
      <c r="AY506" s="53" t="s">
        <v>262</v>
      </c>
      <c r="AZ506" s="53">
        <v>12</v>
      </c>
      <c r="BA506" s="53">
        <v>40</v>
      </c>
      <c r="BB506" s="53" t="s">
        <v>262</v>
      </c>
      <c r="BC506" s="53" t="s">
        <v>262</v>
      </c>
      <c r="BD506" s="53" t="s">
        <v>102</v>
      </c>
      <c r="BE506" s="53" t="s">
        <v>264</v>
      </c>
      <c r="BF506" s="53" t="s">
        <v>264</v>
      </c>
      <c r="BG506" s="53">
        <v>50</v>
      </c>
      <c r="BH506" s="53" t="s">
        <v>262</v>
      </c>
      <c r="BI506" s="53" t="s">
        <v>264</v>
      </c>
      <c r="BJ506" s="53" t="s">
        <v>264</v>
      </c>
      <c r="BK506" s="53">
        <v>50</v>
      </c>
      <c r="BL506" s="53" t="s">
        <v>264</v>
      </c>
      <c r="BM506" s="53">
        <v>10</v>
      </c>
      <c r="BN506" s="53" t="s">
        <v>262</v>
      </c>
      <c r="BO506" s="53" t="s">
        <v>264</v>
      </c>
      <c r="BP506" s="53" t="s">
        <v>264</v>
      </c>
      <c r="BQ506" s="53">
        <v>200</v>
      </c>
      <c r="BR506" s="53">
        <v>25</v>
      </c>
      <c r="BS506" s="53" t="s">
        <v>264</v>
      </c>
      <c r="BT506" s="53">
        <v>75</v>
      </c>
      <c r="BU506" s="53">
        <v>25</v>
      </c>
      <c r="BV506" s="53">
        <v>400</v>
      </c>
      <c r="BW506" s="53">
        <v>200</v>
      </c>
      <c r="BX506" s="53">
        <v>400</v>
      </c>
      <c r="BY506" s="53">
        <v>25</v>
      </c>
      <c r="BZ506" s="53">
        <v>75</v>
      </c>
      <c r="CA506" s="53" t="s">
        <v>264</v>
      </c>
      <c r="CB506" s="53" t="s">
        <v>262</v>
      </c>
      <c r="CC506" s="53" t="s">
        <v>262</v>
      </c>
      <c r="CD506" s="53">
        <v>200</v>
      </c>
      <c r="CE506" s="53">
        <v>25</v>
      </c>
      <c r="CF506" s="53" t="s">
        <v>262</v>
      </c>
      <c r="CG506" s="53" t="s">
        <v>262</v>
      </c>
      <c r="CH506" s="53">
        <v>200</v>
      </c>
      <c r="CI506" s="53">
        <v>25</v>
      </c>
      <c r="CJ506" s="53">
        <v>400</v>
      </c>
      <c r="CK506" s="53">
        <v>75</v>
      </c>
      <c r="CL506" s="53">
        <v>25</v>
      </c>
      <c r="CM506" s="53" t="s">
        <v>264</v>
      </c>
      <c r="CN506" s="206"/>
      <c r="CO506" s="206"/>
      <c r="CP506" s="206"/>
      <c r="CQ506" s="8">
        <f t="shared" si="265"/>
        <v>1</v>
      </c>
      <c r="CR506" s="8">
        <f t="shared" si="266"/>
        <v>400</v>
      </c>
      <c r="CS506" s="8">
        <f t="shared" si="267"/>
        <v>75.868421052631575</v>
      </c>
      <c r="CT506">
        <f t="shared" si="268"/>
        <v>32.238960139888086</v>
      </c>
      <c r="CU506" s="143">
        <f t="shared" si="269"/>
        <v>27.4</v>
      </c>
      <c r="CV506" s="143">
        <f t="shared" si="270"/>
        <v>21.833333333333332</v>
      </c>
      <c r="CX506" s="7">
        <f t="shared" si="271"/>
        <v>5.5500000000000007</v>
      </c>
      <c r="CY506" s="7">
        <f t="shared" si="272"/>
        <v>11.1</v>
      </c>
      <c r="CZ506" s="7">
        <f t="shared" si="273"/>
        <v>13</v>
      </c>
      <c r="DA506" s="7">
        <f t="shared" si="274"/>
        <v>14.25</v>
      </c>
      <c r="DB506" s="7">
        <f t="shared" si="275"/>
        <v>25</v>
      </c>
      <c r="DC506" s="7">
        <f t="shared" si="276"/>
        <v>40.200000000000003</v>
      </c>
      <c r="DD506" s="7">
        <f t="shared" si="277"/>
        <v>50</v>
      </c>
      <c r="DE506" s="7">
        <f t="shared" si="278"/>
        <v>72.25</v>
      </c>
      <c r="DF506" s="7">
        <f t="shared" si="279"/>
        <v>200</v>
      </c>
      <c r="DH506" s="7">
        <f t="shared" si="280"/>
        <v>2.6</v>
      </c>
      <c r="DI506" s="7">
        <f t="shared" si="281"/>
        <v>6.4</v>
      </c>
      <c r="DJ506" s="7">
        <f t="shared" si="282"/>
        <v>7</v>
      </c>
      <c r="DK506" s="7">
        <f t="shared" si="283"/>
        <v>7</v>
      </c>
      <c r="DL506" s="7">
        <f t="shared" si="284"/>
        <v>15</v>
      </c>
      <c r="DM506" s="7">
        <f t="shared" si="285"/>
        <v>16.600000000000001</v>
      </c>
      <c r="DN506" s="7">
        <f t="shared" si="286"/>
        <v>18.200000000000003</v>
      </c>
      <c r="DO506" s="7">
        <f t="shared" si="287"/>
        <v>24</v>
      </c>
      <c r="DP506" s="7">
        <f t="shared" si="288"/>
        <v>34.999999999999993</v>
      </c>
    </row>
    <row r="507" spans="1:130" ht="25.5" hidden="1" customHeight="1" x14ac:dyDescent="0.25">
      <c r="A507" s="92" t="str">
        <f t="shared" si="297"/>
        <v>CM-SWVI [10]</v>
      </c>
      <c r="B507" s="92" t="str">
        <f t="shared" si="298"/>
        <v>Southwest Vancouver Island</v>
      </c>
      <c r="C507" s="93" t="str">
        <f t="shared" si="262"/>
        <v>MALKSOPE RIVER_Chum</v>
      </c>
      <c r="D507" s="128" t="s">
        <v>598</v>
      </c>
      <c r="E507" s="128" t="s">
        <v>598</v>
      </c>
      <c r="F507" s="64">
        <v>26</v>
      </c>
      <c r="G507" s="72" t="s">
        <v>265</v>
      </c>
      <c r="H507" s="65" t="s">
        <v>96</v>
      </c>
      <c r="I507" s="119"/>
      <c r="J507" s="119"/>
      <c r="K507" s="64">
        <v>3</v>
      </c>
      <c r="L507" s="52">
        <v>7</v>
      </c>
      <c r="M507" s="52">
        <v>7</v>
      </c>
      <c r="N507" s="52">
        <f t="shared" si="294"/>
        <v>2967.4694438319425</v>
      </c>
      <c r="O507" s="52">
        <f t="shared" si="295"/>
        <v>35000</v>
      </c>
      <c r="P507" s="52">
        <f t="shared" si="296"/>
        <v>4932.1979830157197</v>
      </c>
      <c r="Q507" s="66" t="s">
        <v>271</v>
      </c>
      <c r="R507" s="37"/>
      <c r="S507" s="74" t="s">
        <v>437</v>
      </c>
      <c r="T507" s="81">
        <f t="shared" si="263"/>
        <v>2624.5</v>
      </c>
      <c r="U507" s="81">
        <f t="shared" si="264"/>
        <v>5747.75</v>
      </c>
      <c r="V507" s="144">
        <v>2749</v>
      </c>
      <c r="W507" s="235">
        <v>1036</v>
      </c>
      <c r="X507" s="52">
        <v>3006</v>
      </c>
      <c r="Y507" s="52">
        <v>3707</v>
      </c>
      <c r="Z507" s="52">
        <v>1561</v>
      </c>
      <c r="AA507" s="52">
        <v>1228</v>
      </c>
      <c r="AB507" s="52">
        <v>3926</v>
      </c>
      <c r="AC507" s="52">
        <v>4490</v>
      </c>
      <c r="AD507" s="52">
        <v>12282</v>
      </c>
      <c r="AE507" s="53">
        <v>10349</v>
      </c>
      <c r="AF507" s="216">
        <v>14290</v>
      </c>
      <c r="AG507" s="144">
        <v>10349</v>
      </c>
      <c r="AH507" s="52" t="s">
        <v>102</v>
      </c>
      <c r="AI507" s="52" t="s">
        <v>102</v>
      </c>
      <c r="AJ507" s="52" t="s">
        <v>102</v>
      </c>
      <c r="AK507" s="52" t="s">
        <v>102</v>
      </c>
      <c r="AL507" s="52" t="s">
        <v>102</v>
      </c>
      <c r="AM507" s="52" t="s">
        <v>102</v>
      </c>
      <c r="AN507" s="52" t="s">
        <v>102</v>
      </c>
      <c r="AO507" s="53">
        <v>6584</v>
      </c>
      <c r="AP507" s="53">
        <v>6793</v>
      </c>
      <c r="AQ507" s="53">
        <v>782</v>
      </c>
      <c r="AR507" s="53" t="s">
        <v>263</v>
      </c>
      <c r="AS507" s="52" t="s">
        <v>263</v>
      </c>
      <c r="AT507" s="52" t="s">
        <v>102</v>
      </c>
      <c r="AU507" s="52" t="s">
        <v>102</v>
      </c>
      <c r="AV507" s="52">
        <v>1600</v>
      </c>
      <c r="AW507" s="52">
        <v>4112</v>
      </c>
      <c r="AX507" s="51">
        <v>2000</v>
      </c>
      <c r="AY507" s="53">
        <v>7000</v>
      </c>
      <c r="AZ507" s="53">
        <v>12000</v>
      </c>
      <c r="BA507" s="53">
        <v>10000</v>
      </c>
      <c r="BB507" s="53">
        <v>2500</v>
      </c>
      <c r="BC507" s="53">
        <v>1600</v>
      </c>
      <c r="BD507" s="53" t="s">
        <v>102</v>
      </c>
      <c r="BE507" s="53">
        <v>4000</v>
      </c>
      <c r="BF507" s="53">
        <v>4000</v>
      </c>
      <c r="BG507" s="53">
        <v>9000</v>
      </c>
      <c r="BH507" s="53">
        <v>8000</v>
      </c>
      <c r="BI507" s="53">
        <v>5000</v>
      </c>
      <c r="BJ507" s="53">
        <v>8000</v>
      </c>
      <c r="BK507" s="53">
        <v>10000</v>
      </c>
      <c r="BL507" s="53">
        <v>10000</v>
      </c>
      <c r="BM507" s="53">
        <v>270</v>
      </c>
      <c r="BN507" s="53">
        <v>8000</v>
      </c>
      <c r="BO507" s="53">
        <v>1000</v>
      </c>
      <c r="BP507" s="53">
        <v>1500</v>
      </c>
      <c r="BQ507" s="53">
        <v>3500</v>
      </c>
      <c r="BR507" s="53">
        <v>7500</v>
      </c>
      <c r="BS507" s="53">
        <v>15000</v>
      </c>
      <c r="BT507" s="53">
        <v>13000</v>
      </c>
      <c r="BU507" s="53">
        <v>15000</v>
      </c>
      <c r="BV507" s="53">
        <v>35000</v>
      </c>
      <c r="BW507" s="53">
        <v>15000</v>
      </c>
      <c r="BX507" s="53">
        <v>7500</v>
      </c>
      <c r="BY507" s="53">
        <v>1500</v>
      </c>
      <c r="BZ507" s="53">
        <v>7500</v>
      </c>
      <c r="CA507" s="53">
        <v>7500</v>
      </c>
      <c r="CB507" s="53">
        <v>7500</v>
      </c>
      <c r="CC507" s="53">
        <v>1500</v>
      </c>
      <c r="CD507" s="53">
        <v>7500</v>
      </c>
      <c r="CE507" s="53">
        <v>750</v>
      </c>
      <c r="CF507" s="53">
        <v>7500</v>
      </c>
      <c r="CG507" s="53">
        <v>7500</v>
      </c>
      <c r="CH507" s="53">
        <v>15000</v>
      </c>
      <c r="CI507" s="53">
        <v>3500</v>
      </c>
      <c r="CJ507" s="53">
        <v>7500</v>
      </c>
      <c r="CK507" s="53">
        <v>3500</v>
      </c>
      <c r="CL507" s="53">
        <v>3500</v>
      </c>
      <c r="CM507" s="53">
        <v>7500</v>
      </c>
      <c r="CN507" s="206"/>
      <c r="CO507" s="206"/>
      <c r="CP507" s="206"/>
      <c r="CQ507" s="8">
        <f t="shared" si="265"/>
        <v>270</v>
      </c>
      <c r="CR507" s="8">
        <f t="shared" si="266"/>
        <v>35000</v>
      </c>
      <c r="CS507" s="8">
        <f t="shared" si="267"/>
        <v>6783.8620689655172</v>
      </c>
      <c r="CT507">
        <f t="shared" si="268"/>
        <v>4737.9608470974172</v>
      </c>
      <c r="CU507" s="143">
        <f t="shared" si="269"/>
        <v>2411.8000000000002</v>
      </c>
      <c r="CV507" s="143">
        <f t="shared" si="270"/>
        <v>5747.75</v>
      </c>
      <c r="CX507" s="7">
        <f t="shared" si="271"/>
        <v>967.3</v>
      </c>
      <c r="CY507" s="7">
        <f t="shared" si="272"/>
        <v>1533.55</v>
      </c>
      <c r="CZ507" s="7">
        <f t="shared" si="273"/>
        <v>1760.0000000000002</v>
      </c>
      <c r="DA507" s="7">
        <f t="shared" si="274"/>
        <v>2813.25</v>
      </c>
      <c r="DB507" s="7">
        <f t="shared" si="275"/>
        <v>6896.5</v>
      </c>
      <c r="DC507" s="7">
        <f t="shared" si="276"/>
        <v>7500</v>
      </c>
      <c r="DD507" s="7">
        <f t="shared" si="277"/>
        <v>7500</v>
      </c>
      <c r="DE507" s="7">
        <f t="shared" si="278"/>
        <v>8750</v>
      </c>
      <c r="DF507" s="7">
        <f t="shared" si="279"/>
        <v>11091.949999999993</v>
      </c>
      <c r="DH507" s="7">
        <f t="shared" si="280"/>
        <v>985.2</v>
      </c>
      <c r="DI507" s="7">
        <f t="shared" si="281"/>
        <v>1361.2</v>
      </c>
      <c r="DJ507" s="7">
        <f t="shared" si="282"/>
        <v>1568.8</v>
      </c>
      <c r="DK507" s="7">
        <f t="shared" si="283"/>
        <v>1600</v>
      </c>
      <c r="DL507" s="7">
        <f t="shared" si="284"/>
        <v>3926</v>
      </c>
      <c r="DM507" s="7">
        <f t="shared" si="285"/>
        <v>4338.8</v>
      </c>
      <c r="DN507" s="7">
        <f t="shared" si="286"/>
        <v>5327.6</v>
      </c>
      <c r="DO507" s="7">
        <f t="shared" si="287"/>
        <v>6793</v>
      </c>
      <c r="DP507" s="7">
        <f t="shared" si="288"/>
        <v>10349</v>
      </c>
    </row>
    <row r="508" spans="1:130" ht="25.5" hidden="1" customHeight="1" x14ac:dyDescent="0.25">
      <c r="A508" s="92" t="str">
        <f t="shared" si="297"/>
        <v>CO-WVI [17]</v>
      </c>
      <c r="B508" s="92" t="str">
        <f t="shared" si="298"/>
        <v>West Vancouver Island</v>
      </c>
      <c r="C508" s="93" t="str">
        <f t="shared" si="262"/>
        <v>MALKSOPE RIVER_Coho</v>
      </c>
      <c r="D508" s="128" t="s">
        <v>598</v>
      </c>
      <c r="E508" s="128" t="s">
        <v>598</v>
      </c>
      <c r="F508" s="64">
        <v>26</v>
      </c>
      <c r="G508" s="72" t="s">
        <v>265</v>
      </c>
      <c r="H508" s="65" t="s">
        <v>93</v>
      </c>
      <c r="I508" s="119"/>
      <c r="J508" s="119"/>
      <c r="K508" s="64">
        <v>3</v>
      </c>
      <c r="L508" s="52">
        <v>7</v>
      </c>
      <c r="M508" s="52">
        <v>7</v>
      </c>
      <c r="N508" s="52">
        <f t="shared" si="294"/>
        <v>353.14062204727588</v>
      </c>
      <c r="O508" s="52">
        <f t="shared" si="295"/>
        <v>3500</v>
      </c>
      <c r="P508" s="52">
        <f t="shared" si="296"/>
        <v>345.68586648255172</v>
      </c>
      <c r="Q508" s="66" t="s">
        <v>271</v>
      </c>
      <c r="R508" s="37"/>
      <c r="S508" s="74" t="s">
        <v>437</v>
      </c>
      <c r="T508" s="81">
        <f t="shared" si="263"/>
        <v>991.5</v>
      </c>
      <c r="U508" s="81">
        <f t="shared" si="264"/>
        <v>1851.6666666666667</v>
      </c>
      <c r="V508" s="144">
        <v>1319</v>
      </c>
      <c r="W508" s="235">
        <v>807</v>
      </c>
      <c r="X508" s="52">
        <v>693</v>
      </c>
      <c r="Y508" s="52">
        <v>1147</v>
      </c>
      <c r="Z508" s="52">
        <v>3529</v>
      </c>
      <c r="AA508" s="52">
        <v>1490</v>
      </c>
      <c r="AB508" s="52">
        <v>1759</v>
      </c>
      <c r="AC508" s="52">
        <v>1883</v>
      </c>
      <c r="AD508" s="52">
        <v>2710</v>
      </c>
      <c r="AE508" s="53">
        <v>2154</v>
      </c>
      <c r="AF508" s="52">
        <v>2378</v>
      </c>
      <c r="AG508" s="52">
        <v>2351</v>
      </c>
      <c r="AH508" s="52" t="s">
        <v>102</v>
      </c>
      <c r="AI508" s="52" t="s">
        <v>102</v>
      </c>
      <c r="AJ508" s="52" t="s">
        <v>102</v>
      </c>
      <c r="AK508" s="52" t="s">
        <v>102</v>
      </c>
      <c r="AL508" s="52" t="s">
        <v>102</v>
      </c>
      <c r="AM508" s="52" t="s">
        <v>102</v>
      </c>
      <c r="AN508" s="52" t="s">
        <v>102</v>
      </c>
      <c r="AO508" s="53">
        <v>1987</v>
      </c>
      <c r="AP508" s="53">
        <v>713</v>
      </c>
      <c r="AQ508" s="53">
        <v>650</v>
      </c>
      <c r="AR508" s="53" t="s">
        <v>263</v>
      </c>
      <c r="AS508" s="52" t="s">
        <v>263</v>
      </c>
      <c r="AT508" s="52" t="s">
        <v>102</v>
      </c>
      <c r="AU508" s="52" t="s">
        <v>102</v>
      </c>
      <c r="AV508" s="52">
        <v>14</v>
      </c>
      <c r="AW508" s="52">
        <v>426</v>
      </c>
      <c r="AX508" s="51" t="s">
        <v>264</v>
      </c>
      <c r="AY508" s="53">
        <v>100</v>
      </c>
      <c r="AZ508" s="53">
        <v>300</v>
      </c>
      <c r="BA508" s="53">
        <v>500</v>
      </c>
      <c r="BB508" s="53">
        <v>100</v>
      </c>
      <c r="BC508" s="53">
        <v>110</v>
      </c>
      <c r="BD508" s="53" t="s">
        <v>102</v>
      </c>
      <c r="BE508" s="53">
        <v>250</v>
      </c>
      <c r="BF508" s="53">
        <v>350</v>
      </c>
      <c r="BG508" s="53">
        <v>300</v>
      </c>
      <c r="BH508" s="53" t="s">
        <v>262</v>
      </c>
      <c r="BI508" s="53" t="s">
        <v>264</v>
      </c>
      <c r="BJ508" s="53" t="s">
        <v>264</v>
      </c>
      <c r="BK508" s="53">
        <v>100</v>
      </c>
      <c r="BL508" s="53" t="s">
        <v>264</v>
      </c>
      <c r="BM508" s="53">
        <v>170</v>
      </c>
      <c r="BN508" s="53" t="s">
        <v>262</v>
      </c>
      <c r="BO508" s="53">
        <v>10</v>
      </c>
      <c r="BP508" s="53">
        <v>200</v>
      </c>
      <c r="BQ508" s="53">
        <v>750</v>
      </c>
      <c r="BR508" s="53">
        <v>75</v>
      </c>
      <c r="BS508" s="53">
        <v>400</v>
      </c>
      <c r="BT508" s="53">
        <v>400</v>
      </c>
      <c r="BU508" s="53">
        <v>1500</v>
      </c>
      <c r="BV508" s="53">
        <v>1500</v>
      </c>
      <c r="BW508" s="53">
        <v>750</v>
      </c>
      <c r="BX508" s="53">
        <v>200</v>
      </c>
      <c r="BY508" s="53">
        <v>75</v>
      </c>
      <c r="BZ508" s="53">
        <v>400</v>
      </c>
      <c r="CA508" s="53">
        <v>200</v>
      </c>
      <c r="CB508" s="53">
        <v>400</v>
      </c>
      <c r="CC508" s="53">
        <v>1500</v>
      </c>
      <c r="CD508" s="53">
        <v>200</v>
      </c>
      <c r="CE508" s="53">
        <v>200</v>
      </c>
      <c r="CF508" s="53">
        <v>200</v>
      </c>
      <c r="CG508" s="53">
        <v>1500</v>
      </c>
      <c r="CH508" s="53">
        <v>1500</v>
      </c>
      <c r="CI508" s="53">
        <v>750</v>
      </c>
      <c r="CJ508" s="53">
        <v>1500</v>
      </c>
      <c r="CK508" s="53">
        <v>3500</v>
      </c>
      <c r="CL508" s="53">
        <v>750</v>
      </c>
      <c r="CM508" s="53">
        <v>750</v>
      </c>
      <c r="CN508" s="206"/>
      <c r="CO508" s="206"/>
      <c r="CP508" s="206"/>
      <c r="CQ508" s="8">
        <f t="shared" si="265"/>
        <v>10</v>
      </c>
      <c r="CR508" s="8">
        <f t="shared" si="266"/>
        <v>3529</v>
      </c>
      <c r="CS508" s="8">
        <f t="shared" si="267"/>
        <v>913.46153846153845</v>
      </c>
      <c r="CT508">
        <f t="shared" si="268"/>
        <v>497.41349878294761</v>
      </c>
      <c r="CU508" s="143">
        <f t="shared" si="269"/>
        <v>1499</v>
      </c>
      <c r="CV508" s="143">
        <f t="shared" si="270"/>
        <v>1851.6666666666667</v>
      </c>
      <c r="CX508" s="7">
        <f t="shared" si="271"/>
        <v>75</v>
      </c>
      <c r="CY508" s="7">
        <f t="shared" si="272"/>
        <v>148.99999999999991</v>
      </c>
      <c r="CZ508" s="7">
        <f t="shared" si="273"/>
        <v>200</v>
      </c>
      <c r="DA508" s="7">
        <f t="shared" si="274"/>
        <v>200</v>
      </c>
      <c r="DB508" s="7">
        <f t="shared" si="275"/>
        <v>671.5</v>
      </c>
      <c r="DC508" s="7">
        <f t="shared" si="276"/>
        <v>750</v>
      </c>
      <c r="DD508" s="7">
        <f t="shared" si="277"/>
        <v>857.99999999999955</v>
      </c>
      <c r="DE508" s="7">
        <f t="shared" si="278"/>
        <v>1500</v>
      </c>
      <c r="DF508" s="7">
        <f t="shared" si="279"/>
        <v>1802.4</v>
      </c>
      <c r="DH508" s="7">
        <f t="shared" si="280"/>
        <v>343.6</v>
      </c>
      <c r="DI508" s="7">
        <f t="shared" si="281"/>
        <v>667.2</v>
      </c>
      <c r="DJ508" s="7">
        <f t="shared" si="282"/>
        <v>697</v>
      </c>
      <c r="DK508" s="7">
        <f t="shared" si="283"/>
        <v>713</v>
      </c>
      <c r="DL508" s="7">
        <f t="shared" si="284"/>
        <v>1490</v>
      </c>
      <c r="DM508" s="7">
        <f t="shared" si="285"/>
        <v>1833.3999999999999</v>
      </c>
      <c r="DN508" s="7">
        <f t="shared" si="286"/>
        <v>1924.6000000000001</v>
      </c>
      <c r="DO508" s="7">
        <f t="shared" si="287"/>
        <v>2154</v>
      </c>
      <c r="DP508" s="7">
        <f t="shared" si="288"/>
        <v>2367.1999999999998</v>
      </c>
    </row>
    <row r="509" spans="1:130" ht="25.5" hidden="1" customHeight="1" x14ac:dyDescent="0.25">
      <c r="A509" s="92" t="str">
        <f t="shared" si="297"/>
        <v>SK-WVI [R10]</v>
      </c>
      <c r="B509" s="92" t="str">
        <f t="shared" si="298"/>
        <v>West Vancouver Island</v>
      </c>
      <c r="C509" s="93" t="str">
        <f t="shared" si="262"/>
        <v>MALKSOPE RIVER_Sockeye</v>
      </c>
      <c r="D509" s="128" t="s">
        <v>598</v>
      </c>
      <c r="E509" s="128" t="s">
        <v>598</v>
      </c>
      <c r="F509" s="64">
        <v>26</v>
      </c>
      <c r="G509" s="72" t="s">
        <v>265</v>
      </c>
      <c r="H509" s="65" t="s">
        <v>91</v>
      </c>
      <c r="I509" s="119"/>
      <c r="J509" s="119"/>
      <c r="K509" s="64">
        <v>3</v>
      </c>
      <c r="L509" s="52"/>
      <c r="M509" s="52"/>
      <c r="N509" s="52" t="e">
        <f t="shared" si="294"/>
        <v>#NUM!</v>
      </c>
      <c r="O509" s="52">
        <f t="shared" si="295"/>
        <v>0</v>
      </c>
      <c r="P509" s="52" t="e">
        <f t="shared" si="296"/>
        <v>#NUM!</v>
      </c>
      <c r="Q509" s="66" t="s">
        <v>271</v>
      </c>
      <c r="R509" s="37"/>
      <c r="S509" s="74"/>
      <c r="T509" s="81">
        <f t="shared" si="263"/>
        <v>8.5</v>
      </c>
      <c r="U509" s="81">
        <f t="shared" si="264"/>
        <v>8.3333333333333339</v>
      </c>
      <c r="V509" s="144">
        <v>14</v>
      </c>
      <c r="W509" s="213" t="s">
        <v>262</v>
      </c>
      <c r="X509" s="52">
        <v>3</v>
      </c>
      <c r="Y509" s="52" t="s">
        <v>262</v>
      </c>
      <c r="Z509" s="52">
        <v>4</v>
      </c>
      <c r="AA509" s="52">
        <v>8</v>
      </c>
      <c r="AB509" s="52">
        <v>11</v>
      </c>
      <c r="AC509" s="52">
        <v>10</v>
      </c>
      <c r="AD509" s="52" t="s">
        <v>263</v>
      </c>
      <c r="AE509" s="53" t="s">
        <v>263</v>
      </c>
      <c r="AF509" s="52" t="s">
        <v>263</v>
      </c>
      <c r="AG509" s="52"/>
      <c r="AH509" s="52"/>
      <c r="AI509" s="52"/>
      <c r="AJ509" s="52"/>
      <c r="AK509" s="148"/>
      <c r="AL509" s="148"/>
      <c r="AM509" s="52"/>
      <c r="AN509" s="52"/>
      <c r="AO509" s="53"/>
      <c r="AP509" s="53"/>
      <c r="AQ509" s="53"/>
      <c r="AR509" s="53"/>
      <c r="AS509" s="52"/>
      <c r="AT509" s="52"/>
      <c r="AU509" s="52"/>
      <c r="AV509" s="52"/>
      <c r="AW509" s="52"/>
      <c r="AX509" s="51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206"/>
      <c r="CO509" s="206"/>
      <c r="CP509" s="206"/>
      <c r="CQ509" s="8">
        <f t="shared" si="265"/>
        <v>3</v>
      </c>
      <c r="CR509" s="8">
        <f t="shared" si="266"/>
        <v>14</v>
      </c>
      <c r="CS509" s="8">
        <f t="shared" si="267"/>
        <v>8.3333333333333339</v>
      </c>
      <c r="CT509">
        <f t="shared" si="268"/>
        <v>7.2716336769238001</v>
      </c>
      <c r="CU509" s="143">
        <f t="shared" si="269"/>
        <v>7</v>
      </c>
      <c r="CV509" s="143">
        <f t="shared" si="270"/>
        <v>8.3333333333333339</v>
      </c>
      <c r="CX509" s="7">
        <f t="shared" si="271"/>
        <v>3.25</v>
      </c>
      <c r="CY509" s="7">
        <f t="shared" si="272"/>
        <v>3.75</v>
      </c>
      <c r="CZ509" s="7">
        <f t="shared" si="273"/>
        <v>4</v>
      </c>
      <c r="DA509" s="7">
        <f t="shared" si="274"/>
        <v>5</v>
      </c>
      <c r="DB509" s="7">
        <f t="shared" si="275"/>
        <v>9</v>
      </c>
      <c r="DC509" s="7">
        <f t="shared" si="276"/>
        <v>10</v>
      </c>
      <c r="DD509" s="7">
        <f t="shared" si="277"/>
        <v>10.25</v>
      </c>
      <c r="DE509" s="7">
        <f t="shared" si="278"/>
        <v>10.75</v>
      </c>
      <c r="DF509" s="7">
        <f t="shared" si="279"/>
        <v>11.75</v>
      </c>
      <c r="DH509" s="7">
        <f t="shared" si="280"/>
        <v>3.25</v>
      </c>
      <c r="DI509" s="7">
        <f t="shared" si="281"/>
        <v>3.75</v>
      </c>
      <c r="DJ509" s="7">
        <f t="shared" si="282"/>
        <v>4</v>
      </c>
      <c r="DK509" s="7">
        <f t="shared" si="283"/>
        <v>5</v>
      </c>
      <c r="DL509" s="7">
        <f t="shared" si="284"/>
        <v>9</v>
      </c>
      <c r="DM509" s="7">
        <f t="shared" si="285"/>
        <v>10</v>
      </c>
      <c r="DN509" s="7">
        <f t="shared" si="286"/>
        <v>10.25</v>
      </c>
      <c r="DO509" s="7">
        <f t="shared" si="287"/>
        <v>10.75</v>
      </c>
      <c r="DP509" s="7">
        <f t="shared" si="288"/>
        <v>11.75</v>
      </c>
    </row>
    <row r="510" spans="1:130" ht="25.5" customHeight="1" x14ac:dyDescent="0.25">
      <c r="A510" s="92" t="e">
        <f t="shared" si="297"/>
        <v>#N/A</v>
      </c>
      <c r="B510" s="92" t="e">
        <f t="shared" si="298"/>
        <v>#N/A</v>
      </c>
      <c r="C510" s="93" t="str">
        <f t="shared" si="262"/>
        <v>MCKAY COVE CREEK_Chinook</v>
      </c>
      <c r="D510" s="128" t="s">
        <v>598</v>
      </c>
      <c r="E510" s="128" t="s">
        <v>598</v>
      </c>
      <c r="F510" s="64">
        <v>26</v>
      </c>
      <c r="G510" s="72" t="s">
        <v>672</v>
      </c>
      <c r="H510" s="65" t="s">
        <v>97</v>
      </c>
      <c r="I510" s="119"/>
      <c r="J510" s="119"/>
      <c r="K510" s="64"/>
      <c r="L510" s="52"/>
      <c r="M510" s="52"/>
      <c r="N510" s="52"/>
      <c r="O510" s="52"/>
      <c r="P510" s="52"/>
      <c r="Q510" s="66"/>
      <c r="R510" s="37"/>
      <c r="S510" s="74"/>
      <c r="T510" s="81" t="e">
        <f t="shared" si="263"/>
        <v>#DIV/0!</v>
      </c>
      <c r="U510" s="81" t="e">
        <f t="shared" si="264"/>
        <v>#DIV/0!</v>
      </c>
      <c r="V510" s="234" t="s">
        <v>102</v>
      </c>
      <c r="W510" s="124"/>
      <c r="X510" s="52"/>
      <c r="Y510" s="52" t="s">
        <v>102</v>
      </c>
      <c r="Z510" s="52" t="s">
        <v>102</v>
      </c>
      <c r="AA510" s="52" t="s">
        <v>102</v>
      </c>
      <c r="AB510" s="123" t="s">
        <v>102</v>
      </c>
      <c r="AC510" s="123" t="s">
        <v>102</v>
      </c>
      <c r="AD510" s="123" t="s">
        <v>102</v>
      </c>
      <c r="AE510" s="123" t="s">
        <v>102</v>
      </c>
      <c r="AF510" s="123" t="s">
        <v>102</v>
      </c>
      <c r="AG510" s="123" t="s">
        <v>102</v>
      </c>
      <c r="AH510" s="123" t="s">
        <v>102</v>
      </c>
      <c r="AI510" s="123" t="s">
        <v>102</v>
      </c>
      <c r="AJ510" s="123" t="s">
        <v>102</v>
      </c>
      <c r="AK510" s="123" t="s">
        <v>102</v>
      </c>
      <c r="AL510" s="123" t="s">
        <v>102</v>
      </c>
      <c r="AM510" s="52" t="s">
        <v>102</v>
      </c>
      <c r="AN510" s="52" t="s">
        <v>102</v>
      </c>
      <c r="AO510" s="52" t="s">
        <v>102</v>
      </c>
      <c r="AP510" s="53" t="s">
        <v>102</v>
      </c>
      <c r="AQ510" s="53" t="s">
        <v>102</v>
      </c>
      <c r="AR510" s="53" t="s">
        <v>102</v>
      </c>
      <c r="AS510" s="52" t="s">
        <v>102</v>
      </c>
      <c r="AT510" s="52" t="s">
        <v>102</v>
      </c>
      <c r="AU510" s="52" t="s">
        <v>102</v>
      </c>
      <c r="AV510" s="52">
        <v>10</v>
      </c>
      <c r="AW510" s="52" t="s">
        <v>263</v>
      </c>
      <c r="AX510" s="51" t="s">
        <v>102</v>
      </c>
      <c r="AY510" s="53" t="s">
        <v>102</v>
      </c>
      <c r="AZ510" s="53"/>
      <c r="BA510" s="53" t="s">
        <v>262</v>
      </c>
      <c r="BB510" s="53" t="s">
        <v>102</v>
      </c>
      <c r="BC510" s="53"/>
      <c r="BD510" s="53" t="s">
        <v>102</v>
      </c>
      <c r="BE510" s="53"/>
      <c r="BF510" s="53" t="s">
        <v>102</v>
      </c>
      <c r="BG510" s="53"/>
      <c r="BH510" s="53" t="s">
        <v>262</v>
      </c>
      <c r="BI510" s="53" t="s">
        <v>102</v>
      </c>
      <c r="BJ510" s="53" t="s">
        <v>102</v>
      </c>
      <c r="BK510" s="53"/>
      <c r="BL510" s="53"/>
      <c r="BM510" s="53">
        <v>3</v>
      </c>
      <c r="BN510" s="53" t="s">
        <v>262</v>
      </c>
      <c r="BO510" s="53"/>
      <c r="BP510" s="53"/>
      <c r="BQ510" s="53">
        <v>25</v>
      </c>
      <c r="BR510" s="53"/>
      <c r="BS510" s="53">
        <v>25</v>
      </c>
      <c r="BT510" s="53">
        <v>25</v>
      </c>
      <c r="BU510" s="53"/>
      <c r="BV510" s="53">
        <v>25</v>
      </c>
      <c r="BW510" s="53"/>
      <c r="BX510" s="53"/>
      <c r="BY510" s="53"/>
      <c r="BZ510" s="53" t="s">
        <v>262</v>
      </c>
      <c r="CA510" s="53">
        <v>25</v>
      </c>
      <c r="CB510" s="53"/>
      <c r="CC510" s="53"/>
      <c r="CD510" s="53">
        <v>25</v>
      </c>
      <c r="CE510" s="53" t="s">
        <v>262</v>
      </c>
      <c r="CF510" s="53" t="s">
        <v>262</v>
      </c>
      <c r="CG510" s="53">
        <v>25</v>
      </c>
      <c r="CH510" s="53">
        <v>75</v>
      </c>
      <c r="CI510" s="53">
        <v>25</v>
      </c>
      <c r="CJ510" s="53">
        <v>25</v>
      </c>
      <c r="CK510" s="53">
        <v>25</v>
      </c>
      <c r="CL510" s="53">
        <v>25</v>
      </c>
      <c r="CM510" s="53">
        <v>400</v>
      </c>
      <c r="CN510" s="206"/>
      <c r="CO510" s="206"/>
      <c r="CP510" s="206"/>
      <c r="CQ510" s="8">
        <f t="shared" si="265"/>
        <v>3</v>
      </c>
      <c r="CR510" s="8">
        <f t="shared" si="266"/>
        <v>400</v>
      </c>
      <c r="CS510" s="8">
        <f t="shared" si="267"/>
        <v>50.866666666666667</v>
      </c>
      <c r="CT510">
        <f t="shared" si="268"/>
        <v>26.430507789691241</v>
      </c>
      <c r="CU510" s="143" t="e">
        <f t="shared" si="269"/>
        <v>#DIV/0!</v>
      </c>
      <c r="CV510" s="143" t="e">
        <f t="shared" si="270"/>
        <v>#DIV/0!</v>
      </c>
      <c r="CX510" s="7">
        <f t="shared" si="271"/>
        <v>7.9000000000000012</v>
      </c>
      <c r="CY510" s="7">
        <f t="shared" si="272"/>
        <v>25</v>
      </c>
      <c r="CZ510" s="7">
        <f t="shared" si="273"/>
        <v>25</v>
      </c>
      <c r="DA510" s="7">
        <f t="shared" si="274"/>
        <v>25</v>
      </c>
      <c r="DB510" s="7">
        <f t="shared" si="275"/>
        <v>25</v>
      </c>
      <c r="DC510" s="7">
        <f t="shared" si="276"/>
        <v>25</v>
      </c>
      <c r="DD510" s="7">
        <f t="shared" si="277"/>
        <v>25</v>
      </c>
      <c r="DE510" s="7">
        <f t="shared" si="278"/>
        <v>25</v>
      </c>
      <c r="DF510" s="7">
        <f t="shared" si="279"/>
        <v>25</v>
      </c>
      <c r="DH510" s="7">
        <f t="shared" si="280"/>
        <v>10</v>
      </c>
      <c r="DI510" s="7">
        <f t="shared" si="281"/>
        <v>10</v>
      </c>
      <c r="DJ510" s="7">
        <f t="shared" si="282"/>
        <v>10</v>
      </c>
      <c r="DK510" s="7">
        <f t="shared" si="283"/>
        <v>10</v>
      </c>
      <c r="DL510" s="7">
        <f t="shared" si="284"/>
        <v>10</v>
      </c>
      <c r="DM510" s="7">
        <f t="shared" si="285"/>
        <v>10</v>
      </c>
      <c r="DN510" s="7">
        <f t="shared" si="286"/>
        <v>10</v>
      </c>
      <c r="DO510" s="7">
        <f t="shared" si="287"/>
        <v>10</v>
      </c>
      <c r="DP510" s="7">
        <f t="shared" si="288"/>
        <v>10</v>
      </c>
    </row>
    <row r="511" spans="1:130" ht="25.5" hidden="1" customHeight="1" x14ac:dyDescent="0.25">
      <c r="A511" s="92" t="e">
        <f t="shared" si="297"/>
        <v>#N/A</v>
      </c>
      <c r="B511" s="92" t="e">
        <f t="shared" si="298"/>
        <v>#N/A</v>
      </c>
      <c r="C511" s="93" t="str">
        <f t="shared" si="262"/>
        <v>MCKAY COVE CREEK_Chum</v>
      </c>
      <c r="D511" s="128" t="s">
        <v>598</v>
      </c>
      <c r="E511" s="128" t="s">
        <v>598</v>
      </c>
      <c r="F511" s="64">
        <v>26</v>
      </c>
      <c r="G511" s="72" t="s">
        <v>672</v>
      </c>
      <c r="H511" s="65" t="s">
        <v>96</v>
      </c>
      <c r="I511" s="119"/>
      <c r="J511" s="119"/>
      <c r="K511" s="64"/>
      <c r="L511" s="52"/>
      <c r="M511" s="52"/>
      <c r="N511" s="52"/>
      <c r="O511" s="52"/>
      <c r="P511" s="52"/>
      <c r="Q511" s="66"/>
      <c r="R511" s="37"/>
      <c r="S511" s="74"/>
      <c r="T511" s="81" t="e">
        <f t="shared" si="263"/>
        <v>#DIV/0!</v>
      </c>
      <c r="U511" s="81" t="e">
        <f t="shared" si="264"/>
        <v>#DIV/0!</v>
      </c>
      <c r="V511" s="234" t="s">
        <v>102</v>
      </c>
      <c r="W511" s="124"/>
      <c r="X511" s="52"/>
      <c r="Y511" s="52" t="s">
        <v>102</v>
      </c>
      <c r="Z511" s="52" t="s">
        <v>102</v>
      </c>
      <c r="AA511" s="52" t="s">
        <v>102</v>
      </c>
      <c r="AB511" s="123" t="s">
        <v>102</v>
      </c>
      <c r="AC511" s="123" t="s">
        <v>102</v>
      </c>
      <c r="AD511" s="123" t="s">
        <v>102</v>
      </c>
      <c r="AE511" s="123" t="s">
        <v>102</v>
      </c>
      <c r="AF511" s="123" t="s">
        <v>102</v>
      </c>
      <c r="AG511" s="123" t="s">
        <v>102</v>
      </c>
      <c r="AH511" s="123" t="s">
        <v>102</v>
      </c>
      <c r="AI511" s="123" t="s">
        <v>102</v>
      </c>
      <c r="AJ511" s="123" t="s">
        <v>102</v>
      </c>
      <c r="AK511" s="123" t="s">
        <v>102</v>
      </c>
      <c r="AL511" s="123" t="s">
        <v>102</v>
      </c>
      <c r="AM511" s="52" t="s">
        <v>102</v>
      </c>
      <c r="AN511" s="52" t="s">
        <v>102</v>
      </c>
      <c r="AO511" s="52" t="s">
        <v>102</v>
      </c>
      <c r="AP511" s="53" t="s">
        <v>102</v>
      </c>
      <c r="AQ511" s="53" t="s">
        <v>102</v>
      </c>
      <c r="AR511" s="53" t="s">
        <v>102</v>
      </c>
      <c r="AS511" s="52" t="s">
        <v>102</v>
      </c>
      <c r="AT511" s="52" t="s">
        <v>102</v>
      </c>
      <c r="AU511" s="52" t="s">
        <v>102</v>
      </c>
      <c r="AV511" s="52">
        <v>200</v>
      </c>
      <c r="AW511" s="52">
        <v>200</v>
      </c>
      <c r="AX511" s="51" t="s">
        <v>102</v>
      </c>
      <c r="AY511" s="53" t="s">
        <v>102</v>
      </c>
      <c r="AZ511" s="53"/>
      <c r="BA511" s="53">
        <v>250</v>
      </c>
      <c r="BB511" s="53" t="s">
        <v>102</v>
      </c>
      <c r="BC511" s="53">
        <v>150</v>
      </c>
      <c r="BD511" s="53" t="s">
        <v>102</v>
      </c>
      <c r="BE511" s="53"/>
      <c r="BF511" s="53" t="s">
        <v>102</v>
      </c>
      <c r="BG511" s="53">
        <v>2500</v>
      </c>
      <c r="BH511" s="53">
        <v>300</v>
      </c>
      <c r="BI511" s="53" t="s">
        <v>102</v>
      </c>
      <c r="BJ511" s="53" t="s">
        <v>102</v>
      </c>
      <c r="BK511" s="53">
        <v>1000</v>
      </c>
      <c r="BL511" s="53">
        <v>1000</v>
      </c>
      <c r="BM511" s="53">
        <v>500</v>
      </c>
      <c r="BN511" s="53">
        <v>800</v>
      </c>
      <c r="BO511" s="53">
        <v>300</v>
      </c>
      <c r="BP511" s="53">
        <v>75</v>
      </c>
      <c r="BQ511" s="53">
        <v>750</v>
      </c>
      <c r="BR511" s="53">
        <v>1500</v>
      </c>
      <c r="BS511" s="53">
        <v>3500</v>
      </c>
      <c r="BT511" s="53">
        <v>3500</v>
      </c>
      <c r="BU511" s="53">
        <v>1500</v>
      </c>
      <c r="BV511" s="53">
        <v>3500</v>
      </c>
      <c r="BW511" s="53">
        <v>400</v>
      </c>
      <c r="BX511" s="53">
        <v>750</v>
      </c>
      <c r="BY511" s="53">
        <v>750</v>
      </c>
      <c r="BZ511" s="53">
        <v>400</v>
      </c>
      <c r="CA511" s="53">
        <v>750</v>
      </c>
      <c r="CB511" s="53">
        <v>400</v>
      </c>
      <c r="CC511" s="53">
        <v>75</v>
      </c>
      <c r="CD511" s="53">
        <v>3500</v>
      </c>
      <c r="CE511" s="53">
        <v>750</v>
      </c>
      <c r="CF511" s="53">
        <v>3500</v>
      </c>
      <c r="CG511" s="53">
        <v>3500</v>
      </c>
      <c r="CH511" s="53">
        <v>3500</v>
      </c>
      <c r="CI511" s="53">
        <v>3500</v>
      </c>
      <c r="CJ511" s="53">
        <v>750</v>
      </c>
      <c r="CK511" s="53">
        <v>1500</v>
      </c>
      <c r="CL511" s="53">
        <v>1500</v>
      </c>
      <c r="CM511" s="53">
        <v>3500</v>
      </c>
      <c r="CN511" s="206"/>
      <c r="CO511" s="206"/>
      <c r="CP511" s="206"/>
      <c r="CQ511" s="8">
        <f t="shared" si="265"/>
        <v>75</v>
      </c>
      <c r="CR511" s="8">
        <f t="shared" si="266"/>
        <v>3500</v>
      </c>
      <c r="CS511" s="8">
        <f t="shared" si="267"/>
        <v>1444.2857142857142</v>
      </c>
      <c r="CT511">
        <f t="shared" si="268"/>
        <v>850.4653187327973</v>
      </c>
      <c r="CU511" s="143" t="e">
        <f t="shared" si="269"/>
        <v>#DIV/0!</v>
      </c>
      <c r="CV511" s="143" t="e">
        <f t="shared" si="270"/>
        <v>#DIV/0!</v>
      </c>
      <c r="CX511" s="7">
        <f t="shared" si="271"/>
        <v>127.50000000000001</v>
      </c>
      <c r="CY511" s="7">
        <f t="shared" si="272"/>
        <v>254.99999999999997</v>
      </c>
      <c r="CZ511" s="7">
        <f t="shared" si="273"/>
        <v>300</v>
      </c>
      <c r="DA511" s="7">
        <f t="shared" si="274"/>
        <v>400</v>
      </c>
      <c r="DB511" s="7">
        <f t="shared" si="275"/>
        <v>750</v>
      </c>
      <c r="DC511" s="7">
        <f t="shared" si="276"/>
        <v>1199.9999999999993</v>
      </c>
      <c r="DD511" s="7">
        <f t="shared" si="277"/>
        <v>1500</v>
      </c>
      <c r="DE511" s="7">
        <f t="shared" si="278"/>
        <v>3000</v>
      </c>
      <c r="DF511" s="7">
        <f t="shared" si="279"/>
        <v>3500</v>
      </c>
      <c r="DH511" s="7">
        <f t="shared" si="280"/>
        <v>200</v>
      </c>
      <c r="DI511" s="7">
        <f t="shared" si="281"/>
        <v>200</v>
      </c>
      <c r="DJ511" s="7">
        <f t="shared" si="282"/>
        <v>200</v>
      </c>
      <c r="DK511" s="7">
        <f t="shared" si="283"/>
        <v>200</v>
      </c>
      <c r="DL511" s="7">
        <f t="shared" si="284"/>
        <v>200</v>
      </c>
      <c r="DM511" s="7">
        <f t="shared" si="285"/>
        <v>200</v>
      </c>
      <c r="DN511" s="7">
        <f t="shared" si="286"/>
        <v>200</v>
      </c>
      <c r="DO511" s="7">
        <f t="shared" si="287"/>
        <v>200</v>
      </c>
      <c r="DP511" s="7">
        <f t="shared" si="288"/>
        <v>200</v>
      </c>
    </row>
    <row r="512" spans="1:130" ht="25.5" hidden="1" customHeight="1" x14ac:dyDescent="0.25">
      <c r="A512" s="92" t="e">
        <f t="shared" si="297"/>
        <v>#N/A</v>
      </c>
      <c r="B512" s="92" t="e">
        <f t="shared" si="298"/>
        <v>#N/A</v>
      </c>
      <c r="C512" s="93" t="str">
        <f t="shared" si="262"/>
        <v>MCKAY COVE CREEK_Coho</v>
      </c>
      <c r="D512" s="128" t="s">
        <v>598</v>
      </c>
      <c r="E512" s="128" t="s">
        <v>598</v>
      </c>
      <c r="F512" s="64">
        <v>26</v>
      </c>
      <c r="G512" s="72" t="s">
        <v>672</v>
      </c>
      <c r="H512" s="65" t="s">
        <v>93</v>
      </c>
      <c r="I512" s="119"/>
      <c r="J512" s="119"/>
      <c r="K512" s="64"/>
      <c r="L512" s="52"/>
      <c r="M512" s="52"/>
      <c r="N512" s="52"/>
      <c r="O512" s="52"/>
      <c r="P512" s="52"/>
      <c r="Q512" s="66"/>
      <c r="R512" s="37"/>
      <c r="S512" s="74"/>
      <c r="T512" s="81" t="e">
        <f t="shared" si="263"/>
        <v>#DIV/0!</v>
      </c>
      <c r="U512" s="81" t="e">
        <f t="shared" si="264"/>
        <v>#DIV/0!</v>
      </c>
      <c r="V512" s="234" t="s">
        <v>102</v>
      </c>
      <c r="W512" s="124"/>
      <c r="X512" s="52"/>
      <c r="Y512" s="52" t="s">
        <v>102</v>
      </c>
      <c r="Z512" s="52" t="s">
        <v>102</v>
      </c>
      <c r="AA512" s="52" t="s">
        <v>102</v>
      </c>
      <c r="AB512" s="123" t="s">
        <v>102</v>
      </c>
      <c r="AC512" s="123" t="s">
        <v>102</v>
      </c>
      <c r="AD512" s="123" t="s">
        <v>102</v>
      </c>
      <c r="AE512" s="123" t="s">
        <v>102</v>
      </c>
      <c r="AF512" s="123" t="s">
        <v>102</v>
      </c>
      <c r="AG512" s="123" t="s">
        <v>102</v>
      </c>
      <c r="AH512" s="123" t="s">
        <v>102</v>
      </c>
      <c r="AI512" s="123" t="s">
        <v>102</v>
      </c>
      <c r="AJ512" s="123" t="s">
        <v>102</v>
      </c>
      <c r="AK512" s="123" t="s">
        <v>102</v>
      </c>
      <c r="AL512" s="123" t="s">
        <v>102</v>
      </c>
      <c r="AM512" s="52" t="s">
        <v>102</v>
      </c>
      <c r="AN512" s="52" t="s">
        <v>102</v>
      </c>
      <c r="AO512" s="52" t="s">
        <v>102</v>
      </c>
      <c r="AP512" s="53" t="s">
        <v>102</v>
      </c>
      <c r="AQ512" s="53" t="s">
        <v>102</v>
      </c>
      <c r="AR512" s="53" t="s">
        <v>102</v>
      </c>
      <c r="AS512" s="52" t="s">
        <v>102</v>
      </c>
      <c r="AT512" s="52" t="s">
        <v>102</v>
      </c>
      <c r="AU512" s="52" t="s">
        <v>102</v>
      </c>
      <c r="AV512" s="52" t="s">
        <v>262</v>
      </c>
      <c r="AW512" s="52" t="s">
        <v>262</v>
      </c>
      <c r="AX512" s="51" t="s">
        <v>102</v>
      </c>
      <c r="AY512" s="53" t="s">
        <v>102</v>
      </c>
      <c r="AZ512" s="53"/>
      <c r="BA512" s="53" t="s">
        <v>262</v>
      </c>
      <c r="BB512" s="53" t="s">
        <v>102</v>
      </c>
      <c r="BC512" s="53" t="s">
        <v>262</v>
      </c>
      <c r="BD512" s="53" t="s">
        <v>102</v>
      </c>
      <c r="BE512" s="53">
        <v>50</v>
      </c>
      <c r="BF512" s="53" t="s">
        <v>102</v>
      </c>
      <c r="BG512" s="53">
        <v>100</v>
      </c>
      <c r="BH512" s="53" t="s">
        <v>262</v>
      </c>
      <c r="BI512" s="53" t="s">
        <v>102</v>
      </c>
      <c r="BJ512" s="53" t="s">
        <v>102</v>
      </c>
      <c r="BK512" s="53"/>
      <c r="BL512" s="53"/>
      <c r="BM512" s="53">
        <v>4</v>
      </c>
      <c r="BN512" s="53" t="s">
        <v>262</v>
      </c>
      <c r="BO512" s="53"/>
      <c r="BP512" s="53"/>
      <c r="BQ512" s="53">
        <v>25</v>
      </c>
      <c r="BR512" s="53">
        <v>200</v>
      </c>
      <c r="BS512" s="53">
        <v>25</v>
      </c>
      <c r="BT512" s="53">
        <v>25</v>
      </c>
      <c r="BU512" s="53">
        <v>200</v>
      </c>
      <c r="BV512" s="53">
        <v>75</v>
      </c>
      <c r="BW512" s="53"/>
      <c r="BX512" s="53" t="s">
        <v>262</v>
      </c>
      <c r="BY512" s="53"/>
      <c r="BZ512" s="53">
        <v>25</v>
      </c>
      <c r="CA512" s="53" t="s">
        <v>262</v>
      </c>
      <c r="CB512" s="53"/>
      <c r="CC512" s="53">
        <v>25</v>
      </c>
      <c r="CD512" s="53">
        <v>75</v>
      </c>
      <c r="CE512" s="53">
        <v>75</v>
      </c>
      <c r="CF512" s="53">
        <v>25</v>
      </c>
      <c r="CG512" s="53">
        <v>25</v>
      </c>
      <c r="CH512" s="53">
        <v>75</v>
      </c>
      <c r="CI512" s="53">
        <v>75</v>
      </c>
      <c r="CJ512" s="53">
        <v>75</v>
      </c>
      <c r="CK512" s="53">
        <v>75</v>
      </c>
      <c r="CL512" s="53">
        <v>25</v>
      </c>
      <c r="CM512" s="53">
        <v>200</v>
      </c>
      <c r="CN512" s="206"/>
      <c r="CO512" s="206"/>
      <c r="CP512" s="206"/>
      <c r="CQ512" s="8">
        <f t="shared" si="265"/>
        <v>4</v>
      </c>
      <c r="CR512" s="8">
        <f t="shared" si="266"/>
        <v>200</v>
      </c>
      <c r="CS512" s="8">
        <f t="shared" si="267"/>
        <v>70.428571428571431</v>
      </c>
      <c r="CT512">
        <f t="shared" si="268"/>
        <v>49.101925026780272</v>
      </c>
      <c r="CU512" s="143" t="e">
        <f t="shared" si="269"/>
        <v>#DIV/0!</v>
      </c>
      <c r="CV512" s="143" t="e">
        <f t="shared" si="270"/>
        <v>#DIV/0!</v>
      </c>
      <c r="CX512" s="7">
        <f t="shared" si="271"/>
        <v>25</v>
      </c>
      <c r="CY512" s="7">
        <f t="shared" si="272"/>
        <v>25</v>
      </c>
      <c r="CZ512" s="7">
        <f t="shared" si="273"/>
        <v>25</v>
      </c>
      <c r="DA512" s="7">
        <f t="shared" si="274"/>
        <v>25</v>
      </c>
      <c r="DB512" s="7">
        <f t="shared" si="275"/>
        <v>75</v>
      </c>
      <c r="DC512" s="7">
        <f t="shared" si="276"/>
        <v>75</v>
      </c>
      <c r="DD512" s="7">
        <f t="shared" si="277"/>
        <v>75</v>
      </c>
      <c r="DE512" s="7">
        <f t="shared" si="278"/>
        <v>75</v>
      </c>
      <c r="DF512" s="7">
        <f t="shared" si="279"/>
        <v>100</v>
      </c>
      <c r="DH512" s="7" t="e">
        <f t="shared" si="280"/>
        <v>#NUM!</v>
      </c>
      <c r="DI512" s="7" t="e">
        <f t="shared" si="281"/>
        <v>#NUM!</v>
      </c>
      <c r="DJ512" s="7" t="e">
        <f t="shared" si="282"/>
        <v>#NUM!</v>
      </c>
      <c r="DK512" s="7" t="e">
        <f t="shared" si="283"/>
        <v>#NUM!</v>
      </c>
      <c r="DL512" s="7" t="e">
        <f t="shared" si="284"/>
        <v>#NUM!</v>
      </c>
      <c r="DM512" s="7" t="e">
        <f t="shared" si="285"/>
        <v>#NUM!</v>
      </c>
      <c r="DN512" s="7" t="e">
        <f t="shared" si="286"/>
        <v>#NUM!</v>
      </c>
      <c r="DO512" s="7" t="e">
        <f t="shared" si="287"/>
        <v>#NUM!</v>
      </c>
      <c r="DP512" s="7" t="e">
        <f t="shared" si="288"/>
        <v>#NUM!</v>
      </c>
    </row>
    <row r="513" spans="1:130" ht="25.5" customHeight="1" x14ac:dyDescent="0.25">
      <c r="A513" s="92" t="str">
        <f t="shared" si="297"/>
        <v>CK-NoKy [32]</v>
      </c>
      <c r="B513" s="92" t="str">
        <f t="shared" si="298"/>
        <v>Nootka and Kyuquot</v>
      </c>
      <c r="C513" s="93" t="str">
        <f t="shared" si="262"/>
        <v>NARROWGUT CREEK_Chinook</v>
      </c>
      <c r="D513" s="128" t="s">
        <v>598</v>
      </c>
      <c r="E513" s="128" t="s">
        <v>598</v>
      </c>
      <c r="F513" s="64">
        <v>26</v>
      </c>
      <c r="G513" s="72" t="s">
        <v>249</v>
      </c>
      <c r="H513" s="65" t="s">
        <v>97</v>
      </c>
      <c r="I513" s="119"/>
      <c r="J513" s="119"/>
      <c r="K513" s="64">
        <v>3</v>
      </c>
      <c r="L513" s="52">
        <v>7</v>
      </c>
      <c r="M513" s="52">
        <v>2</v>
      </c>
      <c r="N513" s="52">
        <f>GEOMEAN(AJ513:AW513)</f>
        <v>4.8989794855663558</v>
      </c>
      <c r="O513" s="52">
        <f>MAX(AJ513:CM513)</f>
        <v>200</v>
      </c>
      <c r="P513" s="52">
        <f>GEOMEAN(AJ513:CM513)</f>
        <v>24.497146846178467</v>
      </c>
      <c r="Q513" s="66"/>
      <c r="R513" s="37"/>
      <c r="S513" s="74" t="s">
        <v>415</v>
      </c>
      <c r="T513" s="81" t="e">
        <f t="shared" si="263"/>
        <v>#DIV/0!</v>
      </c>
      <c r="U513" s="81">
        <f t="shared" si="264"/>
        <v>2</v>
      </c>
      <c r="V513" s="234" t="s">
        <v>102</v>
      </c>
      <c r="W513" s="124"/>
      <c r="X513" s="52"/>
      <c r="Y513" s="52" t="s">
        <v>102</v>
      </c>
      <c r="Z513" s="52" t="s">
        <v>102</v>
      </c>
      <c r="AA513" s="52" t="s">
        <v>102</v>
      </c>
      <c r="AB513" s="144" t="s">
        <v>102</v>
      </c>
      <c r="AC513" s="144" t="s">
        <v>262</v>
      </c>
      <c r="AD513" s="52" t="s">
        <v>262</v>
      </c>
      <c r="AE513" s="144" t="s">
        <v>263</v>
      </c>
      <c r="AF513" s="144" t="s">
        <v>263</v>
      </c>
      <c r="AG513" s="144">
        <v>2</v>
      </c>
      <c r="AH513" s="52" t="s">
        <v>102</v>
      </c>
      <c r="AI513" s="52" t="s">
        <v>102</v>
      </c>
      <c r="AJ513" s="52" t="s">
        <v>102</v>
      </c>
      <c r="AK513" s="52" t="s">
        <v>102</v>
      </c>
      <c r="AL513" s="52" t="s">
        <v>102</v>
      </c>
      <c r="AM513" s="52" t="s">
        <v>102</v>
      </c>
      <c r="AN513" s="52" t="s">
        <v>262</v>
      </c>
      <c r="AO513" s="52" t="s">
        <v>102</v>
      </c>
      <c r="AP513" s="53" t="s">
        <v>102</v>
      </c>
      <c r="AQ513" s="53" t="s">
        <v>102</v>
      </c>
      <c r="AR513" s="53" t="s">
        <v>262</v>
      </c>
      <c r="AS513" s="52" t="s">
        <v>102</v>
      </c>
      <c r="AT513" s="52">
        <v>4</v>
      </c>
      <c r="AU513" s="52">
        <v>6</v>
      </c>
      <c r="AV513" s="52" t="s">
        <v>262</v>
      </c>
      <c r="AW513" s="52" t="s">
        <v>262</v>
      </c>
      <c r="AX513" s="51" t="s">
        <v>262</v>
      </c>
      <c r="AY513" s="53" t="s">
        <v>262</v>
      </c>
      <c r="AZ513" s="53">
        <v>20</v>
      </c>
      <c r="BA513" s="53" t="s">
        <v>262</v>
      </c>
      <c r="BB513" s="52" t="s">
        <v>262</v>
      </c>
      <c r="BC513" s="53" t="s">
        <v>264</v>
      </c>
      <c r="BD513" s="53" t="s">
        <v>264</v>
      </c>
      <c r="BE513" s="53" t="s">
        <v>264</v>
      </c>
      <c r="BF513" s="53" t="s">
        <v>264</v>
      </c>
      <c r="BG513" s="53" t="s">
        <v>264</v>
      </c>
      <c r="BH513" s="53" t="s">
        <v>262</v>
      </c>
      <c r="BI513" s="53" t="s">
        <v>264</v>
      </c>
      <c r="BJ513" s="53" t="s">
        <v>264</v>
      </c>
      <c r="BK513" s="53" t="s">
        <v>264</v>
      </c>
      <c r="BL513" s="53" t="s">
        <v>264</v>
      </c>
      <c r="BM513" s="53" t="s">
        <v>264</v>
      </c>
      <c r="BN513" s="53" t="s">
        <v>262</v>
      </c>
      <c r="BO513" s="53" t="s">
        <v>264</v>
      </c>
      <c r="BP513" s="53" t="s">
        <v>264</v>
      </c>
      <c r="BQ513" s="53" t="s">
        <v>264</v>
      </c>
      <c r="BR513" s="53" t="s">
        <v>264</v>
      </c>
      <c r="BS513" s="53" t="s">
        <v>264</v>
      </c>
      <c r="BT513" s="53" t="s">
        <v>264</v>
      </c>
      <c r="BU513" s="53">
        <v>25</v>
      </c>
      <c r="BV513" s="53">
        <v>75</v>
      </c>
      <c r="BW513" s="53">
        <v>25</v>
      </c>
      <c r="BX513" s="53">
        <v>25</v>
      </c>
      <c r="BY513" s="53" t="s">
        <v>262</v>
      </c>
      <c r="BZ513" s="53">
        <v>25</v>
      </c>
      <c r="CA513" s="53">
        <v>25</v>
      </c>
      <c r="CB513" s="53" t="s">
        <v>262</v>
      </c>
      <c r="CC513" s="53">
        <v>25</v>
      </c>
      <c r="CD513" s="53">
        <v>25</v>
      </c>
      <c r="CE513" s="53">
        <v>25</v>
      </c>
      <c r="CF513" s="53">
        <v>200</v>
      </c>
      <c r="CG513" s="53">
        <v>25</v>
      </c>
      <c r="CH513" s="53">
        <v>25</v>
      </c>
      <c r="CI513" s="53" t="s">
        <v>264</v>
      </c>
      <c r="CJ513" s="53" t="s">
        <v>264</v>
      </c>
      <c r="CK513" s="53" t="s">
        <v>264</v>
      </c>
      <c r="CL513" s="53" t="s">
        <v>264</v>
      </c>
      <c r="CM513" s="53" t="s">
        <v>264</v>
      </c>
      <c r="CN513" s="206"/>
      <c r="CO513" s="206"/>
      <c r="CP513" s="206"/>
      <c r="CQ513" s="8">
        <f t="shared" si="265"/>
        <v>2</v>
      </c>
      <c r="CR513" s="8">
        <f t="shared" si="266"/>
        <v>200</v>
      </c>
      <c r="CS513" s="8">
        <f t="shared" si="267"/>
        <v>34.8125</v>
      </c>
      <c r="CT513">
        <f t="shared" si="268"/>
        <v>20.946437063289192</v>
      </c>
      <c r="CU513" s="143" t="e">
        <f t="shared" si="269"/>
        <v>#DIV/0!</v>
      </c>
      <c r="CV513" s="143">
        <f t="shared" si="270"/>
        <v>2</v>
      </c>
      <c r="CX513" s="7">
        <f t="shared" si="271"/>
        <v>3.5</v>
      </c>
      <c r="CY513" s="7">
        <f t="shared" si="272"/>
        <v>9.5</v>
      </c>
      <c r="CZ513" s="7">
        <f t="shared" si="273"/>
        <v>20</v>
      </c>
      <c r="DA513" s="7">
        <f t="shared" si="274"/>
        <v>23.75</v>
      </c>
      <c r="DB513" s="7">
        <f t="shared" si="275"/>
        <v>25</v>
      </c>
      <c r="DC513" s="7">
        <f t="shared" si="276"/>
        <v>25</v>
      </c>
      <c r="DD513" s="7">
        <f t="shared" si="277"/>
        <v>25</v>
      </c>
      <c r="DE513" s="7">
        <f t="shared" si="278"/>
        <v>25</v>
      </c>
      <c r="DF513" s="7">
        <f t="shared" si="279"/>
        <v>25</v>
      </c>
      <c r="DH513" s="7">
        <f t="shared" si="280"/>
        <v>2.2000000000000002</v>
      </c>
      <c r="DI513" s="7">
        <f t="shared" si="281"/>
        <v>2.6</v>
      </c>
      <c r="DJ513" s="7">
        <f t="shared" si="282"/>
        <v>2.8</v>
      </c>
      <c r="DK513" s="7">
        <f t="shared" si="283"/>
        <v>3</v>
      </c>
      <c r="DL513" s="7">
        <f t="shared" si="284"/>
        <v>4</v>
      </c>
      <c r="DM513" s="7">
        <f t="shared" si="285"/>
        <v>4.4000000000000004</v>
      </c>
      <c r="DN513" s="7">
        <f t="shared" si="286"/>
        <v>4.5999999999999996</v>
      </c>
      <c r="DO513" s="7">
        <f t="shared" si="287"/>
        <v>5</v>
      </c>
      <c r="DP513" s="7">
        <f t="shared" si="288"/>
        <v>5.4</v>
      </c>
    </row>
    <row r="514" spans="1:130" ht="25.5" hidden="1" customHeight="1" x14ac:dyDescent="0.25">
      <c r="A514" s="92" t="str">
        <f t="shared" si="297"/>
        <v>CM-SWVI [10]</v>
      </c>
      <c r="B514" s="92" t="str">
        <f t="shared" si="298"/>
        <v>Southwest Vancouver Island</v>
      </c>
      <c r="C514" s="93" t="str">
        <f t="shared" si="262"/>
        <v>NARROWGUT CREEK_Chum</v>
      </c>
      <c r="D514" s="128" t="s">
        <v>598</v>
      </c>
      <c r="E514" s="128" t="s">
        <v>598</v>
      </c>
      <c r="F514" s="64">
        <v>26</v>
      </c>
      <c r="G514" s="72" t="s">
        <v>249</v>
      </c>
      <c r="H514" s="65" t="s">
        <v>96</v>
      </c>
      <c r="I514" s="119"/>
      <c r="J514" s="119"/>
      <c r="K514" s="64">
        <v>3</v>
      </c>
      <c r="L514" s="52">
        <v>7</v>
      </c>
      <c r="M514" s="52">
        <v>7</v>
      </c>
      <c r="N514" s="52">
        <f>GEOMEAN(AJ514:AW514)</f>
        <v>1773.8373674478664</v>
      </c>
      <c r="O514" s="52">
        <f>MAX(AJ514:CM514)</f>
        <v>13400</v>
      </c>
      <c r="P514" s="52">
        <f>GEOMEAN(AJ514:CM514)</f>
        <v>1799.3227366112374</v>
      </c>
      <c r="Q514" s="66"/>
      <c r="R514" s="37"/>
      <c r="S514" s="74" t="s">
        <v>416</v>
      </c>
      <c r="T514" s="81" t="e">
        <f t="shared" si="263"/>
        <v>#DIV/0!</v>
      </c>
      <c r="U514" s="81">
        <f t="shared" si="264"/>
        <v>1658.25</v>
      </c>
      <c r="V514" s="234" t="s">
        <v>102</v>
      </c>
      <c r="W514" s="124"/>
      <c r="X514" s="52"/>
      <c r="Y514" s="52" t="s">
        <v>102</v>
      </c>
      <c r="Z514" s="52" t="s">
        <v>102</v>
      </c>
      <c r="AA514" s="52" t="s">
        <v>102</v>
      </c>
      <c r="AB514" s="144" t="s">
        <v>102</v>
      </c>
      <c r="AC514" s="52" t="s">
        <v>263</v>
      </c>
      <c r="AD514" s="52">
        <v>527</v>
      </c>
      <c r="AE514" s="144">
        <v>3463</v>
      </c>
      <c r="AF514" s="144">
        <v>1296</v>
      </c>
      <c r="AG514" s="144">
        <v>1347</v>
      </c>
      <c r="AH514" s="52" t="s">
        <v>102</v>
      </c>
      <c r="AI514" s="52" t="s">
        <v>102</v>
      </c>
      <c r="AJ514" s="52" t="s">
        <v>102</v>
      </c>
      <c r="AK514" s="52" t="s">
        <v>102</v>
      </c>
      <c r="AL514" s="52" t="s">
        <v>102</v>
      </c>
      <c r="AM514" s="52" t="s">
        <v>102</v>
      </c>
      <c r="AN514" s="52">
        <v>2653</v>
      </c>
      <c r="AO514" s="52" t="s">
        <v>102</v>
      </c>
      <c r="AP514" s="53" t="s">
        <v>102</v>
      </c>
      <c r="AQ514" s="53" t="s">
        <v>102</v>
      </c>
      <c r="AR514" s="53" t="s">
        <v>263</v>
      </c>
      <c r="AS514" s="52" t="s">
        <v>263</v>
      </c>
      <c r="AT514" s="52">
        <v>13400</v>
      </c>
      <c r="AU514" s="52">
        <v>3800</v>
      </c>
      <c r="AV514" s="52">
        <v>100</v>
      </c>
      <c r="AW514" s="52">
        <v>1300</v>
      </c>
      <c r="AX514" s="51">
        <v>6000</v>
      </c>
      <c r="AY514" s="53">
        <v>4500</v>
      </c>
      <c r="AZ514" s="53">
        <v>4500</v>
      </c>
      <c r="BA514" s="53">
        <v>4000</v>
      </c>
      <c r="BB514" s="53">
        <v>6000</v>
      </c>
      <c r="BC514" s="53">
        <v>550</v>
      </c>
      <c r="BD514" s="53">
        <v>1500</v>
      </c>
      <c r="BE514" s="53">
        <v>1200</v>
      </c>
      <c r="BF514" s="53">
        <v>5000</v>
      </c>
      <c r="BG514" s="53">
        <v>10000</v>
      </c>
      <c r="BH514" s="53">
        <v>6000</v>
      </c>
      <c r="BI514" s="53">
        <v>12000</v>
      </c>
      <c r="BJ514" s="53">
        <v>1000</v>
      </c>
      <c r="BK514" s="53">
        <v>2000</v>
      </c>
      <c r="BL514" s="53">
        <v>1500</v>
      </c>
      <c r="BM514" s="53">
        <v>500</v>
      </c>
      <c r="BN514" s="53">
        <v>2000</v>
      </c>
      <c r="BO514" s="53">
        <v>1500</v>
      </c>
      <c r="BP514" s="53">
        <v>400</v>
      </c>
      <c r="BQ514" s="53">
        <v>750</v>
      </c>
      <c r="BR514" s="53">
        <v>750</v>
      </c>
      <c r="BS514" s="53">
        <v>3500</v>
      </c>
      <c r="BT514" s="53">
        <v>1500</v>
      </c>
      <c r="BU514" s="53">
        <v>750</v>
      </c>
      <c r="BV514" s="53">
        <v>3500</v>
      </c>
      <c r="BW514" s="53">
        <v>1500</v>
      </c>
      <c r="BX514" s="53">
        <v>1500</v>
      </c>
      <c r="BY514" s="53">
        <v>1500</v>
      </c>
      <c r="BZ514" s="53">
        <v>750</v>
      </c>
      <c r="CA514" s="53">
        <v>1500</v>
      </c>
      <c r="CB514" s="53">
        <v>7500</v>
      </c>
      <c r="CC514" s="53">
        <v>400</v>
      </c>
      <c r="CD514" s="53">
        <v>1500</v>
      </c>
      <c r="CE514" s="53">
        <v>1500</v>
      </c>
      <c r="CF514" s="53">
        <v>1500</v>
      </c>
      <c r="CG514" s="53">
        <v>1500</v>
      </c>
      <c r="CH514" s="53">
        <v>3500</v>
      </c>
      <c r="CI514" s="53">
        <v>3500</v>
      </c>
      <c r="CJ514" s="53">
        <v>750</v>
      </c>
      <c r="CK514" s="53">
        <v>75</v>
      </c>
      <c r="CL514" s="53">
        <v>2760</v>
      </c>
      <c r="CM514" s="53">
        <v>3500</v>
      </c>
      <c r="CN514" s="206"/>
      <c r="CO514" s="206"/>
      <c r="CP514" s="206"/>
      <c r="CQ514" s="8">
        <f t="shared" si="265"/>
        <v>75</v>
      </c>
      <c r="CR514" s="8">
        <f t="shared" si="266"/>
        <v>13400</v>
      </c>
      <c r="CS514" s="8">
        <f t="shared" si="267"/>
        <v>2814.1372549019607</v>
      </c>
      <c r="CT514">
        <f t="shared" si="268"/>
        <v>1757.7936053713763</v>
      </c>
      <c r="CU514" s="143" t="e">
        <f t="shared" si="269"/>
        <v>#DIV/0!</v>
      </c>
      <c r="CV514" s="143">
        <f t="shared" si="270"/>
        <v>1658.25</v>
      </c>
      <c r="CX514" s="7">
        <f t="shared" si="271"/>
        <v>400</v>
      </c>
      <c r="CY514" s="7">
        <f t="shared" si="272"/>
        <v>750</v>
      </c>
      <c r="CZ514" s="7">
        <f t="shared" si="273"/>
        <v>750</v>
      </c>
      <c r="DA514" s="7">
        <f t="shared" si="274"/>
        <v>1100</v>
      </c>
      <c r="DB514" s="7">
        <f t="shared" si="275"/>
        <v>1500</v>
      </c>
      <c r="DC514" s="7">
        <f t="shared" si="276"/>
        <v>2000</v>
      </c>
      <c r="DD514" s="7">
        <f t="shared" si="277"/>
        <v>3111.5</v>
      </c>
      <c r="DE514" s="7">
        <f t="shared" si="278"/>
        <v>3500</v>
      </c>
      <c r="DF514" s="7">
        <f t="shared" si="279"/>
        <v>4750</v>
      </c>
      <c r="DH514" s="7">
        <f t="shared" si="280"/>
        <v>270.79999999999995</v>
      </c>
      <c r="DI514" s="7">
        <f t="shared" si="281"/>
        <v>680.80000000000018</v>
      </c>
      <c r="DJ514" s="7">
        <f t="shared" si="282"/>
        <v>988.40000000000009</v>
      </c>
      <c r="DK514" s="7">
        <f t="shared" si="283"/>
        <v>1296</v>
      </c>
      <c r="DL514" s="7">
        <f t="shared" si="284"/>
        <v>1347</v>
      </c>
      <c r="DM514" s="7">
        <f t="shared" si="285"/>
        <v>2391.7999999999997</v>
      </c>
      <c r="DN514" s="7">
        <f t="shared" si="286"/>
        <v>2815</v>
      </c>
      <c r="DO514" s="7">
        <f t="shared" si="287"/>
        <v>3463</v>
      </c>
      <c r="DP514" s="7">
        <f t="shared" si="288"/>
        <v>3732.6</v>
      </c>
    </row>
    <row r="515" spans="1:130" ht="25.5" hidden="1" customHeight="1" x14ac:dyDescent="0.25">
      <c r="A515" s="92" t="str">
        <f t="shared" si="297"/>
        <v>CO-WVI [17]</v>
      </c>
      <c r="B515" s="92" t="str">
        <f t="shared" si="298"/>
        <v>West Vancouver Island</v>
      </c>
      <c r="C515" s="93" t="str">
        <f t="shared" si="262"/>
        <v>NARROWGUT CREEK_Coho</v>
      </c>
      <c r="D515" s="128" t="s">
        <v>598</v>
      </c>
      <c r="E515" s="128" t="s">
        <v>598</v>
      </c>
      <c r="F515" s="64">
        <v>26</v>
      </c>
      <c r="G515" s="72" t="s">
        <v>249</v>
      </c>
      <c r="H515" s="65" t="s">
        <v>93</v>
      </c>
      <c r="I515" s="119"/>
      <c r="J515" s="119"/>
      <c r="K515" s="64">
        <v>3</v>
      </c>
      <c r="L515" s="52">
        <v>7</v>
      </c>
      <c r="M515" s="52">
        <v>6</v>
      </c>
      <c r="N515" s="52">
        <f>GEOMEAN(AJ515:AW515)</f>
        <v>277.97252721393818</v>
      </c>
      <c r="O515" s="52">
        <f>MAX(AJ515:CM515)</f>
        <v>1055</v>
      </c>
      <c r="P515" s="52">
        <f>GEOMEAN(AJ515:CM515)</f>
        <v>167.82338628421851</v>
      </c>
      <c r="Q515" s="66"/>
      <c r="R515" s="37"/>
      <c r="S515" s="74" t="s">
        <v>417</v>
      </c>
      <c r="T515" s="81" t="e">
        <f t="shared" si="263"/>
        <v>#DIV/0!</v>
      </c>
      <c r="U515" s="81">
        <f t="shared" si="264"/>
        <v>313.8</v>
      </c>
      <c r="V515" s="234" t="s">
        <v>102</v>
      </c>
      <c r="W515" s="124"/>
      <c r="X515" s="52"/>
      <c r="Y515" s="52" t="s">
        <v>102</v>
      </c>
      <c r="Z515" s="52" t="s">
        <v>102</v>
      </c>
      <c r="AA515" s="52" t="s">
        <v>102</v>
      </c>
      <c r="AB515" s="144" t="s">
        <v>102</v>
      </c>
      <c r="AC515" s="52">
        <v>299</v>
      </c>
      <c r="AD515" s="52">
        <v>270</v>
      </c>
      <c r="AE515" s="144">
        <v>275</v>
      </c>
      <c r="AF515" s="144">
        <v>357</v>
      </c>
      <c r="AG515" s="144">
        <v>368</v>
      </c>
      <c r="AH515" s="52" t="s">
        <v>102</v>
      </c>
      <c r="AI515" s="52" t="s">
        <v>102</v>
      </c>
      <c r="AJ515" s="52" t="s">
        <v>102</v>
      </c>
      <c r="AK515" s="52" t="s">
        <v>102</v>
      </c>
      <c r="AL515" s="52" t="s">
        <v>102</v>
      </c>
      <c r="AM515" s="52" t="s">
        <v>102</v>
      </c>
      <c r="AN515" s="52">
        <v>786</v>
      </c>
      <c r="AO515" s="52" t="s">
        <v>102</v>
      </c>
      <c r="AP515" s="53" t="s">
        <v>102</v>
      </c>
      <c r="AQ515" s="53" t="s">
        <v>102</v>
      </c>
      <c r="AR515" s="53" t="s">
        <v>263</v>
      </c>
      <c r="AS515" s="52" t="s">
        <v>263</v>
      </c>
      <c r="AT515" s="52">
        <v>1055</v>
      </c>
      <c r="AU515" s="52">
        <v>240</v>
      </c>
      <c r="AV515" s="52" t="s">
        <v>262</v>
      </c>
      <c r="AW515" s="52">
        <v>30</v>
      </c>
      <c r="AX515" s="51">
        <v>30</v>
      </c>
      <c r="AY515" s="53">
        <v>50</v>
      </c>
      <c r="AZ515" s="53" t="s">
        <v>262</v>
      </c>
      <c r="BA515" s="53">
        <v>50</v>
      </c>
      <c r="BB515" s="53">
        <v>500</v>
      </c>
      <c r="BC515" s="53">
        <v>100</v>
      </c>
      <c r="BD515" s="53">
        <v>75</v>
      </c>
      <c r="BE515" s="53">
        <v>150</v>
      </c>
      <c r="BF515" s="53">
        <v>150</v>
      </c>
      <c r="BG515" s="53">
        <v>100</v>
      </c>
      <c r="BH515" s="53" t="s">
        <v>262</v>
      </c>
      <c r="BI515" s="53" t="s">
        <v>264</v>
      </c>
      <c r="BJ515" s="53" t="s">
        <v>264</v>
      </c>
      <c r="BK515" s="53" t="s">
        <v>264</v>
      </c>
      <c r="BL515" s="53" t="s">
        <v>264</v>
      </c>
      <c r="BM515" s="53">
        <v>30</v>
      </c>
      <c r="BN515" s="53" t="s">
        <v>262</v>
      </c>
      <c r="BO515" s="53">
        <v>50</v>
      </c>
      <c r="BP515" s="53">
        <v>200</v>
      </c>
      <c r="BQ515" s="53">
        <v>75</v>
      </c>
      <c r="BR515" s="53" t="s">
        <v>264</v>
      </c>
      <c r="BS515" s="53" t="s">
        <v>264</v>
      </c>
      <c r="BT515" s="53">
        <v>200</v>
      </c>
      <c r="BU515" s="53">
        <v>400</v>
      </c>
      <c r="BV515" s="53">
        <v>200</v>
      </c>
      <c r="BW515" s="53">
        <v>200</v>
      </c>
      <c r="BX515" s="53">
        <v>75</v>
      </c>
      <c r="BY515" s="53">
        <v>25</v>
      </c>
      <c r="BZ515" s="53">
        <v>750</v>
      </c>
      <c r="CA515" s="53">
        <v>200</v>
      </c>
      <c r="CB515" s="53">
        <v>200</v>
      </c>
      <c r="CC515" s="53">
        <v>200</v>
      </c>
      <c r="CD515" s="53">
        <v>200</v>
      </c>
      <c r="CE515" s="53">
        <v>200</v>
      </c>
      <c r="CF515" s="53">
        <v>200</v>
      </c>
      <c r="CG515" s="53">
        <v>400</v>
      </c>
      <c r="CH515" s="53">
        <v>750</v>
      </c>
      <c r="CI515" s="53">
        <v>400</v>
      </c>
      <c r="CJ515" s="53">
        <v>400</v>
      </c>
      <c r="CK515" s="53">
        <v>75</v>
      </c>
      <c r="CL515" s="53">
        <v>592</v>
      </c>
      <c r="CM515" s="53">
        <v>400</v>
      </c>
      <c r="CN515" s="206"/>
      <c r="CO515" s="206"/>
      <c r="CP515" s="206"/>
      <c r="CQ515" s="8">
        <f t="shared" si="265"/>
        <v>25</v>
      </c>
      <c r="CR515" s="8">
        <f t="shared" si="266"/>
        <v>1055</v>
      </c>
      <c r="CS515" s="8">
        <f t="shared" si="267"/>
        <v>269.21428571428572</v>
      </c>
      <c r="CT515">
        <f t="shared" si="268"/>
        <v>180.62257700552249</v>
      </c>
      <c r="CU515" s="143" t="e">
        <f t="shared" si="269"/>
        <v>#DIV/0!</v>
      </c>
      <c r="CV515" s="143">
        <f t="shared" si="270"/>
        <v>313.8</v>
      </c>
      <c r="CX515" s="7">
        <f t="shared" si="271"/>
        <v>30</v>
      </c>
      <c r="CY515" s="7">
        <f t="shared" si="272"/>
        <v>53.749999999999986</v>
      </c>
      <c r="CZ515" s="7">
        <f t="shared" si="273"/>
        <v>75</v>
      </c>
      <c r="DA515" s="7">
        <f t="shared" si="274"/>
        <v>81.25</v>
      </c>
      <c r="DB515" s="7">
        <f t="shared" si="275"/>
        <v>200</v>
      </c>
      <c r="DC515" s="7">
        <f t="shared" si="276"/>
        <v>223.99999999999991</v>
      </c>
      <c r="DD515" s="7">
        <f t="shared" si="277"/>
        <v>273.25</v>
      </c>
      <c r="DE515" s="7">
        <f t="shared" si="278"/>
        <v>392</v>
      </c>
      <c r="DF515" s="7">
        <f t="shared" si="279"/>
        <v>400</v>
      </c>
      <c r="DH515" s="7">
        <f t="shared" si="280"/>
        <v>113.99999999999999</v>
      </c>
      <c r="DI515" s="7">
        <f t="shared" si="281"/>
        <v>246</v>
      </c>
      <c r="DJ515" s="7">
        <f t="shared" si="282"/>
        <v>258</v>
      </c>
      <c r="DK515" s="7">
        <f t="shared" si="283"/>
        <v>270</v>
      </c>
      <c r="DL515" s="7">
        <f t="shared" si="284"/>
        <v>299</v>
      </c>
      <c r="DM515" s="7">
        <f t="shared" si="285"/>
        <v>345.4</v>
      </c>
      <c r="DN515" s="7">
        <f t="shared" si="286"/>
        <v>359.2</v>
      </c>
      <c r="DO515" s="7">
        <f t="shared" si="287"/>
        <v>368</v>
      </c>
      <c r="DP515" s="7">
        <f t="shared" si="288"/>
        <v>702.39999999999986</v>
      </c>
    </row>
    <row r="516" spans="1:130" ht="25.5" hidden="1" customHeight="1" x14ac:dyDescent="0.25">
      <c r="A516" s="92" t="str">
        <f t="shared" si="297"/>
        <v>SK-WVI [R10]</v>
      </c>
      <c r="B516" s="92" t="str">
        <f t="shared" si="298"/>
        <v>West Vancouver Island</v>
      </c>
      <c r="C516" s="93" t="str">
        <f t="shared" si="262"/>
        <v>NARROWGUT CREEK_Sockeye</v>
      </c>
      <c r="D516" s="128" t="s">
        <v>598</v>
      </c>
      <c r="E516" s="128" t="s">
        <v>598</v>
      </c>
      <c r="F516" s="64">
        <v>26</v>
      </c>
      <c r="G516" s="72" t="s">
        <v>249</v>
      </c>
      <c r="H516" s="65" t="s">
        <v>91</v>
      </c>
      <c r="I516" s="119"/>
      <c r="J516" s="119"/>
      <c r="K516" s="64">
        <v>3</v>
      </c>
      <c r="L516" s="52">
        <v>7</v>
      </c>
      <c r="M516" s="52">
        <v>3</v>
      </c>
      <c r="N516" s="52">
        <f>GEOMEAN(AJ516:AW516)</f>
        <v>70.710678118654755</v>
      </c>
      <c r="O516" s="52">
        <f>MAX(AJ516:CM516)</f>
        <v>200</v>
      </c>
      <c r="P516" s="52">
        <f>GEOMEAN(AJ516:CM516)</f>
        <v>36.936397939434613</v>
      </c>
      <c r="Q516" s="66"/>
      <c r="R516" s="37"/>
      <c r="S516" s="74" t="s">
        <v>414</v>
      </c>
      <c r="T516" s="81" t="e">
        <f t="shared" si="263"/>
        <v>#DIV/0!</v>
      </c>
      <c r="U516" s="81" t="e">
        <f t="shared" si="264"/>
        <v>#DIV/0!</v>
      </c>
      <c r="V516" s="234" t="s">
        <v>102</v>
      </c>
      <c r="W516" s="124"/>
      <c r="X516" s="52"/>
      <c r="Y516" s="52" t="s">
        <v>102</v>
      </c>
      <c r="Z516" s="52" t="s">
        <v>102</v>
      </c>
      <c r="AA516" s="52" t="s">
        <v>102</v>
      </c>
      <c r="AB516" s="144" t="s">
        <v>102</v>
      </c>
      <c r="AC516" s="52" t="s">
        <v>263</v>
      </c>
      <c r="AD516" s="52" t="s">
        <v>262</v>
      </c>
      <c r="AE516" s="144" t="s">
        <v>263</v>
      </c>
      <c r="AF516" s="144" t="s">
        <v>263</v>
      </c>
      <c r="AG516" s="144" t="s">
        <v>262</v>
      </c>
      <c r="AH516" s="52" t="s">
        <v>102</v>
      </c>
      <c r="AI516" s="52" t="s">
        <v>102</v>
      </c>
      <c r="AJ516" s="52" t="s">
        <v>102</v>
      </c>
      <c r="AK516" s="52" t="s">
        <v>102</v>
      </c>
      <c r="AL516" s="52" t="s">
        <v>102</v>
      </c>
      <c r="AM516" s="52" t="s">
        <v>102</v>
      </c>
      <c r="AN516" s="53" t="s">
        <v>262</v>
      </c>
      <c r="AO516" s="52" t="s">
        <v>102</v>
      </c>
      <c r="AP516" s="53" t="s">
        <v>102</v>
      </c>
      <c r="AQ516" s="53" t="s">
        <v>102</v>
      </c>
      <c r="AR516" s="53" t="s">
        <v>263</v>
      </c>
      <c r="AS516" s="52" t="s">
        <v>102</v>
      </c>
      <c r="AT516" s="52">
        <v>25</v>
      </c>
      <c r="AU516" s="52">
        <v>200</v>
      </c>
      <c r="AV516" s="52" t="s">
        <v>262</v>
      </c>
      <c r="AW516" s="52" t="s">
        <v>262</v>
      </c>
      <c r="AX516" s="51" t="s">
        <v>262</v>
      </c>
      <c r="AY516" s="53" t="s">
        <v>262</v>
      </c>
      <c r="AZ516" s="53">
        <v>50</v>
      </c>
      <c r="BA516" s="53" t="s">
        <v>262</v>
      </c>
      <c r="BB516" s="52" t="s">
        <v>262</v>
      </c>
      <c r="BC516" s="53" t="s">
        <v>264</v>
      </c>
      <c r="BD516" s="53" t="s">
        <v>264</v>
      </c>
      <c r="BE516" s="53" t="s">
        <v>264</v>
      </c>
      <c r="BF516" s="53" t="s">
        <v>264</v>
      </c>
      <c r="BG516" s="53" t="s">
        <v>264</v>
      </c>
      <c r="BH516" s="53" t="s">
        <v>262</v>
      </c>
      <c r="BI516" s="53" t="s">
        <v>264</v>
      </c>
      <c r="BJ516" s="53" t="s">
        <v>264</v>
      </c>
      <c r="BK516" s="53" t="s">
        <v>264</v>
      </c>
      <c r="BL516" s="53" t="s">
        <v>264</v>
      </c>
      <c r="BM516" s="53" t="s">
        <v>264</v>
      </c>
      <c r="BN516" s="53" t="s">
        <v>262</v>
      </c>
      <c r="BO516" s="53" t="s">
        <v>264</v>
      </c>
      <c r="BP516" s="53">
        <v>25</v>
      </c>
      <c r="BQ516" s="53" t="s">
        <v>264</v>
      </c>
      <c r="BR516" s="53" t="s">
        <v>264</v>
      </c>
      <c r="BS516" s="53" t="s">
        <v>264</v>
      </c>
      <c r="BT516" s="53" t="s">
        <v>264</v>
      </c>
      <c r="BU516" s="53" t="s">
        <v>264</v>
      </c>
      <c r="BV516" s="53" t="s">
        <v>264</v>
      </c>
      <c r="BW516" s="53" t="s">
        <v>264</v>
      </c>
      <c r="BX516" s="53" t="s">
        <v>264</v>
      </c>
      <c r="BY516" s="53" t="s">
        <v>264</v>
      </c>
      <c r="BZ516" s="53" t="s">
        <v>264</v>
      </c>
      <c r="CA516" s="53" t="s">
        <v>264</v>
      </c>
      <c r="CB516" s="53" t="s">
        <v>264</v>
      </c>
      <c r="CC516" s="53" t="s">
        <v>264</v>
      </c>
      <c r="CD516" s="53" t="s">
        <v>264</v>
      </c>
      <c r="CE516" s="53" t="s">
        <v>264</v>
      </c>
      <c r="CF516" s="53" t="s">
        <v>264</v>
      </c>
      <c r="CG516" s="53" t="s">
        <v>264</v>
      </c>
      <c r="CH516" s="53" t="s">
        <v>264</v>
      </c>
      <c r="CI516" s="53" t="s">
        <v>264</v>
      </c>
      <c r="CJ516" s="53" t="s">
        <v>264</v>
      </c>
      <c r="CK516" s="53" t="s">
        <v>264</v>
      </c>
      <c r="CL516" s="53">
        <v>11</v>
      </c>
      <c r="CM516" s="53" t="s">
        <v>264</v>
      </c>
      <c r="CN516" s="206"/>
      <c r="CO516" s="206"/>
      <c r="CP516" s="206"/>
      <c r="CQ516" s="8">
        <f t="shared" si="265"/>
        <v>11</v>
      </c>
      <c r="CR516" s="8">
        <f t="shared" si="266"/>
        <v>200</v>
      </c>
      <c r="CS516" s="8">
        <f t="shared" si="267"/>
        <v>62.2</v>
      </c>
      <c r="CT516">
        <f t="shared" si="268"/>
        <v>36.936397939434613</v>
      </c>
      <c r="CU516" s="143" t="e">
        <f t="shared" si="269"/>
        <v>#DIV/0!</v>
      </c>
      <c r="CV516" s="143" t="e">
        <f t="shared" si="270"/>
        <v>#DIV/0!</v>
      </c>
      <c r="CX516" s="7">
        <f t="shared" si="271"/>
        <v>13.799999999999999</v>
      </c>
      <c r="CY516" s="7">
        <f t="shared" si="272"/>
        <v>19.400000000000002</v>
      </c>
      <c r="CZ516" s="7">
        <f t="shared" si="273"/>
        <v>22.200000000000003</v>
      </c>
      <c r="DA516" s="7">
        <f t="shared" si="274"/>
        <v>25</v>
      </c>
      <c r="DB516" s="7">
        <f t="shared" si="275"/>
        <v>25</v>
      </c>
      <c r="DC516" s="7">
        <f t="shared" si="276"/>
        <v>35</v>
      </c>
      <c r="DD516" s="7">
        <f t="shared" si="277"/>
        <v>40</v>
      </c>
      <c r="DE516" s="7">
        <f t="shared" si="278"/>
        <v>50</v>
      </c>
      <c r="DF516" s="7">
        <f t="shared" si="279"/>
        <v>110.00000000000006</v>
      </c>
      <c r="DH516" s="7">
        <f t="shared" si="280"/>
        <v>33.750000000000007</v>
      </c>
      <c r="DI516" s="7">
        <f t="shared" si="281"/>
        <v>51.249999999999986</v>
      </c>
      <c r="DJ516" s="7">
        <f t="shared" si="282"/>
        <v>59.999999999999993</v>
      </c>
      <c r="DK516" s="7">
        <f t="shared" si="283"/>
        <v>68.75</v>
      </c>
      <c r="DL516" s="7">
        <f t="shared" si="284"/>
        <v>112.5</v>
      </c>
      <c r="DM516" s="7">
        <f t="shared" si="285"/>
        <v>130</v>
      </c>
      <c r="DN516" s="7">
        <f t="shared" si="286"/>
        <v>138.75</v>
      </c>
      <c r="DO516" s="7">
        <f t="shared" si="287"/>
        <v>156.25</v>
      </c>
      <c r="DP516" s="7">
        <f t="shared" si="288"/>
        <v>173.75000000000003</v>
      </c>
    </row>
    <row r="517" spans="1:130" ht="25.5" hidden="1" customHeight="1" x14ac:dyDescent="0.25">
      <c r="A517" s="92" t="e">
        <f t="shared" si="297"/>
        <v>#N/A</v>
      </c>
      <c r="B517" s="92" t="e">
        <f t="shared" si="298"/>
        <v>#N/A</v>
      </c>
      <c r="C517" s="93" t="str">
        <f t="shared" ref="C517:C547" si="299">CONCATENATE(G517,"_",H517)</f>
        <v>NASPARTI RIVER_Chum</v>
      </c>
      <c r="D517" s="128" t="s">
        <v>598</v>
      </c>
      <c r="E517" s="128" t="s">
        <v>598</v>
      </c>
      <c r="F517" s="64">
        <v>26</v>
      </c>
      <c r="G517" s="72" t="s">
        <v>673</v>
      </c>
      <c r="H517" s="65" t="s">
        <v>96</v>
      </c>
      <c r="I517" s="119"/>
      <c r="J517" s="119"/>
      <c r="K517" s="64"/>
      <c r="L517" s="52"/>
      <c r="M517" s="52"/>
      <c r="N517" s="52"/>
      <c r="O517" s="52"/>
      <c r="P517" s="52"/>
      <c r="Q517" s="66"/>
      <c r="R517" s="37"/>
      <c r="S517" s="74"/>
      <c r="T517" s="81" t="e">
        <f t="shared" si="263"/>
        <v>#DIV/0!</v>
      </c>
      <c r="U517" s="81" t="e">
        <f t="shared" si="264"/>
        <v>#DIV/0!</v>
      </c>
      <c r="V517" s="234" t="s">
        <v>102</v>
      </c>
      <c r="W517" s="124"/>
      <c r="X517" s="52"/>
      <c r="Y517" s="52" t="s">
        <v>102</v>
      </c>
      <c r="Z517" s="52" t="s">
        <v>102</v>
      </c>
      <c r="AA517" s="52" t="s">
        <v>102</v>
      </c>
      <c r="AB517" s="123" t="s">
        <v>102</v>
      </c>
      <c r="AC517" s="123" t="s">
        <v>102</v>
      </c>
      <c r="AD517" s="123" t="s">
        <v>102</v>
      </c>
      <c r="AE517" s="123" t="s">
        <v>102</v>
      </c>
      <c r="AF517" s="123" t="s">
        <v>102</v>
      </c>
      <c r="AG517" s="123" t="s">
        <v>102</v>
      </c>
      <c r="AH517" s="123" t="s">
        <v>102</v>
      </c>
      <c r="AI517" s="123" t="s">
        <v>102</v>
      </c>
      <c r="AJ517" s="123" t="s">
        <v>102</v>
      </c>
      <c r="AK517" s="123" t="s">
        <v>102</v>
      </c>
      <c r="AL517" s="123" t="s">
        <v>102</v>
      </c>
      <c r="AM517" s="52" t="s">
        <v>102</v>
      </c>
      <c r="AN517" s="52" t="s">
        <v>102</v>
      </c>
      <c r="AO517" s="52" t="s">
        <v>102</v>
      </c>
      <c r="AP517" s="53" t="s">
        <v>102</v>
      </c>
      <c r="AQ517" s="53" t="s">
        <v>102</v>
      </c>
      <c r="AR517" s="53" t="s">
        <v>102</v>
      </c>
      <c r="AS517" s="52" t="s">
        <v>102</v>
      </c>
      <c r="AT517" s="52" t="s">
        <v>102</v>
      </c>
      <c r="AU517" s="52" t="s">
        <v>102</v>
      </c>
      <c r="AV517" s="52" t="s">
        <v>262</v>
      </c>
      <c r="AW517" s="52">
        <v>200</v>
      </c>
      <c r="AX517" s="51"/>
      <c r="AY517" s="53">
        <v>500</v>
      </c>
      <c r="AZ517" s="53">
        <v>4000</v>
      </c>
      <c r="BA517" s="53">
        <v>600</v>
      </c>
      <c r="BB517" s="53">
        <v>250</v>
      </c>
      <c r="BC517" s="53">
        <v>100</v>
      </c>
      <c r="BD517" s="53">
        <v>500</v>
      </c>
      <c r="BE517" s="53">
        <v>500</v>
      </c>
      <c r="BF517" s="53">
        <v>1000</v>
      </c>
      <c r="BG517" s="53">
        <v>2000</v>
      </c>
      <c r="BH517" s="53" t="s">
        <v>262</v>
      </c>
      <c r="BI517" s="53">
        <v>200</v>
      </c>
      <c r="BJ517" s="53" t="s">
        <v>102</v>
      </c>
      <c r="BK517" s="53" t="s">
        <v>102</v>
      </c>
      <c r="BL517" s="53">
        <v>2000</v>
      </c>
      <c r="BM517" s="53">
        <v>1</v>
      </c>
      <c r="BN517" s="53">
        <v>7000</v>
      </c>
      <c r="BO517" s="53">
        <v>300</v>
      </c>
      <c r="BP517" s="53">
        <v>200</v>
      </c>
      <c r="BQ517" s="53">
        <v>1500</v>
      </c>
      <c r="BR517" s="53">
        <v>1500</v>
      </c>
      <c r="BS517" s="53">
        <v>3500</v>
      </c>
      <c r="BT517" s="53">
        <v>2000</v>
      </c>
      <c r="BU517" s="53">
        <v>750</v>
      </c>
      <c r="BV517" s="53">
        <v>750</v>
      </c>
      <c r="BW517" s="53">
        <v>1500</v>
      </c>
      <c r="BX517" s="53">
        <v>400</v>
      </c>
      <c r="BY517" s="53">
        <v>750</v>
      </c>
      <c r="BZ517" s="53">
        <v>750</v>
      </c>
      <c r="CA517" s="53">
        <v>200</v>
      </c>
      <c r="CB517" s="53"/>
      <c r="CC517" s="53">
        <v>25</v>
      </c>
      <c r="CD517" s="53">
        <v>750</v>
      </c>
      <c r="CE517" s="53">
        <v>200</v>
      </c>
      <c r="CF517" s="53">
        <v>750</v>
      </c>
      <c r="CG517" s="53">
        <v>750</v>
      </c>
      <c r="CH517" s="53">
        <v>1500</v>
      </c>
      <c r="CI517" s="53">
        <v>1500</v>
      </c>
      <c r="CJ517" s="53">
        <v>3500</v>
      </c>
      <c r="CK517" s="53">
        <v>400</v>
      </c>
      <c r="CL517" s="53">
        <v>2500</v>
      </c>
      <c r="CM517" s="53">
        <v>1500</v>
      </c>
      <c r="CN517" s="206"/>
      <c r="CO517" s="206"/>
      <c r="CP517" s="206"/>
      <c r="CQ517" s="8">
        <f t="shared" si="265"/>
        <v>1</v>
      </c>
      <c r="CR517" s="8">
        <f t="shared" si="266"/>
        <v>7000</v>
      </c>
      <c r="CS517" s="8">
        <f t="shared" si="267"/>
        <v>1219.1052631578948</v>
      </c>
      <c r="CT517">
        <f t="shared" si="268"/>
        <v>611.22466148848764</v>
      </c>
      <c r="CU517" s="143" t="e">
        <f t="shared" si="269"/>
        <v>#DIV/0!</v>
      </c>
      <c r="CV517" s="143" t="e">
        <f t="shared" si="270"/>
        <v>#DIV/0!</v>
      </c>
      <c r="CX517" s="7">
        <f t="shared" si="271"/>
        <v>88.75</v>
      </c>
      <c r="CY517" s="7">
        <f t="shared" si="272"/>
        <v>200</v>
      </c>
      <c r="CZ517" s="7">
        <f t="shared" si="273"/>
        <v>220.00000000000003</v>
      </c>
      <c r="DA517" s="7">
        <f t="shared" si="274"/>
        <v>325</v>
      </c>
      <c r="DB517" s="7">
        <f t="shared" si="275"/>
        <v>750</v>
      </c>
      <c r="DC517" s="7">
        <f t="shared" si="276"/>
        <v>799.99999999999977</v>
      </c>
      <c r="DD517" s="7">
        <f t="shared" si="277"/>
        <v>1500</v>
      </c>
      <c r="DE517" s="7">
        <f t="shared" si="278"/>
        <v>1500</v>
      </c>
      <c r="DF517" s="7">
        <f t="shared" si="279"/>
        <v>2000</v>
      </c>
      <c r="DH517" s="7">
        <f t="shared" si="280"/>
        <v>200</v>
      </c>
      <c r="DI517" s="7">
        <f t="shared" si="281"/>
        <v>200</v>
      </c>
      <c r="DJ517" s="7">
        <f t="shared" si="282"/>
        <v>200</v>
      </c>
      <c r="DK517" s="7">
        <f t="shared" si="283"/>
        <v>200</v>
      </c>
      <c r="DL517" s="7">
        <f t="shared" si="284"/>
        <v>200</v>
      </c>
      <c r="DM517" s="7">
        <f t="shared" si="285"/>
        <v>200</v>
      </c>
      <c r="DN517" s="7">
        <f t="shared" si="286"/>
        <v>200</v>
      </c>
      <c r="DO517" s="7">
        <f t="shared" si="287"/>
        <v>200</v>
      </c>
      <c r="DP517" s="7">
        <f t="shared" si="288"/>
        <v>200</v>
      </c>
    </row>
    <row r="518" spans="1:130" ht="25.5" hidden="1" customHeight="1" x14ac:dyDescent="0.25">
      <c r="A518" s="92" t="e">
        <f t="shared" si="297"/>
        <v>#N/A</v>
      </c>
      <c r="B518" s="92" t="e">
        <f t="shared" si="298"/>
        <v>#N/A</v>
      </c>
      <c r="C518" s="93" t="str">
        <f t="shared" si="299"/>
        <v>NASPARTI RIVER_Coho</v>
      </c>
      <c r="D518" s="128" t="s">
        <v>598</v>
      </c>
      <c r="E518" s="128" t="s">
        <v>598</v>
      </c>
      <c r="F518" s="64">
        <v>26</v>
      </c>
      <c r="G518" s="72" t="s">
        <v>673</v>
      </c>
      <c r="H518" s="65" t="s">
        <v>93</v>
      </c>
      <c r="I518" s="119"/>
      <c r="J518" s="119"/>
      <c r="K518" s="64"/>
      <c r="L518" s="52"/>
      <c r="M518" s="52"/>
      <c r="N518" s="52"/>
      <c r="O518" s="52"/>
      <c r="P518" s="52"/>
      <c r="Q518" s="66"/>
      <c r="R518" s="37"/>
      <c r="S518" s="74"/>
      <c r="T518" s="81" t="e">
        <f t="shared" ref="T518:T547" si="300">AVERAGE(V518:Y518)</f>
        <v>#DIV/0!</v>
      </c>
      <c r="U518" s="81" t="e">
        <f t="shared" ref="U518:U547" si="301">AVERAGE(V518:AG518)</f>
        <v>#DIV/0!</v>
      </c>
      <c r="V518" s="234" t="s">
        <v>102</v>
      </c>
      <c r="W518" s="124"/>
      <c r="X518" s="52"/>
      <c r="Y518" s="52" t="s">
        <v>102</v>
      </c>
      <c r="Z518" s="52" t="s">
        <v>102</v>
      </c>
      <c r="AA518" s="52" t="s">
        <v>102</v>
      </c>
      <c r="AB518" s="123" t="s">
        <v>102</v>
      </c>
      <c r="AC518" s="123" t="s">
        <v>102</v>
      </c>
      <c r="AD518" s="123" t="s">
        <v>102</v>
      </c>
      <c r="AE518" s="123" t="s">
        <v>102</v>
      </c>
      <c r="AF518" s="123" t="s">
        <v>102</v>
      </c>
      <c r="AG518" s="123" t="s">
        <v>102</v>
      </c>
      <c r="AH518" s="123" t="s">
        <v>102</v>
      </c>
      <c r="AI518" s="123" t="s">
        <v>102</v>
      </c>
      <c r="AJ518" s="123" t="s">
        <v>102</v>
      </c>
      <c r="AK518" s="123" t="s">
        <v>102</v>
      </c>
      <c r="AL518" s="123" t="s">
        <v>102</v>
      </c>
      <c r="AM518" s="52" t="s">
        <v>102</v>
      </c>
      <c r="AN518" s="52" t="s">
        <v>102</v>
      </c>
      <c r="AO518" s="52" t="s">
        <v>102</v>
      </c>
      <c r="AP518" s="53" t="s">
        <v>102</v>
      </c>
      <c r="AQ518" s="53" t="s">
        <v>102</v>
      </c>
      <c r="AR518" s="53" t="s">
        <v>102</v>
      </c>
      <c r="AS518" s="52" t="s">
        <v>102</v>
      </c>
      <c r="AT518" s="52" t="s">
        <v>102</v>
      </c>
      <c r="AU518" s="52" t="s">
        <v>102</v>
      </c>
      <c r="AV518" s="52" t="s">
        <v>262</v>
      </c>
      <c r="AW518" s="52">
        <v>240</v>
      </c>
      <c r="AX518" s="51">
        <v>10</v>
      </c>
      <c r="AY518" s="53" t="s">
        <v>262</v>
      </c>
      <c r="AZ518" s="53" t="s">
        <v>262</v>
      </c>
      <c r="BA518" s="53">
        <v>200</v>
      </c>
      <c r="BB518" s="53" t="s">
        <v>262</v>
      </c>
      <c r="BC518" s="53" t="s">
        <v>262</v>
      </c>
      <c r="BD518" s="53">
        <v>50</v>
      </c>
      <c r="BE518" s="53">
        <v>100</v>
      </c>
      <c r="BF518" s="53">
        <v>200</v>
      </c>
      <c r="BG518" s="53">
        <v>100</v>
      </c>
      <c r="BH518" s="53" t="s">
        <v>262</v>
      </c>
      <c r="BI518" s="53"/>
      <c r="BJ518" s="53" t="s">
        <v>102</v>
      </c>
      <c r="BK518" s="53" t="s">
        <v>102</v>
      </c>
      <c r="BL518" s="53">
        <v>60</v>
      </c>
      <c r="BM518" s="53"/>
      <c r="BN518" s="53" t="s">
        <v>262</v>
      </c>
      <c r="BO518" s="53">
        <v>100</v>
      </c>
      <c r="BP518" s="53"/>
      <c r="BQ518" s="53">
        <v>200</v>
      </c>
      <c r="BR518" s="53">
        <v>200</v>
      </c>
      <c r="BS518" s="53"/>
      <c r="BT518" s="53"/>
      <c r="BU518" s="53"/>
      <c r="BV518" s="53">
        <v>75</v>
      </c>
      <c r="BW518" s="53">
        <v>25</v>
      </c>
      <c r="BX518" s="53">
        <v>25</v>
      </c>
      <c r="BY518" s="53">
        <v>25</v>
      </c>
      <c r="BZ518" s="53">
        <v>25</v>
      </c>
      <c r="CA518" s="53">
        <v>25</v>
      </c>
      <c r="CB518" s="53"/>
      <c r="CC518" s="53">
        <v>25</v>
      </c>
      <c r="CD518" s="53">
        <v>200</v>
      </c>
      <c r="CE518" s="53">
        <v>75</v>
      </c>
      <c r="CF518" s="53">
        <v>25</v>
      </c>
      <c r="CG518" s="53">
        <v>200</v>
      </c>
      <c r="CH518" s="53">
        <v>400</v>
      </c>
      <c r="CI518" s="53">
        <v>750</v>
      </c>
      <c r="CJ518" s="53">
        <v>750</v>
      </c>
      <c r="CK518" s="53">
        <v>750</v>
      </c>
      <c r="CL518" s="53">
        <v>750</v>
      </c>
      <c r="CM518" s="53">
        <v>400</v>
      </c>
      <c r="CN518" s="206"/>
      <c r="CO518" s="206"/>
      <c r="CP518" s="206"/>
      <c r="CQ518" s="8">
        <f t="shared" ref="CQ518:CQ547" si="302">MIN(V518:CM518)</f>
        <v>10</v>
      </c>
      <c r="CR518" s="8">
        <f t="shared" ref="CR518:CR547" si="303">MAX(V518:CM518)</f>
        <v>750</v>
      </c>
      <c r="CS518" s="8">
        <f t="shared" ref="CS518:CS547" si="304">AVERAGE(V518:CM518)</f>
        <v>213.75</v>
      </c>
      <c r="CT518">
        <f t="shared" ref="CT518:CT547" si="305">GEOMEAN(V518:CM518)</f>
        <v>107.71364378541972</v>
      </c>
      <c r="CU518" s="143" t="e">
        <f t="shared" ref="CU518:CU547" si="306">AVERAGE(V518:Z518)</f>
        <v>#DIV/0!</v>
      </c>
      <c r="CV518" s="143" t="e">
        <f t="shared" ref="CV518:CV547" si="307">AVERAGE(V518:AG518)</f>
        <v>#DIV/0!</v>
      </c>
      <c r="CX518" s="7">
        <f t="shared" ref="CX518:CX547" si="308">_xlfn.PERCENTILE.INC(V518:CM518,0.05)</f>
        <v>25</v>
      </c>
      <c r="CY518" s="7">
        <f t="shared" ref="CY518:CY547" si="309">_xlfn.PERCENTILE.INC(V518:CM518,0.15)</f>
        <v>25</v>
      </c>
      <c r="CZ518" s="7">
        <f t="shared" ref="CZ518:CZ547" si="310">_xlfn.PERCENTILE.INC(V518:CM518,0.2)</f>
        <v>25</v>
      </c>
      <c r="DA518" s="7">
        <f t="shared" ref="DA518:DA547" si="311">_xlfn.PERCENTILE.INC(V518:CM518,0.25)</f>
        <v>25</v>
      </c>
      <c r="DB518" s="7">
        <f t="shared" ref="DB518:DB547" si="312">_xlfn.PERCENTILE.INC(V518:CM518,0.5)</f>
        <v>100</v>
      </c>
      <c r="DC518" s="7">
        <f t="shared" ref="DC518:DC547" si="313">_xlfn.PERCENTILE.INC(V518:CM518,0.6)</f>
        <v>200</v>
      </c>
      <c r="DD518" s="7">
        <f t="shared" ref="DD518:DD547" si="314">_xlfn.PERCENTILE.INC(V518:CM518,0.65)</f>
        <v>200</v>
      </c>
      <c r="DE518" s="7">
        <f t="shared" ref="DE518:DE547" si="315">_xlfn.PERCENTILE.INC(V518:CM518,0.75)</f>
        <v>210</v>
      </c>
      <c r="DF518" s="7">
        <f t="shared" ref="DF518:DF547" si="316">_xlfn.PERCENTILE.INC(V518:CM518,0.85)</f>
        <v>400</v>
      </c>
      <c r="DH518" s="7">
        <f t="shared" ref="DH518:DH547" si="317">_xlfn.PERCENTILE.INC(V518:AW518,0.05)</f>
        <v>240</v>
      </c>
      <c r="DI518" s="7">
        <f t="shared" ref="DI518:DI547" si="318">_xlfn.PERCENTILE.INC(V518:AW518,0.15)</f>
        <v>240</v>
      </c>
      <c r="DJ518" s="7">
        <f t="shared" ref="DJ518:DJ547" si="319">_xlfn.PERCENTILE.INC(V518:AW518,0.2)</f>
        <v>240</v>
      </c>
      <c r="DK518" s="7">
        <f t="shared" ref="DK518:DK547" si="320">_xlfn.PERCENTILE.INC(V518:AW518,0.25)</f>
        <v>240</v>
      </c>
      <c r="DL518" s="7">
        <f t="shared" ref="DL518:DL547" si="321">_xlfn.PERCENTILE.INC(V518:AW518,0.5)</f>
        <v>240</v>
      </c>
      <c r="DM518" s="7">
        <f t="shared" ref="DM518:DM547" si="322">_xlfn.PERCENTILE.INC(V518:AW518,0.6)</f>
        <v>240</v>
      </c>
      <c r="DN518" s="7">
        <f t="shared" ref="DN518:DN547" si="323">_xlfn.PERCENTILE.INC(V518:AW518,0.65)</f>
        <v>240</v>
      </c>
      <c r="DO518" s="7">
        <f t="shared" ref="DO518:DO547" si="324">_xlfn.PERCENTILE.INC(V518:AW518,0.75)</f>
        <v>240</v>
      </c>
      <c r="DP518" s="7">
        <f t="shared" ref="DP518:DP547" si="325">_xlfn.PERCENTILE.INC(V518:AW518,0.85)</f>
        <v>240</v>
      </c>
    </row>
    <row r="519" spans="1:130" ht="25.5" customHeight="1" x14ac:dyDescent="0.25">
      <c r="A519" s="92" t="str">
        <f t="shared" si="297"/>
        <v>CK-NoKy [32]</v>
      </c>
      <c r="B519" s="92" t="str">
        <f t="shared" si="298"/>
        <v>Nootka and Kyuquot</v>
      </c>
      <c r="C519" s="93" t="str">
        <f t="shared" si="299"/>
        <v>OUOUKINSH RIVER_Chinook</v>
      </c>
      <c r="D519" s="128" t="s">
        <v>598</v>
      </c>
      <c r="E519" s="128" t="s">
        <v>598</v>
      </c>
      <c r="F519" s="64">
        <v>26</v>
      </c>
      <c r="G519" s="72" t="s">
        <v>266</v>
      </c>
      <c r="H519" s="65" t="s">
        <v>97</v>
      </c>
      <c r="I519" s="119"/>
      <c r="J519" s="119"/>
      <c r="K519" s="64">
        <v>5</v>
      </c>
      <c r="L519" s="52">
        <v>4</v>
      </c>
      <c r="M519" s="52">
        <v>4</v>
      </c>
      <c r="N519" s="52">
        <f>GEOMEAN(AJ519:AW519)</f>
        <v>20.082988502465085</v>
      </c>
      <c r="O519" s="52">
        <f>MAX(AJ519:CM519)</f>
        <v>400</v>
      </c>
      <c r="P519" s="52">
        <f>GEOMEAN(AJ519:CM519)</f>
        <v>57.884640129844676</v>
      </c>
      <c r="Q519" s="66"/>
      <c r="R519" s="37"/>
      <c r="S519" s="76" t="s">
        <v>436</v>
      </c>
      <c r="T519" s="81">
        <f t="shared" si="300"/>
        <v>30</v>
      </c>
      <c r="U519" s="81">
        <f t="shared" si="301"/>
        <v>18.5</v>
      </c>
      <c r="V519" s="234" t="s">
        <v>102</v>
      </c>
      <c r="W519" s="124"/>
      <c r="X519" s="198">
        <v>30</v>
      </c>
      <c r="Y519" s="52" t="s">
        <v>102</v>
      </c>
      <c r="Z519" s="52" t="s">
        <v>102</v>
      </c>
      <c r="AA519" s="52" t="s">
        <v>102</v>
      </c>
      <c r="AB519" s="144" t="s">
        <v>102</v>
      </c>
      <c r="AC519" s="144" t="s">
        <v>102</v>
      </c>
      <c r="AD519" s="144" t="s">
        <v>102</v>
      </c>
      <c r="AE519" s="144" t="s">
        <v>102</v>
      </c>
      <c r="AF519" s="52" t="s">
        <v>102</v>
      </c>
      <c r="AG519" s="52">
        <v>7</v>
      </c>
      <c r="AH519" s="52" t="s">
        <v>102</v>
      </c>
      <c r="AI519" s="52" t="s">
        <v>102</v>
      </c>
      <c r="AJ519" s="52" t="s">
        <v>102</v>
      </c>
      <c r="AK519" s="52" t="s">
        <v>102</v>
      </c>
      <c r="AL519" s="52" t="s">
        <v>102</v>
      </c>
      <c r="AM519" s="52" t="s">
        <v>102</v>
      </c>
      <c r="AN519" s="52" t="s">
        <v>102</v>
      </c>
      <c r="AO519" s="52" t="s">
        <v>102</v>
      </c>
      <c r="AP519" s="53">
        <v>3</v>
      </c>
      <c r="AQ519" s="53" t="s">
        <v>102</v>
      </c>
      <c r="AR519" s="53" t="s">
        <v>263</v>
      </c>
      <c r="AS519" s="52" t="s">
        <v>102</v>
      </c>
      <c r="AT519" s="52" t="s">
        <v>102</v>
      </c>
      <c r="AU519" s="52" t="s">
        <v>102</v>
      </c>
      <c r="AV519" s="52">
        <v>135</v>
      </c>
      <c r="AW519" s="52">
        <v>20</v>
      </c>
      <c r="AX519" s="51">
        <v>100</v>
      </c>
      <c r="AY519" s="53" t="s">
        <v>262</v>
      </c>
      <c r="AZ519" s="53" t="s">
        <v>262</v>
      </c>
      <c r="BA519" s="53">
        <v>5</v>
      </c>
      <c r="BB519" s="53" t="s">
        <v>262</v>
      </c>
      <c r="BC519" s="53" t="s">
        <v>262</v>
      </c>
      <c r="BD519" s="53" t="s">
        <v>102</v>
      </c>
      <c r="BE519" s="53" t="s">
        <v>264</v>
      </c>
      <c r="BF519" s="53">
        <v>100</v>
      </c>
      <c r="BG519" s="53">
        <v>150</v>
      </c>
      <c r="BH519" s="53" t="s">
        <v>262</v>
      </c>
      <c r="BI519" s="53" t="s">
        <v>264</v>
      </c>
      <c r="BJ519" s="53" t="s">
        <v>264</v>
      </c>
      <c r="BK519" s="53" t="s">
        <v>264</v>
      </c>
      <c r="BL519" s="53" t="s">
        <v>264</v>
      </c>
      <c r="BM519" s="53" t="s">
        <v>264</v>
      </c>
      <c r="BN519" s="53" t="s">
        <v>262</v>
      </c>
      <c r="BO519" s="53" t="s">
        <v>264</v>
      </c>
      <c r="BP519" s="53">
        <v>400</v>
      </c>
      <c r="BQ519" s="53">
        <v>25</v>
      </c>
      <c r="BR519" s="53" t="s">
        <v>264</v>
      </c>
      <c r="BS519" s="53">
        <v>75</v>
      </c>
      <c r="BT519" s="53" t="s">
        <v>264</v>
      </c>
      <c r="BU519" s="53">
        <v>25</v>
      </c>
      <c r="BV519" s="53">
        <v>25</v>
      </c>
      <c r="BW519" s="53">
        <v>25</v>
      </c>
      <c r="BX519" s="53" t="s">
        <v>262</v>
      </c>
      <c r="BY519" s="53" t="s">
        <v>264</v>
      </c>
      <c r="BZ519" s="53">
        <v>25</v>
      </c>
      <c r="CA519" s="53" t="s">
        <v>264</v>
      </c>
      <c r="CB519" s="53">
        <v>25</v>
      </c>
      <c r="CC519" s="53" t="s">
        <v>262</v>
      </c>
      <c r="CD519" s="53">
        <v>25</v>
      </c>
      <c r="CE519" s="53">
        <v>25</v>
      </c>
      <c r="CF519" s="53">
        <v>400</v>
      </c>
      <c r="CG519" s="53" t="s">
        <v>262</v>
      </c>
      <c r="CH519" s="53">
        <v>200</v>
      </c>
      <c r="CI519" s="53">
        <v>75</v>
      </c>
      <c r="CJ519" s="53">
        <v>200</v>
      </c>
      <c r="CK519" s="53">
        <v>75</v>
      </c>
      <c r="CL519" s="53">
        <v>200</v>
      </c>
      <c r="CM519" s="53">
        <v>400</v>
      </c>
      <c r="CN519" s="206"/>
      <c r="CO519" s="206"/>
      <c r="CP519" s="206"/>
      <c r="CQ519" s="8">
        <f t="shared" si="302"/>
        <v>3</v>
      </c>
      <c r="CR519" s="8">
        <f t="shared" si="303"/>
        <v>400</v>
      </c>
      <c r="CS519" s="8">
        <f t="shared" si="304"/>
        <v>106.73076923076923</v>
      </c>
      <c r="CT519">
        <f t="shared" si="305"/>
        <v>52.035252838822849</v>
      </c>
      <c r="CU519" s="143">
        <f t="shared" si="306"/>
        <v>30</v>
      </c>
      <c r="CV519" s="143">
        <f t="shared" si="307"/>
        <v>18.5</v>
      </c>
      <c r="CX519" s="7">
        <f t="shared" si="308"/>
        <v>5.5</v>
      </c>
      <c r="CY519" s="7">
        <f t="shared" si="309"/>
        <v>23.75</v>
      </c>
      <c r="CZ519" s="7">
        <f t="shared" si="310"/>
        <v>25</v>
      </c>
      <c r="DA519" s="7">
        <f t="shared" si="311"/>
        <v>25</v>
      </c>
      <c r="DB519" s="7">
        <f t="shared" si="312"/>
        <v>52.5</v>
      </c>
      <c r="DC519" s="7">
        <f t="shared" si="313"/>
        <v>75</v>
      </c>
      <c r="DD519" s="7">
        <f t="shared" si="314"/>
        <v>100</v>
      </c>
      <c r="DE519" s="7">
        <f t="shared" si="315"/>
        <v>146.25</v>
      </c>
      <c r="DF519" s="7">
        <f t="shared" si="316"/>
        <v>200</v>
      </c>
      <c r="DH519" s="7">
        <f t="shared" si="317"/>
        <v>3.8</v>
      </c>
      <c r="DI519" s="7">
        <f t="shared" si="318"/>
        <v>5.4</v>
      </c>
      <c r="DJ519" s="7">
        <f t="shared" si="319"/>
        <v>6.2</v>
      </c>
      <c r="DK519" s="7">
        <f t="shared" si="320"/>
        <v>7</v>
      </c>
      <c r="DL519" s="7">
        <f t="shared" si="321"/>
        <v>20</v>
      </c>
      <c r="DM519" s="7">
        <f t="shared" si="322"/>
        <v>24</v>
      </c>
      <c r="DN519" s="7">
        <f t="shared" si="323"/>
        <v>26</v>
      </c>
      <c r="DO519" s="7">
        <f t="shared" si="324"/>
        <v>30</v>
      </c>
      <c r="DP519" s="7">
        <f t="shared" si="325"/>
        <v>72.000000000000028</v>
      </c>
    </row>
    <row r="520" spans="1:130" ht="25.5" hidden="1" customHeight="1" x14ac:dyDescent="0.25">
      <c r="A520" s="92" t="str">
        <f t="shared" si="297"/>
        <v>CM-SWVI [10]</v>
      </c>
      <c r="B520" s="92" t="str">
        <f t="shared" si="298"/>
        <v>Southwest Vancouver Island</v>
      </c>
      <c r="C520" s="93" t="str">
        <f t="shared" si="299"/>
        <v>OUOUKINSH RIVER_Chum</v>
      </c>
      <c r="D520" s="128" t="s">
        <v>598</v>
      </c>
      <c r="E520" s="128" t="s">
        <v>598</v>
      </c>
      <c r="F520" s="64">
        <v>26</v>
      </c>
      <c r="G520" s="72" t="s">
        <v>266</v>
      </c>
      <c r="H520" s="65" t="s">
        <v>96</v>
      </c>
      <c r="I520" s="119"/>
      <c r="J520" s="119"/>
      <c r="K520" s="64">
        <v>5</v>
      </c>
      <c r="L520" s="52">
        <v>4</v>
      </c>
      <c r="M520" s="52">
        <v>4</v>
      </c>
      <c r="N520" s="52">
        <f>GEOMEAN(AJ520:AW520)</f>
        <v>2534.0410457344669</v>
      </c>
      <c r="O520" s="52">
        <f>MAX(AJ520:CM520)</f>
        <v>15000</v>
      </c>
      <c r="P520" s="52">
        <f>GEOMEAN(AJ520:CM520)</f>
        <v>1946.7765352086217</v>
      </c>
      <c r="Q520" s="66"/>
      <c r="R520" s="37"/>
      <c r="S520" s="76" t="s">
        <v>436</v>
      </c>
      <c r="T520" s="81">
        <f t="shared" si="300"/>
        <v>456</v>
      </c>
      <c r="U520" s="81">
        <f t="shared" si="301"/>
        <v>5451</v>
      </c>
      <c r="V520" s="234" t="s">
        <v>102</v>
      </c>
      <c r="W520" s="124"/>
      <c r="X520" s="198">
        <v>456</v>
      </c>
      <c r="Y520" s="52" t="s">
        <v>102</v>
      </c>
      <c r="Z520" s="52" t="s">
        <v>102</v>
      </c>
      <c r="AA520" s="52" t="s">
        <v>102</v>
      </c>
      <c r="AB520" s="144" t="s">
        <v>102</v>
      </c>
      <c r="AC520" s="144" t="s">
        <v>102</v>
      </c>
      <c r="AD520" s="144" t="s">
        <v>102</v>
      </c>
      <c r="AE520" s="144" t="s">
        <v>102</v>
      </c>
      <c r="AF520" s="144" t="s">
        <v>102</v>
      </c>
      <c r="AG520" s="144">
        <v>10446</v>
      </c>
      <c r="AH520" s="52" t="s">
        <v>102</v>
      </c>
      <c r="AI520" s="52" t="s">
        <v>102</v>
      </c>
      <c r="AJ520" s="52" t="s">
        <v>102</v>
      </c>
      <c r="AK520" s="52" t="s">
        <v>102</v>
      </c>
      <c r="AL520" s="52" t="s">
        <v>102</v>
      </c>
      <c r="AM520" s="52" t="s">
        <v>102</v>
      </c>
      <c r="AN520" s="52" t="s">
        <v>102</v>
      </c>
      <c r="AO520" s="52" t="s">
        <v>102</v>
      </c>
      <c r="AP520" s="53">
        <v>6780</v>
      </c>
      <c r="AQ520" s="53" t="s">
        <v>102</v>
      </c>
      <c r="AR520" s="53" t="s">
        <v>263</v>
      </c>
      <c r="AS520" s="52" t="s">
        <v>102</v>
      </c>
      <c r="AT520" s="52" t="s">
        <v>102</v>
      </c>
      <c r="AU520" s="52" t="s">
        <v>102</v>
      </c>
      <c r="AV520" s="52">
        <v>6000</v>
      </c>
      <c r="AW520" s="52">
        <v>400</v>
      </c>
      <c r="AX520" s="51">
        <v>1000</v>
      </c>
      <c r="AY520" s="53">
        <v>3000</v>
      </c>
      <c r="AZ520" s="53">
        <v>13500</v>
      </c>
      <c r="BA520" s="53">
        <v>2500</v>
      </c>
      <c r="BB520" s="53">
        <v>1500</v>
      </c>
      <c r="BC520" s="53">
        <v>600</v>
      </c>
      <c r="BD520" s="53" t="s">
        <v>102</v>
      </c>
      <c r="BE520" s="53">
        <v>600</v>
      </c>
      <c r="BF520" s="53">
        <v>2500</v>
      </c>
      <c r="BG520" s="53">
        <v>6000</v>
      </c>
      <c r="BH520" s="53" t="s">
        <v>262</v>
      </c>
      <c r="BI520" s="53">
        <v>300</v>
      </c>
      <c r="BJ520" s="53">
        <v>6000</v>
      </c>
      <c r="BK520" s="53">
        <v>2700</v>
      </c>
      <c r="BL520" s="53">
        <v>1500</v>
      </c>
      <c r="BM520" s="53">
        <v>274</v>
      </c>
      <c r="BN520" s="53">
        <v>7000</v>
      </c>
      <c r="BO520" s="53">
        <v>2000</v>
      </c>
      <c r="BP520" s="53">
        <v>400</v>
      </c>
      <c r="BQ520" s="53">
        <v>3500</v>
      </c>
      <c r="BR520" s="53">
        <v>3500</v>
      </c>
      <c r="BS520" s="53">
        <v>15000</v>
      </c>
      <c r="BT520" s="53">
        <v>3500</v>
      </c>
      <c r="BU520" s="53">
        <v>3500</v>
      </c>
      <c r="BV520" s="53">
        <v>3500</v>
      </c>
      <c r="BW520" s="53">
        <v>7500</v>
      </c>
      <c r="BX520" s="53">
        <v>400</v>
      </c>
      <c r="BY520" s="53">
        <v>3500</v>
      </c>
      <c r="BZ520" s="53">
        <v>1500</v>
      </c>
      <c r="CA520" s="53">
        <v>400</v>
      </c>
      <c r="CB520" s="53">
        <v>750</v>
      </c>
      <c r="CC520" s="53">
        <v>400</v>
      </c>
      <c r="CD520" s="53">
        <v>3500</v>
      </c>
      <c r="CE520" s="53">
        <v>400</v>
      </c>
      <c r="CF520" s="53">
        <v>3500</v>
      </c>
      <c r="CG520" s="53">
        <v>1500</v>
      </c>
      <c r="CH520" s="53">
        <v>3500</v>
      </c>
      <c r="CI520" s="53">
        <v>3500</v>
      </c>
      <c r="CJ520" s="53">
        <v>1500</v>
      </c>
      <c r="CK520" s="53">
        <v>750</v>
      </c>
      <c r="CL520" s="53">
        <v>3500</v>
      </c>
      <c r="CM520" s="53">
        <v>3500</v>
      </c>
      <c r="CN520" s="206"/>
      <c r="CO520" s="206"/>
      <c r="CP520" s="206"/>
      <c r="CQ520" s="8">
        <f t="shared" si="302"/>
        <v>274</v>
      </c>
      <c r="CR520" s="8">
        <f t="shared" si="303"/>
        <v>15000</v>
      </c>
      <c r="CS520" s="8">
        <f t="shared" si="304"/>
        <v>3279.0222222222224</v>
      </c>
      <c r="CT520">
        <f t="shared" si="305"/>
        <v>1956.6916165634286</v>
      </c>
      <c r="CU520" s="143">
        <f t="shared" si="306"/>
        <v>456</v>
      </c>
      <c r="CV520" s="143">
        <f t="shared" si="307"/>
        <v>5451</v>
      </c>
      <c r="CX520" s="7">
        <f t="shared" si="308"/>
        <v>400</v>
      </c>
      <c r="CY520" s="7">
        <f t="shared" si="309"/>
        <v>400</v>
      </c>
      <c r="CZ520" s="7">
        <f t="shared" si="310"/>
        <v>571.20000000000005</v>
      </c>
      <c r="DA520" s="7">
        <f t="shared" si="311"/>
        <v>750</v>
      </c>
      <c r="DB520" s="7">
        <f t="shared" si="312"/>
        <v>2700</v>
      </c>
      <c r="DC520" s="7">
        <f t="shared" si="313"/>
        <v>3500</v>
      </c>
      <c r="DD520" s="7">
        <f t="shared" si="314"/>
        <v>3500</v>
      </c>
      <c r="DE520" s="7">
        <f t="shared" si="315"/>
        <v>3500</v>
      </c>
      <c r="DF520" s="7">
        <f t="shared" si="316"/>
        <v>6000</v>
      </c>
      <c r="DH520" s="7">
        <f t="shared" si="317"/>
        <v>411.2</v>
      </c>
      <c r="DI520" s="7">
        <f t="shared" si="318"/>
        <v>433.6</v>
      </c>
      <c r="DJ520" s="7">
        <f t="shared" si="319"/>
        <v>444.8</v>
      </c>
      <c r="DK520" s="7">
        <f t="shared" si="320"/>
        <v>456</v>
      </c>
      <c r="DL520" s="7">
        <f t="shared" si="321"/>
        <v>6000</v>
      </c>
      <c r="DM520" s="7">
        <f t="shared" si="322"/>
        <v>6312</v>
      </c>
      <c r="DN520" s="7">
        <f t="shared" si="323"/>
        <v>6468</v>
      </c>
      <c r="DO520" s="7">
        <f t="shared" si="324"/>
        <v>6780</v>
      </c>
      <c r="DP520" s="7">
        <f t="shared" si="325"/>
        <v>8246.4000000000015</v>
      </c>
    </row>
    <row r="521" spans="1:130" ht="25.5" hidden="1" customHeight="1" x14ac:dyDescent="0.25">
      <c r="A521" s="92" t="str">
        <f t="shared" si="297"/>
        <v>CO-WVI [17]</v>
      </c>
      <c r="B521" s="92" t="str">
        <f t="shared" si="298"/>
        <v>West Vancouver Island</v>
      </c>
      <c r="C521" s="93" t="str">
        <f t="shared" si="299"/>
        <v>OUOUKINSH RIVER_Coho</v>
      </c>
      <c r="D521" s="128" t="s">
        <v>598</v>
      </c>
      <c r="E521" s="128" t="s">
        <v>598</v>
      </c>
      <c r="F521" s="64">
        <v>26</v>
      </c>
      <c r="G521" s="72" t="s">
        <v>266</v>
      </c>
      <c r="H521" s="65" t="s">
        <v>93</v>
      </c>
      <c r="I521" s="119"/>
      <c r="J521" s="119"/>
      <c r="K521" s="64">
        <v>5</v>
      </c>
      <c r="L521" s="52">
        <v>4</v>
      </c>
      <c r="M521" s="52">
        <v>4</v>
      </c>
      <c r="N521" s="52">
        <f>GEOMEAN(AJ521:AW521)</f>
        <v>168.39316458470751</v>
      </c>
      <c r="O521" s="52">
        <f>MAX(AJ521:CM521)</f>
        <v>750</v>
      </c>
      <c r="P521" s="52">
        <f>GEOMEAN(AJ521:CM521)</f>
        <v>169.08772681861356</v>
      </c>
      <c r="Q521" s="66"/>
      <c r="R521" s="37"/>
      <c r="S521" s="76" t="s">
        <v>436</v>
      </c>
      <c r="T521" s="81">
        <f t="shared" si="300"/>
        <v>266</v>
      </c>
      <c r="U521" s="81">
        <f t="shared" si="301"/>
        <v>466</v>
      </c>
      <c r="V521" s="234" t="s">
        <v>102</v>
      </c>
      <c r="W521" s="124"/>
      <c r="X521" s="198">
        <v>266</v>
      </c>
      <c r="Y521" s="52" t="s">
        <v>102</v>
      </c>
      <c r="Z521" s="52" t="s">
        <v>102</v>
      </c>
      <c r="AA521" s="52" t="s">
        <v>102</v>
      </c>
      <c r="AB521" s="144" t="s">
        <v>102</v>
      </c>
      <c r="AC521" s="144" t="s">
        <v>102</v>
      </c>
      <c r="AD521" s="144" t="s">
        <v>102</v>
      </c>
      <c r="AE521" s="144" t="s">
        <v>102</v>
      </c>
      <c r="AF521" s="144" t="s">
        <v>102</v>
      </c>
      <c r="AG521" s="144">
        <v>666</v>
      </c>
      <c r="AH521" s="52" t="s">
        <v>102</v>
      </c>
      <c r="AI521" s="52" t="s">
        <v>102</v>
      </c>
      <c r="AJ521" s="52" t="s">
        <v>102</v>
      </c>
      <c r="AK521" s="52" t="s">
        <v>102</v>
      </c>
      <c r="AL521" s="52" t="s">
        <v>102</v>
      </c>
      <c r="AM521" s="52" t="s">
        <v>102</v>
      </c>
      <c r="AN521" s="52" t="s">
        <v>102</v>
      </c>
      <c r="AO521" s="52" t="s">
        <v>102</v>
      </c>
      <c r="AP521" s="53">
        <v>191</v>
      </c>
      <c r="AQ521" s="53" t="s">
        <v>102</v>
      </c>
      <c r="AR521" s="53" t="s">
        <v>263</v>
      </c>
      <c r="AS521" s="52" t="s">
        <v>102</v>
      </c>
      <c r="AT521" s="52" t="s">
        <v>102</v>
      </c>
      <c r="AU521" s="52" t="s">
        <v>102</v>
      </c>
      <c r="AV521" s="52">
        <v>250</v>
      </c>
      <c r="AW521" s="52">
        <v>100</v>
      </c>
      <c r="AX521" s="51">
        <v>100</v>
      </c>
      <c r="AY521" s="53">
        <v>50</v>
      </c>
      <c r="AZ521" s="53">
        <v>100</v>
      </c>
      <c r="BA521" s="53">
        <v>300</v>
      </c>
      <c r="BB521" s="53">
        <v>200</v>
      </c>
      <c r="BC521" s="53">
        <v>200</v>
      </c>
      <c r="BD521" s="53" t="s">
        <v>102</v>
      </c>
      <c r="BE521" s="53">
        <v>200</v>
      </c>
      <c r="BF521" s="53">
        <v>350</v>
      </c>
      <c r="BG521" s="53">
        <v>300</v>
      </c>
      <c r="BH521" s="53" t="s">
        <v>262</v>
      </c>
      <c r="BI521" s="53" t="s">
        <v>264</v>
      </c>
      <c r="BJ521" s="53" t="s">
        <v>264</v>
      </c>
      <c r="BK521" s="53">
        <v>100</v>
      </c>
      <c r="BL521" s="53" t="s">
        <v>264</v>
      </c>
      <c r="BM521" s="53">
        <v>110</v>
      </c>
      <c r="BN521" s="53" t="s">
        <v>262</v>
      </c>
      <c r="BO521" s="53" t="s">
        <v>264</v>
      </c>
      <c r="BP521" s="53">
        <v>200</v>
      </c>
      <c r="BQ521" s="53">
        <v>200</v>
      </c>
      <c r="BR521" s="53">
        <v>400</v>
      </c>
      <c r="BS521" s="53">
        <v>400</v>
      </c>
      <c r="BT521" s="53">
        <v>750</v>
      </c>
      <c r="BU521" s="53">
        <v>200</v>
      </c>
      <c r="BV521" s="53">
        <v>750</v>
      </c>
      <c r="BW521" s="53">
        <v>25</v>
      </c>
      <c r="BX521" s="53">
        <v>25</v>
      </c>
      <c r="BY521" s="53">
        <v>25</v>
      </c>
      <c r="BZ521" s="53">
        <v>25</v>
      </c>
      <c r="CA521" s="53">
        <v>75</v>
      </c>
      <c r="CB521" s="53">
        <v>25</v>
      </c>
      <c r="CC521" s="53">
        <v>750</v>
      </c>
      <c r="CD521" s="53">
        <v>25</v>
      </c>
      <c r="CE521" s="53">
        <v>75</v>
      </c>
      <c r="CF521" s="53">
        <v>25</v>
      </c>
      <c r="CG521" s="53">
        <v>400</v>
      </c>
      <c r="CH521" s="53">
        <v>400</v>
      </c>
      <c r="CI521" s="53">
        <v>750</v>
      </c>
      <c r="CJ521" s="53">
        <v>750</v>
      </c>
      <c r="CK521" s="53">
        <v>750</v>
      </c>
      <c r="CL521" s="53">
        <v>750</v>
      </c>
      <c r="CM521" s="53">
        <v>750</v>
      </c>
      <c r="CN521" s="206"/>
      <c r="CO521" s="206"/>
      <c r="CP521" s="206"/>
      <c r="CQ521" s="8">
        <f t="shared" si="302"/>
        <v>25</v>
      </c>
      <c r="CR521" s="8">
        <f t="shared" si="303"/>
        <v>750</v>
      </c>
      <c r="CS521" s="8">
        <f t="shared" si="304"/>
        <v>300.2</v>
      </c>
      <c r="CT521">
        <f t="shared" si="305"/>
        <v>176.97640872175165</v>
      </c>
      <c r="CU521" s="143">
        <f t="shared" si="306"/>
        <v>266</v>
      </c>
      <c r="CV521" s="143">
        <f t="shared" si="307"/>
        <v>466</v>
      </c>
      <c r="CX521" s="7">
        <f t="shared" si="308"/>
        <v>25</v>
      </c>
      <c r="CY521" s="7">
        <f t="shared" si="309"/>
        <v>25</v>
      </c>
      <c r="CZ521" s="7">
        <f t="shared" si="310"/>
        <v>70.000000000000014</v>
      </c>
      <c r="DA521" s="7">
        <f t="shared" si="311"/>
        <v>93.75</v>
      </c>
      <c r="DB521" s="7">
        <f t="shared" si="312"/>
        <v>200</v>
      </c>
      <c r="DC521" s="7">
        <f t="shared" si="313"/>
        <v>279.59999999999997</v>
      </c>
      <c r="DD521" s="7">
        <f t="shared" si="314"/>
        <v>317.50000000000006</v>
      </c>
      <c r="DE521" s="7">
        <f t="shared" si="315"/>
        <v>400</v>
      </c>
      <c r="DF521" s="7">
        <f t="shared" si="316"/>
        <v>750</v>
      </c>
      <c r="DH521" s="7">
        <f t="shared" si="317"/>
        <v>118.19999999999999</v>
      </c>
      <c r="DI521" s="7">
        <f t="shared" si="318"/>
        <v>154.60000000000002</v>
      </c>
      <c r="DJ521" s="7">
        <f t="shared" si="319"/>
        <v>172.8</v>
      </c>
      <c r="DK521" s="7">
        <f t="shared" si="320"/>
        <v>191</v>
      </c>
      <c r="DL521" s="7">
        <f t="shared" si="321"/>
        <v>250</v>
      </c>
      <c r="DM521" s="7">
        <f t="shared" si="322"/>
        <v>256.39999999999998</v>
      </c>
      <c r="DN521" s="7">
        <f t="shared" si="323"/>
        <v>259.60000000000002</v>
      </c>
      <c r="DO521" s="7">
        <f t="shared" si="324"/>
        <v>266</v>
      </c>
      <c r="DP521" s="7">
        <f t="shared" si="325"/>
        <v>426.00000000000011</v>
      </c>
    </row>
    <row r="522" spans="1:130" ht="25.5" hidden="1" customHeight="1" x14ac:dyDescent="0.25">
      <c r="A522" s="92" t="e">
        <f t="shared" si="297"/>
        <v>#N/A</v>
      </c>
      <c r="B522" s="92" t="e">
        <f t="shared" si="298"/>
        <v>#N/A</v>
      </c>
      <c r="C522" s="93" t="str">
        <f t="shared" si="299"/>
        <v>POWER RIVER_Chum</v>
      </c>
      <c r="D522" s="128" t="s">
        <v>598</v>
      </c>
      <c r="E522" s="128" t="s">
        <v>598</v>
      </c>
      <c r="F522" s="64">
        <v>26</v>
      </c>
      <c r="G522" s="72" t="s">
        <v>642</v>
      </c>
      <c r="H522" s="65" t="s">
        <v>96</v>
      </c>
      <c r="I522" s="119"/>
      <c r="J522" s="119"/>
      <c r="K522" s="64"/>
      <c r="L522" s="52"/>
      <c r="M522" s="52"/>
      <c r="N522" s="52"/>
      <c r="O522" s="52"/>
      <c r="P522" s="52"/>
      <c r="Q522" s="66"/>
      <c r="R522" s="39"/>
      <c r="S522" s="76"/>
      <c r="T522" s="81">
        <f t="shared" si="300"/>
        <v>27</v>
      </c>
      <c r="U522" s="81">
        <f t="shared" si="301"/>
        <v>31.5</v>
      </c>
      <c r="V522" s="144"/>
      <c r="W522" s="124"/>
      <c r="X522" s="198" t="s">
        <v>102</v>
      </c>
      <c r="Y522" s="144">
        <v>27</v>
      </c>
      <c r="Z522" s="144" t="s">
        <v>262</v>
      </c>
      <c r="AA522" s="52">
        <v>36</v>
      </c>
      <c r="AB522" s="144" t="s">
        <v>102</v>
      </c>
      <c r="AC522" s="123"/>
      <c r="AD522" s="53" t="s">
        <v>262</v>
      </c>
      <c r="AE522" s="144" t="s">
        <v>102</v>
      </c>
      <c r="AF522" s="52" t="s">
        <v>102</v>
      </c>
      <c r="AG522" s="52" t="s">
        <v>102</v>
      </c>
      <c r="AH522" s="53"/>
      <c r="AI522" s="53"/>
      <c r="AJ522" s="53"/>
      <c r="AK522" s="52"/>
      <c r="AL522" s="89"/>
      <c r="AM522" s="52"/>
      <c r="AN522" s="52"/>
      <c r="AO522" s="53"/>
      <c r="AP522" s="53"/>
      <c r="AQ522" s="53"/>
      <c r="AR522" s="53"/>
      <c r="AS522" s="52"/>
      <c r="AT522" s="52"/>
      <c r="AU522" s="52"/>
      <c r="AV522" s="52"/>
      <c r="AW522" s="177"/>
      <c r="AX522" s="178"/>
      <c r="AY522" s="179"/>
      <c r="AZ522" s="179"/>
      <c r="BA522" s="179"/>
      <c r="BB522" s="179"/>
      <c r="BC522" s="179"/>
      <c r="BD522" s="179"/>
      <c r="BE522" s="179"/>
      <c r="BF522" s="179"/>
      <c r="BG522" s="179"/>
      <c r="BH522" s="179"/>
      <c r="BI522" s="179"/>
      <c r="BJ522" s="179"/>
      <c r="BK522" s="179"/>
      <c r="BL522" s="179"/>
      <c r="BM522" s="179"/>
      <c r="BN522" s="179"/>
      <c r="BO522" s="179"/>
      <c r="BP522" s="179"/>
      <c r="BQ522" s="179"/>
      <c r="BR522" s="179"/>
      <c r="BS522" s="179"/>
      <c r="BT522" s="179"/>
      <c r="BU522" s="179"/>
      <c r="BV522" s="179"/>
      <c r="BW522" s="179"/>
      <c r="BX522" s="179"/>
      <c r="BY522" s="179"/>
      <c r="BZ522" s="179"/>
      <c r="CA522" s="179"/>
      <c r="CB522" s="179"/>
      <c r="CC522" s="179"/>
      <c r="CD522" s="179"/>
      <c r="CE522" s="179"/>
      <c r="CF522" s="179"/>
      <c r="CG522" s="179"/>
      <c r="CH522" s="179"/>
      <c r="CI522" s="179"/>
      <c r="CJ522" s="179"/>
      <c r="CK522" s="179"/>
      <c r="CL522" s="179"/>
      <c r="CM522" s="179"/>
      <c r="CN522" s="206"/>
      <c r="CO522" s="206"/>
      <c r="CP522" s="206"/>
      <c r="CQ522" s="8">
        <f t="shared" si="302"/>
        <v>27</v>
      </c>
      <c r="CR522" s="8">
        <f t="shared" si="303"/>
        <v>36</v>
      </c>
      <c r="CS522" s="8">
        <f t="shared" si="304"/>
        <v>31.5</v>
      </c>
      <c r="CT522">
        <f t="shared" si="305"/>
        <v>31.176914536239789</v>
      </c>
      <c r="CU522" s="143">
        <f t="shared" si="306"/>
        <v>27</v>
      </c>
      <c r="CV522" s="143">
        <f t="shared" si="307"/>
        <v>31.5</v>
      </c>
      <c r="CX522" s="7">
        <f t="shared" si="308"/>
        <v>27.45</v>
      </c>
      <c r="CY522" s="7">
        <f t="shared" si="309"/>
        <v>28.349999999999998</v>
      </c>
      <c r="CZ522" s="7">
        <f t="shared" si="310"/>
        <v>28.8</v>
      </c>
      <c r="DA522" s="7">
        <f t="shared" si="311"/>
        <v>29.25</v>
      </c>
      <c r="DB522" s="7">
        <f t="shared" si="312"/>
        <v>31.5</v>
      </c>
      <c r="DC522" s="7">
        <f t="shared" si="313"/>
        <v>32.4</v>
      </c>
      <c r="DD522" s="7">
        <f t="shared" si="314"/>
        <v>32.85</v>
      </c>
      <c r="DE522" s="7">
        <f t="shared" si="315"/>
        <v>33.75</v>
      </c>
      <c r="DF522" s="7">
        <f t="shared" si="316"/>
        <v>34.65</v>
      </c>
      <c r="DH522" s="7">
        <f t="shared" si="317"/>
        <v>27.45</v>
      </c>
      <c r="DI522" s="7">
        <f t="shared" si="318"/>
        <v>28.349999999999998</v>
      </c>
      <c r="DJ522" s="7">
        <f t="shared" si="319"/>
        <v>28.8</v>
      </c>
      <c r="DK522" s="7">
        <f t="shared" si="320"/>
        <v>29.25</v>
      </c>
      <c r="DL522" s="7">
        <f t="shared" si="321"/>
        <v>31.5</v>
      </c>
      <c r="DM522" s="7">
        <f t="shared" si="322"/>
        <v>32.4</v>
      </c>
      <c r="DN522" s="7">
        <f t="shared" si="323"/>
        <v>32.85</v>
      </c>
      <c r="DO522" s="7">
        <f t="shared" si="324"/>
        <v>33.75</v>
      </c>
      <c r="DP522" s="7">
        <f t="shared" si="325"/>
        <v>34.65</v>
      </c>
    </row>
    <row r="523" spans="1:130" ht="25.5" hidden="1" customHeight="1" x14ac:dyDescent="0.25">
      <c r="A523" s="92" t="e">
        <f t="shared" si="297"/>
        <v>#N/A</v>
      </c>
      <c r="B523" s="92" t="e">
        <f t="shared" si="298"/>
        <v>#N/A</v>
      </c>
      <c r="C523" s="93" t="str">
        <f t="shared" si="299"/>
        <v>POWER RIVER_Coho</v>
      </c>
      <c r="D523" s="128" t="s">
        <v>598</v>
      </c>
      <c r="E523" s="128" t="s">
        <v>598</v>
      </c>
      <c r="F523" s="64">
        <v>26</v>
      </c>
      <c r="G523" s="72" t="s">
        <v>642</v>
      </c>
      <c r="H523" s="65" t="s">
        <v>93</v>
      </c>
      <c r="I523" s="119"/>
      <c r="J523" s="119"/>
      <c r="K523" s="64"/>
      <c r="L523" s="52"/>
      <c r="M523" s="52"/>
      <c r="N523" s="52"/>
      <c r="O523" s="52"/>
      <c r="P523" s="52"/>
      <c r="Q523" s="66"/>
      <c r="R523" s="39"/>
      <c r="S523" s="76"/>
      <c r="T523" s="81">
        <f t="shared" si="300"/>
        <v>314</v>
      </c>
      <c r="U523" s="81">
        <f t="shared" si="301"/>
        <v>138.25</v>
      </c>
      <c r="V523" s="144"/>
      <c r="W523" s="124"/>
      <c r="X523" s="198" t="s">
        <v>102</v>
      </c>
      <c r="Y523" s="52">
        <v>314</v>
      </c>
      <c r="Z523" s="52">
        <v>24</v>
      </c>
      <c r="AA523" s="52">
        <v>94</v>
      </c>
      <c r="AB523" s="144" t="s">
        <v>102</v>
      </c>
      <c r="AC523" s="53" t="s">
        <v>263</v>
      </c>
      <c r="AD523" s="53">
        <v>121</v>
      </c>
      <c r="AE523" s="144" t="s">
        <v>102</v>
      </c>
      <c r="AF523" s="52" t="s">
        <v>102</v>
      </c>
      <c r="AG523" s="52" t="s">
        <v>102</v>
      </c>
      <c r="AH523" s="53"/>
      <c r="AI523" s="53"/>
      <c r="AJ523" s="53"/>
      <c r="AK523" s="52"/>
      <c r="AL523" s="89"/>
      <c r="AM523" s="52"/>
      <c r="AN523" s="52"/>
      <c r="AO523" s="53"/>
      <c r="AP523" s="53"/>
      <c r="AQ523" s="53"/>
      <c r="AR523" s="53"/>
      <c r="AS523" s="52"/>
      <c r="AT523" s="52"/>
      <c r="AU523" s="52"/>
      <c r="AV523" s="52"/>
      <c r="AW523" s="177"/>
      <c r="AX523" s="178"/>
      <c r="AY523" s="179"/>
      <c r="AZ523" s="179"/>
      <c r="BA523" s="179"/>
      <c r="BB523" s="179"/>
      <c r="BC523" s="179"/>
      <c r="BD523" s="179"/>
      <c r="BE523" s="179"/>
      <c r="BF523" s="179"/>
      <c r="BG523" s="179"/>
      <c r="BH523" s="179"/>
      <c r="BI523" s="179"/>
      <c r="BJ523" s="179"/>
      <c r="BK523" s="179"/>
      <c r="BL523" s="179"/>
      <c r="BM523" s="179"/>
      <c r="BN523" s="179"/>
      <c r="BO523" s="179"/>
      <c r="BP523" s="179"/>
      <c r="BQ523" s="179"/>
      <c r="BR523" s="179"/>
      <c r="BS523" s="179"/>
      <c r="BT523" s="179"/>
      <c r="BU523" s="179"/>
      <c r="BV523" s="179"/>
      <c r="BW523" s="179"/>
      <c r="BX523" s="179"/>
      <c r="BY523" s="179"/>
      <c r="BZ523" s="179"/>
      <c r="CA523" s="179"/>
      <c r="CB523" s="179"/>
      <c r="CC523" s="179"/>
      <c r="CD523" s="179"/>
      <c r="CE523" s="179"/>
      <c r="CF523" s="179"/>
      <c r="CG523" s="179"/>
      <c r="CH523" s="179"/>
      <c r="CI523" s="179"/>
      <c r="CJ523" s="179"/>
      <c r="CK523" s="179"/>
      <c r="CL523" s="179"/>
      <c r="CM523" s="179"/>
      <c r="CN523" s="206"/>
      <c r="CO523" s="206"/>
      <c r="CP523" s="206"/>
      <c r="CQ523" s="8">
        <f t="shared" si="302"/>
        <v>24</v>
      </c>
      <c r="CR523" s="8">
        <f t="shared" si="303"/>
        <v>314</v>
      </c>
      <c r="CS523" s="8">
        <f t="shared" si="304"/>
        <v>138.25</v>
      </c>
      <c r="CT523">
        <f t="shared" si="305"/>
        <v>96.219595853700952</v>
      </c>
      <c r="CU523" s="143">
        <f t="shared" si="306"/>
        <v>169</v>
      </c>
      <c r="CV523" s="143">
        <f t="shared" si="307"/>
        <v>138.25</v>
      </c>
      <c r="CX523" s="7">
        <f t="shared" si="308"/>
        <v>34.499999999999993</v>
      </c>
      <c r="CY523" s="7">
        <f t="shared" si="309"/>
        <v>55.5</v>
      </c>
      <c r="CZ523" s="7">
        <f t="shared" si="310"/>
        <v>66</v>
      </c>
      <c r="DA523" s="7">
        <f t="shared" si="311"/>
        <v>76.5</v>
      </c>
      <c r="DB523" s="7">
        <f t="shared" si="312"/>
        <v>107.5</v>
      </c>
      <c r="DC523" s="7">
        <f t="shared" si="313"/>
        <v>115.6</v>
      </c>
      <c r="DD523" s="7">
        <f t="shared" si="314"/>
        <v>119.65</v>
      </c>
      <c r="DE523" s="7">
        <f t="shared" si="315"/>
        <v>169.25</v>
      </c>
      <c r="DF523" s="7">
        <f t="shared" si="316"/>
        <v>227.14999999999998</v>
      </c>
      <c r="DH523" s="7">
        <f t="shared" si="317"/>
        <v>34.499999999999993</v>
      </c>
      <c r="DI523" s="7">
        <f t="shared" si="318"/>
        <v>55.5</v>
      </c>
      <c r="DJ523" s="7">
        <f t="shared" si="319"/>
        <v>66</v>
      </c>
      <c r="DK523" s="7">
        <f t="shared" si="320"/>
        <v>76.5</v>
      </c>
      <c r="DL523" s="7">
        <f t="shared" si="321"/>
        <v>107.5</v>
      </c>
      <c r="DM523" s="7">
        <f t="shared" si="322"/>
        <v>115.6</v>
      </c>
      <c r="DN523" s="7">
        <f t="shared" si="323"/>
        <v>119.65</v>
      </c>
      <c r="DO523" s="7">
        <f t="shared" si="324"/>
        <v>169.25</v>
      </c>
      <c r="DP523" s="7">
        <f t="shared" si="325"/>
        <v>227.14999999999998</v>
      </c>
    </row>
    <row r="524" spans="1:130" ht="25.5" hidden="1" customHeight="1" x14ac:dyDescent="0.25">
      <c r="A524" s="92" t="e">
        <f t="shared" si="297"/>
        <v>#N/A</v>
      </c>
      <c r="B524" s="92" t="e">
        <f t="shared" si="298"/>
        <v>#N/A</v>
      </c>
      <c r="C524" s="93" t="str">
        <f t="shared" si="299"/>
        <v>POWER RIVER_Sockeye</v>
      </c>
      <c r="D524" s="128" t="s">
        <v>598</v>
      </c>
      <c r="E524" s="128" t="s">
        <v>598</v>
      </c>
      <c r="F524" s="64">
        <v>26</v>
      </c>
      <c r="G524" s="72" t="s">
        <v>642</v>
      </c>
      <c r="H524" s="65" t="s">
        <v>91</v>
      </c>
      <c r="I524" s="119"/>
      <c r="J524" s="119"/>
      <c r="K524" s="64"/>
      <c r="L524" s="52"/>
      <c r="M524" s="52"/>
      <c r="N524" s="52"/>
      <c r="O524" s="52"/>
      <c r="P524" s="52"/>
      <c r="Q524" s="66"/>
      <c r="R524" s="39"/>
      <c r="S524" s="76"/>
      <c r="T524" s="81" t="e">
        <f t="shared" si="300"/>
        <v>#DIV/0!</v>
      </c>
      <c r="U524" s="81">
        <f t="shared" si="301"/>
        <v>55.5</v>
      </c>
      <c r="V524" s="144"/>
      <c r="W524" s="124"/>
      <c r="X524" s="198" t="s">
        <v>102</v>
      </c>
      <c r="Y524" s="144" t="s">
        <v>262</v>
      </c>
      <c r="Z524" s="144" t="s">
        <v>262</v>
      </c>
      <c r="AA524" s="52">
        <v>81</v>
      </c>
      <c r="AB524" s="144" t="s">
        <v>102</v>
      </c>
      <c r="AC524" s="53" t="s">
        <v>263</v>
      </c>
      <c r="AD524" s="53">
        <v>30</v>
      </c>
      <c r="AE524" s="144" t="s">
        <v>102</v>
      </c>
      <c r="AF524" s="52" t="s">
        <v>102</v>
      </c>
      <c r="AG524" s="52" t="s">
        <v>102</v>
      </c>
      <c r="AH524" s="53"/>
      <c r="AI524" s="53"/>
      <c r="AJ524" s="53"/>
      <c r="AK524" s="52"/>
      <c r="AL524" s="89"/>
      <c r="AM524" s="52"/>
      <c r="AN524" s="52"/>
      <c r="AO524" s="53"/>
      <c r="AP524" s="53"/>
      <c r="AQ524" s="53"/>
      <c r="AR524" s="53"/>
      <c r="AS524" s="52"/>
      <c r="AT524" s="52"/>
      <c r="AU524" s="52"/>
      <c r="AV524" s="52"/>
      <c r="AW524" s="177"/>
      <c r="AX524" s="178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79"/>
      <c r="BN524" s="179"/>
      <c r="BO524" s="179"/>
      <c r="BP524" s="179"/>
      <c r="BQ524" s="179"/>
      <c r="BR524" s="179"/>
      <c r="BS524" s="179"/>
      <c r="BT524" s="179"/>
      <c r="BU524" s="179"/>
      <c r="BV524" s="179"/>
      <c r="BW524" s="179"/>
      <c r="BX524" s="179"/>
      <c r="BY524" s="179"/>
      <c r="BZ524" s="179"/>
      <c r="CA524" s="179"/>
      <c r="CB524" s="179"/>
      <c r="CC524" s="179"/>
      <c r="CD524" s="179"/>
      <c r="CE524" s="179"/>
      <c r="CF524" s="179"/>
      <c r="CG524" s="179"/>
      <c r="CH524" s="179"/>
      <c r="CI524" s="179"/>
      <c r="CJ524" s="179"/>
      <c r="CK524" s="179"/>
      <c r="CL524" s="179"/>
      <c r="CM524" s="179"/>
      <c r="CN524" s="209"/>
      <c r="CO524" s="209"/>
      <c r="CP524" s="209"/>
      <c r="CQ524" s="8">
        <f t="shared" si="302"/>
        <v>30</v>
      </c>
      <c r="CR524" s="8">
        <f t="shared" si="303"/>
        <v>81</v>
      </c>
      <c r="CS524" s="8">
        <f t="shared" si="304"/>
        <v>55.5</v>
      </c>
      <c r="CT524">
        <f t="shared" si="305"/>
        <v>49.295030175464952</v>
      </c>
      <c r="CU524" s="143" t="e">
        <f t="shared" si="306"/>
        <v>#DIV/0!</v>
      </c>
      <c r="CV524" s="143">
        <f t="shared" si="307"/>
        <v>55.5</v>
      </c>
      <c r="CX524" s="7">
        <f t="shared" si="308"/>
        <v>32.550000000000004</v>
      </c>
      <c r="CY524" s="7">
        <f t="shared" si="309"/>
        <v>37.649999999999991</v>
      </c>
      <c r="CZ524" s="7">
        <f t="shared" si="310"/>
        <v>40.199999999999996</v>
      </c>
      <c r="DA524" s="7">
        <f t="shared" si="311"/>
        <v>42.75</v>
      </c>
      <c r="DB524" s="7">
        <f t="shared" si="312"/>
        <v>55.5</v>
      </c>
      <c r="DC524" s="7">
        <f t="shared" si="313"/>
        <v>60.600000000000009</v>
      </c>
      <c r="DD524" s="7">
        <f t="shared" si="314"/>
        <v>63.15</v>
      </c>
      <c r="DE524" s="7">
        <f t="shared" si="315"/>
        <v>68.25</v>
      </c>
      <c r="DF524" s="7">
        <f t="shared" si="316"/>
        <v>73.349999999999994</v>
      </c>
      <c r="DH524" s="7">
        <f t="shared" si="317"/>
        <v>32.550000000000004</v>
      </c>
      <c r="DI524" s="7">
        <f t="shared" si="318"/>
        <v>37.649999999999991</v>
      </c>
      <c r="DJ524" s="7">
        <f t="shared" si="319"/>
        <v>40.199999999999996</v>
      </c>
      <c r="DK524" s="7">
        <f t="shared" si="320"/>
        <v>42.75</v>
      </c>
      <c r="DL524" s="7">
        <f t="shared" si="321"/>
        <v>55.5</v>
      </c>
      <c r="DM524" s="7">
        <f t="shared" si="322"/>
        <v>60.600000000000009</v>
      </c>
      <c r="DN524" s="7">
        <f t="shared" si="323"/>
        <v>63.15</v>
      </c>
      <c r="DO524" s="7">
        <f t="shared" si="324"/>
        <v>68.25</v>
      </c>
      <c r="DP524" s="7">
        <f t="shared" si="325"/>
        <v>73.349999999999994</v>
      </c>
      <c r="DR524" s="7">
        <f>_xlfn.PERCENTILE.INC((Y524,AA524:AJ524,AL524,AP524,AS524,AV524),0.05)</f>
        <v>32.550000000000004</v>
      </c>
      <c r="DS524" s="7">
        <f>_xlfn.PERCENTILE.INC((Y524,AA524:AJ524,AL524,AP524,AS524,AV524),0.15)</f>
        <v>37.649999999999991</v>
      </c>
      <c r="DT524" s="7">
        <f>_xlfn.PERCENTILE.INC((Y524,AA524:AJ524,AL524,AP524,AS524,AV524),0.2)</f>
        <v>40.199999999999996</v>
      </c>
      <c r="DU524" s="7">
        <f>_xlfn.PERCENTILE.INC((Y524,AA524:AJ524,AL524,AP524,AS524,AV524),0.25)</f>
        <v>42.75</v>
      </c>
      <c r="DV524" s="7">
        <f>_xlfn.PERCENTILE.INC((Y524,AA524:AJ524,AL524,AP524,AS524,AV524),0.5)</f>
        <v>55.5</v>
      </c>
      <c r="DW524" s="7">
        <f>_xlfn.PERCENTILE.INC((Y524,AA524:AJ524,AL524,AP524,AS524,AV524),0.6)</f>
        <v>60.600000000000009</v>
      </c>
      <c r="DX524" s="7">
        <f>_xlfn.PERCENTILE.INC((Y524,AA524:AJ524,AL524,AP524,AS524,AV524),0.65)</f>
        <v>63.15</v>
      </c>
      <c r="DY524" s="7">
        <f>_xlfn.PERCENTILE.INC((Y524,AA524:AJ524,AL524,AP524,AS524,AV524),0.75)</f>
        <v>68.25</v>
      </c>
      <c r="DZ524" s="7">
        <f>_xlfn.PERCENTILE.INC((Y524,AA524:AJ524,AL524,AP524,AS524,AV524),0.85)</f>
        <v>73.349999999999994</v>
      </c>
    </row>
    <row r="525" spans="1:130" ht="25.5" hidden="1" customHeight="1" x14ac:dyDescent="0.25">
      <c r="A525" s="92" t="e">
        <f t="shared" si="297"/>
        <v>#N/A</v>
      </c>
      <c r="B525" s="92" t="e">
        <f t="shared" si="298"/>
        <v>#N/A</v>
      </c>
      <c r="C525" s="93" t="str">
        <f t="shared" si="299"/>
        <v>SOATWOON CREEK_Chum</v>
      </c>
      <c r="D525" s="128" t="s">
        <v>598</v>
      </c>
      <c r="E525" s="128" t="s">
        <v>598</v>
      </c>
      <c r="F525" s="64">
        <v>26</v>
      </c>
      <c r="G525" s="72" t="s">
        <v>674</v>
      </c>
      <c r="H525" s="65" t="s">
        <v>96</v>
      </c>
      <c r="I525" s="119"/>
      <c r="J525" s="119"/>
      <c r="K525" s="64"/>
      <c r="L525" s="52"/>
      <c r="M525" s="52"/>
      <c r="N525" s="52"/>
      <c r="O525" s="52"/>
      <c r="P525" s="52"/>
      <c r="Q525" s="66"/>
      <c r="R525" s="37"/>
      <c r="S525" s="74"/>
      <c r="T525" s="81" t="e">
        <f t="shared" si="300"/>
        <v>#DIV/0!</v>
      </c>
      <c r="U525" s="81" t="e">
        <f t="shared" si="301"/>
        <v>#DIV/0!</v>
      </c>
      <c r="V525" s="234" t="s">
        <v>102</v>
      </c>
      <c r="W525" s="124"/>
      <c r="X525" s="52"/>
      <c r="Y525" s="52" t="s">
        <v>102</v>
      </c>
      <c r="Z525" s="52" t="s">
        <v>102</v>
      </c>
      <c r="AA525" s="52" t="s">
        <v>102</v>
      </c>
      <c r="AB525" s="123" t="s">
        <v>102</v>
      </c>
      <c r="AC525" s="123" t="s">
        <v>102</v>
      </c>
      <c r="AD525" s="123" t="s">
        <v>102</v>
      </c>
      <c r="AE525" s="123" t="s">
        <v>102</v>
      </c>
      <c r="AF525" s="123" t="s">
        <v>102</v>
      </c>
      <c r="AG525" s="123" t="s">
        <v>102</v>
      </c>
      <c r="AH525" s="123" t="s">
        <v>102</v>
      </c>
      <c r="AI525" s="123" t="s">
        <v>102</v>
      </c>
      <c r="AJ525" s="123" t="s">
        <v>102</v>
      </c>
      <c r="AK525" s="123" t="s">
        <v>102</v>
      </c>
      <c r="AL525" s="123" t="s">
        <v>102</v>
      </c>
      <c r="AM525" s="52" t="s">
        <v>102</v>
      </c>
      <c r="AN525" s="52" t="s">
        <v>102</v>
      </c>
      <c r="AO525" s="52" t="s">
        <v>102</v>
      </c>
      <c r="AP525" s="53" t="s">
        <v>102</v>
      </c>
      <c r="AQ525" s="53" t="s">
        <v>102</v>
      </c>
      <c r="AR525" s="53" t="s">
        <v>102</v>
      </c>
      <c r="AS525" s="52" t="s">
        <v>102</v>
      </c>
      <c r="AT525" s="52" t="s">
        <v>102</v>
      </c>
      <c r="AU525" s="52">
        <v>40</v>
      </c>
      <c r="AV525" s="52">
        <v>100</v>
      </c>
      <c r="AW525" s="52">
        <v>10</v>
      </c>
      <c r="AX525" s="51">
        <v>250</v>
      </c>
      <c r="AY525" s="53">
        <v>120</v>
      </c>
      <c r="AZ525" s="53">
        <v>500</v>
      </c>
      <c r="BA525" s="53">
        <v>10</v>
      </c>
      <c r="BB525" s="53" t="s">
        <v>102</v>
      </c>
      <c r="BC525" s="53" t="s">
        <v>102</v>
      </c>
      <c r="BD525" s="53" t="s">
        <v>102</v>
      </c>
      <c r="BE525" s="53" t="s">
        <v>102</v>
      </c>
      <c r="BF525" s="53" t="s">
        <v>102</v>
      </c>
      <c r="BG525" s="53" t="s">
        <v>102</v>
      </c>
      <c r="BH525" s="53" t="s">
        <v>262</v>
      </c>
      <c r="BI525" s="53" t="s">
        <v>102</v>
      </c>
      <c r="BJ525" s="53" t="s">
        <v>102</v>
      </c>
      <c r="BK525" s="53" t="s">
        <v>102</v>
      </c>
      <c r="BL525" s="53" t="s">
        <v>102</v>
      </c>
      <c r="BM525" s="53">
        <v>25</v>
      </c>
      <c r="BN525" s="53" t="s">
        <v>102</v>
      </c>
      <c r="BO525" s="53" t="s">
        <v>102</v>
      </c>
      <c r="BP525" s="53" t="s">
        <v>102</v>
      </c>
      <c r="BQ525" s="53" t="s">
        <v>102</v>
      </c>
      <c r="BR525" s="53" t="s">
        <v>102</v>
      </c>
      <c r="BS525" s="53" t="s">
        <v>102</v>
      </c>
      <c r="BT525" s="53" t="s">
        <v>102</v>
      </c>
      <c r="BU525" s="53" t="s">
        <v>102</v>
      </c>
      <c r="BV525" s="53" t="s">
        <v>102</v>
      </c>
      <c r="BW525" s="53" t="s">
        <v>102</v>
      </c>
      <c r="BX525" s="53" t="s">
        <v>102</v>
      </c>
      <c r="BY525" s="53" t="s">
        <v>102</v>
      </c>
      <c r="BZ525" s="53" t="s">
        <v>102</v>
      </c>
      <c r="CA525" s="53" t="s">
        <v>102</v>
      </c>
      <c r="CB525" s="53" t="s">
        <v>102</v>
      </c>
      <c r="CC525" s="53" t="s">
        <v>102</v>
      </c>
      <c r="CD525" s="53" t="s">
        <v>102</v>
      </c>
      <c r="CE525" s="53" t="s">
        <v>102</v>
      </c>
      <c r="CF525" s="53" t="s">
        <v>102</v>
      </c>
      <c r="CG525" s="53" t="s">
        <v>102</v>
      </c>
      <c r="CH525" s="53" t="s">
        <v>102</v>
      </c>
      <c r="CI525" s="53" t="s">
        <v>102</v>
      </c>
      <c r="CJ525" s="53" t="s">
        <v>102</v>
      </c>
      <c r="CK525" s="53" t="s">
        <v>102</v>
      </c>
      <c r="CL525" s="53" t="s">
        <v>102</v>
      </c>
      <c r="CM525" s="53" t="s">
        <v>102</v>
      </c>
      <c r="CN525" s="206"/>
      <c r="CO525" s="206"/>
      <c r="CP525" s="206"/>
      <c r="CQ525" s="8">
        <f t="shared" si="302"/>
        <v>10</v>
      </c>
      <c r="CR525" s="8">
        <f t="shared" si="303"/>
        <v>500</v>
      </c>
      <c r="CS525" s="8">
        <f t="shared" si="304"/>
        <v>131.875</v>
      </c>
      <c r="CT525">
        <f t="shared" si="305"/>
        <v>59.157717261407093</v>
      </c>
      <c r="CU525" s="143" t="e">
        <f t="shared" si="306"/>
        <v>#DIV/0!</v>
      </c>
      <c r="CV525" s="143" t="e">
        <f t="shared" si="307"/>
        <v>#DIV/0!</v>
      </c>
      <c r="CX525" s="7">
        <f t="shared" si="308"/>
        <v>10</v>
      </c>
      <c r="CY525" s="7">
        <f t="shared" si="309"/>
        <v>10.749999999999996</v>
      </c>
      <c r="CZ525" s="7">
        <f t="shared" si="310"/>
        <v>16.000000000000007</v>
      </c>
      <c r="DA525" s="7">
        <f t="shared" si="311"/>
        <v>21.25</v>
      </c>
      <c r="DB525" s="7">
        <f t="shared" si="312"/>
        <v>70</v>
      </c>
      <c r="DC525" s="7">
        <f t="shared" si="313"/>
        <v>104</v>
      </c>
      <c r="DD525" s="7">
        <f t="shared" si="314"/>
        <v>111</v>
      </c>
      <c r="DE525" s="7">
        <f t="shared" si="315"/>
        <v>152.5</v>
      </c>
      <c r="DF525" s="7">
        <f t="shared" si="316"/>
        <v>243.50000000000003</v>
      </c>
      <c r="DH525" s="7">
        <f t="shared" si="317"/>
        <v>13.000000000000004</v>
      </c>
      <c r="DI525" s="7">
        <f t="shared" si="318"/>
        <v>19</v>
      </c>
      <c r="DJ525" s="7">
        <f t="shared" si="319"/>
        <v>21.999999999999996</v>
      </c>
      <c r="DK525" s="7">
        <f t="shared" si="320"/>
        <v>25</v>
      </c>
      <c r="DL525" s="7">
        <f t="shared" si="321"/>
        <v>40</v>
      </c>
      <c r="DM525" s="7">
        <f t="shared" si="322"/>
        <v>52.000000000000014</v>
      </c>
      <c r="DN525" s="7">
        <f t="shared" si="323"/>
        <v>57.999999999999986</v>
      </c>
      <c r="DO525" s="7">
        <f t="shared" si="324"/>
        <v>70</v>
      </c>
      <c r="DP525" s="7">
        <f t="shared" si="325"/>
        <v>82.000000000000014</v>
      </c>
    </row>
    <row r="526" spans="1:130" ht="25.5" hidden="1" customHeight="1" x14ac:dyDescent="0.25">
      <c r="A526" s="92" t="e">
        <f t="shared" si="297"/>
        <v>#N/A</v>
      </c>
      <c r="B526" s="92" t="e">
        <f t="shared" si="298"/>
        <v>#N/A</v>
      </c>
      <c r="C526" s="93" t="str">
        <f t="shared" si="299"/>
        <v>SOATWOON CREEK_Coho</v>
      </c>
      <c r="D526" s="128" t="s">
        <v>598</v>
      </c>
      <c r="E526" s="128" t="s">
        <v>598</v>
      </c>
      <c r="F526" s="64">
        <v>26</v>
      </c>
      <c r="G526" s="72" t="s">
        <v>674</v>
      </c>
      <c r="H526" s="65" t="s">
        <v>93</v>
      </c>
      <c r="I526" s="119"/>
      <c r="J526" s="119"/>
      <c r="K526" s="64"/>
      <c r="L526" s="52"/>
      <c r="M526" s="52"/>
      <c r="N526" s="52"/>
      <c r="O526" s="52"/>
      <c r="P526" s="52"/>
      <c r="Q526" s="66"/>
      <c r="R526" s="37"/>
      <c r="S526" s="74"/>
      <c r="T526" s="81" t="e">
        <f t="shared" si="300"/>
        <v>#DIV/0!</v>
      </c>
      <c r="U526" s="81" t="e">
        <f t="shared" si="301"/>
        <v>#DIV/0!</v>
      </c>
      <c r="V526" s="234" t="s">
        <v>102</v>
      </c>
      <c r="W526" s="124"/>
      <c r="X526" s="52"/>
      <c r="Y526" s="52" t="s">
        <v>102</v>
      </c>
      <c r="Z526" s="52" t="s">
        <v>102</v>
      </c>
      <c r="AA526" s="52" t="s">
        <v>102</v>
      </c>
      <c r="AB526" s="123" t="s">
        <v>102</v>
      </c>
      <c r="AC526" s="123" t="s">
        <v>102</v>
      </c>
      <c r="AD526" s="123" t="s">
        <v>102</v>
      </c>
      <c r="AE526" s="123" t="s">
        <v>102</v>
      </c>
      <c r="AF526" s="123" t="s">
        <v>102</v>
      </c>
      <c r="AG526" s="123" t="s">
        <v>102</v>
      </c>
      <c r="AH526" s="123" t="s">
        <v>102</v>
      </c>
      <c r="AI526" s="123" t="s">
        <v>102</v>
      </c>
      <c r="AJ526" s="123" t="s">
        <v>102</v>
      </c>
      <c r="AK526" s="123" t="s">
        <v>102</v>
      </c>
      <c r="AL526" s="123" t="s">
        <v>102</v>
      </c>
      <c r="AM526" s="52" t="s">
        <v>102</v>
      </c>
      <c r="AN526" s="52" t="s">
        <v>102</v>
      </c>
      <c r="AO526" s="52" t="s">
        <v>102</v>
      </c>
      <c r="AP526" s="53" t="s">
        <v>102</v>
      </c>
      <c r="AQ526" s="53" t="s">
        <v>102</v>
      </c>
      <c r="AR526" s="53" t="s">
        <v>102</v>
      </c>
      <c r="AS526" s="52" t="s">
        <v>102</v>
      </c>
      <c r="AT526" s="52" t="s">
        <v>102</v>
      </c>
      <c r="AU526" s="52" t="s">
        <v>262</v>
      </c>
      <c r="AV526" s="52" t="s">
        <v>262</v>
      </c>
      <c r="AW526" s="52" t="s">
        <v>262</v>
      </c>
      <c r="AX526" s="51"/>
      <c r="AY526" s="53" t="s">
        <v>262</v>
      </c>
      <c r="AZ526" s="53" t="s">
        <v>262</v>
      </c>
      <c r="BA526" s="53" t="s">
        <v>262</v>
      </c>
      <c r="BB526" s="53" t="s">
        <v>102</v>
      </c>
      <c r="BC526" s="53" t="s">
        <v>102</v>
      </c>
      <c r="BD526" s="53" t="s">
        <v>102</v>
      </c>
      <c r="BE526" s="53" t="s">
        <v>102</v>
      </c>
      <c r="BF526" s="53" t="s">
        <v>102</v>
      </c>
      <c r="BG526" s="53" t="s">
        <v>102</v>
      </c>
      <c r="BH526" s="53" t="s">
        <v>262</v>
      </c>
      <c r="BI526" s="53" t="s">
        <v>102</v>
      </c>
      <c r="BJ526" s="53" t="s">
        <v>102</v>
      </c>
      <c r="BK526" s="53" t="s">
        <v>102</v>
      </c>
      <c r="BL526" s="53" t="s">
        <v>102</v>
      </c>
      <c r="BM526" s="53"/>
      <c r="BN526" s="53" t="s">
        <v>102</v>
      </c>
      <c r="BO526" s="53" t="s">
        <v>102</v>
      </c>
      <c r="BP526" s="53" t="s">
        <v>102</v>
      </c>
      <c r="BQ526" s="53" t="s">
        <v>102</v>
      </c>
      <c r="BR526" s="53" t="s">
        <v>102</v>
      </c>
      <c r="BS526" s="53" t="s">
        <v>102</v>
      </c>
      <c r="BT526" s="53" t="s">
        <v>102</v>
      </c>
      <c r="BU526" s="53" t="s">
        <v>102</v>
      </c>
      <c r="BV526" s="53" t="s">
        <v>102</v>
      </c>
      <c r="BW526" s="53" t="s">
        <v>102</v>
      </c>
      <c r="BX526" s="53" t="s">
        <v>102</v>
      </c>
      <c r="BY526" s="53" t="s">
        <v>102</v>
      </c>
      <c r="BZ526" s="53" t="s">
        <v>102</v>
      </c>
      <c r="CA526" s="53" t="s">
        <v>102</v>
      </c>
      <c r="CB526" s="53" t="s">
        <v>102</v>
      </c>
      <c r="CC526" s="53" t="s">
        <v>102</v>
      </c>
      <c r="CD526" s="53" t="s">
        <v>102</v>
      </c>
      <c r="CE526" s="53" t="s">
        <v>102</v>
      </c>
      <c r="CF526" s="53" t="s">
        <v>102</v>
      </c>
      <c r="CG526" s="53" t="s">
        <v>102</v>
      </c>
      <c r="CH526" s="53" t="s">
        <v>102</v>
      </c>
      <c r="CI526" s="53" t="s">
        <v>102</v>
      </c>
      <c r="CJ526" s="53" t="s">
        <v>102</v>
      </c>
      <c r="CK526" s="53" t="s">
        <v>102</v>
      </c>
      <c r="CL526" s="53" t="s">
        <v>102</v>
      </c>
      <c r="CM526" s="53" t="s">
        <v>102</v>
      </c>
      <c r="CN526" s="206"/>
      <c r="CO526" s="206"/>
      <c r="CP526" s="206"/>
      <c r="CQ526" s="8">
        <f t="shared" si="302"/>
        <v>0</v>
      </c>
      <c r="CR526" s="8">
        <f t="shared" si="303"/>
        <v>0</v>
      </c>
      <c r="CS526" s="8" t="e">
        <f t="shared" si="304"/>
        <v>#DIV/0!</v>
      </c>
      <c r="CT526" t="e">
        <f t="shared" si="305"/>
        <v>#NUM!</v>
      </c>
      <c r="CU526" s="143" t="e">
        <f t="shared" si="306"/>
        <v>#DIV/0!</v>
      </c>
      <c r="CV526" s="143" t="e">
        <f t="shared" si="307"/>
        <v>#DIV/0!</v>
      </c>
      <c r="CX526" s="7" t="e">
        <f t="shared" si="308"/>
        <v>#NUM!</v>
      </c>
      <c r="CY526" s="7" t="e">
        <f t="shared" si="309"/>
        <v>#NUM!</v>
      </c>
      <c r="CZ526" s="7" t="e">
        <f t="shared" si="310"/>
        <v>#NUM!</v>
      </c>
      <c r="DA526" s="7" t="e">
        <f t="shared" si="311"/>
        <v>#NUM!</v>
      </c>
      <c r="DB526" s="7" t="e">
        <f t="shared" si="312"/>
        <v>#NUM!</v>
      </c>
      <c r="DC526" s="7" t="e">
        <f t="shared" si="313"/>
        <v>#NUM!</v>
      </c>
      <c r="DD526" s="7" t="e">
        <f t="shared" si="314"/>
        <v>#NUM!</v>
      </c>
      <c r="DE526" s="7" t="e">
        <f t="shared" si="315"/>
        <v>#NUM!</v>
      </c>
      <c r="DF526" s="7" t="e">
        <f t="shared" si="316"/>
        <v>#NUM!</v>
      </c>
      <c r="DH526" s="7" t="e">
        <f t="shared" si="317"/>
        <v>#NUM!</v>
      </c>
      <c r="DI526" s="7" t="e">
        <f t="shared" si="318"/>
        <v>#NUM!</v>
      </c>
      <c r="DJ526" s="7" t="e">
        <f t="shared" si="319"/>
        <v>#NUM!</v>
      </c>
      <c r="DK526" s="7" t="e">
        <f t="shared" si="320"/>
        <v>#NUM!</v>
      </c>
      <c r="DL526" s="7" t="e">
        <f t="shared" si="321"/>
        <v>#NUM!</v>
      </c>
      <c r="DM526" s="7" t="e">
        <f t="shared" si="322"/>
        <v>#NUM!</v>
      </c>
      <c r="DN526" s="7" t="e">
        <f t="shared" si="323"/>
        <v>#NUM!</v>
      </c>
      <c r="DO526" s="7" t="e">
        <f t="shared" si="324"/>
        <v>#NUM!</v>
      </c>
      <c r="DP526" s="7" t="e">
        <f t="shared" si="325"/>
        <v>#NUM!</v>
      </c>
    </row>
    <row r="527" spans="1:130" ht="25.5" customHeight="1" x14ac:dyDescent="0.25">
      <c r="A527" s="92" t="str">
        <f t="shared" si="297"/>
        <v>CK-NoKy [32]</v>
      </c>
      <c r="B527" s="92" t="str">
        <f t="shared" si="298"/>
        <v>Nootka and Kyuquot</v>
      </c>
      <c r="C527" s="93" t="str">
        <f t="shared" si="299"/>
        <v>TAHSISH RIVER_Chinook</v>
      </c>
      <c r="D527" s="128" t="s">
        <v>599</v>
      </c>
      <c r="E527" s="128" t="s">
        <v>599</v>
      </c>
      <c r="F527" s="64">
        <v>26</v>
      </c>
      <c r="G527" s="72" t="s">
        <v>253</v>
      </c>
      <c r="H527" s="65" t="s">
        <v>97</v>
      </c>
      <c r="I527" s="119"/>
      <c r="J527" s="119"/>
      <c r="K527" s="64">
        <v>2</v>
      </c>
      <c r="L527" s="52">
        <v>11</v>
      </c>
      <c r="M527" s="52">
        <v>11</v>
      </c>
      <c r="N527" s="52">
        <f>GEOMEAN(AJ527:AW527)</f>
        <v>358.42065755483799</v>
      </c>
      <c r="O527" s="52">
        <f>MAX(AJ527:CM527)</f>
        <v>3500</v>
      </c>
      <c r="P527" s="52">
        <f>GEOMEAN(AJ527:CM527)</f>
        <v>513.06354128952478</v>
      </c>
      <c r="Q527" s="66" t="s">
        <v>269</v>
      </c>
      <c r="R527" s="37"/>
      <c r="S527" s="74" t="s">
        <v>1</v>
      </c>
      <c r="T527" s="81">
        <f t="shared" si="300"/>
        <v>1123</v>
      </c>
      <c r="U527" s="81">
        <f t="shared" si="301"/>
        <v>813.16666666666663</v>
      </c>
      <c r="V527" s="144">
        <v>1460</v>
      </c>
      <c r="W527" s="52">
        <v>1285</v>
      </c>
      <c r="X527" s="52">
        <v>761</v>
      </c>
      <c r="Y527" s="52">
        <v>986</v>
      </c>
      <c r="Z527" s="52">
        <v>918</v>
      </c>
      <c r="AA527" s="52">
        <v>1561</v>
      </c>
      <c r="AB527" s="52">
        <v>615</v>
      </c>
      <c r="AC527" s="52">
        <v>768</v>
      </c>
      <c r="AD527" s="52">
        <v>653</v>
      </c>
      <c r="AE527" s="144">
        <v>350</v>
      </c>
      <c r="AF527" s="180">
        <v>138</v>
      </c>
      <c r="AG527" s="215">
        <v>263</v>
      </c>
      <c r="AH527" s="179">
        <v>355</v>
      </c>
      <c r="AI527" s="217">
        <v>80</v>
      </c>
      <c r="AJ527" s="53">
        <v>380</v>
      </c>
      <c r="AK527" s="179">
        <v>234</v>
      </c>
      <c r="AL527" s="89">
        <v>76</v>
      </c>
      <c r="AM527" s="177">
        <v>121</v>
      </c>
      <c r="AN527" s="177">
        <v>495</v>
      </c>
      <c r="AO527" s="53">
        <v>440</v>
      </c>
      <c r="AP527" s="179">
        <v>308</v>
      </c>
      <c r="AQ527" s="179">
        <v>237</v>
      </c>
      <c r="AR527" s="53">
        <v>391</v>
      </c>
      <c r="AS527" s="52">
        <v>879</v>
      </c>
      <c r="AT527" s="177">
        <v>1430</v>
      </c>
      <c r="AU527" s="52">
        <v>523</v>
      </c>
      <c r="AV527" s="52">
        <v>288</v>
      </c>
      <c r="AW527" s="52">
        <v>600</v>
      </c>
      <c r="AX527" s="178">
        <v>250</v>
      </c>
      <c r="AY527" s="179">
        <v>250</v>
      </c>
      <c r="AZ527" s="179">
        <v>600</v>
      </c>
      <c r="BA527" s="179">
        <v>120</v>
      </c>
      <c r="BB527" s="179">
        <v>200</v>
      </c>
      <c r="BC527" s="179">
        <v>450</v>
      </c>
      <c r="BD527" s="179">
        <v>400</v>
      </c>
      <c r="BE527" s="179">
        <v>500</v>
      </c>
      <c r="BF527" s="179">
        <v>1000</v>
      </c>
      <c r="BG527" s="179">
        <v>1200</v>
      </c>
      <c r="BH527" s="179">
        <v>1500</v>
      </c>
      <c r="BI527" s="179">
        <v>500</v>
      </c>
      <c r="BJ527" s="179">
        <v>1000</v>
      </c>
      <c r="BK527" s="179">
        <v>1000</v>
      </c>
      <c r="BL527" s="179">
        <v>200</v>
      </c>
      <c r="BM527" s="179">
        <v>200</v>
      </c>
      <c r="BN527" s="179">
        <v>50</v>
      </c>
      <c r="BO527" s="179">
        <v>100</v>
      </c>
      <c r="BP527" s="179">
        <v>25</v>
      </c>
      <c r="BQ527" s="179">
        <v>25</v>
      </c>
      <c r="BR527" s="179">
        <v>1500</v>
      </c>
      <c r="BS527" s="179">
        <v>1500</v>
      </c>
      <c r="BT527" s="179">
        <v>750</v>
      </c>
      <c r="BU527" s="179">
        <v>750</v>
      </c>
      <c r="BV527" s="179">
        <v>1500</v>
      </c>
      <c r="BW527" s="179">
        <v>750</v>
      </c>
      <c r="BX527" s="179">
        <v>1500</v>
      </c>
      <c r="BY527" s="179">
        <v>750</v>
      </c>
      <c r="BZ527" s="179">
        <v>1500</v>
      </c>
      <c r="CA527" s="179">
        <v>25</v>
      </c>
      <c r="CB527" s="179">
        <v>1500</v>
      </c>
      <c r="CC527" s="179">
        <v>3500</v>
      </c>
      <c r="CD527" s="179">
        <v>750</v>
      </c>
      <c r="CE527" s="179">
        <v>400</v>
      </c>
      <c r="CF527" s="179">
        <v>750</v>
      </c>
      <c r="CG527" s="179">
        <v>200</v>
      </c>
      <c r="CH527" s="179">
        <v>1500</v>
      </c>
      <c r="CI527" s="179">
        <v>3500</v>
      </c>
      <c r="CJ527" s="179">
        <v>3500</v>
      </c>
      <c r="CK527" s="179">
        <v>3500</v>
      </c>
      <c r="CL527" s="179">
        <v>3500</v>
      </c>
      <c r="CM527" s="179">
        <v>3500</v>
      </c>
      <c r="CN527" s="206"/>
      <c r="CO527" s="206"/>
      <c r="CP527" s="206"/>
      <c r="CQ527" s="8">
        <f t="shared" si="302"/>
        <v>25</v>
      </c>
      <c r="CR527" s="8">
        <f t="shared" si="303"/>
        <v>3500</v>
      </c>
      <c r="CS527" s="8">
        <f t="shared" si="304"/>
        <v>897</v>
      </c>
      <c r="CT527">
        <f t="shared" si="305"/>
        <v>520.00828688031436</v>
      </c>
      <c r="CU527" s="143">
        <f t="shared" si="306"/>
        <v>1082</v>
      </c>
      <c r="CV527" s="143">
        <f t="shared" si="307"/>
        <v>813.16666666666663</v>
      </c>
      <c r="CX527" s="7">
        <f t="shared" si="308"/>
        <v>61.7</v>
      </c>
      <c r="CY527" s="7">
        <f t="shared" si="309"/>
        <v>200</v>
      </c>
      <c r="CZ527" s="7">
        <f t="shared" si="310"/>
        <v>227.20000000000002</v>
      </c>
      <c r="DA527" s="7">
        <f t="shared" si="311"/>
        <v>253.25</v>
      </c>
      <c r="DB527" s="7">
        <f t="shared" si="312"/>
        <v>607.5</v>
      </c>
      <c r="DC527" s="7">
        <f t="shared" si="313"/>
        <v>750</v>
      </c>
      <c r="DD527" s="7">
        <f t="shared" si="314"/>
        <v>862.35000000000014</v>
      </c>
      <c r="DE527" s="7">
        <f t="shared" si="315"/>
        <v>1263.75</v>
      </c>
      <c r="DF527" s="7">
        <f t="shared" si="316"/>
        <v>1500</v>
      </c>
      <c r="DH527" s="7">
        <f t="shared" si="317"/>
        <v>94.350000000000009</v>
      </c>
      <c r="DI527" s="7">
        <f t="shared" si="318"/>
        <v>234.15</v>
      </c>
      <c r="DJ527" s="7">
        <f t="shared" si="319"/>
        <v>247.4</v>
      </c>
      <c r="DK527" s="7">
        <f t="shared" si="320"/>
        <v>281.75</v>
      </c>
      <c r="DL527" s="7">
        <f t="shared" si="321"/>
        <v>467.5</v>
      </c>
      <c r="DM527" s="7">
        <f t="shared" si="322"/>
        <v>603</v>
      </c>
      <c r="DN527" s="7">
        <f t="shared" si="323"/>
        <v>635.9</v>
      </c>
      <c r="DO527" s="7">
        <f t="shared" si="324"/>
        <v>795.75</v>
      </c>
      <c r="DP527" s="7">
        <f t="shared" si="325"/>
        <v>982.59999999999991</v>
      </c>
    </row>
    <row r="528" spans="1:130" ht="25.5" hidden="1" customHeight="1" x14ac:dyDescent="0.25">
      <c r="A528" s="92" t="str">
        <f t="shared" si="297"/>
        <v>CM-SWVI [10]</v>
      </c>
      <c r="B528" s="92" t="str">
        <f t="shared" si="298"/>
        <v>Southwest Vancouver Island</v>
      </c>
      <c r="C528" s="93" t="str">
        <f t="shared" si="299"/>
        <v>TAHSISH RIVER_Chum</v>
      </c>
      <c r="D528" s="128" t="s">
        <v>598</v>
      </c>
      <c r="E528" s="128" t="s">
        <v>598</v>
      </c>
      <c r="F528" s="64">
        <v>26</v>
      </c>
      <c r="G528" s="72" t="s">
        <v>253</v>
      </c>
      <c r="H528" s="65" t="s">
        <v>96</v>
      </c>
      <c r="I528" s="119"/>
      <c r="J528" s="119"/>
      <c r="K528" s="64">
        <v>2</v>
      </c>
      <c r="L528" s="52">
        <v>11</v>
      </c>
      <c r="M528" s="52">
        <v>11</v>
      </c>
      <c r="N528" s="52">
        <f>GEOMEAN(AJ528:AW528)</f>
        <v>4068.3788808375079</v>
      </c>
      <c r="O528" s="52">
        <f>MAX(AJ528:CM528)</f>
        <v>31000</v>
      </c>
      <c r="P528" s="52">
        <f>GEOMEAN(AJ528:CM528)</f>
        <v>6259.6908672010477</v>
      </c>
      <c r="Q528" s="66" t="s">
        <v>269</v>
      </c>
      <c r="R528" s="37"/>
      <c r="S528" s="74" t="s">
        <v>1</v>
      </c>
      <c r="T528" s="81">
        <f t="shared" si="300"/>
        <v>4310</v>
      </c>
      <c r="U528" s="81">
        <f t="shared" si="301"/>
        <v>4867.916666666667</v>
      </c>
      <c r="V528" s="144">
        <v>7200</v>
      </c>
      <c r="W528" s="52">
        <v>2042</v>
      </c>
      <c r="X528" s="52">
        <v>3687</v>
      </c>
      <c r="Y528" s="52">
        <v>4311</v>
      </c>
      <c r="Z528" s="52">
        <v>2327</v>
      </c>
      <c r="AA528" s="52">
        <v>3153</v>
      </c>
      <c r="AB528" s="52">
        <v>3441</v>
      </c>
      <c r="AC528" s="52">
        <v>5622</v>
      </c>
      <c r="AD528" s="52">
        <v>4706</v>
      </c>
      <c r="AE528" s="144">
        <v>11130</v>
      </c>
      <c r="AF528" s="144">
        <v>2369</v>
      </c>
      <c r="AG528" s="144">
        <v>8427</v>
      </c>
      <c r="AH528" s="53">
        <v>555</v>
      </c>
      <c r="AI528" s="216">
        <v>540</v>
      </c>
      <c r="AJ528" s="53">
        <v>3661</v>
      </c>
      <c r="AK528" s="53">
        <v>7466</v>
      </c>
      <c r="AL528" s="89">
        <v>13650</v>
      </c>
      <c r="AM528" s="52">
        <v>469</v>
      </c>
      <c r="AN528" s="52">
        <v>6855</v>
      </c>
      <c r="AO528" s="53">
        <v>4250</v>
      </c>
      <c r="AP528" s="53">
        <v>1508</v>
      </c>
      <c r="AQ528" s="53">
        <v>2800</v>
      </c>
      <c r="AR528" s="53">
        <v>3803</v>
      </c>
      <c r="AS528" s="52">
        <v>6832</v>
      </c>
      <c r="AT528" s="52">
        <v>11444</v>
      </c>
      <c r="AU528" s="52">
        <v>4320</v>
      </c>
      <c r="AV528" s="52">
        <v>3324</v>
      </c>
      <c r="AW528" s="52">
        <v>3703</v>
      </c>
      <c r="AX528" s="51">
        <v>12500</v>
      </c>
      <c r="AY528" s="53">
        <v>7000</v>
      </c>
      <c r="AZ528" s="53">
        <v>17000</v>
      </c>
      <c r="BA528" s="53">
        <v>20000</v>
      </c>
      <c r="BB528" s="53">
        <v>2000</v>
      </c>
      <c r="BC528" s="53">
        <v>1500</v>
      </c>
      <c r="BD528" s="53">
        <v>4500</v>
      </c>
      <c r="BE528" s="53">
        <v>9000</v>
      </c>
      <c r="BF528" s="53">
        <v>15000</v>
      </c>
      <c r="BG528" s="53">
        <v>20000</v>
      </c>
      <c r="BH528" s="53">
        <v>17000</v>
      </c>
      <c r="BI528" s="53">
        <v>8000</v>
      </c>
      <c r="BJ528" s="53">
        <v>18000</v>
      </c>
      <c r="BK528" s="53">
        <v>10000</v>
      </c>
      <c r="BL528" s="53">
        <v>10000</v>
      </c>
      <c r="BM528" s="53">
        <v>2000</v>
      </c>
      <c r="BN528" s="53">
        <v>7500</v>
      </c>
      <c r="BO528" s="53">
        <v>5000</v>
      </c>
      <c r="BP528" s="53">
        <v>1500</v>
      </c>
      <c r="BQ528" s="53">
        <v>3500</v>
      </c>
      <c r="BR528" s="53">
        <v>7500</v>
      </c>
      <c r="BS528" s="53">
        <v>7500</v>
      </c>
      <c r="BT528" s="53">
        <v>31000</v>
      </c>
      <c r="BU528" s="53">
        <v>15000</v>
      </c>
      <c r="BV528" s="53">
        <v>15000</v>
      </c>
      <c r="BW528" s="53">
        <v>7500</v>
      </c>
      <c r="BX528" s="53">
        <v>3500</v>
      </c>
      <c r="BY528" s="53">
        <v>7500</v>
      </c>
      <c r="BZ528" s="53">
        <v>7500</v>
      </c>
      <c r="CA528" s="53">
        <v>3500</v>
      </c>
      <c r="CB528" s="53">
        <v>3500</v>
      </c>
      <c r="CC528" s="53">
        <v>3500</v>
      </c>
      <c r="CD528" s="53">
        <v>3500</v>
      </c>
      <c r="CE528" s="53">
        <v>3500</v>
      </c>
      <c r="CF528" s="53">
        <v>7500</v>
      </c>
      <c r="CG528" s="53">
        <v>15000</v>
      </c>
      <c r="CH528" s="53">
        <v>15000</v>
      </c>
      <c r="CI528" s="53">
        <v>7500</v>
      </c>
      <c r="CJ528" s="53">
        <v>3500</v>
      </c>
      <c r="CK528" s="53">
        <v>7500</v>
      </c>
      <c r="CL528" s="53">
        <v>7500</v>
      </c>
      <c r="CM528" s="53">
        <v>15000</v>
      </c>
      <c r="CN528" s="206"/>
      <c r="CO528" s="206"/>
      <c r="CP528" s="206"/>
      <c r="CQ528" s="8">
        <f t="shared" si="302"/>
        <v>469</v>
      </c>
      <c r="CR528" s="8">
        <f t="shared" si="303"/>
        <v>31000</v>
      </c>
      <c r="CS528" s="8">
        <f t="shared" si="304"/>
        <v>7465.6428571428569</v>
      </c>
      <c r="CT528">
        <f t="shared" si="305"/>
        <v>5463.6442171219169</v>
      </c>
      <c r="CU528" s="143">
        <f t="shared" si="306"/>
        <v>3913.4</v>
      </c>
      <c r="CV528" s="143">
        <f t="shared" si="307"/>
        <v>4867.916666666667</v>
      </c>
      <c r="CX528" s="7">
        <f t="shared" si="308"/>
        <v>1500</v>
      </c>
      <c r="CY528" s="7">
        <f t="shared" si="309"/>
        <v>2519.85</v>
      </c>
      <c r="CZ528" s="7">
        <f t="shared" si="310"/>
        <v>3417.6</v>
      </c>
      <c r="DA528" s="7">
        <f t="shared" si="311"/>
        <v>3500</v>
      </c>
      <c r="DB528" s="7">
        <f t="shared" si="312"/>
        <v>6843.5</v>
      </c>
      <c r="DC528" s="7">
        <f t="shared" si="313"/>
        <v>7500</v>
      </c>
      <c r="DD528" s="7">
        <f t="shared" si="314"/>
        <v>7500</v>
      </c>
      <c r="DE528" s="7">
        <f t="shared" si="315"/>
        <v>9750</v>
      </c>
      <c r="DF528" s="7">
        <f t="shared" si="316"/>
        <v>15000</v>
      </c>
      <c r="DH528" s="7">
        <f t="shared" si="317"/>
        <v>545.25</v>
      </c>
      <c r="DI528" s="7">
        <f t="shared" si="318"/>
        <v>2056.25</v>
      </c>
      <c r="DJ528" s="7">
        <f t="shared" si="319"/>
        <v>2343.8000000000002</v>
      </c>
      <c r="DK528" s="7">
        <f t="shared" si="320"/>
        <v>2692.25</v>
      </c>
      <c r="DL528" s="7">
        <f t="shared" si="321"/>
        <v>3753</v>
      </c>
      <c r="DM528" s="7">
        <f t="shared" si="322"/>
        <v>4312.8</v>
      </c>
      <c r="DN528" s="7">
        <f t="shared" si="323"/>
        <v>4532.3</v>
      </c>
      <c r="DO528" s="7">
        <f t="shared" si="324"/>
        <v>6837.75</v>
      </c>
      <c r="DP528" s="7">
        <f t="shared" si="325"/>
        <v>7452.7</v>
      </c>
    </row>
    <row r="529" spans="1:130" ht="25.5" hidden="1" customHeight="1" x14ac:dyDescent="0.25">
      <c r="A529" s="92" t="str">
        <f t="shared" si="297"/>
        <v>CO-WVI [17]</v>
      </c>
      <c r="B529" s="92" t="str">
        <f t="shared" si="298"/>
        <v>West Vancouver Island</v>
      </c>
      <c r="C529" s="93" t="str">
        <f t="shared" si="299"/>
        <v>TAHSISH RIVER_Coho</v>
      </c>
      <c r="D529" s="128" t="s">
        <v>598</v>
      </c>
      <c r="E529" s="128" t="s">
        <v>598</v>
      </c>
      <c r="F529" s="64">
        <v>26</v>
      </c>
      <c r="G529" s="72" t="s">
        <v>253</v>
      </c>
      <c r="H529" s="65" t="s">
        <v>93</v>
      </c>
      <c r="I529" s="119"/>
      <c r="J529" s="119"/>
      <c r="K529" s="64">
        <v>2</v>
      </c>
      <c r="L529" s="52">
        <v>11</v>
      </c>
      <c r="M529" s="52">
        <v>11</v>
      </c>
      <c r="N529" s="52">
        <f>GEOMEAN(AJ529:AW529)</f>
        <v>1335.2783234365888</v>
      </c>
      <c r="O529" s="52">
        <f>MAX(AJ529:CM529)</f>
        <v>7500</v>
      </c>
      <c r="P529" s="52">
        <f>GEOMEAN(AJ529:CM529)</f>
        <v>842.00353058187022</v>
      </c>
      <c r="Q529" s="66" t="s">
        <v>269</v>
      </c>
      <c r="R529" s="37"/>
      <c r="S529" s="74" t="s">
        <v>1</v>
      </c>
      <c r="T529" s="81">
        <f t="shared" si="300"/>
        <v>3520.25</v>
      </c>
      <c r="U529" s="81">
        <f t="shared" si="301"/>
        <v>3358.1666666666665</v>
      </c>
      <c r="V529" s="144">
        <v>5114</v>
      </c>
      <c r="W529" s="52">
        <v>4795</v>
      </c>
      <c r="X529" s="52">
        <v>2468</v>
      </c>
      <c r="Y529" s="52">
        <v>1704</v>
      </c>
      <c r="Z529" s="52">
        <v>3115</v>
      </c>
      <c r="AA529" s="52">
        <v>4984</v>
      </c>
      <c r="AB529" s="216">
        <v>1327</v>
      </c>
      <c r="AC529" s="52">
        <v>2081</v>
      </c>
      <c r="AD529" s="52">
        <v>3742</v>
      </c>
      <c r="AE529" s="144">
        <v>5547</v>
      </c>
      <c r="AF529" s="144">
        <v>1867</v>
      </c>
      <c r="AG529" s="215">
        <v>3554</v>
      </c>
      <c r="AH529" s="53">
        <v>690</v>
      </c>
      <c r="AI529" s="53">
        <v>5500</v>
      </c>
      <c r="AJ529" s="53">
        <v>1987</v>
      </c>
      <c r="AK529" s="53">
        <v>1096</v>
      </c>
      <c r="AL529" s="89">
        <v>859</v>
      </c>
      <c r="AM529" s="52">
        <v>562</v>
      </c>
      <c r="AN529" s="52">
        <v>5070</v>
      </c>
      <c r="AO529" s="53">
        <v>1792</v>
      </c>
      <c r="AP529" s="53">
        <v>5811</v>
      </c>
      <c r="AQ529" s="53">
        <v>1359</v>
      </c>
      <c r="AR529" s="53">
        <v>1099</v>
      </c>
      <c r="AS529" s="52">
        <v>1380</v>
      </c>
      <c r="AT529" s="52">
        <v>1824</v>
      </c>
      <c r="AU529" s="52">
        <v>564</v>
      </c>
      <c r="AV529" s="52">
        <v>409</v>
      </c>
      <c r="AW529" s="52">
        <v>1190</v>
      </c>
      <c r="AX529" s="51">
        <v>300</v>
      </c>
      <c r="AY529" s="53">
        <v>200</v>
      </c>
      <c r="AZ529" s="53">
        <v>2000</v>
      </c>
      <c r="BA529" s="53">
        <v>1200</v>
      </c>
      <c r="BB529" s="53">
        <v>2500</v>
      </c>
      <c r="BC529" s="53">
        <v>1500</v>
      </c>
      <c r="BD529" s="53">
        <v>1500</v>
      </c>
      <c r="BE529" s="53">
        <v>1500</v>
      </c>
      <c r="BF529" s="53">
        <v>1400</v>
      </c>
      <c r="BG529" s="53">
        <v>1000</v>
      </c>
      <c r="BH529" s="53">
        <v>1500</v>
      </c>
      <c r="BI529" s="53" t="s">
        <v>264</v>
      </c>
      <c r="BJ529" s="53">
        <v>700</v>
      </c>
      <c r="BK529" s="53">
        <v>500</v>
      </c>
      <c r="BL529" s="53">
        <v>300</v>
      </c>
      <c r="BM529" s="53">
        <v>150</v>
      </c>
      <c r="BN529" s="53">
        <v>130</v>
      </c>
      <c r="BO529" s="53">
        <v>500</v>
      </c>
      <c r="BP529" s="53">
        <v>1500</v>
      </c>
      <c r="BQ529" s="53">
        <v>25</v>
      </c>
      <c r="BR529" s="53">
        <v>400</v>
      </c>
      <c r="BS529" s="53">
        <v>400</v>
      </c>
      <c r="BT529" s="53">
        <v>3500</v>
      </c>
      <c r="BU529" s="53">
        <v>7500</v>
      </c>
      <c r="BV529" s="53">
        <v>1500</v>
      </c>
      <c r="BW529" s="53">
        <v>25</v>
      </c>
      <c r="BX529" s="53">
        <v>200</v>
      </c>
      <c r="BY529" s="53">
        <v>750</v>
      </c>
      <c r="BZ529" s="53">
        <v>400</v>
      </c>
      <c r="CA529" s="53">
        <v>200</v>
      </c>
      <c r="CB529" s="53">
        <v>200</v>
      </c>
      <c r="CC529" s="53">
        <v>750</v>
      </c>
      <c r="CD529" s="53">
        <v>750</v>
      </c>
      <c r="CE529" s="53">
        <v>750</v>
      </c>
      <c r="CF529" s="53">
        <v>750</v>
      </c>
      <c r="CG529" s="53">
        <v>750</v>
      </c>
      <c r="CH529" s="53">
        <v>1500</v>
      </c>
      <c r="CI529" s="53">
        <v>3500</v>
      </c>
      <c r="CJ529" s="53">
        <v>7500</v>
      </c>
      <c r="CK529" s="53">
        <v>3500</v>
      </c>
      <c r="CL529" s="53">
        <v>750</v>
      </c>
      <c r="CM529" s="53">
        <v>1500</v>
      </c>
      <c r="CN529" s="206"/>
      <c r="CO529" s="206"/>
      <c r="CP529" s="206"/>
      <c r="CQ529" s="8">
        <f t="shared" si="302"/>
        <v>25</v>
      </c>
      <c r="CR529" s="8">
        <f t="shared" si="303"/>
        <v>7500</v>
      </c>
      <c r="CS529" s="8">
        <f t="shared" si="304"/>
        <v>1840.144927536232</v>
      </c>
      <c r="CT529">
        <f t="shared" si="305"/>
        <v>1078.1924524786486</v>
      </c>
      <c r="CU529" s="143">
        <f t="shared" si="306"/>
        <v>3439.2</v>
      </c>
      <c r="CV529" s="143">
        <f t="shared" si="307"/>
        <v>3358.1666666666665</v>
      </c>
      <c r="CX529" s="7">
        <f t="shared" si="308"/>
        <v>170.00000000000003</v>
      </c>
      <c r="CY529" s="7">
        <f t="shared" si="309"/>
        <v>400</v>
      </c>
      <c r="CZ529" s="7">
        <f t="shared" si="310"/>
        <v>463.60000000000014</v>
      </c>
      <c r="DA529" s="7">
        <f t="shared" si="311"/>
        <v>564</v>
      </c>
      <c r="DB529" s="7">
        <f t="shared" si="312"/>
        <v>1359</v>
      </c>
      <c r="DC529" s="7">
        <f t="shared" si="313"/>
        <v>1500</v>
      </c>
      <c r="DD529" s="7">
        <f t="shared" si="314"/>
        <v>1540.8000000000006</v>
      </c>
      <c r="DE529" s="7">
        <f t="shared" si="315"/>
        <v>2081</v>
      </c>
      <c r="DF529" s="7">
        <f t="shared" si="316"/>
        <v>3543.2</v>
      </c>
      <c r="DH529" s="7">
        <f t="shared" si="317"/>
        <v>562.70000000000005</v>
      </c>
      <c r="DI529" s="7">
        <f t="shared" si="318"/>
        <v>870.84999999999991</v>
      </c>
      <c r="DJ529" s="7">
        <f t="shared" si="319"/>
        <v>1097.2</v>
      </c>
      <c r="DK529" s="7">
        <f t="shared" si="320"/>
        <v>1167.25</v>
      </c>
      <c r="DL529" s="7">
        <f t="shared" si="321"/>
        <v>1845.5</v>
      </c>
      <c r="DM529" s="7">
        <f t="shared" si="322"/>
        <v>2158.3999999999996</v>
      </c>
      <c r="DN529" s="7">
        <f t="shared" si="323"/>
        <v>2823.8500000000004</v>
      </c>
      <c r="DO529" s="7">
        <f t="shared" si="324"/>
        <v>4005.25</v>
      </c>
      <c r="DP529" s="7">
        <f t="shared" si="325"/>
        <v>5065.7</v>
      </c>
    </row>
    <row r="530" spans="1:130" ht="25.5" hidden="1" customHeight="1" x14ac:dyDescent="0.25">
      <c r="A530" s="92" t="str">
        <f t="shared" ref="A530:A547" si="326">VLOOKUP(C530,CU,6,FALSE)</f>
        <v>Pkodd-WVI [6]</v>
      </c>
      <c r="B530" s="92" t="str">
        <f t="shared" ref="B530:B547" si="327">VLOOKUP(C530,CU,7,FALSE)</f>
        <v>West Vancouver Island</v>
      </c>
      <c r="C530" s="93" t="str">
        <f t="shared" si="299"/>
        <v>TAHSISH RIVER_Pink</v>
      </c>
      <c r="D530" s="128" t="s">
        <v>598</v>
      </c>
      <c r="E530" s="128" t="s">
        <v>598</v>
      </c>
      <c r="F530" s="64">
        <v>26</v>
      </c>
      <c r="G530" s="72" t="s">
        <v>253</v>
      </c>
      <c r="H530" s="65" t="s">
        <v>95</v>
      </c>
      <c r="I530" s="119"/>
      <c r="J530" s="119"/>
      <c r="K530" s="64">
        <v>2</v>
      </c>
      <c r="L530" s="52">
        <v>11</v>
      </c>
      <c r="M530" s="52">
        <v>7</v>
      </c>
      <c r="N530" s="52">
        <f>GEOMEAN(AJ530:AW530)</f>
        <v>3.0668330722110375</v>
      </c>
      <c r="O530" s="52">
        <f>MAX(AJ530:CM530)</f>
        <v>3500</v>
      </c>
      <c r="P530" s="52">
        <f>GEOMEAN(AJ530:CM530)</f>
        <v>73.743147167616755</v>
      </c>
      <c r="Q530" s="66" t="s">
        <v>269</v>
      </c>
      <c r="R530" s="37"/>
      <c r="S530" s="74"/>
      <c r="T530" s="81" t="e">
        <f t="shared" si="300"/>
        <v>#DIV/0!</v>
      </c>
      <c r="U530" s="81">
        <f t="shared" si="301"/>
        <v>8.6</v>
      </c>
      <c r="V530" s="234" t="s">
        <v>262</v>
      </c>
      <c r="W530" s="236" t="s">
        <v>262</v>
      </c>
      <c r="X530" s="230" t="s">
        <v>262</v>
      </c>
      <c r="Y530" s="144" t="s">
        <v>262</v>
      </c>
      <c r="Z530" s="144" t="s">
        <v>262</v>
      </c>
      <c r="AA530" s="52">
        <v>7</v>
      </c>
      <c r="AB530" s="52">
        <v>3</v>
      </c>
      <c r="AC530" s="52">
        <v>6</v>
      </c>
      <c r="AD530" s="52" t="s">
        <v>263</v>
      </c>
      <c r="AE530" s="144">
        <v>11</v>
      </c>
      <c r="AF530" s="144" t="s">
        <v>262</v>
      </c>
      <c r="AG530" s="144">
        <v>16</v>
      </c>
      <c r="AH530" s="53">
        <v>12</v>
      </c>
      <c r="AI530" s="52" t="s">
        <v>262</v>
      </c>
      <c r="AJ530" s="53">
        <v>2</v>
      </c>
      <c r="AK530" s="53">
        <v>1</v>
      </c>
      <c r="AL530" s="89" t="s">
        <v>262</v>
      </c>
      <c r="AM530" s="52">
        <v>1</v>
      </c>
      <c r="AN530" s="52" t="s">
        <v>262</v>
      </c>
      <c r="AO530" s="53">
        <v>2</v>
      </c>
      <c r="AP530" s="53">
        <v>5</v>
      </c>
      <c r="AQ530" s="53" t="s">
        <v>262</v>
      </c>
      <c r="AR530" s="53" t="s">
        <v>262</v>
      </c>
      <c r="AS530" s="52">
        <v>3</v>
      </c>
      <c r="AT530" s="52">
        <v>25</v>
      </c>
      <c r="AU530" s="52">
        <v>8</v>
      </c>
      <c r="AV530" s="52">
        <v>2</v>
      </c>
      <c r="AW530" s="52" t="s">
        <v>262</v>
      </c>
      <c r="AX530" s="51" t="s">
        <v>264</v>
      </c>
      <c r="AY530" s="53" t="s">
        <v>262</v>
      </c>
      <c r="AZ530" s="53" t="s">
        <v>102</v>
      </c>
      <c r="BA530" s="53" t="s">
        <v>262</v>
      </c>
      <c r="BB530" s="53">
        <v>10</v>
      </c>
      <c r="BC530" s="53">
        <v>2</v>
      </c>
      <c r="BD530" s="53" t="s">
        <v>262</v>
      </c>
      <c r="BE530" s="53">
        <v>25</v>
      </c>
      <c r="BF530" s="53">
        <v>700</v>
      </c>
      <c r="BG530" s="53" t="s">
        <v>264</v>
      </c>
      <c r="BH530" s="53" t="s">
        <v>262</v>
      </c>
      <c r="BI530" s="53" t="s">
        <v>264</v>
      </c>
      <c r="BJ530" s="53">
        <v>1000</v>
      </c>
      <c r="BK530" s="53" t="s">
        <v>264</v>
      </c>
      <c r="BL530" s="53">
        <v>600</v>
      </c>
      <c r="BM530" s="53">
        <v>20</v>
      </c>
      <c r="BN530" s="53">
        <v>1500</v>
      </c>
      <c r="BO530" s="53" t="s">
        <v>264</v>
      </c>
      <c r="BP530" s="53">
        <v>750</v>
      </c>
      <c r="BQ530" s="53" t="s">
        <v>264</v>
      </c>
      <c r="BR530" s="53">
        <v>750</v>
      </c>
      <c r="BS530" s="53" t="s">
        <v>264</v>
      </c>
      <c r="BT530" s="53">
        <v>750</v>
      </c>
      <c r="BU530" s="53" t="s">
        <v>264</v>
      </c>
      <c r="BV530" s="53">
        <v>1500</v>
      </c>
      <c r="BW530" s="53" t="s">
        <v>264</v>
      </c>
      <c r="BX530" s="53">
        <v>1500</v>
      </c>
      <c r="BY530" s="53" t="s">
        <v>262</v>
      </c>
      <c r="BZ530" s="53">
        <v>3500</v>
      </c>
      <c r="CA530" s="53">
        <v>25</v>
      </c>
      <c r="CB530" s="53" t="s">
        <v>264</v>
      </c>
      <c r="CC530" s="53" t="s">
        <v>262</v>
      </c>
      <c r="CD530" s="53" t="s">
        <v>262</v>
      </c>
      <c r="CE530" s="53" t="s">
        <v>264</v>
      </c>
      <c r="CF530" s="53">
        <v>750</v>
      </c>
      <c r="CG530" s="53" t="s">
        <v>264</v>
      </c>
      <c r="CH530" s="53">
        <v>1500</v>
      </c>
      <c r="CI530" s="53" t="s">
        <v>262</v>
      </c>
      <c r="CJ530" s="53">
        <v>3500</v>
      </c>
      <c r="CK530" s="53" t="s">
        <v>264</v>
      </c>
      <c r="CL530" s="53">
        <v>400</v>
      </c>
      <c r="CM530" s="53" t="s">
        <v>264</v>
      </c>
      <c r="CN530" s="206"/>
      <c r="CO530" s="206"/>
      <c r="CP530" s="206"/>
      <c r="CQ530" s="8">
        <f t="shared" si="302"/>
        <v>1</v>
      </c>
      <c r="CR530" s="8">
        <f t="shared" si="303"/>
        <v>3500</v>
      </c>
      <c r="CS530" s="8">
        <f t="shared" si="304"/>
        <v>555.47058823529414</v>
      </c>
      <c r="CT530">
        <f t="shared" si="305"/>
        <v>49.852213485722018</v>
      </c>
      <c r="CU530" s="143" t="e">
        <f t="shared" si="306"/>
        <v>#DIV/0!</v>
      </c>
      <c r="CV530" s="143">
        <f t="shared" si="307"/>
        <v>8.6</v>
      </c>
      <c r="CX530" s="7">
        <f t="shared" si="308"/>
        <v>1.6500000000000004</v>
      </c>
      <c r="CY530" s="7">
        <f t="shared" si="309"/>
        <v>2</v>
      </c>
      <c r="CZ530" s="7">
        <f t="shared" si="310"/>
        <v>3</v>
      </c>
      <c r="DA530" s="7">
        <f t="shared" si="311"/>
        <v>5.25</v>
      </c>
      <c r="DB530" s="7">
        <f t="shared" si="312"/>
        <v>22.5</v>
      </c>
      <c r="DC530" s="7">
        <f t="shared" si="313"/>
        <v>325.00000000000028</v>
      </c>
      <c r="DD530" s="7">
        <f t="shared" si="314"/>
        <v>644.99999999999989</v>
      </c>
      <c r="DE530" s="7">
        <f t="shared" si="315"/>
        <v>750</v>
      </c>
      <c r="DF530" s="7">
        <f t="shared" si="316"/>
        <v>1500</v>
      </c>
      <c r="DH530" s="7">
        <f t="shared" si="317"/>
        <v>1</v>
      </c>
      <c r="DI530" s="7">
        <f t="shared" si="318"/>
        <v>2</v>
      </c>
      <c r="DJ530" s="7">
        <f t="shared" si="319"/>
        <v>2</v>
      </c>
      <c r="DK530" s="7">
        <f t="shared" si="320"/>
        <v>2</v>
      </c>
      <c r="DL530" s="7">
        <f t="shared" si="321"/>
        <v>5</v>
      </c>
      <c r="DM530" s="7">
        <f t="shared" si="322"/>
        <v>6.4</v>
      </c>
      <c r="DN530" s="7">
        <f t="shared" si="323"/>
        <v>7.1</v>
      </c>
      <c r="DO530" s="7">
        <f t="shared" si="324"/>
        <v>9.5</v>
      </c>
      <c r="DP530" s="7">
        <f t="shared" si="325"/>
        <v>11.9</v>
      </c>
    </row>
    <row r="531" spans="1:130" ht="25.5" hidden="1" customHeight="1" x14ac:dyDescent="0.25">
      <c r="A531" s="92" t="str">
        <f t="shared" si="326"/>
        <v>SK-WVI [R10]</v>
      </c>
      <c r="B531" s="92" t="str">
        <f t="shared" si="327"/>
        <v>West Vancouver Island</v>
      </c>
      <c r="C531" s="93" t="str">
        <f t="shared" si="299"/>
        <v>TAHSISH RIVER_Sockeye</v>
      </c>
      <c r="D531" s="128" t="s">
        <v>598</v>
      </c>
      <c r="E531" s="128" t="s">
        <v>598</v>
      </c>
      <c r="F531" s="64">
        <v>26</v>
      </c>
      <c r="G531" s="72" t="s">
        <v>253</v>
      </c>
      <c r="H531" s="65" t="s">
        <v>91</v>
      </c>
      <c r="I531" s="119"/>
      <c r="J531" s="119"/>
      <c r="K531" s="64">
        <v>2</v>
      </c>
      <c r="L531" s="52">
        <v>11</v>
      </c>
      <c r="M531" s="52">
        <v>11</v>
      </c>
      <c r="N531" s="52">
        <f>GEOMEAN(AJ531:AW531)</f>
        <v>26.47085424672737</v>
      </c>
      <c r="O531" s="52">
        <f>MAX(AJ531:CM531)</f>
        <v>750</v>
      </c>
      <c r="P531" s="52">
        <f>GEOMEAN(AJ531:CM531)</f>
        <v>53.580536377509269</v>
      </c>
      <c r="Q531" s="66" t="s">
        <v>269</v>
      </c>
      <c r="R531" s="37"/>
      <c r="S531" s="74"/>
      <c r="T531" s="81">
        <f t="shared" si="300"/>
        <v>24.5</v>
      </c>
      <c r="U531" s="81">
        <f t="shared" si="301"/>
        <v>82.5</v>
      </c>
      <c r="V531" s="144">
        <v>39</v>
      </c>
      <c r="W531" s="235">
        <v>35</v>
      </c>
      <c r="X531" s="52">
        <v>22</v>
      </c>
      <c r="Y531" s="52">
        <v>2</v>
      </c>
      <c r="Z531" s="52">
        <v>20</v>
      </c>
      <c r="AA531" s="52">
        <v>38</v>
      </c>
      <c r="AB531" s="144">
        <v>32</v>
      </c>
      <c r="AC531" s="52">
        <v>111</v>
      </c>
      <c r="AD531" s="52">
        <v>147</v>
      </c>
      <c r="AE531" s="144">
        <v>96</v>
      </c>
      <c r="AF531" s="52">
        <v>79</v>
      </c>
      <c r="AG531" s="52">
        <v>369</v>
      </c>
      <c r="AH531" s="53">
        <v>50</v>
      </c>
      <c r="AI531" s="53">
        <v>45</v>
      </c>
      <c r="AJ531" s="53">
        <v>1</v>
      </c>
      <c r="AK531" s="53">
        <v>12</v>
      </c>
      <c r="AL531" s="89">
        <v>4</v>
      </c>
      <c r="AM531" s="52">
        <v>23</v>
      </c>
      <c r="AN531" s="52">
        <v>73</v>
      </c>
      <c r="AO531" s="53">
        <v>4</v>
      </c>
      <c r="AP531" s="53">
        <v>32</v>
      </c>
      <c r="AQ531" s="53">
        <v>62</v>
      </c>
      <c r="AR531" s="53">
        <v>23</v>
      </c>
      <c r="AS531" s="52">
        <v>269</v>
      </c>
      <c r="AT531" s="52">
        <v>239</v>
      </c>
      <c r="AU531" s="52">
        <v>406</v>
      </c>
      <c r="AV531" s="52">
        <v>4</v>
      </c>
      <c r="AW531" s="52">
        <v>54</v>
      </c>
      <c r="AX531" s="51" t="s">
        <v>264</v>
      </c>
      <c r="AY531" s="53">
        <v>750</v>
      </c>
      <c r="AZ531" s="53">
        <v>100</v>
      </c>
      <c r="BA531" s="53">
        <v>100</v>
      </c>
      <c r="BB531" s="53">
        <v>100</v>
      </c>
      <c r="BC531" s="53">
        <v>120</v>
      </c>
      <c r="BD531" s="53">
        <v>150</v>
      </c>
      <c r="BE531" s="53">
        <v>100</v>
      </c>
      <c r="BF531" s="53" t="s">
        <v>264</v>
      </c>
      <c r="BG531" s="53" t="s">
        <v>264</v>
      </c>
      <c r="BH531" s="53" t="s">
        <v>262</v>
      </c>
      <c r="BI531" s="53" t="s">
        <v>264</v>
      </c>
      <c r="BJ531" s="53" t="s">
        <v>264</v>
      </c>
      <c r="BK531" s="53">
        <v>150</v>
      </c>
      <c r="BL531" s="53" t="s">
        <v>264</v>
      </c>
      <c r="BM531" s="53" t="s">
        <v>264</v>
      </c>
      <c r="BN531" s="53" t="s">
        <v>262</v>
      </c>
      <c r="BO531" s="53">
        <v>200</v>
      </c>
      <c r="BP531" s="53">
        <v>25</v>
      </c>
      <c r="BQ531" s="53" t="s">
        <v>264</v>
      </c>
      <c r="BR531" s="53" t="s">
        <v>264</v>
      </c>
      <c r="BS531" s="53" t="s">
        <v>264</v>
      </c>
      <c r="BT531" s="53" t="s">
        <v>264</v>
      </c>
      <c r="BU531" s="53" t="s">
        <v>264</v>
      </c>
      <c r="BV531" s="53" t="s">
        <v>264</v>
      </c>
      <c r="BW531" s="53" t="s">
        <v>264</v>
      </c>
      <c r="BX531" s="53" t="s">
        <v>264</v>
      </c>
      <c r="BY531" s="53" t="s">
        <v>264</v>
      </c>
      <c r="BZ531" s="53" t="s">
        <v>264</v>
      </c>
      <c r="CA531" s="53" t="s">
        <v>262</v>
      </c>
      <c r="CB531" s="53" t="s">
        <v>264</v>
      </c>
      <c r="CC531" s="53" t="s">
        <v>264</v>
      </c>
      <c r="CD531" s="53" t="s">
        <v>264</v>
      </c>
      <c r="CE531" s="53" t="s">
        <v>262</v>
      </c>
      <c r="CF531" s="53" t="s">
        <v>264</v>
      </c>
      <c r="CG531" s="53" t="s">
        <v>264</v>
      </c>
      <c r="CH531" s="53">
        <v>200</v>
      </c>
      <c r="CI531" s="53" t="s">
        <v>264</v>
      </c>
      <c r="CJ531" s="53" t="s">
        <v>264</v>
      </c>
      <c r="CK531" s="53" t="s">
        <v>264</v>
      </c>
      <c r="CL531" s="53" t="s">
        <v>264</v>
      </c>
      <c r="CM531" s="53" t="s">
        <v>264</v>
      </c>
      <c r="CN531" s="206"/>
      <c r="CO531" s="206"/>
      <c r="CP531" s="206"/>
      <c r="CQ531" s="8">
        <f t="shared" si="302"/>
        <v>1</v>
      </c>
      <c r="CR531" s="8">
        <f t="shared" si="303"/>
        <v>750</v>
      </c>
      <c r="CS531" s="8">
        <f t="shared" si="304"/>
        <v>109.8974358974359</v>
      </c>
      <c r="CT531">
        <f t="shared" si="305"/>
        <v>50.41988697060205</v>
      </c>
      <c r="CU531" s="143">
        <f t="shared" si="306"/>
        <v>23.6</v>
      </c>
      <c r="CV531" s="143">
        <f t="shared" si="307"/>
        <v>82.5</v>
      </c>
      <c r="CX531" s="7">
        <f t="shared" si="308"/>
        <v>3.8000000000000007</v>
      </c>
      <c r="CY531" s="7">
        <f t="shared" si="309"/>
        <v>17.600000000000001</v>
      </c>
      <c r="CZ531" s="7">
        <f t="shared" si="310"/>
        <v>22.6</v>
      </c>
      <c r="DA531" s="7">
        <f t="shared" si="311"/>
        <v>24</v>
      </c>
      <c r="DB531" s="7">
        <f t="shared" si="312"/>
        <v>62</v>
      </c>
      <c r="DC531" s="7">
        <f t="shared" si="313"/>
        <v>99.2</v>
      </c>
      <c r="DD531" s="7">
        <f t="shared" si="314"/>
        <v>100</v>
      </c>
      <c r="DE531" s="7">
        <f t="shared" si="315"/>
        <v>133.5</v>
      </c>
      <c r="DF531" s="7">
        <f t="shared" si="316"/>
        <v>200</v>
      </c>
      <c r="DH531" s="7">
        <f t="shared" si="317"/>
        <v>2.7</v>
      </c>
      <c r="DI531" s="7">
        <f t="shared" si="318"/>
        <v>4.3999999999999986</v>
      </c>
      <c r="DJ531" s="7">
        <f t="shared" si="319"/>
        <v>15.200000000000003</v>
      </c>
      <c r="DK531" s="7">
        <f t="shared" si="320"/>
        <v>21.5</v>
      </c>
      <c r="DL531" s="7">
        <f t="shared" si="321"/>
        <v>38.5</v>
      </c>
      <c r="DM531" s="7">
        <f t="shared" si="322"/>
        <v>50.8</v>
      </c>
      <c r="DN531" s="7">
        <f t="shared" si="323"/>
        <v>58.400000000000006</v>
      </c>
      <c r="DO531" s="7">
        <f t="shared" si="324"/>
        <v>83.25</v>
      </c>
      <c r="DP531" s="7">
        <f t="shared" si="325"/>
        <v>145.19999999999999</v>
      </c>
    </row>
    <row r="532" spans="1:130" ht="25.5" hidden="1" customHeight="1" x14ac:dyDescent="0.25">
      <c r="A532" s="92" t="e">
        <f t="shared" si="326"/>
        <v>#N/A</v>
      </c>
      <c r="B532" s="92" t="e">
        <f t="shared" si="327"/>
        <v>#N/A</v>
      </c>
      <c r="C532" s="93" t="str">
        <f t="shared" si="299"/>
        <v>TATCHU CREEK_Chum</v>
      </c>
      <c r="D532" s="128" t="s">
        <v>598</v>
      </c>
      <c r="E532" s="128" t="s">
        <v>598</v>
      </c>
      <c r="F532" s="64">
        <v>26</v>
      </c>
      <c r="G532" s="72" t="s">
        <v>675</v>
      </c>
      <c r="H532" s="65" t="s">
        <v>96</v>
      </c>
      <c r="I532" s="119"/>
      <c r="J532" s="119"/>
      <c r="K532" s="64"/>
      <c r="L532" s="52"/>
      <c r="M532" s="52"/>
      <c r="N532" s="52"/>
      <c r="O532" s="52"/>
      <c r="P532" s="52"/>
      <c r="Q532" s="66"/>
      <c r="R532" s="37"/>
      <c r="S532" s="74"/>
      <c r="T532" s="81" t="e">
        <f t="shared" si="300"/>
        <v>#DIV/0!</v>
      </c>
      <c r="U532" s="81" t="e">
        <f t="shared" si="301"/>
        <v>#DIV/0!</v>
      </c>
      <c r="V532" s="234" t="s">
        <v>102</v>
      </c>
      <c r="W532" s="124"/>
      <c r="X532" s="52"/>
      <c r="Y532" s="52" t="s">
        <v>102</v>
      </c>
      <c r="Z532" s="52" t="s">
        <v>102</v>
      </c>
      <c r="AA532" s="52" t="s">
        <v>102</v>
      </c>
      <c r="AB532" s="123" t="s">
        <v>102</v>
      </c>
      <c r="AC532" s="123" t="s">
        <v>102</v>
      </c>
      <c r="AD532" s="123" t="s">
        <v>102</v>
      </c>
      <c r="AE532" s="123" t="s">
        <v>102</v>
      </c>
      <c r="AF532" s="123" t="s">
        <v>102</v>
      </c>
      <c r="AG532" s="123" t="s">
        <v>102</v>
      </c>
      <c r="AH532" s="123" t="s">
        <v>102</v>
      </c>
      <c r="AI532" s="123" t="s">
        <v>102</v>
      </c>
      <c r="AJ532" s="123" t="s">
        <v>102</v>
      </c>
      <c r="AK532" s="123" t="s">
        <v>102</v>
      </c>
      <c r="AL532" s="123" t="s">
        <v>102</v>
      </c>
      <c r="AM532" s="52" t="s">
        <v>102</v>
      </c>
      <c r="AN532" s="52" t="s">
        <v>102</v>
      </c>
      <c r="AO532" s="52" t="s">
        <v>102</v>
      </c>
      <c r="AP532" s="53" t="s">
        <v>102</v>
      </c>
      <c r="AQ532" s="53" t="s">
        <v>102</v>
      </c>
      <c r="AR532" s="53" t="s">
        <v>102</v>
      </c>
      <c r="AS532" s="52" t="s">
        <v>102</v>
      </c>
      <c r="AT532" s="52" t="s">
        <v>102</v>
      </c>
      <c r="AU532" s="52">
        <v>4</v>
      </c>
      <c r="AV532" s="52" t="s">
        <v>262</v>
      </c>
      <c r="AW532" s="52" t="s">
        <v>102</v>
      </c>
      <c r="AX532" s="51" t="s">
        <v>102</v>
      </c>
      <c r="AY532" s="53" t="s">
        <v>102</v>
      </c>
      <c r="AZ532" s="53" t="s">
        <v>102</v>
      </c>
      <c r="BA532" s="53" t="s">
        <v>102</v>
      </c>
      <c r="BB532" s="53" t="s">
        <v>102</v>
      </c>
      <c r="BC532" s="53" t="s">
        <v>102</v>
      </c>
      <c r="BD532" s="53" t="s">
        <v>102</v>
      </c>
      <c r="BE532" s="53" t="s">
        <v>102</v>
      </c>
      <c r="BF532" s="53" t="s">
        <v>102</v>
      </c>
      <c r="BG532" s="53">
        <v>500</v>
      </c>
      <c r="BH532" s="53" t="s">
        <v>262</v>
      </c>
      <c r="BI532" s="53" t="s">
        <v>102</v>
      </c>
      <c r="BJ532" s="53" t="s">
        <v>102</v>
      </c>
      <c r="BK532" s="53" t="s">
        <v>102</v>
      </c>
      <c r="BL532" s="53" t="s">
        <v>102</v>
      </c>
      <c r="BM532" s="53" t="s">
        <v>102</v>
      </c>
      <c r="BN532" s="53">
        <v>6</v>
      </c>
      <c r="BO532" s="53" t="s">
        <v>102</v>
      </c>
      <c r="BP532" s="53" t="s">
        <v>102</v>
      </c>
      <c r="BQ532" s="53">
        <v>200</v>
      </c>
      <c r="BR532" s="53" t="s">
        <v>102</v>
      </c>
      <c r="BS532" s="53" t="s">
        <v>102</v>
      </c>
      <c r="BT532" s="53">
        <v>400</v>
      </c>
      <c r="BU532" s="53" t="s">
        <v>102</v>
      </c>
      <c r="BV532" s="53" t="s">
        <v>102</v>
      </c>
      <c r="BW532" s="53" t="s">
        <v>102</v>
      </c>
      <c r="BX532" s="53" t="s">
        <v>102</v>
      </c>
      <c r="BY532" s="53" t="s">
        <v>102</v>
      </c>
      <c r="BZ532" s="53" t="s">
        <v>102</v>
      </c>
      <c r="CA532" s="53" t="s">
        <v>102</v>
      </c>
      <c r="CB532" s="53" t="s">
        <v>102</v>
      </c>
      <c r="CC532" s="53" t="s">
        <v>102</v>
      </c>
      <c r="CD532" s="53" t="s">
        <v>102</v>
      </c>
      <c r="CE532" s="53" t="s">
        <v>102</v>
      </c>
      <c r="CF532" s="53" t="s">
        <v>102</v>
      </c>
      <c r="CG532" s="53" t="s">
        <v>102</v>
      </c>
      <c r="CH532" s="53" t="s">
        <v>102</v>
      </c>
      <c r="CI532" s="53" t="s">
        <v>102</v>
      </c>
      <c r="CJ532" s="53">
        <v>25</v>
      </c>
      <c r="CK532" s="53" t="s">
        <v>102</v>
      </c>
      <c r="CL532" s="53" t="s">
        <v>102</v>
      </c>
      <c r="CM532" s="53" t="s">
        <v>102</v>
      </c>
      <c r="CN532" s="206"/>
      <c r="CO532" s="206"/>
      <c r="CP532" s="206"/>
      <c r="CQ532" s="8">
        <f t="shared" si="302"/>
        <v>4</v>
      </c>
      <c r="CR532" s="8">
        <f t="shared" si="303"/>
        <v>500</v>
      </c>
      <c r="CS532" s="8">
        <f t="shared" si="304"/>
        <v>189.16666666666666</v>
      </c>
      <c r="CT532">
        <f t="shared" si="305"/>
        <v>53.707533369303199</v>
      </c>
      <c r="CU532" s="143" t="e">
        <f t="shared" si="306"/>
        <v>#DIV/0!</v>
      </c>
      <c r="CV532" s="143" t="e">
        <f t="shared" si="307"/>
        <v>#DIV/0!</v>
      </c>
      <c r="CX532" s="7">
        <f t="shared" si="308"/>
        <v>4.5</v>
      </c>
      <c r="CY532" s="7">
        <f t="shared" si="309"/>
        <v>5.5</v>
      </c>
      <c r="CZ532" s="7">
        <f t="shared" si="310"/>
        <v>6</v>
      </c>
      <c r="DA532" s="7">
        <f t="shared" si="311"/>
        <v>10.75</v>
      </c>
      <c r="DB532" s="7">
        <f t="shared" si="312"/>
        <v>112.5</v>
      </c>
      <c r="DC532" s="7">
        <f t="shared" si="313"/>
        <v>200</v>
      </c>
      <c r="DD532" s="7">
        <f t="shared" si="314"/>
        <v>250</v>
      </c>
      <c r="DE532" s="7">
        <f t="shared" si="315"/>
        <v>350</v>
      </c>
      <c r="DF532" s="7">
        <f t="shared" si="316"/>
        <v>425</v>
      </c>
      <c r="DH532" s="7">
        <f t="shared" si="317"/>
        <v>4</v>
      </c>
      <c r="DI532" s="7">
        <f t="shared" si="318"/>
        <v>4</v>
      </c>
      <c r="DJ532" s="7">
        <f t="shared" si="319"/>
        <v>4</v>
      </c>
      <c r="DK532" s="7">
        <f t="shared" si="320"/>
        <v>4</v>
      </c>
      <c r="DL532" s="7">
        <f t="shared" si="321"/>
        <v>4</v>
      </c>
      <c r="DM532" s="7">
        <f t="shared" si="322"/>
        <v>4</v>
      </c>
      <c r="DN532" s="7">
        <f t="shared" si="323"/>
        <v>4</v>
      </c>
      <c r="DO532" s="7">
        <f t="shared" si="324"/>
        <v>4</v>
      </c>
      <c r="DP532" s="7">
        <f t="shared" si="325"/>
        <v>4</v>
      </c>
    </row>
    <row r="533" spans="1:130" ht="25.5" hidden="1" customHeight="1" x14ac:dyDescent="0.25">
      <c r="A533" s="92" t="e">
        <f t="shared" si="326"/>
        <v>#N/A</v>
      </c>
      <c r="B533" s="92" t="e">
        <f t="shared" si="327"/>
        <v>#N/A</v>
      </c>
      <c r="C533" s="93" t="str">
        <f t="shared" si="299"/>
        <v>TATCHU CREEK_Coho</v>
      </c>
      <c r="D533" s="128" t="s">
        <v>598</v>
      </c>
      <c r="E533" s="128" t="s">
        <v>598</v>
      </c>
      <c r="F533" s="64">
        <v>26</v>
      </c>
      <c r="G533" s="72" t="s">
        <v>675</v>
      </c>
      <c r="H533" s="65" t="s">
        <v>93</v>
      </c>
      <c r="I533" s="119"/>
      <c r="J533" s="119"/>
      <c r="K533" s="64"/>
      <c r="L533" s="52"/>
      <c r="M533" s="52"/>
      <c r="N533" s="52"/>
      <c r="O533" s="52"/>
      <c r="P533" s="52"/>
      <c r="Q533" s="66"/>
      <c r="R533" s="37"/>
      <c r="S533" s="74"/>
      <c r="T533" s="81" t="e">
        <f t="shared" si="300"/>
        <v>#DIV/0!</v>
      </c>
      <c r="U533" s="81" t="e">
        <f t="shared" si="301"/>
        <v>#DIV/0!</v>
      </c>
      <c r="V533" s="234" t="s">
        <v>102</v>
      </c>
      <c r="W533" s="124"/>
      <c r="X533" s="52"/>
      <c r="Y533" s="52" t="s">
        <v>102</v>
      </c>
      <c r="Z533" s="52" t="s">
        <v>102</v>
      </c>
      <c r="AA533" s="52" t="s">
        <v>102</v>
      </c>
      <c r="AB533" s="123" t="s">
        <v>102</v>
      </c>
      <c r="AC533" s="123" t="s">
        <v>102</v>
      </c>
      <c r="AD533" s="123" t="s">
        <v>102</v>
      </c>
      <c r="AE533" s="123" t="s">
        <v>102</v>
      </c>
      <c r="AF533" s="123" t="s">
        <v>102</v>
      </c>
      <c r="AG533" s="123" t="s">
        <v>102</v>
      </c>
      <c r="AH533" s="123" t="s">
        <v>102</v>
      </c>
      <c r="AI533" s="123" t="s">
        <v>102</v>
      </c>
      <c r="AJ533" s="123" t="s">
        <v>102</v>
      </c>
      <c r="AK533" s="123" t="s">
        <v>102</v>
      </c>
      <c r="AL533" s="123" t="s">
        <v>102</v>
      </c>
      <c r="AM533" s="52" t="s">
        <v>102</v>
      </c>
      <c r="AN533" s="52" t="s">
        <v>102</v>
      </c>
      <c r="AO533" s="52" t="s">
        <v>102</v>
      </c>
      <c r="AP533" s="53" t="s">
        <v>102</v>
      </c>
      <c r="AQ533" s="53" t="s">
        <v>102</v>
      </c>
      <c r="AR533" s="53" t="s">
        <v>102</v>
      </c>
      <c r="AS533" s="52" t="s">
        <v>102</v>
      </c>
      <c r="AT533" s="52" t="s">
        <v>102</v>
      </c>
      <c r="AU533" s="52">
        <v>100</v>
      </c>
      <c r="AV533" s="52" t="s">
        <v>262</v>
      </c>
      <c r="AW533" s="52" t="s">
        <v>102</v>
      </c>
      <c r="AX533" s="51" t="s">
        <v>102</v>
      </c>
      <c r="AY533" s="53" t="s">
        <v>102</v>
      </c>
      <c r="AZ533" s="53" t="s">
        <v>102</v>
      </c>
      <c r="BA533" s="53" t="s">
        <v>102</v>
      </c>
      <c r="BB533" s="53" t="s">
        <v>102</v>
      </c>
      <c r="BC533" s="53" t="s">
        <v>102</v>
      </c>
      <c r="BD533" s="53" t="s">
        <v>102</v>
      </c>
      <c r="BE533" s="53" t="s">
        <v>102</v>
      </c>
      <c r="BF533" s="53" t="s">
        <v>102</v>
      </c>
      <c r="BG533" s="53">
        <v>50</v>
      </c>
      <c r="BH533" s="53" t="s">
        <v>262</v>
      </c>
      <c r="BI533" s="53" t="s">
        <v>102</v>
      </c>
      <c r="BJ533" s="53" t="s">
        <v>102</v>
      </c>
      <c r="BK533" s="53" t="s">
        <v>102</v>
      </c>
      <c r="BL533" s="53" t="s">
        <v>102</v>
      </c>
      <c r="BM533" s="53" t="s">
        <v>102</v>
      </c>
      <c r="BN533" s="53">
        <v>30</v>
      </c>
      <c r="BO533" s="53" t="s">
        <v>102</v>
      </c>
      <c r="BP533" s="53" t="s">
        <v>102</v>
      </c>
      <c r="BQ533" s="53">
        <v>25</v>
      </c>
      <c r="BR533" s="53" t="s">
        <v>102</v>
      </c>
      <c r="BS533" s="53" t="s">
        <v>102</v>
      </c>
      <c r="BT533" s="53">
        <v>75</v>
      </c>
      <c r="BU533" s="53" t="s">
        <v>102</v>
      </c>
      <c r="BV533" s="53" t="s">
        <v>102</v>
      </c>
      <c r="BW533" s="53" t="s">
        <v>102</v>
      </c>
      <c r="BX533" s="53" t="s">
        <v>102</v>
      </c>
      <c r="BY533" s="53" t="s">
        <v>102</v>
      </c>
      <c r="BZ533" s="53" t="s">
        <v>102</v>
      </c>
      <c r="CA533" s="53" t="s">
        <v>102</v>
      </c>
      <c r="CB533" s="53" t="s">
        <v>102</v>
      </c>
      <c r="CC533" s="53" t="s">
        <v>102</v>
      </c>
      <c r="CD533" s="53" t="s">
        <v>102</v>
      </c>
      <c r="CE533" s="53" t="s">
        <v>102</v>
      </c>
      <c r="CF533" s="53" t="s">
        <v>102</v>
      </c>
      <c r="CG533" s="53" t="s">
        <v>102</v>
      </c>
      <c r="CH533" s="53" t="s">
        <v>102</v>
      </c>
      <c r="CI533" s="53" t="s">
        <v>102</v>
      </c>
      <c r="CJ533" s="53">
        <v>25</v>
      </c>
      <c r="CK533" s="53" t="s">
        <v>102</v>
      </c>
      <c r="CL533" s="53" t="s">
        <v>102</v>
      </c>
      <c r="CM533" s="53" t="s">
        <v>102</v>
      </c>
      <c r="CN533" s="206"/>
      <c r="CO533" s="206"/>
      <c r="CP533" s="206"/>
      <c r="CQ533" s="8">
        <f t="shared" si="302"/>
        <v>25</v>
      </c>
      <c r="CR533" s="8">
        <f t="shared" si="303"/>
        <v>100</v>
      </c>
      <c r="CS533" s="8">
        <f t="shared" si="304"/>
        <v>50.833333333333336</v>
      </c>
      <c r="CT533">
        <f t="shared" si="305"/>
        <v>43.769550842839166</v>
      </c>
      <c r="CU533" s="143" t="e">
        <f t="shared" si="306"/>
        <v>#DIV/0!</v>
      </c>
      <c r="CV533" s="143" t="e">
        <f t="shared" si="307"/>
        <v>#DIV/0!</v>
      </c>
      <c r="CX533" s="7">
        <f t="shared" si="308"/>
        <v>25</v>
      </c>
      <c r="CY533" s="7">
        <f t="shared" si="309"/>
        <v>25</v>
      </c>
      <c r="CZ533" s="7">
        <f t="shared" si="310"/>
        <v>25</v>
      </c>
      <c r="DA533" s="7">
        <f t="shared" si="311"/>
        <v>26.25</v>
      </c>
      <c r="DB533" s="7">
        <f t="shared" si="312"/>
        <v>40</v>
      </c>
      <c r="DC533" s="7">
        <f t="shared" si="313"/>
        <v>50</v>
      </c>
      <c r="DD533" s="7">
        <f t="shared" si="314"/>
        <v>56.25</v>
      </c>
      <c r="DE533" s="7">
        <f t="shared" si="315"/>
        <v>68.75</v>
      </c>
      <c r="DF533" s="7">
        <f t="shared" si="316"/>
        <v>81.25</v>
      </c>
      <c r="DH533" s="7">
        <f t="shared" si="317"/>
        <v>100</v>
      </c>
      <c r="DI533" s="7">
        <f t="shared" si="318"/>
        <v>100</v>
      </c>
      <c r="DJ533" s="7">
        <f t="shared" si="319"/>
        <v>100</v>
      </c>
      <c r="DK533" s="7">
        <f t="shared" si="320"/>
        <v>100</v>
      </c>
      <c r="DL533" s="7">
        <f t="shared" si="321"/>
        <v>100</v>
      </c>
      <c r="DM533" s="7">
        <f t="shared" si="322"/>
        <v>100</v>
      </c>
      <c r="DN533" s="7">
        <f t="shared" si="323"/>
        <v>100</v>
      </c>
      <c r="DO533" s="7">
        <f t="shared" si="324"/>
        <v>100</v>
      </c>
      <c r="DP533" s="7">
        <f t="shared" si="325"/>
        <v>100</v>
      </c>
    </row>
    <row r="534" spans="1:130" ht="25.5" hidden="1" customHeight="1" x14ac:dyDescent="0.25">
      <c r="A534" s="92" t="str">
        <f t="shared" si="326"/>
        <v>CM-SWVI [10]</v>
      </c>
      <c r="B534" s="92" t="str">
        <f t="shared" si="327"/>
        <v>Southwest Vancouver Island</v>
      </c>
      <c r="C534" s="93" t="str">
        <f t="shared" si="299"/>
        <v>YAKU RIVER_Chum</v>
      </c>
      <c r="D534" s="128" t="s">
        <v>598</v>
      </c>
      <c r="E534" s="128" t="s">
        <v>598</v>
      </c>
      <c r="F534" s="64">
        <v>26</v>
      </c>
      <c r="G534" s="72" t="s">
        <v>254</v>
      </c>
      <c r="H534" s="65" t="s">
        <v>96</v>
      </c>
      <c r="I534" s="119"/>
      <c r="J534" s="119"/>
      <c r="K534" s="64">
        <v>5</v>
      </c>
      <c r="L534" s="52">
        <v>5</v>
      </c>
      <c r="M534" s="52">
        <v>5</v>
      </c>
      <c r="N534" s="52">
        <f t="shared" ref="N534:N547" si="328">GEOMEAN(AJ534:AW534)</f>
        <v>19.669239166628596</v>
      </c>
      <c r="O534" s="52">
        <f t="shared" ref="O534:O547" si="329">MAX(AJ534:CM534)</f>
        <v>1610</v>
      </c>
      <c r="P534" s="52">
        <f t="shared" ref="P534:P547" si="330">GEOMEAN(AJ534:CM534)</f>
        <v>180.48333728397313</v>
      </c>
      <c r="Q534" s="66"/>
      <c r="R534" s="37"/>
      <c r="S534" s="74" t="s">
        <v>413</v>
      </c>
      <c r="T534" s="81" t="e">
        <f t="shared" si="300"/>
        <v>#DIV/0!</v>
      </c>
      <c r="U534" s="81" t="e">
        <f t="shared" si="301"/>
        <v>#DIV/0!</v>
      </c>
      <c r="V534" s="234" t="s">
        <v>102</v>
      </c>
      <c r="W534" s="124"/>
      <c r="X534" s="52"/>
      <c r="Y534" s="52" t="s">
        <v>102</v>
      </c>
      <c r="Z534" s="52" t="s">
        <v>102</v>
      </c>
      <c r="AA534" s="52" t="s">
        <v>102</v>
      </c>
      <c r="AB534" s="144" t="s">
        <v>102</v>
      </c>
      <c r="AC534" s="144" t="s">
        <v>102</v>
      </c>
      <c r="AD534" s="144" t="s">
        <v>102</v>
      </c>
      <c r="AE534" s="144" t="s">
        <v>102</v>
      </c>
      <c r="AF534" s="144" t="s">
        <v>102</v>
      </c>
      <c r="AG534" s="52" t="s">
        <v>102</v>
      </c>
      <c r="AH534" s="52" t="s">
        <v>102</v>
      </c>
      <c r="AI534" s="52" t="s">
        <v>102</v>
      </c>
      <c r="AJ534" s="52" t="s">
        <v>102</v>
      </c>
      <c r="AK534" s="52" t="s">
        <v>102</v>
      </c>
      <c r="AL534" s="52" t="s">
        <v>102</v>
      </c>
      <c r="AM534" s="52" t="s">
        <v>102</v>
      </c>
      <c r="AN534" s="52">
        <v>320</v>
      </c>
      <c r="AO534" s="52" t="s">
        <v>102</v>
      </c>
      <c r="AP534" s="53">
        <v>23</v>
      </c>
      <c r="AQ534" s="53" t="s">
        <v>102</v>
      </c>
      <c r="AR534" s="53" t="s">
        <v>102</v>
      </c>
      <c r="AS534" s="52" t="s">
        <v>102</v>
      </c>
      <c r="AT534" s="52" t="s">
        <v>102</v>
      </c>
      <c r="AU534" s="52">
        <v>4</v>
      </c>
      <c r="AV534" s="52">
        <v>10</v>
      </c>
      <c r="AW534" s="52">
        <v>10</v>
      </c>
      <c r="AX534" s="51">
        <v>30</v>
      </c>
      <c r="AY534" s="53" t="s">
        <v>262</v>
      </c>
      <c r="AZ534" s="53">
        <v>500</v>
      </c>
      <c r="BA534" s="53">
        <v>150</v>
      </c>
      <c r="BB534" s="53" t="s">
        <v>102</v>
      </c>
      <c r="BC534" s="53" t="s">
        <v>102</v>
      </c>
      <c r="BD534" s="53" t="s">
        <v>102</v>
      </c>
      <c r="BE534" s="53">
        <v>500</v>
      </c>
      <c r="BF534" s="53">
        <v>1000</v>
      </c>
      <c r="BG534" s="53">
        <v>500</v>
      </c>
      <c r="BH534" s="53" t="s">
        <v>262</v>
      </c>
      <c r="BI534" s="53" t="s">
        <v>102</v>
      </c>
      <c r="BJ534" s="53" t="s">
        <v>102</v>
      </c>
      <c r="BK534" s="53" t="s">
        <v>102</v>
      </c>
      <c r="BL534" s="53">
        <v>1500</v>
      </c>
      <c r="BM534" s="53">
        <v>10</v>
      </c>
      <c r="BN534" s="53">
        <v>1000</v>
      </c>
      <c r="BO534" s="53" t="s">
        <v>102</v>
      </c>
      <c r="BP534" s="53" t="s">
        <v>102</v>
      </c>
      <c r="BQ534" s="53" t="s">
        <v>102</v>
      </c>
      <c r="BR534" s="53">
        <v>750</v>
      </c>
      <c r="BS534" s="53">
        <v>75</v>
      </c>
      <c r="BT534" s="53">
        <v>200</v>
      </c>
      <c r="BU534" s="53" t="s">
        <v>262</v>
      </c>
      <c r="BV534" s="53">
        <v>200</v>
      </c>
      <c r="BW534" s="53">
        <v>200</v>
      </c>
      <c r="BX534" s="53">
        <v>200</v>
      </c>
      <c r="BY534" s="53">
        <v>400</v>
      </c>
      <c r="BZ534" s="53">
        <v>200</v>
      </c>
      <c r="CA534" s="53">
        <v>75</v>
      </c>
      <c r="CB534" s="53">
        <v>200</v>
      </c>
      <c r="CC534" s="53" t="s">
        <v>102</v>
      </c>
      <c r="CD534" s="53" t="s">
        <v>102</v>
      </c>
      <c r="CE534" s="53">
        <v>75</v>
      </c>
      <c r="CF534" s="53">
        <v>750</v>
      </c>
      <c r="CG534" s="53">
        <v>750</v>
      </c>
      <c r="CH534" s="53">
        <v>1500</v>
      </c>
      <c r="CI534" s="53">
        <v>1610</v>
      </c>
      <c r="CJ534" s="53" t="s">
        <v>102</v>
      </c>
      <c r="CK534" s="53" t="s">
        <v>102</v>
      </c>
      <c r="CL534" s="53" t="s">
        <v>102</v>
      </c>
      <c r="CM534" s="53" t="s">
        <v>102</v>
      </c>
      <c r="CN534" s="206"/>
      <c r="CO534" s="206"/>
      <c r="CP534" s="206"/>
      <c r="CQ534" s="8">
        <f t="shared" si="302"/>
        <v>4</v>
      </c>
      <c r="CR534" s="8">
        <f t="shared" si="303"/>
        <v>1610</v>
      </c>
      <c r="CS534" s="8">
        <f t="shared" si="304"/>
        <v>439.37931034482756</v>
      </c>
      <c r="CT534">
        <f t="shared" si="305"/>
        <v>180.48333728397313</v>
      </c>
      <c r="CU534" s="143" t="e">
        <f t="shared" si="306"/>
        <v>#DIV/0!</v>
      </c>
      <c r="CV534" s="143" t="e">
        <f t="shared" si="307"/>
        <v>#DIV/0!</v>
      </c>
      <c r="CX534" s="7">
        <f t="shared" si="308"/>
        <v>10</v>
      </c>
      <c r="CY534" s="7">
        <f t="shared" si="309"/>
        <v>24.400000000000002</v>
      </c>
      <c r="CZ534" s="7">
        <f t="shared" si="310"/>
        <v>57.000000000000028</v>
      </c>
      <c r="DA534" s="7">
        <f t="shared" si="311"/>
        <v>75</v>
      </c>
      <c r="DB534" s="7">
        <f t="shared" si="312"/>
        <v>200</v>
      </c>
      <c r="DC534" s="7">
        <f t="shared" si="313"/>
        <v>384.00000000000006</v>
      </c>
      <c r="DD534" s="7">
        <f t="shared" si="314"/>
        <v>500</v>
      </c>
      <c r="DE534" s="7">
        <f t="shared" si="315"/>
        <v>750</v>
      </c>
      <c r="DF534" s="7">
        <f t="shared" si="316"/>
        <v>950.00000000000023</v>
      </c>
      <c r="DH534" s="7">
        <f t="shared" si="317"/>
        <v>5.1999999999999993</v>
      </c>
      <c r="DI534" s="7">
        <f t="shared" si="318"/>
        <v>7.6000000000000005</v>
      </c>
      <c r="DJ534" s="7">
        <f t="shared" si="319"/>
        <v>8.8000000000000007</v>
      </c>
      <c r="DK534" s="7">
        <f t="shared" si="320"/>
        <v>10</v>
      </c>
      <c r="DL534" s="7">
        <f t="shared" si="321"/>
        <v>10</v>
      </c>
      <c r="DM534" s="7">
        <f t="shared" si="322"/>
        <v>15.2</v>
      </c>
      <c r="DN534" s="7">
        <f t="shared" si="323"/>
        <v>17.8</v>
      </c>
      <c r="DO534" s="7">
        <f t="shared" si="324"/>
        <v>23</v>
      </c>
      <c r="DP534" s="7">
        <f t="shared" si="325"/>
        <v>141.80000000000013</v>
      </c>
    </row>
    <row r="535" spans="1:130" ht="25.5" hidden="1" customHeight="1" x14ac:dyDescent="0.25">
      <c r="A535" s="92" t="str">
        <f t="shared" si="326"/>
        <v>CO-WVI [17]</v>
      </c>
      <c r="B535" s="92" t="str">
        <f t="shared" si="327"/>
        <v>West Vancouver Island</v>
      </c>
      <c r="C535" s="93" t="str">
        <f t="shared" si="299"/>
        <v>YAKU RIVER_Coho</v>
      </c>
      <c r="D535" s="128" t="s">
        <v>598</v>
      </c>
      <c r="E535" s="128" t="s">
        <v>598</v>
      </c>
      <c r="F535" s="64">
        <v>26</v>
      </c>
      <c r="G535" s="72" t="s">
        <v>254</v>
      </c>
      <c r="H535" s="65" t="s">
        <v>93</v>
      </c>
      <c r="I535" s="119"/>
      <c r="J535" s="119"/>
      <c r="K535" s="64">
        <v>5</v>
      </c>
      <c r="L535" s="52">
        <v>5</v>
      </c>
      <c r="M535" s="52">
        <v>0</v>
      </c>
      <c r="N535" s="52" t="e">
        <f t="shared" si="328"/>
        <v>#NUM!</v>
      </c>
      <c r="O535" s="52">
        <f t="shared" si="329"/>
        <v>75</v>
      </c>
      <c r="P535" s="52">
        <f t="shared" si="330"/>
        <v>50.248146578660183</v>
      </c>
      <c r="Q535" s="66"/>
      <c r="R535" s="37"/>
      <c r="S535" s="74" t="s">
        <v>413</v>
      </c>
      <c r="T535" s="81" t="e">
        <f t="shared" si="300"/>
        <v>#DIV/0!</v>
      </c>
      <c r="U535" s="81" t="e">
        <f t="shared" si="301"/>
        <v>#DIV/0!</v>
      </c>
      <c r="V535" s="234" t="s">
        <v>102</v>
      </c>
      <c r="W535" s="124"/>
      <c r="X535" s="52"/>
      <c r="Y535" s="52" t="s">
        <v>102</v>
      </c>
      <c r="Z535" s="52" t="s">
        <v>102</v>
      </c>
      <c r="AA535" s="52" t="s">
        <v>102</v>
      </c>
      <c r="AB535" s="144" t="s">
        <v>102</v>
      </c>
      <c r="AC535" s="144" t="s">
        <v>102</v>
      </c>
      <c r="AD535" s="144" t="s">
        <v>102</v>
      </c>
      <c r="AE535" s="144" t="s">
        <v>102</v>
      </c>
      <c r="AF535" s="144" t="s">
        <v>102</v>
      </c>
      <c r="AG535" s="52" t="s">
        <v>102</v>
      </c>
      <c r="AH535" s="52" t="s">
        <v>102</v>
      </c>
      <c r="AI535" s="52" t="s">
        <v>102</v>
      </c>
      <c r="AJ535" s="52" t="s">
        <v>102</v>
      </c>
      <c r="AK535" s="52" t="s">
        <v>102</v>
      </c>
      <c r="AL535" s="52" t="s">
        <v>102</v>
      </c>
      <c r="AM535" s="52" t="s">
        <v>102</v>
      </c>
      <c r="AN535" s="52" t="s">
        <v>262</v>
      </c>
      <c r="AO535" s="52" t="s">
        <v>102</v>
      </c>
      <c r="AP535" s="53" t="s">
        <v>262</v>
      </c>
      <c r="AQ535" s="53" t="s">
        <v>102</v>
      </c>
      <c r="AR535" s="53" t="s">
        <v>102</v>
      </c>
      <c r="AS535" s="52" t="s">
        <v>102</v>
      </c>
      <c r="AT535" s="52" t="s">
        <v>102</v>
      </c>
      <c r="AU535" s="52" t="s">
        <v>262</v>
      </c>
      <c r="AV535" s="52" t="s">
        <v>262</v>
      </c>
      <c r="AW535" s="52" t="s">
        <v>262</v>
      </c>
      <c r="AX535" s="51" t="s">
        <v>264</v>
      </c>
      <c r="AY535" s="53" t="s">
        <v>262</v>
      </c>
      <c r="AZ535" s="53" t="s">
        <v>264</v>
      </c>
      <c r="BA535" s="53" t="s">
        <v>262</v>
      </c>
      <c r="BB535" s="53" t="s">
        <v>102</v>
      </c>
      <c r="BC535" s="53" t="s">
        <v>102</v>
      </c>
      <c r="BD535" s="53" t="s">
        <v>102</v>
      </c>
      <c r="BE535" s="53">
        <v>50</v>
      </c>
      <c r="BF535" s="53">
        <v>75</v>
      </c>
      <c r="BG535" s="53">
        <v>50</v>
      </c>
      <c r="BH535" s="53" t="s">
        <v>262</v>
      </c>
      <c r="BI535" s="53" t="s">
        <v>102</v>
      </c>
      <c r="BJ535" s="53" t="s">
        <v>102</v>
      </c>
      <c r="BK535" s="53" t="s">
        <v>102</v>
      </c>
      <c r="BL535" s="53" t="s">
        <v>264</v>
      </c>
      <c r="BM535" s="53" t="s">
        <v>264</v>
      </c>
      <c r="BN535" s="53" t="s">
        <v>262</v>
      </c>
      <c r="BO535" s="53" t="s">
        <v>102</v>
      </c>
      <c r="BP535" s="53" t="s">
        <v>102</v>
      </c>
      <c r="BQ535" s="53" t="s">
        <v>102</v>
      </c>
      <c r="BR535" s="53" t="s">
        <v>264</v>
      </c>
      <c r="BS535" s="53" t="s">
        <v>264</v>
      </c>
      <c r="BT535" s="53" t="s">
        <v>264</v>
      </c>
      <c r="BU535" s="53" t="s">
        <v>264</v>
      </c>
      <c r="BV535" s="53" t="s">
        <v>264</v>
      </c>
      <c r="BW535" s="53" t="s">
        <v>264</v>
      </c>
      <c r="BX535" s="53" t="s">
        <v>264</v>
      </c>
      <c r="BY535" s="53" t="s">
        <v>264</v>
      </c>
      <c r="BZ535" s="53" t="s">
        <v>264</v>
      </c>
      <c r="CA535" s="53" t="s">
        <v>264</v>
      </c>
      <c r="CB535" s="53" t="s">
        <v>264</v>
      </c>
      <c r="CC535" s="53" t="s">
        <v>102</v>
      </c>
      <c r="CD535" s="53" t="s">
        <v>102</v>
      </c>
      <c r="CE535" s="53" t="s">
        <v>264</v>
      </c>
      <c r="CF535" s="53" t="s">
        <v>264</v>
      </c>
      <c r="CG535" s="53" t="s">
        <v>262</v>
      </c>
      <c r="CH535" s="53" t="s">
        <v>264</v>
      </c>
      <c r="CI535" s="53">
        <v>34</v>
      </c>
      <c r="CJ535" s="53" t="s">
        <v>102</v>
      </c>
      <c r="CK535" s="53" t="s">
        <v>102</v>
      </c>
      <c r="CL535" s="53" t="s">
        <v>102</v>
      </c>
      <c r="CM535" s="53" t="s">
        <v>102</v>
      </c>
      <c r="CN535" s="206"/>
      <c r="CO535" s="206"/>
      <c r="CP535" s="206"/>
      <c r="CQ535" s="8">
        <f t="shared" si="302"/>
        <v>34</v>
      </c>
      <c r="CR535" s="8">
        <f t="shared" si="303"/>
        <v>75</v>
      </c>
      <c r="CS535" s="8">
        <f t="shared" si="304"/>
        <v>52.25</v>
      </c>
      <c r="CT535">
        <f t="shared" si="305"/>
        <v>50.248146578660183</v>
      </c>
      <c r="CU535" s="143" t="e">
        <f t="shared" si="306"/>
        <v>#DIV/0!</v>
      </c>
      <c r="CV535" s="143" t="e">
        <f t="shared" si="307"/>
        <v>#DIV/0!</v>
      </c>
      <c r="CX535" s="7">
        <f t="shared" si="308"/>
        <v>36.4</v>
      </c>
      <c r="CY535" s="7">
        <f t="shared" si="309"/>
        <v>41.2</v>
      </c>
      <c r="CZ535" s="7">
        <f t="shared" si="310"/>
        <v>43.6</v>
      </c>
      <c r="DA535" s="7">
        <f t="shared" si="311"/>
        <v>46</v>
      </c>
      <c r="DB535" s="7">
        <f t="shared" si="312"/>
        <v>50</v>
      </c>
      <c r="DC535" s="7">
        <f t="shared" si="313"/>
        <v>50</v>
      </c>
      <c r="DD535" s="7">
        <f t="shared" si="314"/>
        <v>50</v>
      </c>
      <c r="DE535" s="7">
        <f t="shared" si="315"/>
        <v>56.25</v>
      </c>
      <c r="DF535" s="7">
        <f t="shared" si="316"/>
        <v>63.75</v>
      </c>
      <c r="DH535" s="7" t="e">
        <f t="shared" si="317"/>
        <v>#NUM!</v>
      </c>
      <c r="DI535" s="7" t="e">
        <f t="shared" si="318"/>
        <v>#NUM!</v>
      </c>
      <c r="DJ535" s="7" t="e">
        <f t="shared" si="319"/>
        <v>#NUM!</v>
      </c>
      <c r="DK535" s="7" t="e">
        <f t="shared" si="320"/>
        <v>#NUM!</v>
      </c>
      <c r="DL535" s="7" t="e">
        <f t="shared" si="321"/>
        <v>#NUM!</v>
      </c>
      <c r="DM535" s="7" t="e">
        <f t="shared" si="322"/>
        <v>#NUM!</v>
      </c>
      <c r="DN535" s="7" t="e">
        <f t="shared" si="323"/>
        <v>#NUM!</v>
      </c>
      <c r="DO535" s="7" t="e">
        <f t="shared" si="324"/>
        <v>#NUM!</v>
      </c>
      <c r="DP535" s="7" t="e">
        <f t="shared" si="325"/>
        <v>#NUM!</v>
      </c>
    </row>
    <row r="536" spans="1:130" ht="25.5" customHeight="1" x14ac:dyDescent="0.25">
      <c r="A536" s="92" t="str">
        <f t="shared" si="326"/>
        <v>CK-NWVI [33]</v>
      </c>
      <c r="B536" s="92" t="str">
        <f t="shared" si="327"/>
        <v>Northwest Vancouver Island</v>
      </c>
      <c r="C536" s="93" t="str">
        <f t="shared" si="299"/>
        <v>BENSON RIVER_Chinook</v>
      </c>
      <c r="D536" s="128" t="s">
        <v>598</v>
      </c>
      <c r="E536" s="128" t="s">
        <v>598</v>
      </c>
      <c r="F536" s="64">
        <v>27</v>
      </c>
      <c r="G536" s="72" t="s">
        <v>16</v>
      </c>
      <c r="H536" s="65" t="s">
        <v>97</v>
      </c>
      <c r="I536" s="119"/>
      <c r="J536" s="119"/>
      <c r="K536" s="64">
        <v>3</v>
      </c>
      <c r="L536" s="52">
        <v>7</v>
      </c>
      <c r="M536" s="52">
        <v>3</v>
      </c>
      <c r="N536" s="52">
        <f t="shared" si="328"/>
        <v>5.6568542494923797</v>
      </c>
      <c r="O536" s="52">
        <f t="shared" si="329"/>
        <v>8</v>
      </c>
      <c r="P536" s="52">
        <f t="shared" si="330"/>
        <v>5.6568542494923797</v>
      </c>
      <c r="Q536" s="66"/>
      <c r="R536" s="37"/>
      <c r="S536" s="74" t="s">
        <v>365</v>
      </c>
      <c r="T536" s="81" t="e">
        <f t="shared" si="300"/>
        <v>#DIV/0!</v>
      </c>
      <c r="U536" s="81">
        <f t="shared" si="301"/>
        <v>2</v>
      </c>
      <c r="V536" s="229"/>
      <c r="W536" s="124"/>
      <c r="X536" s="52"/>
      <c r="Y536" s="52"/>
      <c r="Z536" s="52" t="s">
        <v>102</v>
      </c>
      <c r="AA536" s="52" t="s">
        <v>102</v>
      </c>
      <c r="AB536" s="52" t="s">
        <v>102</v>
      </c>
      <c r="AC536" s="52" t="s">
        <v>102</v>
      </c>
      <c r="AD536" s="52" t="s">
        <v>102</v>
      </c>
      <c r="AE536" s="52" t="s">
        <v>102</v>
      </c>
      <c r="AF536" s="52" t="s">
        <v>102</v>
      </c>
      <c r="AG536" s="144">
        <v>2</v>
      </c>
      <c r="AH536" s="52" t="s">
        <v>102</v>
      </c>
      <c r="AI536" s="52" t="s">
        <v>102</v>
      </c>
      <c r="AJ536" s="52" t="s">
        <v>102</v>
      </c>
      <c r="AK536" s="52" t="s">
        <v>102</v>
      </c>
      <c r="AL536" s="52" t="s">
        <v>102</v>
      </c>
      <c r="AM536" s="52" t="s">
        <v>102</v>
      </c>
      <c r="AN536" s="52" t="s">
        <v>102</v>
      </c>
      <c r="AO536" s="50">
        <v>4</v>
      </c>
      <c r="AP536" s="50" t="s">
        <v>262</v>
      </c>
      <c r="AQ536" s="50" t="s">
        <v>262</v>
      </c>
      <c r="AR536" s="58"/>
      <c r="AS536" s="59" t="s">
        <v>262</v>
      </c>
      <c r="AT536" s="59">
        <v>8</v>
      </c>
      <c r="AU536" s="59" t="s">
        <v>262</v>
      </c>
      <c r="AV536" s="59" t="s">
        <v>263</v>
      </c>
      <c r="AW536" s="58"/>
      <c r="AX536" s="63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212"/>
      <c r="CO536" s="212"/>
      <c r="CP536" s="212"/>
      <c r="CQ536" s="8">
        <f t="shared" si="302"/>
        <v>2</v>
      </c>
      <c r="CR536" s="8">
        <f t="shared" si="303"/>
        <v>8</v>
      </c>
      <c r="CS536" s="8">
        <f t="shared" si="304"/>
        <v>4.666666666666667</v>
      </c>
      <c r="CT536">
        <f t="shared" si="305"/>
        <v>4</v>
      </c>
      <c r="CU536" s="143" t="e">
        <f t="shared" si="306"/>
        <v>#DIV/0!</v>
      </c>
      <c r="CV536" s="143">
        <f t="shared" si="307"/>
        <v>2</v>
      </c>
      <c r="CX536" s="7">
        <f t="shared" si="308"/>
        <v>2.2000000000000002</v>
      </c>
      <c r="CY536" s="7">
        <f t="shared" si="309"/>
        <v>2.6</v>
      </c>
      <c r="CZ536" s="7">
        <f t="shared" si="310"/>
        <v>2.8</v>
      </c>
      <c r="DA536" s="7">
        <f t="shared" si="311"/>
        <v>3</v>
      </c>
      <c r="DB536" s="7">
        <f t="shared" si="312"/>
        <v>4</v>
      </c>
      <c r="DC536" s="7">
        <f t="shared" si="313"/>
        <v>4.8000000000000007</v>
      </c>
      <c r="DD536" s="7">
        <f t="shared" si="314"/>
        <v>5.1999999999999993</v>
      </c>
      <c r="DE536" s="7">
        <f t="shared" si="315"/>
        <v>6</v>
      </c>
      <c r="DF536" s="7">
        <f t="shared" si="316"/>
        <v>6.8000000000000007</v>
      </c>
      <c r="DH536" s="7">
        <f t="shared" si="317"/>
        <v>2.2000000000000002</v>
      </c>
      <c r="DI536" s="7">
        <f t="shared" si="318"/>
        <v>2.6</v>
      </c>
      <c r="DJ536" s="7">
        <f t="shared" si="319"/>
        <v>2.8</v>
      </c>
      <c r="DK536" s="7">
        <f t="shared" si="320"/>
        <v>3</v>
      </c>
      <c r="DL536" s="7">
        <f t="shared" si="321"/>
        <v>4</v>
      </c>
      <c r="DM536" s="7">
        <f t="shared" si="322"/>
        <v>4.8000000000000007</v>
      </c>
      <c r="DN536" s="7">
        <f t="shared" si="323"/>
        <v>5.1999999999999993</v>
      </c>
      <c r="DO536" s="7">
        <f t="shared" si="324"/>
        <v>6</v>
      </c>
      <c r="DP536" s="7">
        <f t="shared" si="325"/>
        <v>6.8000000000000007</v>
      </c>
    </row>
    <row r="537" spans="1:130" ht="25.5" hidden="1" customHeight="1" x14ac:dyDescent="0.25">
      <c r="A537" s="92" t="str">
        <f t="shared" si="326"/>
        <v>CO-Nahwitti [15]</v>
      </c>
      <c r="B537" s="92" t="str">
        <f t="shared" si="327"/>
        <v>Nahwitti Lowland</v>
      </c>
      <c r="C537" s="93" t="str">
        <f t="shared" si="299"/>
        <v>BENSON RIVER_Coho</v>
      </c>
      <c r="D537" s="128" t="s">
        <v>598</v>
      </c>
      <c r="E537" s="128" t="s">
        <v>598</v>
      </c>
      <c r="F537" s="64">
        <v>27</v>
      </c>
      <c r="G537" s="72" t="s">
        <v>16</v>
      </c>
      <c r="H537" s="65" t="s">
        <v>93</v>
      </c>
      <c r="I537" s="119"/>
      <c r="J537" s="119"/>
      <c r="K537" s="64">
        <v>3</v>
      </c>
      <c r="L537" s="52">
        <v>7</v>
      </c>
      <c r="M537" s="52">
        <v>7</v>
      </c>
      <c r="N537" s="52">
        <f t="shared" si="328"/>
        <v>101.70332845355685</v>
      </c>
      <c r="O537" s="52">
        <f t="shared" si="329"/>
        <v>888</v>
      </c>
      <c r="P537" s="52">
        <f t="shared" si="330"/>
        <v>101.70332845355685</v>
      </c>
      <c r="Q537" s="66"/>
      <c r="R537" s="37"/>
      <c r="S537" s="74" t="s">
        <v>365</v>
      </c>
      <c r="T537" s="81" t="e">
        <f t="shared" si="300"/>
        <v>#DIV/0!</v>
      </c>
      <c r="U537" s="81">
        <f t="shared" si="301"/>
        <v>27</v>
      </c>
      <c r="V537" s="229"/>
      <c r="W537" s="124"/>
      <c r="X537" s="52"/>
      <c r="Y537" s="52" t="s">
        <v>102</v>
      </c>
      <c r="Z537" s="52" t="s">
        <v>102</v>
      </c>
      <c r="AA537" s="52" t="s">
        <v>102</v>
      </c>
      <c r="AB537" s="52" t="s">
        <v>102</v>
      </c>
      <c r="AC537" s="52" t="s">
        <v>102</v>
      </c>
      <c r="AD537" s="52" t="s">
        <v>102</v>
      </c>
      <c r="AE537" s="52" t="s">
        <v>102</v>
      </c>
      <c r="AF537" s="52" t="s">
        <v>102</v>
      </c>
      <c r="AG537" s="144">
        <v>27</v>
      </c>
      <c r="AH537" s="52" t="s">
        <v>102</v>
      </c>
      <c r="AI537" s="52" t="s">
        <v>102</v>
      </c>
      <c r="AJ537" s="52" t="s">
        <v>102</v>
      </c>
      <c r="AK537" s="52" t="s">
        <v>102</v>
      </c>
      <c r="AL537" s="52" t="s">
        <v>102</v>
      </c>
      <c r="AM537" s="52" t="s">
        <v>102</v>
      </c>
      <c r="AN537" s="52" t="s">
        <v>102</v>
      </c>
      <c r="AO537" s="70">
        <v>180</v>
      </c>
      <c r="AP537" s="71">
        <v>34</v>
      </c>
      <c r="AQ537" s="70">
        <v>45</v>
      </c>
      <c r="AR537" s="58"/>
      <c r="AS537" s="59">
        <v>136</v>
      </c>
      <c r="AT537" s="59">
        <v>888</v>
      </c>
      <c r="AU537" s="59">
        <v>18</v>
      </c>
      <c r="AV537" s="59">
        <v>188</v>
      </c>
      <c r="AW537" s="58"/>
      <c r="AX537" s="63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212"/>
      <c r="CO537" s="212"/>
      <c r="CP537" s="212"/>
      <c r="CQ537" s="8">
        <f t="shared" si="302"/>
        <v>18</v>
      </c>
      <c r="CR537" s="8">
        <f t="shared" si="303"/>
        <v>888</v>
      </c>
      <c r="CS537" s="8">
        <f t="shared" si="304"/>
        <v>189.5</v>
      </c>
      <c r="CT537">
        <f t="shared" si="305"/>
        <v>86.166557218831016</v>
      </c>
      <c r="CU537" s="143" t="e">
        <f t="shared" si="306"/>
        <v>#DIV/0!</v>
      </c>
      <c r="CV537" s="143">
        <f t="shared" si="307"/>
        <v>27</v>
      </c>
      <c r="CX537" s="7">
        <f t="shared" si="308"/>
        <v>21.150000000000002</v>
      </c>
      <c r="CY537" s="7">
        <f t="shared" si="309"/>
        <v>27.349999999999998</v>
      </c>
      <c r="CZ537" s="7">
        <f t="shared" si="310"/>
        <v>29.800000000000004</v>
      </c>
      <c r="DA537" s="7">
        <f t="shared" si="311"/>
        <v>32.25</v>
      </c>
      <c r="DB537" s="7">
        <f t="shared" si="312"/>
        <v>90.5</v>
      </c>
      <c r="DC537" s="7">
        <f t="shared" si="313"/>
        <v>144.80000000000001</v>
      </c>
      <c r="DD537" s="7">
        <f t="shared" si="314"/>
        <v>160.19999999999999</v>
      </c>
      <c r="DE537" s="7">
        <f t="shared" si="315"/>
        <v>182</v>
      </c>
      <c r="DF537" s="7">
        <f t="shared" si="316"/>
        <v>187.6</v>
      </c>
      <c r="DH537" s="7">
        <f t="shared" si="317"/>
        <v>21.150000000000002</v>
      </c>
      <c r="DI537" s="7">
        <f t="shared" si="318"/>
        <v>27.349999999999998</v>
      </c>
      <c r="DJ537" s="7">
        <f t="shared" si="319"/>
        <v>29.800000000000004</v>
      </c>
      <c r="DK537" s="7">
        <f t="shared" si="320"/>
        <v>32.25</v>
      </c>
      <c r="DL537" s="7">
        <f t="shared" si="321"/>
        <v>90.5</v>
      </c>
      <c r="DM537" s="7">
        <f t="shared" si="322"/>
        <v>144.80000000000001</v>
      </c>
      <c r="DN537" s="7">
        <f t="shared" si="323"/>
        <v>160.19999999999999</v>
      </c>
      <c r="DO537" s="7">
        <f t="shared" si="324"/>
        <v>182</v>
      </c>
      <c r="DP537" s="7">
        <f t="shared" si="325"/>
        <v>187.6</v>
      </c>
    </row>
    <row r="538" spans="1:130" ht="25.5" customHeight="1" x14ac:dyDescent="0.25">
      <c r="A538" s="92" t="str">
        <f t="shared" si="326"/>
        <v>CK-NWVI [33]</v>
      </c>
      <c r="B538" s="92" t="str">
        <f t="shared" si="327"/>
        <v>Northwest Vancouver Island</v>
      </c>
      <c r="C538" s="93" t="str">
        <f t="shared" si="299"/>
        <v>COLONIAL/CAYEGHLE CREEKS_Chinook</v>
      </c>
      <c r="D538" s="128" t="s">
        <v>598</v>
      </c>
      <c r="E538" s="128" t="s">
        <v>599</v>
      </c>
      <c r="F538" s="64">
        <v>27</v>
      </c>
      <c r="G538" s="72" t="s">
        <v>275</v>
      </c>
      <c r="H538" s="65" t="s">
        <v>97</v>
      </c>
      <c r="I538" s="119"/>
      <c r="J538" s="119"/>
      <c r="K538" s="64">
        <v>3</v>
      </c>
      <c r="L538" s="52">
        <v>8</v>
      </c>
      <c r="M538" s="52">
        <v>8</v>
      </c>
      <c r="N538" s="52">
        <f t="shared" si="328"/>
        <v>258.23654259533402</v>
      </c>
      <c r="O538" s="52">
        <f t="shared" si="329"/>
        <v>1369</v>
      </c>
      <c r="P538" s="52">
        <f t="shared" si="330"/>
        <v>258.23654259533402</v>
      </c>
      <c r="Q538" s="66" t="s">
        <v>270</v>
      </c>
      <c r="R538" s="37"/>
      <c r="S538" s="74" t="s">
        <v>366</v>
      </c>
      <c r="T538" s="81">
        <f t="shared" si="300"/>
        <v>334</v>
      </c>
      <c r="U538" s="81">
        <f t="shared" si="301"/>
        <v>360.91666666666669</v>
      </c>
      <c r="V538" s="52">
        <v>121</v>
      </c>
      <c r="W538" s="52">
        <v>319</v>
      </c>
      <c r="X538" s="198">
        <v>188</v>
      </c>
      <c r="Y538" s="52">
        <f>426+282</f>
        <v>708</v>
      </c>
      <c r="Z538" s="52">
        <f>72+198</f>
        <v>270</v>
      </c>
      <c r="AA538" s="52">
        <f>691+102</f>
        <v>793</v>
      </c>
      <c r="AB538" s="52">
        <v>398</v>
      </c>
      <c r="AC538" s="52">
        <v>586</v>
      </c>
      <c r="AD538" s="52">
        <v>348</v>
      </c>
      <c r="AE538" s="53">
        <v>98</v>
      </c>
      <c r="AF538" s="52">
        <v>93</v>
      </c>
      <c r="AG538" s="144">
        <v>409</v>
      </c>
      <c r="AH538" s="53">
        <v>520</v>
      </c>
      <c r="AI538" s="53">
        <v>630</v>
      </c>
      <c r="AJ538" s="179">
        <v>155</v>
      </c>
      <c r="AK538" s="53">
        <v>168</v>
      </c>
      <c r="AL538" s="155">
        <v>321</v>
      </c>
      <c r="AM538" s="58"/>
      <c r="AN538" s="177">
        <v>1369</v>
      </c>
      <c r="AO538" s="52">
        <v>600</v>
      </c>
      <c r="AP538" s="52">
        <v>383</v>
      </c>
      <c r="AQ538" s="52">
        <v>571</v>
      </c>
      <c r="AR538" s="52">
        <v>530</v>
      </c>
      <c r="AS538" s="177">
        <v>883</v>
      </c>
      <c r="AT538" s="52">
        <v>171</v>
      </c>
      <c r="AU538" s="177">
        <v>36</v>
      </c>
      <c r="AV538" s="177">
        <v>70</v>
      </c>
      <c r="AW538" s="177">
        <v>75</v>
      </c>
      <c r="AX538" s="184"/>
      <c r="AY538" s="183"/>
      <c r="AZ538" s="183"/>
      <c r="BA538" s="183"/>
      <c r="BB538" s="183"/>
      <c r="BC538" s="183"/>
      <c r="BD538" s="183"/>
      <c r="BE538" s="183"/>
      <c r="BF538" s="183"/>
      <c r="BG538" s="183"/>
      <c r="BH538" s="183"/>
      <c r="BI538" s="183"/>
      <c r="BJ538" s="183"/>
      <c r="BK538" s="183"/>
      <c r="BL538" s="179"/>
      <c r="BM538" s="183"/>
      <c r="BN538" s="183"/>
      <c r="BO538" s="183"/>
      <c r="BP538" s="183"/>
      <c r="BQ538" s="183"/>
      <c r="BR538" s="183"/>
      <c r="BS538" s="183"/>
      <c r="BT538" s="183"/>
      <c r="BU538" s="183"/>
      <c r="BV538" s="183"/>
      <c r="BW538" s="183"/>
      <c r="BX538" s="183"/>
      <c r="BY538" s="183"/>
      <c r="BZ538" s="183"/>
      <c r="CA538" s="183"/>
      <c r="CB538" s="183"/>
      <c r="CC538" s="183"/>
      <c r="CD538" s="183"/>
      <c r="CE538" s="183"/>
      <c r="CF538" s="183"/>
      <c r="CG538" s="183"/>
      <c r="CH538" s="183"/>
      <c r="CI538" s="183"/>
      <c r="CJ538" s="183"/>
      <c r="CK538" s="183"/>
      <c r="CL538" s="183"/>
      <c r="CM538" s="183"/>
      <c r="CN538" s="206"/>
      <c r="CO538" s="206"/>
      <c r="CP538" s="206"/>
      <c r="CQ538" s="8">
        <f t="shared" si="302"/>
        <v>36</v>
      </c>
      <c r="CR538" s="8">
        <f t="shared" si="303"/>
        <v>1369</v>
      </c>
      <c r="CS538" s="8">
        <f t="shared" si="304"/>
        <v>400.48148148148147</v>
      </c>
      <c r="CT538">
        <f t="shared" si="305"/>
        <v>287.75874549736329</v>
      </c>
      <c r="CU538" s="143">
        <f t="shared" si="306"/>
        <v>321.2</v>
      </c>
      <c r="CV538" s="143">
        <f t="shared" si="307"/>
        <v>360.91666666666669</v>
      </c>
      <c r="CX538" s="7">
        <f t="shared" si="308"/>
        <v>71.5</v>
      </c>
      <c r="CY538" s="7">
        <f t="shared" si="309"/>
        <v>97.5</v>
      </c>
      <c r="CZ538" s="7">
        <f t="shared" si="310"/>
        <v>127.80000000000001</v>
      </c>
      <c r="DA538" s="7">
        <f t="shared" si="311"/>
        <v>161.5</v>
      </c>
      <c r="DB538" s="7">
        <f t="shared" si="312"/>
        <v>348</v>
      </c>
      <c r="DC538" s="7">
        <f t="shared" si="313"/>
        <v>404.6</v>
      </c>
      <c r="DD538" s="7">
        <f t="shared" si="314"/>
        <v>508.9000000000002</v>
      </c>
      <c r="DE538" s="7">
        <f t="shared" si="315"/>
        <v>578.5</v>
      </c>
      <c r="DF538" s="7">
        <f t="shared" si="316"/>
        <v>637.79999999999984</v>
      </c>
      <c r="DH538" s="7">
        <f t="shared" si="317"/>
        <v>71.5</v>
      </c>
      <c r="DI538" s="7">
        <f t="shared" si="318"/>
        <v>97.5</v>
      </c>
      <c r="DJ538" s="7">
        <f t="shared" si="319"/>
        <v>127.80000000000001</v>
      </c>
      <c r="DK538" s="7">
        <f t="shared" si="320"/>
        <v>161.5</v>
      </c>
      <c r="DL538" s="7">
        <f t="shared" si="321"/>
        <v>348</v>
      </c>
      <c r="DM538" s="7">
        <f t="shared" si="322"/>
        <v>404.6</v>
      </c>
      <c r="DN538" s="7">
        <f t="shared" si="323"/>
        <v>508.9000000000002</v>
      </c>
      <c r="DO538" s="7">
        <f t="shared" si="324"/>
        <v>578.5</v>
      </c>
      <c r="DP538" s="7">
        <f t="shared" si="325"/>
        <v>637.79999999999984</v>
      </c>
    </row>
    <row r="539" spans="1:130" ht="25.5" hidden="1" customHeight="1" x14ac:dyDescent="0.25">
      <c r="A539" s="92" t="str">
        <f t="shared" si="326"/>
        <v>CM-NWVI [11]</v>
      </c>
      <c r="B539" s="92" t="str">
        <f t="shared" si="327"/>
        <v>Northwest Vancouver Island</v>
      </c>
      <c r="C539" s="93" t="str">
        <f t="shared" si="299"/>
        <v>COLONIAL/CAYEGHLE CREEKS_Chum</v>
      </c>
      <c r="D539" s="128" t="s">
        <v>598</v>
      </c>
      <c r="E539" s="128" t="s">
        <v>598</v>
      </c>
      <c r="F539" s="64">
        <v>27</v>
      </c>
      <c r="G539" s="72" t="s">
        <v>275</v>
      </c>
      <c r="H539" s="65" t="s">
        <v>96</v>
      </c>
      <c r="I539" s="119"/>
      <c r="J539" s="119"/>
      <c r="K539" s="64">
        <v>3</v>
      </c>
      <c r="L539" s="52">
        <v>10</v>
      </c>
      <c r="M539" s="52">
        <v>10</v>
      </c>
      <c r="N539" s="52">
        <f t="shared" si="328"/>
        <v>5837.6625797493371</v>
      </c>
      <c r="O539" s="52">
        <f t="shared" si="329"/>
        <v>18385</v>
      </c>
      <c r="P539" s="52">
        <f t="shared" si="330"/>
        <v>5837.6625797493371</v>
      </c>
      <c r="Q539" s="66" t="s">
        <v>270</v>
      </c>
      <c r="R539" s="37"/>
      <c r="S539" s="74" t="s">
        <v>366</v>
      </c>
      <c r="T539" s="81">
        <f t="shared" si="300"/>
        <v>3542.25</v>
      </c>
      <c r="U539" s="81">
        <f t="shared" si="301"/>
        <v>8212.5833333333339</v>
      </c>
      <c r="V539" s="52">
        <v>1909</v>
      </c>
      <c r="W539" s="218">
        <v>3089</v>
      </c>
      <c r="X539" s="198">
        <v>6282</v>
      </c>
      <c r="Y539" s="52">
        <f>2396+493</f>
        <v>2889</v>
      </c>
      <c r="Z539" s="52">
        <f>1974+2765</f>
        <v>4739</v>
      </c>
      <c r="AA539" s="52">
        <f>8255+5271</f>
        <v>13526</v>
      </c>
      <c r="AB539" s="52">
        <v>3120</v>
      </c>
      <c r="AC539" s="52">
        <v>8208</v>
      </c>
      <c r="AD539" s="52">
        <v>18920</v>
      </c>
      <c r="AE539" s="53">
        <v>13948</v>
      </c>
      <c r="AF539" s="52">
        <v>5667</v>
      </c>
      <c r="AG539" s="144">
        <v>16254</v>
      </c>
      <c r="AH539" s="53">
        <v>6125</v>
      </c>
      <c r="AI539" s="53">
        <v>12460</v>
      </c>
      <c r="AJ539" s="53">
        <v>15755</v>
      </c>
      <c r="AK539" s="53">
        <v>4044</v>
      </c>
      <c r="AL539" s="155">
        <v>2601</v>
      </c>
      <c r="AM539" s="58"/>
      <c r="AN539" s="52">
        <v>13572</v>
      </c>
      <c r="AO539" s="52">
        <v>3528</v>
      </c>
      <c r="AP539" s="52">
        <v>5902</v>
      </c>
      <c r="AQ539" s="52">
        <v>823</v>
      </c>
      <c r="AR539" s="52">
        <v>4141</v>
      </c>
      <c r="AS539" s="52">
        <v>11678</v>
      </c>
      <c r="AT539" s="52">
        <v>18385</v>
      </c>
      <c r="AU539" s="52">
        <v>6353</v>
      </c>
      <c r="AV539" s="52">
        <v>10500</v>
      </c>
      <c r="AW539" s="52">
        <v>4000</v>
      </c>
      <c r="AX539" s="63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53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206"/>
      <c r="CO539" s="206"/>
      <c r="CP539" s="206"/>
      <c r="CQ539" s="8">
        <f t="shared" si="302"/>
        <v>823</v>
      </c>
      <c r="CR539" s="8">
        <f t="shared" si="303"/>
        <v>18920</v>
      </c>
      <c r="CS539" s="8">
        <f t="shared" si="304"/>
        <v>8089.5555555555557</v>
      </c>
      <c r="CT539">
        <f t="shared" si="305"/>
        <v>6242.2412735365415</v>
      </c>
      <c r="CU539" s="143">
        <f t="shared" si="306"/>
        <v>3781.6</v>
      </c>
      <c r="CV539" s="143">
        <f t="shared" si="307"/>
        <v>8212.5833333333339</v>
      </c>
      <c r="CX539" s="7">
        <f t="shared" si="308"/>
        <v>2116.6</v>
      </c>
      <c r="CY539" s="7">
        <f t="shared" si="309"/>
        <v>3069</v>
      </c>
      <c r="CZ539" s="7">
        <f t="shared" si="310"/>
        <v>3201.6</v>
      </c>
      <c r="DA539" s="7">
        <f t="shared" si="311"/>
        <v>3764</v>
      </c>
      <c r="DB539" s="7">
        <f t="shared" si="312"/>
        <v>6125</v>
      </c>
      <c r="DC539" s="7">
        <f t="shared" si="313"/>
        <v>7466.0000000000027</v>
      </c>
      <c r="DD539" s="7">
        <f t="shared" si="314"/>
        <v>10270.800000000005</v>
      </c>
      <c r="DE539" s="7">
        <f t="shared" si="315"/>
        <v>12993</v>
      </c>
      <c r="DF539" s="7">
        <f t="shared" si="316"/>
        <v>14128.699999999995</v>
      </c>
      <c r="DH539" s="7">
        <f t="shared" si="317"/>
        <v>2116.6</v>
      </c>
      <c r="DI539" s="7">
        <f t="shared" si="318"/>
        <v>3069</v>
      </c>
      <c r="DJ539" s="7">
        <f t="shared" si="319"/>
        <v>3201.6</v>
      </c>
      <c r="DK539" s="7">
        <f t="shared" si="320"/>
        <v>3764</v>
      </c>
      <c r="DL539" s="7">
        <f t="shared" si="321"/>
        <v>6125</v>
      </c>
      <c r="DM539" s="7">
        <f t="shared" si="322"/>
        <v>7466.0000000000027</v>
      </c>
      <c r="DN539" s="7">
        <f t="shared" si="323"/>
        <v>10270.800000000005</v>
      </c>
      <c r="DO539" s="7">
        <f t="shared" si="324"/>
        <v>12993</v>
      </c>
      <c r="DP539" s="7">
        <f t="shared" si="325"/>
        <v>14128.699999999995</v>
      </c>
    </row>
    <row r="540" spans="1:130" ht="25.5" hidden="1" customHeight="1" x14ac:dyDescent="0.25">
      <c r="A540" s="92" t="str">
        <f t="shared" si="326"/>
        <v>CO-Nahwitti [15]</v>
      </c>
      <c r="B540" s="92" t="str">
        <f t="shared" si="327"/>
        <v>Nahwitti Lowland</v>
      </c>
      <c r="C540" s="93" t="str">
        <f t="shared" si="299"/>
        <v>COLONIAL/CAYEGHLE CREEKS_Coho</v>
      </c>
      <c r="D540" s="128" t="s">
        <v>598</v>
      </c>
      <c r="E540" s="128" t="s">
        <v>598</v>
      </c>
      <c r="F540" s="64">
        <v>27</v>
      </c>
      <c r="G540" s="72" t="s">
        <v>275</v>
      </c>
      <c r="H540" s="65" t="s">
        <v>93</v>
      </c>
      <c r="I540" s="119"/>
      <c r="J540" s="119"/>
      <c r="K540" s="64">
        <v>3</v>
      </c>
      <c r="L540" s="52">
        <v>10</v>
      </c>
      <c r="M540" s="52">
        <v>10</v>
      </c>
      <c r="N540" s="52">
        <f t="shared" si="328"/>
        <v>742.4993489280389</v>
      </c>
      <c r="O540" s="52">
        <f t="shared" si="329"/>
        <v>3541</v>
      </c>
      <c r="P540" s="52">
        <f t="shared" si="330"/>
        <v>742.4993489280389</v>
      </c>
      <c r="Q540" s="66" t="s">
        <v>270</v>
      </c>
      <c r="R540" s="37"/>
      <c r="S540" s="74" t="s">
        <v>366</v>
      </c>
      <c r="T540" s="81">
        <f t="shared" si="300"/>
        <v>1467.6666666666667</v>
      </c>
      <c r="U540" s="81">
        <f t="shared" si="301"/>
        <v>1003.1818181818181</v>
      </c>
      <c r="V540" s="52">
        <v>1719</v>
      </c>
      <c r="W540" s="124"/>
      <c r="X540" s="198">
        <v>1293</v>
      </c>
      <c r="Y540" s="52">
        <f>601+790</f>
        <v>1391</v>
      </c>
      <c r="Z540" s="52">
        <f>363+540</f>
        <v>903</v>
      </c>
      <c r="AA540" s="52">
        <f>442+327</f>
        <v>769</v>
      </c>
      <c r="AB540" s="52">
        <v>947</v>
      </c>
      <c r="AC540" s="52">
        <v>705</v>
      </c>
      <c r="AD540" s="52">
        <v>990</v>
      </c>
      <c r="AE540" s="53">
        <v>844</v>
      </c>
      <c r="AF540" s="52">
        <v>302</v>
      </c>
      <c r="AG540" s="144">
        <v>1172</v>
      </c>
      <c r="AH540" s="53">
        <v>885</v>
      </c>
      <c r="AI540" s="53">
        <v>375</v>
      </c>
      <c r="AJ540" s="53">
        <v>476</v>
      </c>
      <c r="AK540" s="53">
        <v>203</v>
      </c>
      <c r="AL540" s="155">
        <v>458</v>
      </c>
      <c r="AM540" s="58"/>
      <c r="AN540" s="52">
        <v>2849</v>
      </c>
      <c r="AO540" s="52">
        <v>798</v>
      </c>
      <c r="AP540" s="52">
        <v>672</v>
      </c>
      <c r="AQ540" s="52">
        <v>501</v>
      </c>
      <c r="AR540" s="52">
        <v>971</v>
      </c>
      <c r="AS540" s="52">
        <v>1597</v>
      </c>
      <c r="AT540" s="52">
        <v>3541</v>
      </c>
      <c r="AU540" s="52">
        <v>467</v>
      </c>
      <c r="AV540" s="52">
        <v>600</v>
      </c>
      <c r="AW540" s="52">
        <v>400</v>
      </c>
      <c r="AX540" s="63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53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209"/>
      <c r="CO540" s="209"/>
      <c r="CP540" s="209"/>
      <c r="CQ540" s="8">
        <f t="shared" si="302"/>
        <v>203</v>
      </c>
      <c r="CR540" s="8">
        <f t="shared" si="303"/>
        <v>3541</v>
      </c>
      <c r="CS540" s="8">
        <f t="shared" si="304"/>
        <v>993.38461538461536</v>
      </c>
      <c r="CT540">
        <f t="shared" si="305"/>
        <v>799.07601374079843</v>
      </c>
      <c r="CU540" s="143">
        <f t="shared" si="306"/>
        <v>1326.5</v>
      </c>
      <c r="CV540" s="143">
        <f t="shared" si="307"/>
        <v>1003.1818181818181</v>
      </c>
      <c r="CX540" s="7">
        <f t="shared" si="308"/>
        <v>320.25</v>
      </c>
      <c r="CY540" s="7">
        <f t="shared" si="309"/>
        <v>443.5</v>
      </c>
      <c r="CZ540" s="7">
        <f t="shared" si="310"/>
        <v>467</v>
      </c>
      <c r="DA540" s="7">
        <f t="shared" si="311"/>
        <v>482.25</v>
      </c>
      <c r="DB540" s="7">
        <f t="shared" si="312"/>
        <v>821</v>
      </c>
      <c r="DC540" s="7">
        <f t="shared" si="313"/>
        <v>903</v>
      </c>
      <c r="DD540" s="7">
        <f t="shared" si="314"/>
        <v>953</v>
      </c>
      <c r="DE540" s="7">
        <f t="shared" si="315"/>
        <v>1126.5</v>
      </c>
      <c r="DF540" s="7">
        <f t="shared" si="316"/>
        <v>1442.5</v>
      </c>
      <c r="DH540" s="7">
        <f t="shared" si="317"/>
        <v>320.25</v>
      </c>
      <c r="DI540" s="7">
        <f t="shared" si="318"/>
        <v>443.5</v>
      </c>
      <c r="DJ540" s="7">
        <f t="shared" si="319"/>
        <v>467</v>
      </c>
      <c r="DK540" s="7">
        <f t="shared" si="320"/>
        <v>482.25</v>
      </c>
      <c r="DL540" s="7">
        <f t="shared" si="321"/>
        <v>821</v>
      </c>
      <c r="DM540" s="7">
        <f t="shared" si="322"/>
        <v>903</v>
      </c>
      <c r="DN540" s="7">
        <f t="shared" si="323"/>
        <v>953</v>
      </c>
      <c r="DO540" s="7">
        <f t="shared" si="324"/>
        <v>1126.5</v>
      </c>
      <c r="DP540" s="7">
        <f t="shared" si="325"/>
        <v>1442.5</v>
      </c>
    </row>
    <row r="541" spans="1:130" ht="25.5" hidden="1" customHeight="1" x14ac:dyDescent="0.25">
      <c r="A541" s="92" t="str">
        <f t="shared" si="326"/>
        <v>Pkodd-Nahwitti [5]</v>
      </c>
      <c r="B541" s="92" t="str">
        <f t="shared" si="327"/>
        <v>Nahwitti Lowlands</v>
      </c>
      <c r="C541" s="93" t="str">
        <f t="shared" si="299"/>
        <v>COLONIAL/CAYEGHLE CREEKS_Pink</v>
      </c>
      <c r="D541" s="128" t="s">
        <v>598</v>
      </c>
      <c r="E541" s="128" t="s">
        <v>598</v>
      </c>
      <c r="F541" s="64">
        <v>27</v>
      </c>
      <c r="G541" s="72" t="s">
        <v>275</v>
      </c>
      <c r="H541" s="65" t="s">
        <v>95</v>
      </c>
      <c r="I541" s="119"/>
      <c r="J541" s="119"/>
      <c r="K541" s="64">
        <v>3</v>
      </c>
      <c r="L541" s="52">
        <v>10</v>
      </c>
      <c r="M541" s="52">
        <v>4</v>
      </c>
      <c r="N541" s="52">
        <f t="shared" si="328"/>
        <v>4.6439843790034585</v>
      </c>
      <c r="O541" s="52">
        <f t="shared" si="329"/>
        <v>30</v>
      </c>
      <c r="P541" s="52">
        <f t="shared" si="330"/>
        <v>4.6439843790034585</v>
      </c>
      <c r="Q541" s="66" t="s">
        <v>270</v>
      </c>
      <c r="R541" s="37"/>
      <c r="S541" s="74" t="s">
        <v>366</v>
      </c>
      <c r="T541" s="81">
        <f t="shared" si="300"/>
        <v>2.5</v>
      </c>
      <c r="U541" s="81">
        <f t="shared" si="301"/>
        <v>8.8571428571428577</v>
      </c>
      <c r="V541" s="52">
        <v>2</v>
      </c>
      <c r="W541" s="124"/>
      <c r="X541" s="198" t="s">
        <v>262</v>
      </c>
      <c r="Y541" s="52">
        <f>2+1</f>
        <v>3</v>
      </c>
      <c r="Z541" s="52">
        <f>20+0</f>
        <v>20</v>
      </c>
      <c r="AA541" s="52" t="s">
        <v>263</v>
      </c>
      <c r="AB541" s="52">
        <v>1</v>
      </c>
      <c r="AC541" s="52">
        <v>20</v>
      </c>
      <c r="AD541" s="52" t="s">
        <v>263</v>
      </c>
      <c r="AE541" s="53">
        <v>14</v>
      </c>
      <c r="AF541" s="53" t="s">
        <v>262</v>
      </c>
      <c r="AG541" s="144">
        <f>1+1</f>
        <v>2</v>
      </c>
      <c r="AH541" s="52" t="s">
        <v>262</v>
      </c>
      <c r="AI541" s="52" t="s">
        <v>263</v>
      </c>
      <c r="AJ541" s="53" t="s">
        <v>262</v>
      </c>
      <c r="AK541" s="53">
        <v>1</v>
      </c>
      <c r="AL541" s="155" t="s">
        <v>262</v>
      </c>
      <c r="AM541" s="58"/>
      <c r="AN541" s="52" t="s">
        <v>262</v>
      </c>
      <c r="AO541" s="52" t="s">
        <v>262</v>
      </c>
      <c r="AP541" s="52">
        <v>30</v>
      </c>
      <c r="AQ541" s="52">
        <v>6</v>
      </c>
      <c r="AR541" s="52" t="s">
        <v>262</v>
      </c>
      <c r="AS541" s="52" t="s">
        <v>262</v>
      </c>
      <c r="AT541" s="52">
        <v>6</v>
      </c>
      <c r="AU541" s="52">
        <v>2</v>
      </c>
      <c r="AV541" s="52" t="s">
        <v>262</v>
      </c>
      <c r="AW541" s="52" t="s">
        <v>262</v>
      </c>
      <c r="AX541" s="63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53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209"/>
      <c r="CO541" s="209"/>
      <c r="CP541" s="209"/>
      <c r="CQ541" s="8">
        <f t="shared" si="302"/>
        <v>1</v>
      </c>
      <c r="CR541" s="8">
        <f t="shared" si="303"/>
        <v>30</v>
      </c>
      <c r="CS541" s="8">
        <f t="shared" si="304"/>
        <v>8.9166666666666661</v>
      </c>
      <c r="CT541">
        <f t="shared" si="305"/>
        <v>4.787975491424179</v>
      </c>
      <c r="CU541" s="143">
        <f t="shared" si="306"/>
        <v>8.3333333333333339</v>
      </c>
      <c r="CV541" s="143">
        <f t="shared" si="307"/>
        <v>8.8571428571428577</v>
      </c>
      <c r="CX541" s="7">
        <f t="shared" si="308"/>
        <v>1</v>
      </c>
      <c r="CY541" s="7">
        <f t="shared" si="309"/>
        <v>1.65</v>
      </c>
      <c r="CZ541" s="7">
        <f t="shared" si="310"/>
        <v>2</v>
      </c>
      <c r="DA541" s="7">
        <f t="shared" si="311"/>
        <v>2</v>
      </c>
      <c r="DB541" s="7">
        <f t="shared" si="312"/>
        <v>4.5</v>
      </c>
      <c r="DC541" s="7">
        <f t="shared" si="313"/>
        <v>6</v>
      </c>
      <c r="DD541" s="7">
        <f t="shared" si="314"/>
        <v>7.2000000000000028</v>
      </c>
      <c r="DE541" s="7">
        <f t="shared" si="315"/>
        <v>15.5</v>
      </c>
      <c r="DF541" s="7">
        <f t="shared" si="316"/>
        <v>20</v>
      </c>
      <c r="DH541" s="7">
        <f t="shared" si="317"/>
        <v>1</v>
      </c>
      <c r="DI541" s="7">
        <f t="shared" si="318"/>
        <v>1.65</v>
      </c>
      <c r="DJ541" s="7">
        <f t="shared" si="319"/>
        <v>2</v>
      </c>
      <c r="DK541" s="7">
        <f t="shared" si="320"/>
        <v>2</v>
      </c>
      <c r="DL541" s="7">
        <f t="shared" si="321"/>
        <v>4.5</v>
      </c>
      <c r="DM541" s="7">
        <f t="shared" si="322"/>
        <v>6</v>
      </c>
      <c r="DN541" s="7">
        <f t="shared" si="323"/>
        <v>7.2000000000000028</v>
      </c>
      <c r="DO541" s="7">
        <f t="shared" si="324"/>
        <v>15.5</v>
      </c>
      <c r="DP541" s="7">
        <f t="shared" si="325"/>
        <v>20</v>
      </c>
    </row>
    <row r="542" spans="1:130" ht="25.5" hidden="1" customHeight="1" x14ac:dyDescent="0.25">
      <c r="A542" s="92" t="str">
        <f t="shared" si="326"/>
        <v>SK-NWVI [11]</v>
      </c>
      <c r="B542" s="92" t="str">
        <f t="shared" si="327"/>
        <v>Northwest Vancouver Island</v>
      </c>
      <c r="C542" s="93" t="str">
        <f t="shared" si="299"/>
        <v>COLONIAL/CAYEGHLE CREEKS_Sockeye</v>
      </c>
      <c r="D542" s="128" t="s">
        <v>598</v>
      </c>
      <c r="E542" s="128" t="s">
        <v>598</v>
      </c>
      <c r="F542" s="64">
        <v>27</v>
      </c>
      <c r="G542" s="72" t="s">
        <v>275</v>
      </c>
      <c r="H542" s="65" t="s">
        <v>91</v>
      </c>
      <c r="I542" s="119"/>
      <c r="J542" s="119"/>
      <c r="K542" s="64">
        <v>3</v>
      </c>
      <c r="L542" s="52">
        <v>10</v>
      </c>
      <c r="M542" s="52">
        <v>10</v>
      </c>
      <c r="N542" s="52">
        <f t="shared" si="328"/>
        <v>9.3441518523275384</v>
      </c>
      <c r="O542" s="52">
        <f t="shared" si="329"/>
        <v>62</v>
      </c>
      <c r="P542" s="52">
        <f t="shared" si="330"/>
        <v>9.3441518523275384</v>
      </c>
      <c r="Q542" s="66" t="s">
        <v>270</v>
      </c>
      <c r="R542" s="37"/>
      <c r="S542" s="74" t="s">
        <v>366</v>
      </c>
      <c r="T542" s="81">
        <f t="shared" si="300"/>
        <v>8</v>
      </c>
      <c r="U542" s="81">
        <f t="shared" si="301"/>
        <v>5.5</v>
      </c>
      <c r="V542" s="52">
        <v>8</v>
      </c>
      <c r="W542" s="214" t="s">
        <v>262</v>
      </c>
      <c r="X542" s="198" t="s">
        <v>262</v>
      </c>
      <c r="Y542" s="52" t="s">
        <v>262</v>
      </c>
      <c r="Z542" s="52" t="s">
        <v>262</v>
      </c>
      <c r="AA542" s="52" t="s">
        <v>262</v>
      </c>
      <c r="AB542" s="52">
        <v>3</v>
      </c>
      <c r="AC542" s="52" t="s">
        <v>263</v>
      </c>
      <c r="AD542" s="52" t="s">
        <v>263</v>
      </c>
      <c r="AE542" s="53" t="s">
        <v>262</v>
      </c>
      <c r="AF542" s="53" t="s">
        <v>262</v>
      </c>
      <c r="AG542" s="53" t="s">
        <v>262</v>
      </c>
      <c r="AH542" s="53">
        <v>1</v>
      </c>
      <c r="AI542" s="53">
        <v>1</v>
      </c>
      <c r="AJ542" s="53" t="s">
        <v>262</v>
      </c>
      <c r="AK542" s="53" t="s">
        <v>262</v>
      </c>
      <c r="AL542" s="155" t="s">
        <v>262</v>
      </c>
      <c r="AM542" s="58"/>
      <c r="AN542" s="52" t="s">
        <v>262</v>
      </c>
      <c r="AO542" s="52" t="s">
        <v>262</v>
      </c>
      <c r="AP542" s="52">
        <v>11</v>
      </c>
      <c r="AQ542" s="52">
        <v>15</v>
      </c>
      <c r="AR542" s="52">
        <v>4</v>
      </c>
      <c r="AS542" s="52">
        <v>2</v>
      </c>
      <c r="AT542" s="52">
        <v>38</v>
      </c>
      <c r="AU542" s="52">
        <v>62</v>
      </c>
      <c r="AV542" s="52" t="s">
        <v>262</v>
      </c>
      <c r="AW542" s="52">
        <v>2</v>
      </c>
      <c r="AX542" s="63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53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209"/>
      <c r="CO542" s="209"/>
      <c r="CP542" s="209"/>
      <c r="CQ542" s="8">
        <f t="shared" si="302"/>
        <v>1</v>
      </c>
      <c r="CR542" s="8">
        <f t="shared" si="303"/>
        <v>62</v>
      </c>
      <c r="CS542" s="8">
        <f t="shared" si="304"/>
        <v>13.363636363636363</v>
      </c>
      <c r="CT542">
        <f t="shared" si="305"/>
        <v>5.5346484599126322</v>
      </c>
      <c r="CU542" s="143">
        <f t="shared" si="306"/>
        <v>8</v>
      </c>
      <c r="CV542" s="143">
        <f t="shared" si="307"/>
        <v>5.5</v>
      </c>
      <c r="CX542" s="7">
        <f t="shared" si="308"/>
        <v>1</v>
      </c>
      <c r="CY542" s="7">
        <f t="shared" si="309"/>
        <v>1.5</v>
      </c>
      <c r="CZ542" s="7">
        <f t="shared" si="310"/>
        <v>2</v>
      </c>
      <c r="DA542" s="7">
        <f t="shared" si="311"/>
        <v>2</v>
      </c>
      <c r="DB542" s="7">
        <f t="shared" si="312"/>
        <v>4</v>
      </c>
      <c r="DC542" s="7">
        <f t="shared" si="313"/>
        <v>8</v>
      </c>
      <c r="DD542" s="7">
        <f t="shared" si="314"/>
        <v>9.5</v>
      </c>
      <c r="DE542" s="7">
        <f t="shared" si="315"/>
        <v>13</v>
      </c>
      <c r="DF542" s="7">
        <f t="shared" si="316"/>
        <v>26.5</v>
      </c>
      <c r="DH542" s="7">
        <f t="shared" si="317"/>
        <v>1</v>
      </c>
      <c r="DI542" s="7">
        <f t="shared" si="318"/>
        <v>1.5</v>
      </c>
      <c r="DJ542" s="7">
        <f t="shared" si="319"/>
        <v>2</v>
      </c>
      <c r="DK542" s="7">
        <f t="shared" si="320"/>
        <v>2</v>
      </c>
      <c r="DL542" s="7">
        <f t="shared" si="321"/>
        <v>4</v>
      </c>
      <c r="DM542" s="7">
        <f t="shared" si="322"/>
        <v>8</v>
      </c>
      <c r="DN542" s="7">
        <f t="shared" si="323"/>
        <v>9.5</v>
      </c>
      <c r="DO542" s="7">
        <f t="shared" si="324"/>
        <v>13</v>
      </c>
      <c r="DP542" s="7">
        <f t="shared" si="325"/>
        <v>26.5</v>
      </c>
    </row>
    <row r="543" spans="1:130" ht="25.5" customHeight="1" x14ac:dyDescent="0.25">
      <c r="A543" s="92" t="str">
        <f t="shared" si="326"/>
        <v>CK-NWVI [33]</v>
      </c>
      <c r="B543" s="92" t="str">
        <f t="shared" si="327"/>
        <v>Northwest Vancouver Island</v>
      </c>
      <c r="C543" s="93" t="str">
        <f t="shared" si="299"/>
        <v>MARBLE RIVER_Chinook</v>
      </c>
      <c r="D543" s="128" t="s">
        <v>599</v>
      </c>
      <c r="E543" s="128" t="s">
        <v>599</v>
      </c>
      <c r="F543" s="64">
        <v>27</v>
      </c>
      <c r="G543" s="72" t="s">
        <v>17</v>
      </c>
      <c r="H543" s="65" t="s">
        <v>97</v>
      </c>
      <c r="I543" s="119"/>
      <c r="J543" s="119"/>
      <c r="K543" s="64">
        <v>2</v>
      </c>
      <c r="L543" s="52">
        <v>11</v>
      </c>
      <c r="M543" s="52">
        <v>11</v>
      </c>
      <c r="N543" s="52">
        <f t="shared" si="328"/>
        <v>2510.9637994659656</v>
      </c>
      <c r="O543" s="52">
        <f t="shared" si="329"/>
        <v>7500</v>
      </c>
      <c r="P543" s="52">
        <f t="shared" si="330"/>
        <v>1074.0910421520909</v>
      </c>
      <c r="Q543" s="66" t="s">
        <v>269</v>
      </c>
      <c r="R543" s="37"/>
      <c r="S543" s="74" t="s">
        <v>8</v>
      </c>
      <c r="T543" s="81">
        <f t="shared" si="300"/>
        <v>2669.25</v>
      </c>
      <c r="U543" s="81">
        <f t="shared" si="301"/>
        <v>2844.5833333333335</v>
      </c>
      <c r="V543" s="52">
        <v>2032</v>
      </c>
      <c r="W543" s="52">
        <v>1857</v>
      </c>
      <c r="X543" s="198">
        <v>2165</v>
      </c>
      <c r="Y543" s="216">
        <v>4623</v>
      </c>
      <c r="Z543" s="177">
        <v>723</v>
      </c>
      <c r="AA543" s="216">
        <v>5078</v>
      </c>
      <c r="AB543" s="52">
        <v>1606</v>
      </c>
      <c r="AC543" s="52">
        <v>6516</v>
      </c>
      <c r="AD543" s="52">
        <v>1185</v>
      </c>
      <c r="AE543" s="53">
        <v>2081</v>
      </c>
      <c r="AF543" s="53">
        <v>2364</v>
      </c>
      <c r="AG543" s="53">
        <v>3905</v>
      </c>
      <c r="AH543" s="53">
        <v>3560</v>
      </c>
      <c r="AI543" s="53">
        <v>3440</v>
      </c>
      <c r="AJ543" s="53">
        <v>2298</v>
      </c>
      <c r="AK543" s="179">
        <v>2764</v>
      </c>
      <c r="AL543" s="155">
        <v>3071</v>
      </c>
      <c r="AM543" s="177">
        <v>2337</v>
      </c>
      <c r="AN543" s="177">
        <v>3658</v>
      </c>
      <c r="AO543" s="187">
        <v>1554</v>
      </c>
      <c r="AP543" s="50">
        <v>1958</v>
      </c>
      <c r="AQ543" s="186">
        <v>1450</v>
      </c>
      <c r="AR543" s="183">
        <v>2282</v>
      </c>
      <c r="AS543" s="59">
        <v>3985</v>
      </c>
      <c r="AT543" s="185">
        <v>4821</v>
      </c>
      <c r="AU543" s="185">
        <v>2424</v>
      </c>
      <c r="AV543" s="59">
        <v>3655</v>
      </c>
      <c r="AW543" s="185">
        <v>1386</v>
      </c>
      <c r="AX543" s="184">
        <v>650</v>
      </c>
      <c r="AY543" s="183">
        <v>2000</v>
      </c>
      <c r="AZ543" s="183">
        <v>800</v>
      </c>
      <c r="BA543" s="183">
        <v>710</v>
      </c>
      <c r="BB543" s="183">
        <v>1973</v>
      </c>
      <c r="BC543" s="183">
        <v>4181</v>
      </c>
      <c r="BD543" s="183">
        <v>3275</v>
      </c>
      <c r="BE543" s="183">
        <v>1750</v>
      </c>
      <c r="BF543" s="183">
        <v>1100</v>
      </c>
      <c r="BG543" s="183">
        <v>1250</v>
      </c>
      <c r="BH543" s="183">
        <v>600</v>
      </c>
      <c r="BI543" s="183">
        <v>1000</v>
      </c>
      <c r="BJ543" s="183">
        <v>5000</v>
      </c>
      <c r="BK543" s="183">
        <v>3000</v>
      </c>
      <c r="BL543" s="183">
        <v>5000</v>
      </c>
      <c r="BM543" s="183">
        <v>750</v>
      </c>
      <c r="BN543" s="183">
        <v>1500</v>
      </c>
      <c r="BO543" s="183">
        <v>950</v>
      </c>
      <c r="BP543" s="183">
        <v>400</v>
      </c>
      <c r="BQ543" s="183">
        <v>400</v>
      </c>
      <c r="BR543" s="183">
        <v>400</v>
      </c>
      <c r="BS543" s="183">
        <v>200</v>
      </c>
      <c r="BT543" s="183">
        <v>600</v>
      </c>
      <c r="BU543" s="183">
        <v>600</v>
      </c>
      <c r="BV543" s="183">
        <v>400</v>
      </c>
      <c r="BW543" s="183">
        <v>200</v>
      </c>
      <c r="BX543" s="183">
        <v>200</v>
      </c>
      <c r="BY543" s="183">
        <v>200</v>
      </c>
      <c r="BZ543" s="183">
        <v>200</v>
      </c>
      <c r="CA543" s="183">
        <v>200</v>
      </c>
      <c r="CB543" s="183">
        <v>3000</v>
      </c>
      <c r="CC543" s="183">
        <v>400</v>
      </c>
      <c r="CD543" s="183">
        <v>1500</v>
      </c>
      <c r="CE543" s="183">
        <v>200</v>
      </c>
      <c r="CF543" s="183">
        <v>40</v>
      </c>
      <c r="CG543" s="183">
        <v>250</v>
      </c>
      <c r="CH543" s="183">
        <v>100</v>
      </c>
      <c r="CI543" s="183">
        <v>3500</v>
      </c>
      <c r="CJ543" s="183">
        <v>5000</v>
      </c>
      <c r="CK543" s="183">
        <v>2000</v>
      </c>
      <c r="CL543" s="183">
        <v>7500</v>
      </c>
      <c r="CM543" s="179" t="s">
        <v>102</v>
      </c>
      <c r="CN543" s="209"/>
      <c r="CO543" s="209"/>
      <c r="CP543" s="209"/>
      <c r="CQ543" s="8">
        <f t="shared" si="302"/>
        <v>40</v>
      </c>
      <c r="CR543" s="8">
        <f t="shared" si="303"/>
        <v>7500</v>
      </c>
      <c r="CS543" s="8">
        <f t="shared" si="304"/>
        <v>2054.449275362319</v>
      </c>
      <c r="CT543">
        <f t="shared" si="305"/>
        <v>1276.447438620688</v>
      </c>
      <c r="CU543" s="143">
        <f t="shared" si="306"/>
        <v>2280</v>
      </c>
      <c r="CV543" s="143">
        <f t="shared" si="307"/>
        <v>2844.5833333333335</v>
      </c>
      <c r="CX543" s="7">
        <f t="shared" si="308"/>
        <v>200</v>
      </c>
      <c r="CY543" s="7">
        <f t="shared" si="309"/>
        <v>400</v>
      </c>
      <c r="CZ543" s="7">
        <f t="shared" si="310"/>
        <v>400</v>
      </c>
      <c r="DA543" s="7">
        <f t="shared" si="311"/>
        <v>600</v>
      </c>
      <c r="DB543" s="7">
        <f t="shared" si="312"/>
        <v>1750</v>
      </c>
      <c r="DC543" s="7">
        <f t="shared" si="313"/>
        <v>2071.1999999999998</v>
      </c>
      <c r="DD543" s="7">
        <f t="shared" si="314"/>
        <v>2305.8000000000002</v>
      </c>
      <c r="DE543" s="7">
        <f t="shared" si="315"/>
        <v>3071</v>
      </c>
      <c r="DF543" s="7">
        <f t="shared" si="316"/>
        <v>3855.5999999999995</v>
      </c>
      <c r="DH543" s="7">
        <f t="shared" si="317"/>
        <v>1255.3499999999999</v>
      </c>
      <c r="DI543" s="7">
        <f t="shared" si="318"/>
        <v>1556.6</v>
      </c>
      <c r="DJ543" s="7">
        <f t="shared" si="319"/>
        <v>1706.4</v>
      </c>
      <c r="DK543" s="7">
        <f t="shared" si="320"/>
        <v>1932.75</v>
      </c>
      <c r="DL543" s="7">
        <f t="shared" si="321"/>
        <v>2350.5</v>
      </c>
      <c r="DM543" s="7">
        <f t="shared" si="322"/>
        <v>2825.3999999999996</v>
      </c>
      <c r="DN543" s="7">
        <f t="shared" si="323"/>
        <v>3273.9500000000003</v>
      </c>
      <c r="DO543" s="7">
        <f t="shared" si="324"/>
        <v>3655.75</v>
      </c>
      <c r="DP543" s="7">
        <f t="shared" si="325"/>
        <v>3981</v>
      </c>
      <c r="DR543" s="7">
        <f>_xlfn.PERCENTILE.INC((Y543:AE543,AG543,AJ543,AL543,AO543,AR543:AS543,AU543:AW543),0.05)</f>
        <v>1069.5</v>
      </c>
      <c r="DS543" s="7">
        <f>_xlfn.PERCENTILE.INC((Y543:AE543,AG543,AJ543,AL543,AO543,AR543:AS543,AU543:AW543),0.15)</f>
        <v>1428</v>
      </c>
      <c r="DT543" s="7">
        <f>_xlfn.PERCENTILE.INC((Y543:AE543,AG543,AJ543,AL543,AO543,AR543:AS543,AU543:AW543),0.2)</f>
        <v>1554</v>
      </c>
      <c r="DU543" s="7">
        <f>_xlfn.PERCENTILE.INC((Y543:AE543,AG543,AJ543,AL543,AO543,AR543:AS543,AU543:AW543),0.25)</f>
        <v>1593</v>
      </c>
      <c r="DV543" s="7">
        <f>_xlfn.PERCENTILE.INC((Y543:AE543,AG543,AJ543,AL543,AO543,AR543:AS543,AU543:AW543),0.5)</f>
        <v>2361</v>
      </c>
      <c r="DW543" s="7">
        <f>_xlfn.PERCENTILE.INC((Y543:AE543,AG543,AJ543,AL543,AO543,AR543:AS543,AU543:AW543),0.6)</f>
        <v>3071</v>
      </c>
      <c r="DX543" s="7">
        <f>_xlfn.PERCENTILE.INC((Y543:AE543,AG543,AJ543,AL543,AO543,AR543:AS543,AU543:AW543),0.65)</f>
        <v>3509</v>
      </c>
      <c r="DY543" s="7">
        <f>_xlfn.PERCENTILE.INC((Y543:AE543,AG543,AJ543,AL543,AO543,AR543:AS543,AU543:AW543),0.75)</f>
        <v>3925</v>
      </c>
      <c r="DZ543" s="7">
        <f>_xlfn.PERCENTILE.INC((Y543:AE543,AG543,AJ543,AL543,AO543,AR543:AS543,AU543:AW543),0.85)</f>
        <v>4463.5</v>
      </c>
    </row>
    <row r="544" spans="1:130" ht="25.5" hidden="1" customHeight="1" x14ac:dyDescent="0.25">
      <c r="A544" s="92" t="str">
        <f t="shared" si="326"/>
        <v>CM-NWVI [11]</v>
      </c>
      <c r="B544" s="92" t="str">
        <f t="shared" si="327"/>
        <v>Northwest Vancouver Island</v>
      </c>
      <c r="C544" s="93" t="str">
        <f t="shared" si="299"/>
        <v>MARBLE RIVER_Chum</v>
      </c>
      <c r="D544" s="128" t="s">
        <v>598</v>
      </c>
      <c r="E544" s="128" t="s">
        <v>598</v>
      </c>
      <c r="F544" s="64">
        <v>27</v>
      </c>
      <c r="G544" s="72" t="s">
        <v>17</v>
      </c>
      <c r="H544" s="65" t="s">
        <v>96</v>
      </c>
      <c r="I544" s="119"/>
      <c r="J544" s="119"/>
      <c r="K544" s="64">
        <v>2</v>
      </c>
      <c r="L544" s="52">
        <v>11</v>
      </c>
      <c r="M544" s="52">
        <v>6</v>
      </c>
      <c r="N544" s="52">
        <f t="shared" si="328"/>
        <v>25.443577019193263</v>
      </c>
      <c r="O544" s="52">
        <f t="shared" si="329"/>
        <v>5000</v>
      </c>
      <c r="P544" s="52">
        <f t="shared" si="330"/>
        <v>334.03233095171851</v>
      </c>
      <c r="Q544" s="66" t="s">
        <v>269</v>
      </c>
      <c r="R544" s="37"/>
      <c r="S544" s="74" t="s">
        <v>364</v>
      </c>
      <c r="T544" s="81" t="e">
        <f t="shared" si="300"/>
        <v>#DIV/0!</v>
      </c>
      <c r="U544" s="81">
        <f t="shared" si="301"/>
        <v>3</v>
      </c>
      <c r="V544" s="52" t="s">
        <v>262</v>
      </c>
      <c r="W544" s="213" t="s">
        <v>262</v>
      </c>
      <c r="X544" s="198" t="s">
        <v>262</v>
      </c>
      <c r="Y544" s="52" t="s">
        <v>262</v>
      </c>
      <c r="Z544" s="52" t="s">
        <v>262</v>
      </c>
      <c r="AA544" s="52" t="s">
        <v>262</v>
      </c>
      <c r="AB544" s="52">
        <v>3</v>
      </c>
      <c r="AC544" s="52" t="s">
        <v>262</v>
      </c>
      <c r="AD544" s="52" t="s">
        <v>262</v>
      </c>
      <c r="AE544" s="53" t="s">
        <v>263</v>
      </c>
      <c r="AF544" s="53" t="s">
        <v>262</v>
      </c>
      <c r="AG544" s="53" t="s">
        <v>262</v>
      </c>
      <c r="AH544" s="53">
        <v>2</v>
      </c>
      <c r="AI544" s="53">
        <v>1</v>
      </c>
      <c r="AJ544" s="53" t="s">
        <v>262</v>
      </c>
      <c r="AK544" s="53" t="s">
        <v>262</v>
      </c>
      <c r="AL544" s="89">
        <v>2</v>
      </c>
      <c r="AM544" s="52" t="s">
        <v>262</v>
      </c>
      <c r="AN544" s="52">
        <v>2188</v>
      </c>
      <c r="AO544" s="60">
        <v>62</v>
      </c>
      <c r="AP544" s="50">
        <v>1</v>
      </c>
      <c r="AQ544" s="50" t="s">
        <v>262</v>
      </c>
      <c r="AR544" s="61">
        <v>1</v>
      </c>
      <c r="AS544" s="59" t="s">
        <v>262</v>
      </c>
      <c r="AT544" s="59" t="s">
        <v>263</v>
      </c>
      <c r="AU544" s="59" t="s">
        <v>262</v>
      </c>
      <c r="AV544" s="59" t="s">
        <v>262</v>
      </c>
      <c r="AW544" s="59">
        <v>1000</v>
      </c>
      <c r="AX544" s="63" t="s">
        <v>264</v>
      </c>
      <c r="AY544" s="61">
        <v>600</v>
      </c>
      <c r="AZ544" s="61">
        <v>5000</v>
      </c>
      <c r="BA544" s="61">
        <v>750</v>
      </c>
      <c r="BB544" s="61">
        <v>350</v>
      </c>
      <c r="BC544" s="61">
        <v>300</v>
      </c>
      <c r="BD544" s="61">
        <v>1500</v>
      </c>
      <c r="BE544" s="61">
        <v>1500</v>
      </c>
      <c r="BF544" s="61">
        <v>3000</v>
      </c>
      <c r="BG544" s="61">
        <v>100</v>
      </c>
      <c r="BH544" s="61">
        <v>1000</v>
      </c>
      <c r="BI544" s="61">
        <v>500</v>
      </c>
      <c r="BJ544" s="61">
        <v>1000</v>
      </c>
      <c r="BK544" s="61">
        <v>2000</v>
      </c>
      <c r="BL544" s="61" t="s">
        <v>262</v>
      </c>
      <c r="BM544" s="61">
        <v>75</v>
      </c>
      <c r="BN544" s="61">
        <v>1500</v>
      </c>
      <c r="BO544" s="61">
        <v>1500</v>
      </c>
      <c r="BP544" s="61">
        <v>750</v>
      </c>
      <c r="BQ544" s="61">
        <v>75</v>
      </c>
      <c r="BR544" s="61">
        <v>750</v>
      </c>
      <c r="BS544" s="61">
        <v>4000</v>
      </c>
      <c r="BT544" s="61">
        <v>2000</v>
      </c>
      <c r="BU544" s="61">
        <v>900</v>
      </c>
      <c r="BV544" s="61">
        <v>750</v>
      </c>
      <c r="BW544" s="61">
        <v>200</v>
      </c>
      <c r="BX544" s="61">
        <v>250</v>
      </c>
      <c r="BY544" s="61">
        <v>25</v>
      </c>
      <c r="BZ544" s="61" t="s">
        <v>262</v>
      </c>
      <c r="CA544" s="61">
        <v>25</v>
      </c>
      <c r="CB544" s="61">
        <v>300</v>
      </c>
      <c r="CC544" s="61">
        <v>400</v>
      </c>
      <c r="CD544" s="61">
        <v>100</v>
      </c>
      <c r="CE544" s="61" t="s">
        <v>264</v>
      </c>
      <c r="CF544" s="61" t="s">
        <v>262</v>
      </c>
      <c r="CG544" s="61">
        <v>200</v>
      </c>
      <c r="CH544" s="61">
        <v>500</v>
      </c>
      <c r="CI544" s="61">
        <v>400</v>
      </c>
      <c r="CJ544" s="61">
        <v>1000</v>
      </c>
      <c r="CK544" s="61">
        <v>400</v>
      </c>
      <c r="CL544" s="61">
        <v>1000</v>
      </c>
      <c r="CM544" s="53" t="s">
        <v>102</v>
      </c>
      <c r="CN544" s="206"/>
      <c r="CO544" s="206"/>
      <c r="CP544" s="206"/>
      <c r="CQ544" s="8">
        <f t="shared" si="302"/>
        <v>1</v>
      </c>
      <c r="CR544" s="8">
        <f t="shared" si="303"/>
        <v>5000</v>
      </c>
      <c r="CS544" s="8">
        <f t="shared" si="304"/>
        <v>843.55555555555554</v>
      </c>
      <c r="CT544">
        <f t="shared" si="305"/>
        <v>235.95445807360937</v>
      </c>
      <c r="CU544" s="143" t="e">
        <f t="shared" si="306"/>
        <v>#DIV/0!</v>
      </c>
      <c r="CV544" s="143">
        <f t="shared" si="307"/>
        <v>3</v>
      </c>
      <c r="CX544" s="7">
        <f t="shared" si="308"/>
        <v>1.2000000000000002</v>
      </c>
      <c r="CY544" s="7">
        <f t="shared" si="309"/>
        <v>25</v>
      </c>
      <c r="CZ544" s="7">
        <f t="shared" si="310"/>
        <v>72.400000000000006</v>
      </c>
      <c r="DA544" s="7">
        <f t="shared" si="311"/>
        <v>100</v>
      </c>
      <c r="DB544" s="7">
        <f t="shared" si="312"/>
        <v>500</v>
      </c>
      <c r="DC544" s="7">
        <f t="shared" si="313"/>
        <v>750</v>
      </c>
      <c r="DD544" s="7">
        <f t="shared" si="314"/>
        <v>840.00000000000023</v>
      </c>
      <c r="DE544" s="7">
        <f t="shared" si="315"/>
        <v>1000</v>
      </c>
      <c r="DF544" s="7">
        <f t="shared" si="316"/>
        <v>1500</v>
      </c>
      <c r="DH544" s="7">
        <f t="shared" si="317"/>
        <v>1</v>
      </c>
      <c r="DI544" s="7">
        <f t="shared" si="318"/>
        <v>1</v>
      </c>
      <c r="DJ544" s="7">
        <f t="shared" si="319"/>
        <v>1</v>
      </c>
      <c r="DK544" s="7">
        <f t="shared" si="320"/>
        <v>1</v>
      </c>
      <c r="DL544" s="7">
        <f t="shared" si="321"/>
        <v>2</v>
      </c>
      <c r="DM544" s="7">
        <f t="shared" si="322"/>
        <v>2.8</v>
      </c>
      <c r="DN544" s="7">
        <f t="shared" si="323"/>
        <v>14.800000000000011</v>
      </c>
      <c r="DO544" s="7">
        <f t="shared" si="324"/>
        <v>62</v>
      </c>
      <c r="DP544" s="7">
        <f t="shared" si="325"/>
        <v>812.39999999999986</v>
      </c>
    </row>
    <row r="545" spans="1:120" ht="25.5" hidden="1" customHeight="1" x14ac:dyDescent="0.25">
      <c r="A545" s="92" t="str">
        <f t="shared" si="326"/>
        <v>CO-Nahwitti [15]</v>
      </c>
      <c r="B545" s="92" t="str">
        <f t="shared" si="327"/>
        <v>Nahwitti Lowland</v>
      </c>
      <c r="C545" s="93" t="str">
        <f t="shared" si="299"/>
        <v>MARBLE RIVER_Coho</v>
      </c>
      <c r="D545" s="128" t="s">
        <v>598</v>
      </c>
      <c r="E545" s="128" t="s">
        <v>598</v>
      </c>
      <c r="F545" s="64">
        <v>27</v>
      </c>
      <c r="G545" s="72" t="s">
        <v>17</v>
      </c>
      <c r="H545" s="65" t="s">
        <v>93</v>
      </c>
      <c r="I545" s="119"/>
      <c r="J545" s="119"/>
      <c r="K545" s="64">
        <v>2</v>
      </c>
      <c r="L545" s="52">
        <v>11</v>
      </c>
      <c r="M545" s="52">
        <v>11</v>
      </c>
      <c r="N545" s="52">
        <f t="shared" si="328"/>
        <v>1241.256069669035</v>
      </c>
      <c r="O545" s="52">
        <f t="shared" si="329"/>
        <v>20000</v>
      </c>
      <c r="P545" s="52">
        <f t="shared" si="330"/>
        <v>1877.8576987952049</v>
      </c>
      <c r="Q545" s="66" t="s">
        <v>269</v>
      </c>
      <c r="R545" s="37"/>
      <c r="S545" s="74" t="s">
        <v>364</v>
      </c>
      <c r="T545" s="81">
        <f t="shared" si="300"/>
        <v>867</v>
      </c>
      <c r="U545" s="81">
        <f t="shared" si="301"/>
        <v>1242.1818181818182</v>
      </c>
      <c r="V545" s="52">
        <v>754</v>
      </c>
      <c r="W545" s="124"/>
      <c r="X545" s="198">
        <v>345</v>
      </c>
      <c r="Y545" s="52">
        <v>1502</v>
      </c>
      <c r="Z545" s="52">
        <v>517</v>
      </c>
      <c r="AA545" s="52">
        <v>2641</v>
      </c>
      <c r="AB545" s="52">
        <v>664</v>
      </c>
      <c r="AC545" s="52">
        <v>545</v>
      </c>
      <c r="AD545" s="52">
        <v>839</v>
      </c>
      <c r="AE545" s="53">
        <v>1932</v>
      </c>
      <c r="AF545" s="53">
        <v>1137</v>
      </c>
      <c r="AG545" s="144">
        <v>2788</v>
      </c>
      <c r="AH545" s="53">
        <v>2020</v>
      </c>
      <c r="AI545" s="52">
        <v>4135</v>
      </c>
      <c r="AJ545" s="53">
        <v>1547</v>
      </c>
      <c r="AK545" s="53">
        <v>1182</v>
      </c>
      <c r="AL545" s="89">
        <v>6393</v>
      </c>
      <c r="AM545" s="52">
        <v>581</v>
      </c>
      <c r="AN545" s="52">
        <v>1458</v>
      </c>
      <c r="AO545" s="60">
        <v>1242</v>
      </c>
      <c r="AP545" s="50">
        <v>849</v>
      </c>
      <c r="AQ545" s="60">
        <v>1145</v>
      </c>
      <c r="AR545" s="61">
        <v>1425</v>
      </c>
      <c r="AS545" s="59">
        <v>852</v>
      </c>
      <c r="AT545" s="59">
        <v>1634</v>
      </c>
      <c r="AU545" s="59">
        <v>638</v>
      </c>
      <c r="AV545" s="59">
        <v>743</v>
      </c>
      <c r="AW545" s="59">
        <v>1833</v>
      </c>
      <c r="AX545" s="63" t="s">
        <v>264</v>
      </c>
      <c r="AY545" s="61">
        <v>500</v>
      </c>
      <c r="AZ545" s="61">
        <v>700</v>
      </c>
      <c r="BA545" s="61">
        <v>955</v>
      </c>
      <c r="BB545" s="61">
        <v>2434</v>
      </c>
      <c r="BC545" s="61">
        <v>900</v>
      </c>
      <c r="BD545" s="61">
        <v>780</v>
      </c>
      <c r="BE545" s="61">
        <v>1250</v>
      </c>
      <c r="BF545" s="61">
        <v>3500</v>
      </c>
      <c r="BG545" s="61">
        <v>1750</v>
      </c>
      <c r="BH545" s="61">
        <v>700</v>
      </c>
      <c r="BI545" s="61">
        <v>1000</v>
      </c>
      <c r="BJ545" s="61">
        <v>1000</v>
      </c>
      <c r="BK545" s="61">
        <v>4000</v>
      </c>
      <c r="BL545" s="53">
        <v>2000</v>
      </c>
      <c r="BM545" s="61">
        <v>15000</v>
      </c>
      <c r="BN545" s="61">
        <v>7500</v>
      </c>
      <c r="BO545" s="61">
        <v>8000</v>
      </c>
      <c r="BP545" s="61">
        <v>3500</v>
      </c>
      <c r="BQ545" s="61">
        <v>1500</v>
      </c>
      <c r="BR545" s="61">
        <v>3500</v>
      </c>
      <c r="BS545" s="61">
        <v>5000</v>
      </c>
      <c r="BT545" s="61">
        <v>5000</v>
      </c>
      <c r="BU545" s="61">
        <v>6000</v>
      </c>
      <c r="BV545" s="61">
        <v>7500</v>
      </c>
      <c r="BW545" s="61">
        <v>7500</v>
      </c>
      <c r="BX545" s="61">
        <v>14000</v>
      </c>
      <c r="BY545" s="61">
        <v>750</v>
      </c>
      <c r="BZ545" s="61">
        <v>7500</v>
      </c>
      <c r="CA545" s="61">
        <v>13000</v>
      </c>
      <c r="CB545" s="61">
        <v>20000</v>
      </c>
      <c r="CC545" s="61">
        <v>1500</v>
      </c>
      <c r="CD545" s="61">
        <v>1000</v>
      </c>
      <c r="CE545" s="61">
        <v>1500</v>
      </c>
      <c r="CF545" s="61">
        <v>110</v>
      </c>
      <c r="CG545" s="61">
        <v>700</v>
      </c>
      <c r="CH545" s="61">
        <v>4000</v>
      </c>
      <c r="CI545" s="61">
        <v>800</v>
      </c>
      <c r="CJ545" s="61">
        <v>1000</v>
      </c>
      <c r="CK545" s="61">
        <v>750</v>
      </c>
      <c r="CL545" s="61">
        <v>1000</v>
      </c>
      <c r="CM545" s="53" t="s">
        <v>102</v>
      </c>
      <c r="CN545" s="206"/>
      <c r="CO545" s="206"/>
      <c r="CP545" s="206"/>
      <c r="CQ545" s="8">
        <f t="shared" si="302"/>
        <v>110</v>
      </c>
      <c r="CR545" s="8">
        <f t="shared" si="303"/>
        <v>20000</v>
      </c>
      <c r="CS545" s="8">
        <f t="shared" si="304"/>
        <v>2991.3432835820895</v>
      </c>
      <c r="CT545">
        <f t="shared" si="305"/>
        <v>1715.0248391225894</v>
      </c>
      <c r="CU545" s="143">
        <f t="shared" si="306"/>
        <v>779.5</v>
      </c>
      <c r="CV545" s="143">
        <f t="shared" si="307"/>
        <v>1242.1818181818182</v>
      </c>
      <c r="CX545" s="7">
        <f t="shared" si="308"/>
        <v>525.4</v>
      </c>
      <c r="CY545" s="7">
        <f t="shared" si="309"/>
        <v>700</v>
      </c>
      <c r="CZ545" s="7">
        <f t="shared" si="310"/>
        <v>750.8</v>
      </c>
      <c r="DA545" s="7">
        <f t="shared" si="311"/>
        <v>819.5</v>
      </c>
      <c r="DB545" s="7">
        <f t="shared" si="312"/>
        <v>1458</v>
      </c>
      <c r="DC545" s="7">
        <f t="shared" si="313"/>
        <v>1703.6000000000001</v>
      </c>
      <c r="DD545" s="7">
        <f t="shared" si="314"/>
        <v>1993.1999999999998</v>
      </c>
      <c r="DE545" s="7">
        <f t="shared" si="315"/>
        <v>3500</v>
      </c>
      <c r="DF545" s="7">
        <f t="shared" si="316"/>
        <v>6039.3</v>
      </c>
      <c r="DH545" s="7">
        <f t="shared" si="317"/>
        <v>525.4</v>
      </c>
      <c r="DI545" s="7">
        <f t="shared" si="318"/>
        <v>632.30000000000007</v>
      </c>
      <c r="DJ545" s="7">
        <f t="shared" si="319"/>
        <v>679.80000000000007</v>
      </c>
      <c r="DK545" s="7">
        <f t="shared" si="320"/>
        <v>748.5</v>
      </c>
      <c r="DL545" s="7">
        <f t="shared" si="321"/>
        <v>1182</v>
      </c>
      <c r="DM545" s="7">
        <f t="shared" si="322"/>
        <v>1444.8</v>
      </c>
      <c r="DN545" s="7">
        <f t="shared" si="323"/>
        <v>1497.6000000000001</v>
      </c>
      <c r="DO545" s="7">
        <f t="shared" si="324"/>
        <v>1733.5</v>
      </c>
      <c r="DP545" s="7">
        <f t="shared" si="325"/>
        <v>2082.0999999999985</v>
      </c>
    </row>
    <row r="546" spans="1:120" ht="25.5" hidden="1" customHeight="1" x14ac:dyDescent="0.25">
      <c r="A546" s="92" t="str">
        <f t="shared" si="326"/>
        <v>Pkodd-Nahwitti [5]</v>
      </c>
      <c r="B546" s="92" t="str">
        <f t="shared" si="327"/>
        <v>Nahwitti Lowlands</v>
      </c>
      <c r="C546" s="93" t="str">
        <f t="shared" si="299"/>
        <v>MARBLE RIVER_Pink</v>
      </c>
      <c r="D546" s="128" t="s">
        <v>598</v>
      </c>
      <c r="E546" s="128" t="s">
        <v>598</v>
      </c>
      <c r="F546" s="64">
        <v>27</v>
      </c>
      <c r="G546" s="72" t="s">
        <v>17</v>
      </c>
      <c r="H546" s="65" t="s">
        <v>95</v>
      </c>
      <c r="I546" s="119"/>
      <c r="J546" s="119"/>
      <c r="K546" s="64">
        <v>2</v>
      </c>
      <c r="L546" s="52">
        <v>11</v>
      </c>
      <c r="M546" s="52">
        <v>2</v>
      </c>
      <c r="N546" s="52">
        <f t="shared" si="328"/>
        <v>1</v>
      </c>
      <c r="O546" s="52">
        <f t="shared" si="329"/>
        <v>1500</v>
      </c>
      <c r="P546" s="52">
        <f t="shared" si="330"/>
        <v>34.07716031211983</v>
      </c>
      <c r="Q546" s="66" t="s">
        <v>269</v>
      </c>
      <c r="R546" s="37"/>
      <c r="S546" s="74" t="s">
        <v>364</v>
      </c>
      <c r="T546" s="81" t="e">
        <f t="shared" si="300"/>
        <v>#DIV/0!</v>
      </c>
      <c r="U546" s="81">
        <f t="shared" si="301"/>
        <v>7</v>
      </c>
      <c r="V546" s="52" t="s">
        <v>262</v>
      </c>
      <c r="W546" s="124"/>
      <c r="X546" s="198" t="s">
        <v>262</v>
      </c>
      <c r="Y546" s="52" t="s">
        <v>262</v>
      </c>
      <c r="Z546" s="52" t="s">
        <v>262</v>
      </c>
      <c r="AA546" s="52" t="s">
        <v>263</v>
      </c>
      <c r="AB546" s="52" t="s">
        <v>262</v>
      </c>
      <c r="AC546" s="52" t="s">
        <v>262</v>
      </c>
      <c r="AD546" s="52" t="s">
        <v>263</v>
      </c>
      <c r="AE546" s="53">
        <v>7</v>
      </c>
      <c r="AF546" s="53" t="s">
        <v>262</v>
      </c>
      <c r="AG546" s="53" t="s">
        <v>262</v>
      </c>
      <c r="AH546" s="53">
        <v>1</v>
      </c>
      <c r="AI546" s="52" t="s">
        <v>262</v>
      </c>
      <c r="AJ546" s="52" t="s">
        <v>262</v>
      </c>
      <c r="AK546" s="53">
        <v>1</v>
      </c>
      <c r="AL546" s="89">
        <v>1</v>
      </c>
      <c r="AM546" s="52" t="s">
        <v>262</v>
      </c>
      <c r="AN546" s="52" t="s">
        <v>262</v>
      </c>
      <c r="AO546" s="60">
        <v>1</v>
      </c>
      <c r="AP546" s="50">
        <v>1</v>
      </c>
      <c r="AQ546" s="52" t="s">
        <v>262</v>
      </c>
      <c r="AR546" s="53" t="s">
        <v>262</v>
      </c>
      <c r="AS546" s="53" t="s">
        <v>262</v>
      </c>
      <c r="AT546" s="53" t="s">
        <v>262</v>
      </c>
      <c r="AU546" s="53" t="s">
        <v>262</v>
      </c>
      <c r="AV546" s="53" t="s">
        <v>262</v>
      </c>
      <c r="AW546" s="53" t="s">
        <v>262</v>
      </c>
      <c r="AX546" s="51" t="s">
        <v>262</v>
      </c>
      <c r="AY546" s="53" t="s">
        <v>264</v>
      </c>
      <c r="AZ546" s="53" t="s">
        <v>262</v>
      </c>
      <c r="BA546" s="53" t="s">
        <v>262</v>
      </c>
      <c r="BB546" s="61">
        <v>300</v>
      </c>
      <c r="BC546" s="53" t="s">
        <v>262</v>
      </c>
      <c r="BD546" s="53" t="s">
        <v>262</v>
      </c>
      <c r="BE546" s="53" t="s">
        <v>264</v>
      </c>
      <c r="BF546" s="61">
        <v>100</v>
      </c>
      <c r="BG546" s="61">
        <v>20</v>
      </c>
      <c r="BH546" s="53" t="s">
        <v>262</v>
      </c>
      <c r="BI546" s="53" t="s">
        <v>262</v>
      </c>
      <c r="BJ546" s="61">
        <v>30</v>
      </c>
      <c r="BK546" s="53" t="s">
        <v>264</v>
      </c>
      <c r="BL546" s="53" t="s">
        <v>262</v>
      </c>
      <c r="BM546" s="53" t="s">
        <v>264</v>
      </c>
      <c r="BN546" s="61">
        <v>750</v>
      </c>
      <c r="BO546" s="53" t="s">
        <v>264</v>
      </c>
      <c r="BP546" s="53" t="s">
        <v>264</v>
      </c>
      <c r="BQ546" s="61">
        <v>75</v>
      </c>
      <c r="BR546" s="53" t="s">
        <v>264</v>
      </c>
      <c r="BS546" s="53" t="s">
        <v>264</v>
      </c>
      <c r="BT546" s="53" t="s">
        <v>264</v>
      </c>
      <c r="BU546" s="61" t="s">
        <v>262</v>
      </c>
      <c r="BV546" s="53" t="s">
        <v>264</v>
      </c>
      <c r="BW546" s="61" t="s">
        <v>262</v>
      </c>
      <c r="BX546" s="61">
        <v>150</v>
      </c>
      <c r="BY546" s="53" t="s">
        <v>264</v>
      </c>
      <c r="BZ546" s="53" t="s">
        <v>264</v>
      </c>
      <c r="CA546" s="61">
        <v>25</v>
      </c>
      <c r="CB546" s="61">
        <v>1500</v>
      </c>
      <c r="CC546" s="53" t="s">
        <v>264</v>
      </c>
      <c r="CD546" s="53" t="s">
        <v>264</v>
      </c>
      <c r="CE546" s="53" t="s">
        <v>264</v>
      </c>
      <c r="CF546" s="53" t="s">
        <v>264</v>
      </c>
      <c r="CG546" s="53" t="s">
        <v>264</v>
      </c>
      <c r="CH546" s="53" t="s">
        <v>264</v>
      </c>
      <c r="CI546" s="53" t="s">
        <v>264</v>
      </c>
      <c r="CJ546" s="53" t="s">
        <v>264</v>
      </c>
      <c r="CK546" s="53" t="s">
        <v>264</v>
      </c>
      <c r="CL546" s="61">
        <v>500</v>
      </c>
      <c r="CM546" s="53" t="s">
        <v>102</v>
      </c>
      <c r="CN546" s="206"/>
      <c r="CO546" s="206"/>
      <c r="CP546" s="206"/>
      <c r="CQ546" s="8">
        <f t="shared" si="302"/>
        <v>1</v>
      </c>
      <c r="CR546" s="8">
        <f t="shared" si="303"/>
        <v>1500</v>
      </c>
      <c r="CS546" s="8">
        <f t="shared" si="304"/>
        <v>216.375</v>
      </c>
      <c r="CT546">
        <f t="shared" si="305"/>
        <v>24.758486938487227</v>
      </c>
      <c r="CU546" s="143" t="e">
        <f t="shared" si="306"/>
        <v>#DIV/0!</v>
      </c>
      <c r="CV546" s="143">
        <f t="shared" si="307"/>
        <v>7</v>
      </c>
      <c r="CX546" s="7">
        <f t="shared" si="308"/>
        <v>1</v>
      </c>
      <c r="CY546" s="7">
        <f t="shared" si="309"/>
        <v>1</v>
      </c>
      <c r="CZ546" s="7">
        <f t="shared" si="310"/>
        <v>1</v>
      </c>
      <c r="DA546" s="7">
        <f t="shared" si="311"/>
        <v>1</v>
      </c>
      <c r="DB546" s="7">
        <f t="shared" si="312"/>
        <v>27.5</v>
      </c>
      <c r="DC546" s="7">
        <f t="shared" si="313"/>
        <v>75</v>
      </c>
      <c r="DD546" s="7">
        <f t="shared" si="314"/>
        <v>93.75</v>
      </c>
      <c r="DE546" s="7">
        <f t="shared" si="315"/>
        <v>187.5</v>
      </c>
      <c r="DF546" s="7">
        <f t="shared" si="316"/>
        <v>450</v>
      </c>
      <c r="DH546" s="7">
        <f t="shared" si="317"/>
        <v>1</v>
      </c>
      <c r="DI546" s="7">
        <f t="shared" si="318"/>
        <v>1</v>
      </c>
      <c r="DJ546" s="7">
        <f t="shared" si="319"/>
        <v>1</v>
      </c>
      <c r="DK546" s="7">
        <f t="shared" si="320"/>
        <v>1</v>
      </c>
      <c r="DL546" s="7">
        <f t="shared" si="321"/>
        <v>1</v>
      </c>
      <c r="DM546" s="7">
        <f t="shared" si="322"/>
        <v>1</v>
      </c>
      <c r="DN546" s="7">
        <f t="shared" si="323"/>
        <v>1</v>
      </c>
      <c r="DO546" s="7">
        <f t="shared" si="324"/>
        <v>1</v>
      </c>
      <c r="DP546" s="7">
        <f t="shared" si="325"/>
        <v>2.5</v>
      </c>
    </row>
    <row r="547" spans="1:120" ht="25.5" hidden="1" customHeight="1" x14ac:dyDescent="0.25">
      <c r="A547" s="92" t="str">
        <f t="shared" si="326"/>
        <v>SK-L-13-1</v>
      </c>
      <c r="B547" s="92" t="str">
        <f t="shared" si="327"/>
        <v>Alice</v>
      </c>
      <c r="C547" s="93" t="str">
        <f t="shared" si="299"/>
        <v>MARBLE RIVER_Sockeye</v>
      </c>
      <c r="D547" s="128" t="s">
        <v>598</v>
      </c>
      <c r="E547" s="128" t="s">
        <v>598</v>
      </c>
      <c r="F547" s="64">
        <v>27</v>
      </c>
      <c r="G547" s="72" t="s">
        <v>17</v>
      </c>
      <c r="H547" s="65" t="s">
        <v>91</v>
      </c>
      <c r="I547" s="119"/>
      <c r="J547" s="119"/>
      <c r="K547" s="64">
        <v>2</v>
      </c>
      <c r="L547" s="52">
        <v>11</v>
      </c>
      <c r="M547" s="52">
        <v>2</v>
      </c>
      <c r="N547" s="52">
        <f t="shared" si="328"/>
        <v>1.7320508075688774</v>
      </c>
      <c r="O547" s="52">
        <f t="shared" si="329"/>
        <v>2000</v>
      </c>
      <c r="P547" s="52">
        <f t="shared" si="330"/>
        <v>143.00057571866478</v>
      </c>
      <c r="Q547" s="66" t="s">
        <v>269</v>
      </c>
      <c r="R547" s="37"/>
      <c r="S547" s="74" t="s">
        <v>364</v>
      </c>
      <c r="T547" s="81" t="e">
        <f t="shared" si="300"/>
        <v>#DIV/0!</v>
      </c>
      <c r="U547" s="81" t="e">
        <f t="shared" si="301"/>
        <v>#DIV/0!</v>
      </c>
      <c r="V547" s="52" t="s">
        <v>262</v>
      </c>
      <c r="W547" s="213" t="s">
        <v>262</v>
      </c>
      <c r="X547" s="198" t="s">
        <v>262</v>
      </c>
      <c r="Y547" s="52" t="s">
        <v>262</v>
      </c>
      <c r="Z547" s="52" t="s">
        <v>262</v>
      </c>
      <c r="AA547" s="52" t="s">
        <v>262</v>
      </c>
      <c r="AB547" s="52" t="s">
        <v>262</v>
      </c>
      <c r="AC547" s="52" t="s">
        <v>262</v>
      </c>
      <c r="AD547" s="52" t="s">
        <v>263</v>
      </c>
      <c r="AE547" s="53" t="s">
        <v>262</v>
      </c>
      <c r="AF547" s="53" t="s">
        <v>262</v>
      </c>
      <c r="AG547" s="53" t="s">
        <v>262</v>
      </c>
      <c r="AH547" s="52" t="s">
        <v>262</v>
      </c>
      <c r="AI547" s="52" t="s">
        <v>262</v>
      </c>
      <c r="AJ547" s="53" t="s">
        <v>262</v>
      </c>
      <c r="AK547" s="53" t="s">
        <v>262</v>
      </c>
      <c r="AL547" s="89" t="s">
        <v>262</v>
      </c>
      <c r="AM547" s="52" t="s">
        <v>262</v>
      </c>
      <c r="AN547" s="52" t="s">
        <v>262</v>
      </c>
      <c r="AO547" s="52" t="s">
        <v>262</v>
      </c>
      <c r="AP547" s="52" t="s">
        <v>262</v>
      </c>
      <c r="AQ547" s="52" t="s">
        <v>262</v>
      </c>
      <c r="AR547" s="52" t="s">
        <v>262</v>
      </c>
      <c r="AS547" s="52">
        <v>1</v>
      </c>
      <c r="AT547" s="52">
        <v>3</v>
      </c>
      <c r="AU547" s="52" t="s">
        <v>262</v>
      </c>
      <c r="AV547" s="52" t="s">
        <v>262</v>
      </c>
      <c r="AW547" s="52" t="s">
        <v>262</v>
      </c>
      <c r="AX547" s="63" t="s">
        <v>262</v>
      </c>
      <c r="AY547" s="61" t="s">
        <v>264</v>
      </c>
      <c r="AZ547" s="61" t="s">
        <v>262</v>
      </c>
      <c r="BA547" s="61" t="s">
        <v>262</v>
      </c>
      <c r="BB547" s="61" t="s">
        <v>262</v>
      </c>
      <c r="BC547" s="61" t="s">
        <v>262</v>
      </c>
      <c r="BD547" s="61">
        <v>10</v>
      </c>
      <c r="BE547" s="61">
        <v>20</v>
      </c>
      <c r="BF547" s="61" t="s">
        <v>262</v>
      </c>
      <c r="BG547" s="61">
        <v>50</v>
      </c>
      <c r="BH547" s="61" t="s">
        <v>262</v>
      </c>
      <c r="BI547" s="61" t="s">
        <v>264</v>
      </c>
      <c r="BJ547" s="61">
        <v>40</v>
      </c>
      <c r="BK547" s="61">
        <v>2000</v>
      </c>
      <c r="BL547" s="53" t="s">
        <v>262</v>
      </c>
      <c r="BM547" s="61">
        <v>200</v>
      </c>
      <c r="BN547" s="61">
        <v>750</v>
      </c>
      <c r="BO547" s="61">
        <v>350</v>
      </c>
      <c r="BP547" s="61">
        <v>200</v>
      </c>
      <c r="BQ547" s="61">
        <v>300</v>
      </c>
      <c r="BR547" s="61">
        <v>100</v>
      </c>
      <c r="BS547" s="61" t="s">
        <v>262</v>
      </c>
      <c r="BT547" s="61" t="s">
        <v>262</v>
      </c>
      <c r="BU547" s="61">
        <v>200</v>
      </c>
      <c r="BV547" s="61" t="s">
        <v>262</v>
      </c>
      <c r="BW547" s="61">
        <v>75</v>
      </c>
      <c r="BX547" s="61">
        <v>600</v>
      </c>
      <c r="BY547" s="61">
        <v>750</v>
      </c>
      <c r="BZ547" s="61">
        <v>400</v>
      </c>
      <c r="CA547" s="61">
        <v>25</v>
      </c>
      <c r="CB547" s="61">
        <v>2000</v>
      </c>
      <c r="CC547" s="61">
        <v>200</v>
      </c>
      <c r="CD547" s="61">
        <v>400</v>
      </c>
      <c r="CE547" s="61">
        <v>25</v>
      </c>
      <c r="CF547" s="61">
        <v>20</v>
      </c>
      <c r="CG547" s="61">
        <v>100</v>
      </c>
      <c r="CH547" s="61">
        <v>100</v>
      </c>
      <c r="CI547" s="61">
        <v>800</v>
      </c>
      <c r="CJ547" s="61">
        <v>1000</v>
      </c>
      <c r="CK547" s="61">
        <v>700</v>
      </c>
      <c r="CL547" s="61">
        <v>2000</v>
      </c>
      <c r="CM547" s="53" t="s">
        <v>102</v>
      </c>
      <c r="CN547" s="206"/>
      <c r="CO547" s="206"/>
      <c r="CP547" s="206"/>
      <c r="CQ547" s="8">
        <f t="shared" si="302"/>
        <v>1</v>
      </c>
      <c r="CR547" s="8">
        <f t="shared" si="303"/>
        <v>2000</v>
      </c>
      <c r="CS547" s="8">
        <f t="shared" si="304"/>
        <v>447.3</v>
      </c>
      <c r="CT547">
        <f t="shared" si="305"/>
        <v>143.00057571866478</v>
      </c>
      <c r="CU547" s="143" t="e">
        <f t="shared" si="306"/>
        <v>#DIV/0!</v>
      </c>
      <c r="CV547" s="143" t="e">
        <f t="shared" si="307"/>
        <v>#DIV/0!</v>
      </c>
      <c r="CX547" s="7">
        <f t="shared" si="308"/>
        <v>6.1500000000000012</v>
      </c>
      <c r="CY547" s="7">
        <f t="shared" si="309"/>
        <v>21.75</v>
      </c>
      <c r="CZ547" s="7">
        <f t="shared" si="310"/>
        <v>25</v>
      </c>
      <c r="DA547" s="7">
        <f t="shared" si="311"/>
        <v>42.5</v>
      </c>
      <c r="DB547" s="7">
        <f t="shared" si="312"/>
        <v>200</v>
      </c>
      <c r="DC547" s="7">
        <f t="shared" si="313"/>
        <v>319.99999999999994</v>
      </c>
      <c r="DD547" s="7">
        <f t="shared" si="314"/>
        <v>392.50000000000006</v>
      </c>
      <c r="DE547" s="7">
        <f t="shared" si="315"/>
        <v>675</v>
      </c>
      <c r="DF547" s="7">
        <f t="shared" si="316"/>
        <v>782.49999999999989</v>
      </c>
      <c r="DH547" s="7">
        <f t="shared" si="317"/>
        <v>1.1000000000000001</v>
      </c>
      <c r="DI547" s="7">
        <f t="shared" si="318"/>
        <v>1.2999999999999998</v>
      </c>
      <c r="DJ547" s="7">
        <f t="shared" si="319"/>
        <v>1.4</v>
      </c>
      <c r="DK547" s="7">
        <f t="shared" si="320"/>
        <v>1.5</v>
      </c>
      <c r="DL547" s="7">
        <f t="shared" si="321"/>
        <v>2</v>
      </c>
      <c r="DM547" s="7">
        <f t="shared" si="322"/>
        <v>2.2000000000000002</v>
      </c>
      <c r="DN547" s="7">
        <f t="shared" si="323"/>
        <v>2.2999999999999998</v>
      </c>
      <c r="DO547" s="7">
        <f t="shared" si="324"/>
        <v>2.5</v>
      </c>
      <c r="DP547" s="7">
        <f t="shared" si="325"/>
        <v>2.7</v>
      </c>
    </row>
  </sheetData>
  <sheetProtection autoFilter="0"/>
  <autoFilter ref="A4:DP547" xr:uid="{00000000-0001-0000-0100-000000000000}">
    <filterColumn colId="7">
      <filters>
        <filter val="Chinook"/>
      </filters>
    </filterColumn>
  </autoFilter>
  <sortState xmlns:xlrd2="http://schemas.microsoft.com/office/spreadsheetml/2017/richdata2" ref="A5:CM547">
    <sortCondition ref="F5:F547"/>
    <sortCondition ref="G5:G547"/>
    <sortCondition ref="H5:H547"/>
  </sortState>
  <mergeCells count="2">
    <mergeCell ref="CQ3:CT3"/>
    <mergeCell ref="CX3:DF3"/>
  </mergeCells>
  <phoneticPr fontId="11" type="noConversion"/>
  <printOptions horizontalCentered="1"/>
  <pageMargins left="0.19685039370078741" right="0.19685039370078741" top="0.39370078740157483" bottom="0.59055118110236227" header="0" footer="0.11811023622047245"/>
  <pageSetup paperSize="5" scale="32" fitToHeight="0" orientation="portrait" r:id="rId1"/>
  <headerFooter alignWithMargins="0">
    <oddFooter>&amp;L&amp;8&amp;F / &amp;A&amp;R&amp;8Page  &amp;P  of 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V50"/>
  <sheetViews>
    <sheetView zoomScaleNormal="100" workbookViewId="0">
      <selection activeCell="C5" sqref="C5"/>
    </sheetView>
  </sheetViews>
  <sheetFormatPr defaultRowHeight="13.2" x14ac:dyDescent="0.25"/>
  <cols>
    <col min="2" max="2" width="7" style="160" customWidth="1"/>
    <col min="3" max="3" width="8.33203125" style="160" bestFit="1" customWidth="1"/>
    <col min="4" max="4" width="10.109375" style="160" customWidth="1"/>
    <col min="5" max="5" width="9.109375" style="160" customWidth="1"/>
    <col min="6" max="6" width="8.6640625" style="160" bestFit="1" customWidth="1"/>
    <col min="7" max="8" width="9" style="160" bestFit="1" customWidth="1"/>
    <col min="9" max="10" width="8.33203125" style="160" bestFit="1" customWidth="1"/>
    <col min="11" max="11" width="9" style="160" bestFit="1" customWidth="1"/>
    <col min="12" max="12" width="4.5546875" style="160" customWidth="1"/>
    <col min="13" max="13" width="7.109375" style="160" customWidth="1"/>
    <col min="14" max="14" width="7.6640625" bestFit="1" customWidth="1"/>
    <col min="15" max="15" width="11" customWidth="1"/>
    <col min="17" max="17" width="7.6640625" bestFit="1" customWidth="1"/>
    <col min="18" max="18" width="8.6640625" bestFit="1" customWidth="1"/>
    <col min="19" max="19" width="9" bestFit="1" customWidth="1"/>
    <col min="20" max="21" width="7.6640625" bestFit="1" customWidth="1"/>
    <col min="22" max="22" width="9" bestFit="1" customWidth="1"/>
  </cols>
  <sheetData>
    <row r="3" spans="2:22" ht="39.6" x14ac:dyDescent="0.25">
      <c r="B3" s="26" t="s">
        <v>41</v>
      </c>
      <c r="C3" s="72" t="s">
        <v>101</v>
      </c>
      <c r="D3" s="72" t="s">
        <v>107</v>
      </c>
      <c r="E3" s="72" t="s">
        <v>125</v>
      </c>
      <c r="F3" s="72" t="s">
        <v>112</v>
      </c>
      <c r="G3" s="72" t="s">
        <v>143</v>
      </c>
      <c r="H3" s="72" t="s">
        <v>274</v>
      </c>
      <c r="I3" s="72" t="s">
        <v>190</v>
      </c>
      <c r="J3" s="72" t="s">
        <v>200</v>
      </c>
      <c r="K3" s="73" t="s">
        <v>183</v>
      </c>
      <c r="M3" s="26" t="s">
        <v>41</v>
      </c>
      <c r="N3" s="72" t="s">
        <v>101</v>
      </c>
      <c r="O3" s="72" t="s">
        <v>128</v>
      </c>
      <c r="P3" s="72" t="s">
        <v>125</v>
      </c>
      <c r="Q3" s="72" t="s">
        <v>112</v>
      </c>
      <c r="R3" s="72" t="s">
        <v>143</v>
      </c>
      <c r="S3" s="72" t="s">
        <v>274</v>
      </c>
      <c r="T3" s="72" t="s">
        <v>190</v>
      </c>
      <c r="U3" s="72" t="s">
        <v>200</v>
      </c>
      <c r="V3" s="73" t="s">
        <v>183</v>
      </c>
    </row>
    <row r="4" spans="2:22" x14ac:dyDescent="0.25">
      <c r="B4" s="26" t="s">
        <v>42</v>
      </c>
      <c r="C4" s="72" t="s">
        <v>91</v>
      </c>
      <c r="D4" s="161" t="s">
        <v>91</v>
      </c>
      <c r="E4" s="161" t="s">
        <v>91</v>
      </c>
      <c r="F4" s="161" t="s">
        <v>91</v>
      </c>
      <c r="G4" s="161" t="s">
        <v>91</v>
      </c>
      <c r="H4" s="161" t="s">
        <v>91</v>
      </c>
      <c r="I4" s="161" t="s">
        <v>91</v>
      </c>
      <c r="J4" s="161" t="s">
        <v>91</v>
      </c>
      <c r="K4" s="161" t="s">
        <v>91</v>
      </c>
      <c r="M4" s="26" t="s">
        <v>42</v>
      </c>
      <c r="N4" s="67" t="s">
        <v>93</v>
      </c>
      <c r="O4" s="65" t="s">
        <v>93</v>
      </c>
      <c r="P4" s="65" t="s">
        <v>93</v>
      </c>
      <c r="Q4" s="65" t="s">
        <v>93</v>
      </c>
      <c r="R4" s="65" t="s">
        <v>93</v>
      </c>
      <c r="S4" s="65" t="s">
        <v>93</v>
      </c>
      <c r="T4" s="65" t="s">
        <v>93</v>
      </c>
      <c r="U4" s="65" t="s">
        <v>93</v>
      </c>
      <c r="V4" s="65" t="s">
        <v>93</v>
      </c>
    </row>
    <row r="5" spans="2:22" x14ac:dyDescent="0.25">
      <c r="B5" s="162">
        <v>2015</v>
      </c>
      <c r="C5" s="163">
        <v>2228</v>
      </c>
      <c r="D5" s="163">
        <v>2109</v>
      </c>
      <c r="E5" s="163">
        <v>2231</v>
      </c>
      <c r="F5" s="163">
        <v>98</v>
      </c>
      <c r="G5" s="163">
        <v>600</v>
      </c>
      <c r="H5" s="163">
        <v>1172</v>
      </c>
      <c r="I5" s="163">
        <v>164</v>
      </c>
      <c r="J5" s="163">
        <v>29</v>
      </c>
      <c r="K5" s="163">
        <v>4466</v>
      </c>
      <c r="M5" s="162">
        <v>2015</v>
      </c>
      <c r="N5" s="52">
        <v>1342</v>
      </c>
      <c r="O5" s="52">
        <v>2096</v>
      </c>
      <c r="P5" s="52">
        <v>213</v>
      </c>
      <c r="Q5" s="52">
        <v>392</v>
      </c>
      <c r="R5" s="52">
        <v>700</v>
      </c>
      <c r="S5" s="52">
        <v>976</v>
      </c>
      <c r="T5" s="52">
        <v>716</v>
      </c>
      <c r="U5" s="52">
        <v>221</v>
      </c>
      <c r="V5" s="52">
        <v>640</v>
      </c>
    </row>
    <row r="6" spans="2:22" x14ac:dyDescent="0.25">
      <c r="B6" s="162">
        <v>2014</v>
      </c>
      <c r="C6" s="164">
        <v>77</v>
      </c>
      <c r="D6" s="163">
        <v>11837</v>
      </c>
      <c r="E6" s="165">
        <v>587</v>
      </c>
      <c r="F6" s="165">
        <v>114</v>
      </c>
      <c r="G6" s="165">
        <v>35</v>
      </c>
      <c r="H6" s="163">
        <v>703</v>
      </c>
      <c r="I6" s="165">
        <v>29</v>
      </c>
      <c r="J6" s="163">
        <v>1379</v>
      </c>
      <c r="K6" s="165">
        <v>273</v>
      </c>
      <c r="M6" s="162">
        <v>2014</v>
      </c>
      <c r="N6" s="144">
        <v>7500</v>
      </c>
      <c r="O6" s="158">
        <v>1560</v>
      </c>
      <c r="P6" s="53">
        <v>318</v>
      </c>
      <c r="Q6" s="53">
        <v>1618</v>
      </c>
      <c r="R6" s="53">
        <v>552</v>
      </c>
      <c r="S6" s="52">
        <v>1767</v>
      </c>
      <c r="T6" s="53">
        <v>1178</v>
      </c>
      <c r="U6" s="52">
        <v>989</v>
      </c>
      <c r="V6" s="53">
        <v>1180</v>
      </c>
    </row>
    <row r="7" spans="2:22" x14ac:dyDescent="0.25">
      <c r="B7" s="162">
        <v>2013</v>
      </c>
      <c r="C7" s="164" t="s">
        <v>263</v>
      </c>
      <c r="D7" s="166">
        <v>15808</v>
      </c>
      <c r="E7" s="164">
        <v>181</v>
      </c>
      <c r="F7" s="164" t="s">
        <v>262</v>
      </c>
      <c r="G7" s="164">
        <v>15</v>
      </c>
      <c r="H7" s="165">
        <v>139</v>
      </c>
      <c r="I7" s="164" t="s">
        <v>263</v>
      </c>
      <c r="J7" s="164">
        <v>464</v>
      </c>
      <c r="K7" s="164">
        <v>40</v>
      </c>
      <c r="M7" s="162">
        <v>2013</v>
      </c>
      <c r="N7" s="144">
        <v>4918</v>
      </c>
      <c r="O7" s="144">
        <v>2994</v>
      </c>
      <c r="P7" s="144">
        <v>902</v>
      </c>
      <c r="Q7" s="144">
        <v>1251</v>
      </c>
      <c r="R7" s="144">
        <v>1282</v>
      </c>
      <c r="S7" s="53">
        <v>1040</v>
      </c>
      <c r="T7" s="144">
        <v>1100</v>
      </c>
      <c r="U7" s="144">
        <v>1796</v>
      </c>
      <c r="V7" s="144">
        <v>1304</v>
      </c>
    </row>
    <row r="8" spans="2:22" x14ac:dyDescent="0.25">
      <c r="B8" s="162">
        <v>2012</v>
      </c>
      <c r="C8" s="164" t="s">
        <v>263</v>
      </c>
      <c r="D8" s="163">
        <v>17132</v>
      </c>
      <c r="E8" s="163">
        <v>100</v>
      </c>
      <c r="F8" s="163" t="s">
        <v>263</v>
      </c>
      <c r="G8" s="163">
        <v>29</v>
      </c>
      <c r="H8" s="163">
        <v>184</v>
      </c>
      <c r="I8" s="163" t="s">
        <v>263</v>
      </c>
      <c r="J8" s="163" t="s">
        <v>262</v>
      </c>
      <c r="K8" s="163">
        <v>37</v>
      </c>
      <c r="M8" s="162">
        <v>2012</v>
      </c>
      <c r="N8" s="144">
        <v>4915</v>
      </c>
      <c r="O8" s="144">
        <v>2037</v>
      </c>
      <c r="P8" s="52">
        <v>653</v>
      </c>
      <c r="Q8" s="52">
        <v>297</v>
      </c>
      <c r="R8" s="52">
        <v>683</v>
      </c>
      <c r="S8" s="52">
        <v>1234</v>
      </c>
      <c r="T8" s="144">
        <v>981</v>
      </c>
      <c r="U8" s="144">
        <v>3242</v>
      </c>
      <c r="V8" s="144">
        <v>671</v>
      </c>
    </row>
    <row r="9" spans="2:22" x14ac:dyDescent="0.25">
      <c r="B9" s="162">
        <v>2011</v>
      </c>
      <c r="C9" s="164">
        <v>75</v>
      </c>
      <c r="D9" s="163">
        <v>20422</v>
      </c>
      <c r="E9" s="164">
        <v>18</v>
      </c>
      <c r="F9" s="165" t="s">
        <v>262</v>
      </c>
      <c r="G9" s="163" t="s">
        <v>102</v>
      </c>
      <c r="H9" s="164">
        <f>99+236</f>
        <v>335</v>
      </c>
      <c r="I9" s="164">
        <v>3</v>
      </c>
      <c r="J9" s="164">
        <v>2263</v>
      </c>
      <c r="K9" s="164">
        <v>15</v>
      </c>
      <c r="M9" s="162">
        <v>2011</v>
      </c>
      <c r="N9" s="144">
        <v>5000</v>
      </c>
      <c r="O9" s="144">
        <v>1820</v>
      </c>
      <c r="P9" s="144">
        <v>234</v>
      </c>
      <c r="Q9" s="144">
        <v>745</v>
      </c>
      <c r="R9" s="52" t="s">
        <v>102</v>
      </c>
      <c r="S9" s="144">
        <f>737+720</f>
        <v>1457</v>
      </c>
      <c r="T9" s="144">
        <v>1631</v>
      </c>
      <c r="U9" s="144">
        <v>1761</v>
      </c>
      <c r="V9" s="144">
        <v>984</v>
      </c>
    </row>
    <row r="10" spans="2:22" x14ac:dyDescent="0.25">
      <c r="B10" s="162">
        <v>2010</v>
      </c>
      <c r="C10" s="165">
        <v>70</v>
      </c>
      <c r="D10" s="163">
        <v>45000</v>
      </c>
      <c r="E10" s="165">
        <v>4190</v>
      </c>
      <c r="F10" s="165">
        <v>470</v>
      </c>
      <c r="G10" s="165">
        <v>30</v>
      </c>
      <c r="H10" s="163">
        <v>1012</v>
      </c>
      <c r="I10" s="165">
        <v>37</v>
      </c>
      <c r="J10" s="165">
        <v>525</v>
      </c>
      <c r="K10" s="165">
        <v>122</v>
      </c>
      <c r="M10" s="162">
        <v>2010</v>
      </c>
      <c r="N10" s="53">
        <v>3862</v>
      </c>
      <c r="O10" s="53">
        <v>2303</v>
      </c>
      <c r="P10" s="53">
        <v>210</v>
      </c>
      <c r="Q10" s="53">
        <v>1470</v>
      </c>
      <c r="R10" s="53">
        <v>122</v>
      </c>
      <c r="S10" s="52">
        <v>1300</v>
      </c>
      <c r="T10" s="53">
        <v>1660</v>
      </c>
      <c r="U10" s="53">
        <v>786</v>
      </c>
      <c r="V10" s="53">
        <v>955</v>
      </c>
    </row>
    <row r="11" spans="2:22" x14ac:dyDescent="0.25">
      <c r="B11" s="162">
        <v>2009</v>
      </c>
      <c r="C11" s="163" t="s">
        <v>263</v>
      </c>
      <c r="D11" s="163">
        <v>30000</v>
      </c>
      <c r="E11" s="165">
        <v>1400</v>
      </c>
      <c r="F11" s="165">
        <v>70</v>
      </c>
      <c r="G11" s="163" t="s">
        <v>102</v>
      </c>
      <c r="H11" s="163">
        <v>300</v>
      </c>
      <c r="I11" s="163" t="s">
        <v>263</v>
      </c>
      <c r="J11" s="163" t="s">
        <v>262</v>
      </c>
      <c r="K11" s="165" t="s">
        <v>263</v>
      </c>
      <c r="M11" s="162">
        <v>2009</v>
      </c>
      <c r="N11" s="53">
        <v>3300</v>
      </c>
      <c r="O11" s="53">
        <v>3500</v>
      </c>
      <c r="P11" s="53">
        <v>355</v>
      </c>
      <c r="Q11" s="53">
        <v>650</v>
      </c>
      <c r="R11" s="52" t="s">
        <v>102</v>
      </c>
      <c r="S11" s="52">
        <v>1925</v>
      </c>
      <c r="T11" s="52">
        <v>1725</v>
      </c>
      <c r="U11" s="53">
        <v>825</v>
      </c>
      <c r="V11" s="53">
        <v>1210</v>
      </c>
    </row>
    <row r="12" spans="2:22" x14ac:dyDescent="0.25">
      <c r="B12" s="162">
        <v>2008</v>
      </c>
      <c r="C12" s="165">
        <v>10</v>
      </c>
      <c r="D12" s="163">
        <v>10547</v>
      </c>
      <c r="E12" s="165">
        <v>3</v>
      </c>
      <c r="F12" s="165" t="s">
        <v>262</v>
      </c>
      <c r="G12" s="163" t="s">
        <v>102</v>
      </c>
      <c r="H12" s="163">
        <v>68</v>
      </c>
      <c r="I12" s="165">
        <v>2</v>
      </c>
      <c r="J12" s="165">
        <v>296</v>
      </c>
      <c r="K12" s="165">
        <v>5</v>
      </c>
      <c r="M12" s="162">
        <v>2008</v>
      </c>
      <c r="N12" s="53">
        <v>1621</v>
      </c>
      <c r="O12" s="53">
        <v>1855</v>
      </c>
      <c r="P12" s="53">
        <v>445</v>
      </c>
      <c r="Q12" s="53">
        <v>770</v>
      </c>
      <c r="R12" s="52" t="s">
        <v>102</v>
      </c>
      <c r="S12" s="52">
        <v>1553</v>
      </c>
      <c r="T12" s="53">
        <v>939</v>
      </c>
      <c r="U12" s="53">
        <v>583</v>
      </c>
      <c r="V12" s="53">
        <v>427</v>
      </c>
    </row>
    <row r="13" spans="2:22" x14ac:dyDescent="0.25">
      <c r="B13" s="162">
        <v>2007</v>
      </c>
      <c r="C13" s="163" t="s">
        <v>262</v>
      </c>
      <c r="D13" s="163">
        <v>8920</v>
      </c>
      <c r="E13" s="165">
        <v>59</v>
      </c>
      <c r="F13" s="165">
        <v>3</v>
      </c>
      <c r="G13" s="163" t="s">
        <v>102</v>
      </c>
      <c r="H13" s="163">
        <v>59</v>
      </c>
      <c r="I13" s="163" t="s">
        <v>262</v>
      </c>
      <c r="J13" s="163">
        <v>355</v>
      </c>
      <c r="K13" s="163">
        <v>7</v>
      </c>
      <c r="M13" s="162">
        <v>2007</v>
      </c>
      <c r="N13" s="52">
        <v>2700</v>
      </c>
      <c r="O13" s="52">
        <v>1162</v>
      </c>
      <c r="P13" s="53">
        <v>406</v>
      </c>
      <c r="Q13" s="53">
        <v>16</v>
      </c>
      <c r="R13" s="123">
        <v>140</v>
      </c>
      <c r="S13" s="52">
        <v>605</v>
      </c>
      <c r="T13" s="52">
        <v>1570</v>
      </c>
      <c r="U13" s="52">
        <v>441</v>
      </c>
      <c r="V13" s="52">
        <v>250</v>
      </c>
    </row>
    <row r="14" spans="2:22" x14ac:dyDescent="0.25">
      <c r="B14" s="167">
        <v>2006</v>
      </c>
      <c r="C14" s="168">
        <v>8</v>
      </c>
      <c r="D14" s="169">
        <v>1465</v>
      </c>
      <c r="E14" s="168">
        <v>190</v>
      </c>
      <c r="F14" s="170">
        <v>3</v>
      </c>
      <c r="G14" s="168">
        <v>3</v>
      </c>
      <c r="H14" s="168">
        <v>179</v>
      </c>
      <c r="I14" s="168">
        <v>8</v>
      </c>
      <c r="J14" s="168">
        <v>82</v>
      </c>
      <c r="K14" s="168">
        <v>22</v>
      </c>
      <c r="M14" s="167">
        <v>2006</v>
      </c>
      <c r="N14" s="78">
        <v>1269</v>
      </c>
      <c r="O14" s="80"/>
      <c r="P14" s="78">
        <v>241</v>
      </c>
      <c r="Q14" s="78">
        <v>176</v>
      </c>
      <c r="R14" s="78">
        <v>83</v>
      </c>
      <c r="S14" s="78">
        <v>426</v>
      </c>
      <c r="T14" s="78">
        <v>501</v>
      </c>
      <c r="U14" s="78">
        <v>595</v>
      </c>
      <c r="V14" s="78">
        <v>381</v>
      </c>
    </row>
    <row r="15" spans="2:22" x14ac:dyDescent="0.25">
      <c r="B15" s="86">
        <v>2005</v>
      </c>
      <c r="C15" s="163">
        <v>2</v>
      </c>
      <c r="D15" s="163">
        <v>1800</v>
      </c>
      <c r="E15" s="163">
        <v>67</v>
      </c>
      <c r="F15" s="163">
        <v>2</v>
      </c>
      <c r="G15" s="163" t="s">
        <v>102</v>
      </c>
      <c r="H15" s="163">
        <v>296</v>
      </c>
      <c r="I15" s="163">
        <v>7</v>
      </c>
      <c r="J15" s="163">
        <v>212</v>
      </c>
      <c r="K15" s="163">
        <v>45</v>
      </c>
      <c r="M15" s="86">
        <v>2005</v>
      </c>
      <c r="N15" s="52">
        <v>10000</v>
      </c>
      <c r="O15" s="52">
        <v>1570</v>
      </c>
      <c r="P15" s="52">
        <v>384</v>
      </c>
      <c r="Q15" s="52" t="s">
        <v>263</v>
      </c>
      <c r="R15" s="52" t="s">
        <v>102</v>
      </c>
      <c r="S15" s="52">
        <v>830</v>
      </c>
      <c r="T15" s="52">
        <v>2003</v>
      </c>
      <c r="U15" s="52">
        <v>901</v>
      </c>
      <c r="V15" s="52">
        <v>543</v>
      </c>
    </row>
    <row r="16" spans="2:22" x14ac:dyDescent="0.25">
      <c r="B16" s="86">
        <v>2004</v>
      </c>
      <c r="C16" s="165" t="s">
        <v>263</v>
      </c>
      <c r="D16" s="163" t="s">
        <v>102</v>
      </c>
      <c r="E16" s="163">
        <v>2098</v>
      </c>
      <c r="F16" s="163">
        <v>44</v>
      </c>
      <c r="G16" s="163">
        <v>26</v>
      </c>
      <c r="H16" s="163">
        <v>352</v>
      </c>
      <c r="I16" s="163">
        <v>40</v>
      </c>
      <c r="J16" s="163">
        <v>551</v>
      </c>
      <c r="K16" s="165">
        <v>121</v>
      </c>
      <c r="M16" s="86">
        <v>2004</v>
      </c>
      <c r="N16" s="52">
        <v>10000</v>
      </c>
      <c r="O16" s="52" t="s">
        <v>102</v>
      </c>
      <c r="P16" s="52">
        <v>708</v>
      </c>
      <c r="Q16" s="52">
        <v>314</v>
      </c>
      <c r="R16" s="52">
        <v>583</v>
      </c>
      <c r="S16" s="52">
        <v>1030</v>
      </c>
      <c r="T16" s="52">
        <v>607</v>
      </c>
      <c r="U16" s="52">
        <v>1105</v>
      </c>
      <c r="V16" s="53">
        <v>800</v>
      </c>
    </row>
    <row r="17" spans="2:22" x14ac:dyDescent="0.25">
      <c r="B17" s="86">
        <v>2003</v>
      </c>
      <c r="C17" s="165">
        <v>151</v>
      </c>
      <c r="D17" s="163">
        <v>2456</v>
      </c>
      <c r="E17" s="165">
        <v>147</v>
      </c>
      <c r="F17" s="165" t="s">
        <v>262</v>
      </c>
      <c r="G17" s="165">
        <v>3</v>
      </c>
      <c r="H17" s="165">
        <v>450</v>
      </c>
      <c r="I17" s="165">
        <v>12</v>
      </c>
      <c r="J17" s="165">
        <v>1561</v>
      </c>
      <c r="K17" s="165">
        <v>55</v>
      </c>
      <c r="M17" s="86">
        <v>2003</v>
      </c>
      <c r="N17" s="53">
        <v>11287</v>
      </c>
      <c r="O17" s="53">
        <v>1517</v>
      </c>
      <c r="P17" s="53">
        <v>129</v>
      </c>
      <c r="Q17" s="53">
        <v>184</v>
      </c>
      <c r="R17" s="53">
        <v>929</v>
      </c>
      <c r="S17" s="53">
        <v>1286</v>
      </c>
      <c r="T17" s="53">
        <v>1479</v>
      </c>
      <c r="U17" s="53">
        <v>1289</v>
      </c>
      <c r="V17" s="53">
        <v>1114</v>
      </c>
    </row>
    <row r="19" spans="2:22" ht="39.6" x14ac:dyDescent="0.25">
      <c r="B19" s="26" t="s">
        <v>41</v>
      </c>
      <c r="C19" s="72" t="s">
        <v>101</v>
      </c>
      <c r="D19" s="72" t="s">
        <v>128</v>
      </c>
      <c r="E19" s="72" t="s">
        <v>125</v>
      </c>
      <c r="F19" s="72" t="s">
        <v>112</v>
      </c>
      <c r="G19" s="72" t="s">
        <v>143</v>
      </c>
      <c r="H19" s="72" t="s">
        <v>274</v>
      </c>
      <c r="I19" s="72" t="s">
        <v>190</v>
      </c>
      <c r="J19" s="72" t="s">
        <v>200</v>
      </c>
      <c r="K19" s="73" t="s">
        <v>183</v>
      </c>
      <c r="M19" s="26" t="s">
        <v>41</v>
      </c>
      <c r="N19" s="72" t="s">
        <v>101</v>
      </c>
      <c r="O19" s="72" t="s">
        <v>128</v>
      </c>
      <c r="P19" s="72" t="s">
        <v>125</v>
      </c>
      <c r="Q19" s="72" t="s">
        <v>112</v>
      </c>
      <c r="R19" s="72" t="s">
        <v>143</v>
      </c>
      <c r="S19" s="72" t="s">
        <v>274</v>
      </c>
      <c r="T19" s="72" t="s">
        <v>190</v>
      </c>
      <c r="U19" s="72" t="s">
        <v>200</v>
      </c>
      <c r="V19" s="73" t="s">
        <v>183</v>
      </c>
    </row>
    <row r="20" spans="2:22" x14ac:dyDescent="0.25">
      <c r="B20" s="26" t="s">
        <v>42</v>
      </c>
      <c r="C20" s="72" t="s">
        <v>96</v>
      </c>
      <c r="D20" s="161" t="s">
        <v>96</v>
      </c>
      <c r="E20" s="161" t="s">
        <v>96</v>
      </c>
      <c r="F20" s="161" t="s">
        <v>96</v>
      </c>
      <c r="G20" s="161" t="s">
        <v>96</v>
      </c>
      <c r="H20" s="161" t="s">
        <v>96</v>
      </c>
      <c r="I20" s="161" t="s">
        <v>96</v>
      </c>
      <c r="J20" s="161" t="s">
        <v>96</v>
      </c>
      <c r="K20" s="161" t="s">
        <v>96</v>
      </c>
      <c r="M20" s="26" t="s">
        <v>42</v>
      </c>
      <c r="N20" s="67" t="s">
        <v>97</v>
      </c>
      <c r="O20" s="65" t="s">
        <v>97</v>
      </c>
      <c r="P20" s="65" t="s">
        <v>97</v>
      </c>
      <c r="Q20" s="65" t="s">
        <v>97</v>
      </c>
      <c r="R20" s="65" t="s">
        <v>97</v>
      </c>
      <c r="S20" s="65" t="s">
        <v>97</v>
      </c>
      <c r="T20" s="65" t="s">
        <v>97</v>
      </c>
      <c r="U20" s="65" t="s">
        <v>97</v>
      </c>
      <c r="V20" s="65" t="s">
        <v>97</v>
      </c>
    </row>
    <row r="21" spans="2:22" x14ac:dyDescent="0.25">
      <c r="B21" s="162">
        <v>2015</v>
      </c>
      <c r="C21" s="163">
        <v>198781</v>
      </c>
      <c r="D21" s="163">
        <v>120</v>
      </c>
      <c r="E21" s="163">
        <v>7710</v>
      </c>
      <c r="F21" s="163">
        <v>6378</v>
      </c>
      <c r="G21" s="163">
        <v>3575</v>
      </c>
      <c r="H21" s="163">
        <v>2707</v>
      </c>
      <c r="I21" s="163">
        <v>1750</v>
      </c>
      <c r="J21" s="163">
        <v>619</v>
      </c>
      <c r="K21" s="163">
        <v>6302</v>
      </c>
      <c r="M21" s="162">
        <v>2015</v>
      </c>
      <c r="N21" s="52">
        <v>20464</v>
      </c>
      <c r="O21" s="52">
        <v>73</v>
      </c>
      <c r="P21" s="52">
        <v>447</v>
      </c>
      <c r="Q21" s="52">
        <v>2517</v>
      </c>
      <c r="R21" s="52">
        <v>644</v>
      </c>
      <c r="S21" s="52">
        <v>733</v>
      </c>
      <c r="T21" s="52">
        <v>3721</v>
      </c>
      <c r="U21" s="52">
        <v>49</v>
      </c>
      <c r="V21" s="52">
        <v>249</v>
      </c>
    </row>
    <row r="22" spans="2:22" x14ac:dyDescent="0.25">
      <c r="B22" s="162">
        <v>2014</v>
      </c>
      <c r="C22" s="164">
        <v>125000</v>
      </c>
      <c r="D22" s="171">
        <v>155</v>
      </c>
      <c r="E22" s="165">
        <v>4299</v>
      </c>
      <c r="F22" s="165">
        <v>1006</v>
      </c>
      <c r="G22" s="165">
        <v>1921</v>
      </c>
      <c r="H22" s="163">
        <v>1579</v>
      </c>
      <c r="I22" s="165">
        <v>41</v>
      </c>
      <c r="J22" s="163">
        <v>1061</v>
      </c>
      <c r="K22" s="165">
        <v>7911</v>
      </c>
      <c r="M22" s="162">
        <v>2014</v>
      </c>
      <c r="N22" s="144">
        <v>9000</v>
      </c>
      <c r="O22" s="158">
        <v>8</v>
      </c>
      <c r="P22" s="53">
        <v>73</v>
      </c>
      <c r="Q22" s="53">
        <v>384</v>
      </c>
      <c r="R22" s="53">
        <v>161</v>
      </c>
      <c r="S22" s="52">
        <v>289</v>
      </c>
      <c r="T22" s="53">
        <v>1223</v>
      </c>
      <c r="U22" s="52">
        <v>37</v>
      </c>
      <c r="V22" s="53">
        <v>219</v>
      </c>
    </row>
    <row r="23" spans="2:22" x14ac:dyDescent="0.25">
      <c r="B23" s="162">
        <v>2013</v>
      </c>
      <c r="C23" s="164">
        <v>24000</v>
      </c>
      <c r="D23" s="164">
        <v>9</v>
      </c>
      <c r="E23" s="164">
        <v>6465</v>
      </c>
      <c r="F23" s="164">
        <v>10036</v>
      </c>
      <c r="G23" s="164">
        <v>3949</v>
      </c>
      <c r="H23" s="165">
        <v>2677</v>
      </c>
      <c r="I23" s="164">
        <v>454</v>
      </c>
      <c r="J23" s="164">
        <v>1065</v>
      </c>
      <c r="K23" s="164">
        <v>12062</v>
      </c>
      <c r="M23" s="162">
        <v>2013</v>
      </c>
      <c r="N23" s="144">
        <v>10000</v>
      </c>
      <c r="O23" s="144">
        <v>62</v>
      </c>
      <c r="P23" s="144">
        <v>192</v>
      </c>
      <c r="Q23" s="144">
        <v>1171</v>
      </c>
      <c r="R23" s="144">
        <v>249</v>
      </c>
      <c r="S23" s="53">
        <v>584</v>
      </c>
      <c r="T23" s="144">
        <v>3630</v>
      </c>
      <c r="U23" s="144">
        <v>73</v>
      </c>
      <c r="V23" s="144">
        <v>684</v>
      </c>
    </row>
    <row r="24" spans="2:22" x14ac:dyDescent="0.25">
      <c r="B24" s="162">
        <v>2012</v>
      </c>
      <c r="C24" s="164">
        <v>200000</v>
      </c>
      <c r="D24" s="164">
        <v>115</v>
      </c>
      <c r="E24" s="163">
        <v>15755</v>
      </c>
      <c r="F24" s="163">
        <v>6971</v>
      </c>
      <c r="G24" s="163">
        <v>687</v>
      </c>
      <c r="H24" s="163">
        <v>3054</v>
      </c>
      <c r="I24" s="164">
        <v>3111</v>
      </c>
      <c r="J24" s="164">
        <v>1558</v>
      </c>
      <c r="K24" s="164">
        <v>4823</v>
      </c>
      <c r="M24" s="162">
        <v>2012</v>
      </c>
      <c r="N24" s="144">
        <v>5000</v>
      </c>
      <c r="O24" s="144">
        <v>15</v>
      </c>
      <c r="P24" s="52">
        <v>178</v>
      </c>
      <c r="Q24" s="52">
        <v>1484</v>
      </c>
      <c r="R24" s="52">
        <v>334</v>
      </c>
      <c r="S24" s="52">
        <v>199</v>
      </c>
      <c r="T24" s="144">
        <v>663</v>
      </c>
      <c r="U24" s="144">
        <v>80</v>
      </c>
      <c r="V24" s="144">
        <v>262</v>
      </c>
    </row>
    <row r="25" spans="2:22" x14ac:dyDescent="0.25">
      <c r="B25" s="162">
        <v>2011</v>
      </c>
      <c r="C25" s="164">
        <v>244000</v>
      </c>
      <c r="D25" s="164">
        <v>193</v>
      </c>
      <c r="E25" s="164">
        <v>27219</v>
      </c>
      <c r="F25" s="164">
        <v>33671</v>
      </c>
      <c r="G25" s="163" t="s">
        <v>102</v>
      </c>
      <c r="H25" s="164">
        <f>6026+675</f>
        <v>6701</v>
      </c>
      <c r="I25" s="164">
        <v>5159</v>
      </c>
      <c r="J25" s="164">
        <v>5267</v>
      </c>
      <c r="K25" s="164">
        <v>15480</v>
      </c>
      <c r="M25" s="162">
        <v>2011</v>
      </c>
      <c r="N25" s="144">
        <v>10000</v>
      </c>
      <c r="O25" s="144">
        <v>704</v>
      </c>
      <c r="P25" s="52">
        <v>640</v>
      </c>
      <c r="Q25" s="144">
        <v>1300</v>
      </c>
      <c r="R25" s="52" t="s">
        <v>102</v>
      </c>
      <c r="S25" s="144">
        <f>39+46</f>
        <v>85</v>
      </c>
      <c r="T25" s="144">
        <v>1326</v>
      </c>
      <c r="U25" s="144">
        <v>48</v>
      </c>
      <c r="V25" s="144">
        <v>221</v>
      </c>
    </row>
    <row r="26" spans="2:22" x14ac:dyDescent="0.25">
      <c r="B26" s="162">
        <v>2010</v>
      </c>
      <c r="C26" s="165">
        <v>56000</v>
      </c>
      <c r="D26" s="165">
        <v>71</v>
      </c>
      <c r="E26" s="165">
        <v>5970</v>
      </c>
      <c r="F26" s="165">
        <v>6400</v>
      </c>
      <c r="G26" s="165">
        <v>1725</v>
      </c>
      <c r="H26" s="163">
        <v>3370</v>
      </c>
      <c r="I26" s="165">
        <v>1580</v>
      </c>
      <c r="J26" s="165">
        <v>414</v>
      </c>
      <c r="K26" s="165">
        <v>8675</v>
      </c>
      <c r="M26" s="162">
        <v>2010</v>
      </c>
      <c r="N26" s="144">
        <v>4500</v>
      </c>
      <c r="O26" s="53">
        <v>1</v>
      </c>
      <c r="P26" s="53">
        <v>400</v>
      </c>
      <c r="Q26" s="53">
        <v>725</v>
      </c>
      <c r="R26" s="53">
        <v>317</v>
      </c>
      <c r="S26" s="52">
        <v>50</v>
      </c>
      <c r="T26" s="53">
        <v>440</v>
      </c>
      <c r="U26" s="53">
        <v>9</v>
      </c>
      <c r="V26" s="53">
        <v>225</v>
      </c>
    </row>
    <row r="27" spans="2:22" x14ac:dyDescent="0.25">
      <c r="B27" s="162">
        <v>2009</v>
      </c>
      <c r="C27" s="165">
        <v>58776</v>
      </c>
      <c r="D27" s="165">
        <v>350</v>
      </c>
      <c r="E27" s="165">
        <v>6400</v>
      </c>
      <c r="F27" s="165">
        <v>7655</v>
      </c>
      <c r="G27" s="163" t="s">
        <v>102</v>
      </c>
      <c r="H27" s="163">
        <v>1480</v>
      </c>
      <c r="I27" s="165">
        <v>1930</v>
      </c>
      <c r="J27" s="165">
        <v>205</v>
      </c>
      <c r="K27" s="165">
        <v>5100</v>
      </c>
      <c r="M27" s="162">
        <v>2009</v>
      </c>
      <c r="N27" s="53">
        <v>5346</v>
      </c>
      <c r="O27" s="53">
        <v>75</v>
      </c>
      <c r="P27" s="53">
        <v>100</v>
      </c>
      <c r="Q27" s="53">
        <v>505</v>
      </c>
      <c r="R27" s="52" t="s">
        <v>102</v>
      </c>
      <c r="S27" s="52">
        <v>44</v>
      </c>
      <c r="T27" s="53">
        <v>245</v>
      </c>
      <c r="U27" s="53">
        <v>15</v>
      </c>
      <c r="V27" s="53">
        <v>206</v>
      </c>
    </row>
    <row r="28" spans="2:22" x14ac:dyDescent="0.25">
      <c r="B28" s="162">
        <v>2008</v>
      </c>
      <c r="C28" s="165">
        <v>47798</v>
      </c>
      <c r="D28" s="165">
        <v>44</v>
      </c>
      <c r="E28" s="165">
        <v>8405</v>
      </c>
      <c r="F28" s="165">
        <v>4089</v>
      </c>
      <c r="G28" s="163" t="s">
        <v>102</v>
      </c>
      <c r="H28" s="163">
        <v>578</v>
      </c>
      <c r="I28" s="165">
        <v>500</v>
      </c>
      <c r="J28" s="165">
        <v>525</v>
      </c>
      <c r="K28" s="165">
        <v>2631</v>
      </c>
      <c r="M28" s="162">
        <v>2008</v>
      </c>
      <c r="N28" s="53">
        <v>8849</v>
      </c>
      <c r="O28" s="53">
        <v>123</v>
      </c>
      <c r="P28" s="53">
        <v>140</v>
      </c>
      <c r="Q28" s="53">
        <v>718</v>
      </c>
      <c r="R28" s="52" t="s">
        <v>102</v>
      </c>
      <c r="S28" s="52">
        <v>69</v>
      </c>
      <c r="T28" s="53">
        <v>449</v>
      </c>
      <c r="U28" s="53">
        <v>24</v>
      </c>
      <c r="V28" s="53">
        <v>215</v>
      </c>
    </row>
    <row r="29" spans="2:22" x14ac:dyDescent="0.25">
      <c r="B29" s="162">
        <v>2007</v>
      </c>
      <c r="C29" s="163">
        <v>110000</v>
      </c>
      <c r="D29" s="163">
        <v>69</v>
      </c>
      <c r="E29" s="165">
        <v>23576</v>
      </c>
      <c r="F29" s="172">
        <v>2500</v>
      </c>
      <c r="G29" s="163">
        <v>7500</v>
      </c>
      <c r="H29" s="163">
        <v>1535</v>
      </c>
      <c r="I29" s="163">
        <v>3268</v>
      </c>
      <c r="J29" s="163">
        <v>323</v>
      </c>
      <c r="K29" s="163">
        <v>6928</v>
      </c>
      <c r="M29" s="162">
        <v>2007</v>
      </c>
      <c r="N29" s="52">
        <v>6500</v>
      </c>
      <c r="O29" s="52">
        <v>182</v>
      </c>
      <c r="P29" s="53">
        <v>166</v>
      </c>
      <c r="Q29" s="53">
        <v>1300</v>
      </c>
      <c r="R29" s="52" t="s">
        <v>262</v>
      </c>
      <c r="S29" s="52">
        <v>41</v>
      </c>
      <c r="T29" s="52">
        <v>869</v>
      </c>
      <c r="U29" s="52">
        <v>13</v>
      </c>
      <c r="V29" s="52">
        <v>253</v>
      </c>
    </row>
    <row r="30" spans="2:22" x14ac:dyDescent="0.25">
      <c r="B30" s="167">
        <v>2006</v>
      </c>
      <c r="C30" s="168">
        <v>125000</v>
      </c>
      <c r="D30" s="168">
        <v>130</v>
      </c>
      <c r="E30" s="168">
        <v>8472</v>
      </c>
      <c r="F30" s="168">
        <v>2529</v>
      </c>
      <c r="G30" s="168">
        <v>2091</v>
      </c>
      <c r="H30" s="168">
        <v>5643</v>
      </c>
      <c r="I30" s="168">
        <v>4295</v>
      </c>
      <c r="J30" s="168">
        <v>9036</v>
      </c>
      <c r="K30" s="168">
        <v>10695</v>
      </c>
      <c r="M30" s="167">
        <v>2006</v>
      </c>
      <c r="N30" s="78">
        <v>12580</v>
      </c>
      <c r="O30" s="79">
        <v>37</v>
      </c>
      <c r="P30" s="78">
        <v>351</v>
      </c>
      <c r="Q30" s="78">
        <v>2904</v>
      </c>
      <c r="R30" s="78">
        <v>864</v>
      </c>
      <c r="S30" s="78">
        <v>104</v>
      </c>
      <c r="T30" s="78">
        <v>422</v>
      </c>
      <c r="U30" s="78">
        <v>117</v>
      </c>
      <c r="V30" s="78">
        <v>414</v>
      </c>
    </row>
    <row r="31" spans="2:22" x14ac:dyDescent="0.25">
      <c r="B31" s="86">
        <v>2005</v>
      </c>
      <c r="C31" s="163">
        <v>300000</v>
      </c>
      <c r="D31" s="163">
        <v>138</v>
      </c>
      <c r="E31" s="165">
        <v>28810</v>
      </c>
      <c r="F31" s="165">
        <v>15000</v>
      </c>
      <c r="G31" s="163" t="s">
        <v>102</v>
      </c>
      <c r="H31" s="163">
        <v>1913</v>
      </c>
      <c r="I31" s="163">
        <v>567</v>
      </c>
      <c r="J31" s="163">
        <v>97</v>
      </c>
      <c r="K31" s="163">
        <v>11197</v>
      </c>
      <c r="M31" s="86">
        <v>2005</v>
      </c>
      <c r="N31" s="52">
        <v>12000</v>
      </c>
      <c r="O31" s="52">
        <v>37</v>
      </c>
      <c r="P31" s="52">
        <v>159</v>
      </c>
      <c r="Q31" s="53">
        <v>1000</v>
      </c>
      <c r="R31" s="52" t="s">
        <v>102</v>
      </c>
      <c r="S31" s="52">
        <v>65</v>
      </c>
      <c r="T31" s="52">
        <v>500</v>
      </c>
      <c r="U31" s="52">
        <v>36</v>
      </c>
      <c r="V31" s="52">
        <v>635</v>
      </c>
    </row>
    <row r="32" spans="2:22" x14ac:dyDescent="0.25">
      <c r="B32" s="86">
        <v>2004</v>
      </c>
      <c r="C32" s="163">
        <v>235000</v>
      </c>
      <c r="D32" s="163" t="s">
        <v>102</v>
      </c>
      <c r="E32" s="163">
        <v>35237</v>
      </c>
      <c r="F32" s="163">
        <v>22231</v>
      </c>
      <c r="G32" s="163">
        <v>1713</v>
      </c>
      <c r="H32" s="163">
        <v>8111</v>
      </c>
      <c r="I32" s="163">
        <v>4614</v>
      </c>
      <c r="J32" s="165">
        <v>2204</v>
      </c>
      <c r="K32" s="165">
        <v>22368</v>
      </c>
      <c r="M32" s="86">
        <v>2004</v>
      </c>
      <c r="N32" s="52">
        <v>18790</v>
      </c>
      <c r="O32" s="52" t="s">
        <v>102</v>
      </c>
      <c r="P32" s="52">
        <v>1192</v>
      </c>
      <c r="Q32" s="52">
        <v>3104</v>
      </c>
      <c r="R32" s="52">
        <v>704</v>
      </c>
      <c r="S32" s="52">
        <v>141</v>
      </c>
      <c r="T32" s="52">
        <v>490</v>
      </c>
      <c r="U32" s="52">
        <v>72</v>
      </c>
      <c r="V32" s="53">
        <v>1127</v>
      </c>
    </row>
    <row r="33" spans="2:22" x14ac:dyDescent="0.25">
      <c r="B33" s="86">
        <v>2003</v>
      </c>
      <c r="C33" s="165">
        <v>235414</v>
      </c>
      <c r="D33" s="165">
        <v>40</v>
      </c>
      <c r="E33" s="165">
        <v>51294</v>
      </c>
      <c r="F33" s="165">
        <v>10000</v>
      </c>
      <c r="G33" s="165">
        <v>8921</v>
      </c>
      <c r="H33" s="165">
        <v>4839</v>
      </c>
      <c r="I33" s="165">
        <v>6009</v>
      </c>
      <c r="J33" s="165">
        <v>3119</v>
      </c>
      <c r="K33" s="165">
        <v>8449</v>
      </c>
      <c r="M33" s="86">
        <v>2003</v>
      </c>
      <c r="N33" s="53">
        <v>25821</v>
      </c>
      <c r="O33" s="53">
        <v>78</v>
      </c>
      <c r="P33" s="53">
        <v>630</v>
      </c>
      <c r="Q33" s="53">
        <v>3380</v>
      </c>
      <c r="R33" s="52">
        <v>463</v>
      </c>
      <c r="S33" s="53">
        <v>137</v>
      </c>
      <c r="T33" s="53">
        <v>500</v>
      </c>
      <c r="U33" s="53">
        <v>28</v>
      </c>
      <c r="V33" s="53">
        <v>1775</v>
      </c>
    </row>
    <row r="36" spans="2:22" ht="26.4" x14ac:dyDescent="0.25">
      <c r="B36" s="26" t="s">
        <v>41</v>
      </c>
      <c r="C36" s="72" t="s">
        <v>101</v>
      </c>
      <c r="D36" s="72" t="s">
        <v>125</v>
      </c>
      <c r="E36" s="72" t="s">
        <v>112</v>
      </c>
      <c r="F36" s="72" t="s">
        <v>143</v>
      </c>
      <c r="G36" s="72" t="s">
        <v>274</v>
      </c>
      <c r="H36" s="72" t="s">
        <v>190</v>
      </c>
      <c r="I36" s="72" t="s">
        <v>200</v>
      </c>
    </row>
    <row r="37" spans="2:22" x14ac:dyDescent="0.25">
      <c r="B37" s="26" t="s">
        <v>42</v>
      </c>
      <c r="C37" s="72" t="s">
        <v>95</v>
      </c>
      <c r="D37" s="161" t="s">
        <v>95</v>
      </c>
      <c r="E37" s="161" t="s">
        <v>95</v>
      </c>
      <c r="F37" s="161" t="s">
        <v>95</v>
      </c>
      <c r="G37" s="161" t="s">
        <v>95</v>
      </c>
      <c r="H37" s="161" t="s">
        <v>95</v>
      </c>
      <c r="I37" s="161" t="s">
        <v>95</v>
      </c>
    </row>
    <row r="38" spans="2:22" x14ac:dyDescent="0.25">
      <c r="B38" s="162">
        <v>2015</v>
      </c>
      <c r="C38" s="163">
        <v>65</v>
      </c>
      <c r="D38" s="163" t="s">
        <v>263</v>
      </c>
      <c r="E38" s="163">
        <v>46</v>
      </c>
      <c r="F38" s="163">
        <v>71</v>
      </c>
      <c r="G38" s="163">
        <v>31</v>
      </c>
      <c r="H38" s="163">
        <v>6</v>
      </c>
      <c r="I38" s="163">
        <v>36</v>
      </c>
    </row>
    <row r="39" spans="2:22" x14ac:dyDescent="0.25">
      <c r="B39" s="162">
        <v>2014</v>
      </c>
      <c r="C39" s="164" t="s">
        <v>262</v>
      </c>
      <c r="D39" s="165" t="s">
        <v>263</v>
      </c>
      <c r="E39" s="165" t="s">
        <v>263</v>
      </c>
      <c r="F39" s="165">
        <v>6</v>
      </c>
      <c r="G39" s="163">
        <v>69</v>
      </c>
      <c r="H39" s="165" t="s">
        <v>262</v>
      </c>
      <c r="I39" s="163" t="s">
        <v>262</v>
      </c>
    </row>
    <row r="40" spans="2:22" x14ac:dyDescent="0.25">
      <c r="B40" s="162">
        <v>2013</v>
      </c>
      <c r="C40" s="164" t="s">
        <v>263</v>
      </c>
      <c r="D40" s="164" t="s">
        <v>263</v>
      </c>
      <c r="E40" s="164" t="s">
        <v>263</v>
      </c>
      <c r="F40" s="164">
        <v>32</v>
      </c>
      <c r="G40" s="165">
        <v>92</v>
      </c>
      <c r="H40" s="164">
        <v>29</v>
      </c>
      <c r="I40" s="164">
        <v>63</v>
      </c>
    </row>
    <row r="41" spans="2:22" x14ac:dyDescent="0.25">
      <c r="B41" s="162">
        <v>2012</v>
      </c>
      <c r="C41" s="164" t="s">
        <v>262</v>
      </c>
      <c r="D41" s="163" t="s">
        <v>262</v>
      </c>
      <c r="E41" s="163">
        <v>10</v>
      </c>
      <c r="F41" s="163" t="s">
        <v>262</v>
      </c>
      <c r="G41" s="163">
        <v>108</v>
      </c>
      <c r="H41" s="163" t="s">
        <v>262</v>
      </c>
      <c r="I41" s="163" t="s">
        <v>263</v>
      </c>
    </row>
    <row r="42" spans="2:22" x14ac:dyDescent="0.25">
      <c r="B42" s="162">
        <v>2011</v>
      </c>
      <c r="C42" s="164">
        <v>7</v>
      </c>
      <c r="D42" s="164">
        <v>3</v>
      </c>
      <c r="E42" s="164">
        <v>9</v>
      </c>
      <c r="F42" s="163" t="s">
        <v>102</v>
      </c>
      <c r="G42" s="164">
        <f>13+21</f>
        <v>34</v>
      </c>
      <c r="H42" s="164">
        <v>2</v>
      </c>
      <c r="I42" s="164">
        <v>21</v>
      </c>
    </row>
    <row r="43" spans="2:22" x14ac:dyDescent="0.25">
      <c r="B43" s="162">
        <v>2010</v>
      </c>
      <c r="C43" s="163" t="s">
        <v>263</v>
      </c>
      <c r="D43" s="165">
        <v>10</v>
      </c>
      <c r="E43" s="163" t="s">
        <v>263</v>
      </c>
      <c r="F43" s="163" t="s">
        <v>262</v>
      </c>
      <c r="G43" s="163">
        <v>42</v>
      </c>
      <c r="H43" s="163" t="s">
        <v>262</v>
      </c>
      <c r="I43" s="163" t="s">
        <v>262</v>
      </c>
    </row>
    <row r="44" spans="2:22" x14ac:dyDescent="0.25">
      <c r="B44" s="162">
        <v>2009</v>
      </c>
      <c r="C44" s="163" t="s">
        <v>263</v>
      </c>
      <c r="D44" s="163" t="s">
        <v>263</v>
      </c>
      <c r="E44" s="163" t="s">
        <v>263</v>
      </c>
      <c r="F44" s="163" t="s">
        <v>102</v>
      </c>
      <c r="G44" s="163">
        <v>30</v>
      </c>
      <c r="H44" s="163" t="s">
        <v>263</v>
      </c>
      <c r="I44" s="165">
        <v>13</v>
      </c>
    </row>
    <row r="45" spans="2:22" x14ac:dyDescent="0.25">
      <c r="B45" s="162">
        <v>2008</v>
      </c>
      <c r="C45" s="165">
        <v>2</v>
      </c>
      <c r="D45" s="165" t="s">
        <v>262</v>
      </c>
      <c r="E45" s="165">
        <v>3</v>
      </c>
      <c r="F45" s="163" t="s">
        <v>102</v>
      </c>
      <c r="G45" s="163">
        <v>3</v>
      </c>
      <c r="H45" s="165" t="s">
        <v>262</v>
      </c>
      <c r="I45" s="165" t="s">
        <v>262</v>
      </c>
    </row>
    <row r="46" spans="2:22" x14ac:dyDescent="0.25">
      <c r="B46" s="162">
        <v>2007</v>
      </c>
      <c r="C46" s="163" t="s">
        <v>262</v>
      </c>
      <c r="D46" s="165" t="s">
        <v>262</v>
      </c>
      <c r="E46" s="165" t="s">
        <v>262</v>
      </c>
      <c r="F46" s="163" t="s">
        <v>102</v>
      </c>
      <c r="G46" s="163">
        <v>3</v>
      </c>
      <c r="H46" s="163">
        <v>3</v>
      </c>
      <c r="I46" s="163">
        <v>2</v>
      </c>
    </row>
    <row r="47" spans="2:22" x14ac:dyDescent="0.25">
      <c r="B47" s="167">
        <v>2006</v>
      </c>
      <c r="C47" s="168" t="s">
        <v>262</v>
      </c>
      <c r="D47" s="168" t="s">
        <v>262</v>
      </c>
      <c r="E47" s="168" t="s">
        <v>262</v>
      </c>
      <c r="F47" s="168" t="s">
        <v>262</v>
      </c>
      <c r="G47" s="168" t="s">
        <v>262</v>
      </c>
      <c r="H47" s="168" t="s">
        <v>262</v>
      </c>
      <c r="I47" s="168" t="s">
        <v>262</v>
      </c>
    </row>
    <row r="48" spans="2:22" x14ac:dyDescent="0.25">
      <c r="B48" s="86">
        <v>2005</v>
      </c>
      <c r="C48" s="163">
        <v>1</v>
      </c>
      <c r="D48" s="165" t="s">
        <v>262</v>
      </c>
      <c r="E48" s="165" t="s">
        <v>262</v>
      </c>
      <c r="F48" s="163" t="s">
        <v>102</v>
      </c>
      <c r="G48" s="163">
        <v>8</v>
      </c>
      <c r="H48" s="163" t="s">
        <v>262</v>
      </c>
      <c r="I48" s="163">
        <v>1</v>
      </c>
    </row>
    <row r="49" spans="2:9" x14ac:dyDescent="0.25">
      <c r="B49" s="86">
        <v>2004</v>
      </c>
      <c r="C49" s="165" t="s">
        <v>263</v>
      </c>
      <c r="D49" s="163">
        <v>1</v>
      </c>
      <c r="E49" s="163">
        <v>3</v>
      </c>
      <c r="F49" s="163" t="s">
        <v>262</v>
      </c>
      <c r="G49" s="163">
        <v>2</v>
      </c>
      <c r="H49" s="163" t="s">
        <v>262</v>
      </c>
      <c r="I49" s="163" t="s">
        <v>262</v>
      </c>
    </row>
    <row r="50" spans="2:9" x14ac:dyDescent="0.25">
      <c r="B50" s="86">
        <v>2003</v>
      </c>
      <c r="C50" s="165">
        <v>3</v>
      </c>
      <c r="D50" s="165">
        <v>12</v>
      </c>
      <c r="E50" s="165">
        <v>6</v>
      </c>
      <c r="F50" s="165">
        <v>1</v>
      </c>
      <c r="G50" s="165">
        <v>9</v>
      </c>
      <c r="H50" s="165">
        <v>1</v>
      </c>
      <c r="I50" s="165">
        <v>4</v>
      </c>
    </row>
  </sheetData>
  <pageMargins left="0.7" right="0.7" top="0.75" bottom="0.75" header="0.3" footer="0.3"/>
  <pageSetup scale="64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4"/>
  <sheetViews>
    <sheetView topLeftCell="A62" workbookViewId="0">
      <selection activeCell="B15" sqref="B15"/>
    </sheetView>
  </sheetViews>
  <sheetFormatPr defaultRowHeight="13.2" x14ac:dyDescent="0.25"/>
  <cols>
    <col min="1" max="1" width="25.109375" customWidth="1"/>
    <col min="3" max="3" width="34" bestFit="1" customWidth="1"/>
    <col min="5" max="5" width="14.88671875" customWidth="1"/>
    <col min="6" max="6" width="17.44140625" bestFit="1" customWidth="1"/>
    <col min="7" max="7" width="15.88671875" customWidth="1"/>
  </cols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5">
      <c r="A2" s="1" t="s">
        <v>504</v>
      </c>
      <c r="B2" s="1" t="s">
        <v>42</v>
      </c>
      <c r="C2" s="96" t="s">
        <v>41</v>
      </c>
      <c r="D2" s="97" t="s">
        <v>37</v>
      </c>
      <c r="E2" s="96" t="s">
        <v>505</v>
      </c>
      <c r="F2" s="98" t="s">
        <v>506</v>
      </c>
      <c r="G2" s="98" t="s">
        <v>507</v>
      </c>
      <c r="H2" s="98" t="s">
        <v>508</v>
      </c>
    </row>
    <row r="3" spans="1:8" ht="14.25" customHeight="1" x14ac:dyDescent="0.25">
      <c r="A3" t="str">
        <f>CONCATENATE(C3,"_",B3)</f>
        <v>GORDON RIVER_Pink</v>
      </c>
      <c r="B3" t="s">
        <v>95</v>
      </c>
      <c r="C3" s="99" t="s">
        <v>36</v>
      </c>
      <c r="D3" s="100">
        <v>20</v>
      </c>
      <c r="E3" s="99" t="s">
        <v>509</v>
      </c>
      <c r="F3" s="101" t="s">
        <v>510</v>
      </c>
      <c r="G3" s="101" t="s">
        <v>511</v>
      </c>
      <c r="H3" s="101">
        <v>6</v>
      </c>
    </row>
    <row r="4" spans="1:8" ht="14.25" customHeight="1" x14ac:dyDescent="0.25">
      <c r="A4" t="str">
        <f t="shared" ref="A4:A67" si="0">CONCATENATE(C4,"_",B4)</f>
        <v>SAN JUAN RIVER_Pink</v>
      </c>
      <c r="B4" t="s">
        <v>95</v>
      </c>
      <c r="C4" s="99" t="s">
        <v>27</v>
      </c>
      <c r="D4" s="100">
        <v>20</v>
      </c>
      <c r="E4" s="99" t="s">
        <v>509</v>
      </c>
      <c r="F4" s="101" t="s">
        <v>510</v>
      </c>
      <c r="G4" s="101" t="s">
        <v>511</v>
      </c>
      <c r="H4" s="101">
        <v>6</v>
      </c>
    </row>
    <row r="5" spans="1:8" ht="14.25" customHeight="1" x14ac:dyDescent="0.25">
      <c r="A5" t="str">
        <f t="shared" si="0"/>
        <v>NITINAT RIVER_Pink</v>
      </c>
      <c r="B5" t="s">
        <v>95</v>
      </c>
      <c r="C5" s="99" t="s">
        <v>101</v>
      </c>
      <c r="D5" s="102">
        <v>22</v>
      </c>
      <c r="E5" s="99" t="s">
        <v>509</v>
      </c>
      <c r="F5" s="101" t="s">
        <v>510</v>
      </c>
      <c r="G5" s="101" t="s">
        <v>511</v>
      </c>
      <c r="H5" s="101">
        <v>6</v>
      </c>
    </row>
    <row r="6" spans="1:8" ht="14.25" customHeight="1" x14ac:dyDescent="0.25">
      <c r="A6" t="str">
        <f t="shared" si="0"/>
        <v>NAHMINT RIVER_Pink</v>
      </c>
      <c r="B6" t="s">
        <v>95</v>
      </c>
      <c r="C6" s="99" t="s">
        <v>125</v>
      </c>
      <c r="D6" s="102">
        <v>23</v>
      </c>
      <c r="E6" s="99" t="s">
        <v>509</v>
      </c>
      <c r="F6" s="101" t="s">
        <v>510</v>
      </c>
      <c r="G6" s="101" t="s">
        <v>511</v>
      </c>
      <c r="H6" s="101">
        <v>6</v>
      </c>
    </row>
    <row r="7" spans="1:8" ht="14.25" customHeight="1" x14ac:dyDescent="0.25">
      <c r="A7" t="str">
        <f t="shared" si="0"/>
        <v>SARITA RIVER_Pink</v>
      </c>
      <c r="B7" t="s">
        <v>95</v>
      </c>
      <c r="C7" s="99" t="s">
        <v>112</v>
      </c>
      <c r="D7" s="102">
        <v>23</v>
      </c>
      <c r="E7" s="99" t="s">
        <v>509</v>
      </c>
      <c r="F7" s="101" t="s">
        <v>510</v>
      </c>
      <c r="G7" s="101" t="s">
        <v>511</v>
      </c>
      <c r="H7" s="101">
        <v>6</v>
      </c>
    </row>
    <row r="8" spans="1:8" ht="14.25" customHeight="1" x14ac:dyDescent="0.25">
      <c r="A8" t="str">
        <f t="shared" si="0"/>
        <v>SOMASS SYSTEM_Pink</v>
      </c>
      <c r="B8" t="s">
        <v>95</v>
      </c>
      <c r="C8" s="99" t="s">
        <v>40</v>
      </c>
      <c r="D8" s="102">
        <v>23</v>
      </c>
      <c r="E8" s="99" t="s">
        <v>509</v>
      </c>
      <c r="F8" s="101" t="s">
        <v>510</v>
      </c>
      <c r="G8" s="101" t="s">
        <v>511</v>
      </c>
      <c r="H8" s="101">
        <v>6</v>
      </c>
    </row>
    <row r="9" spans="1:8" ht="14.25" customHeight="1" x14ac:dyDescent="0.25">
      <c r="A9" t="str">
        <f t="shared" si="0"/>
        <v>THORNTON CREEK_Pink</v>
      </c>
      <c r="B9" t="s">
        <v>95</v>
      </c>
      <c r="C9" s="99" t="s">
        <v>152</v>
      </c>
      <c r="D9" s="102">
        <v>23</v>
      </c>
      <c r="E9" s="99" t="s">
        <v>509</v>
      </c>
      <c r="F9" s="101" t="s">
        <v>510</v>
      </c>
      <c r="G9" s="101" t="s">
        <v>511</v>
      </c>
      <c r="H9" s="101">
        <v>6</v>
      </c>
    </row>
    <row r="10" spans="1:8" ht="14.25" customHeight="1" x14ac:dyDescent="0.25">
      <c r="A10" t="str">
        <f t="shared" si="0"/>
        <v>TOQUART RIVER_Pink</v>
      </c>
      <c r="B10" t="s">
        <v>95</v>
      </c>
      <c r="C10" s="99" t="s">
        <v>143</v>
      </c>
      <c r="D10" s="102">
        <v>23</v>
      </c>
      <c r="E10" s="99" t="s">
        <v>509</v>
      </c>
      <c r="F10" s="101" t="s">
        <v>510</v>
      </c>
      <c r="G10" s="101" t="s">
        <v>511</v>
      </c>
      <c r="H10" s="101">
        <v>6</v>
      </c>
    </row>
    <row r="11" spans="1:8" ht="14.25" customHeight="1" x14ac:dyDescent="0.25">
      <c r="A11" t="str">
        <f t="shared" si="0"/>
        <v>BEDWELL/URSUS_Pink</v>
      </c>
      <c r="B11" t="s">
        <v>95</v>
      </c>
      <c r="C11" s="99" t="s">
        <v>274</v>
      </c>
      <c r="D11" s="102">
        <v>24</v>
      </c>
      <c r="E11" s="99" t="s">
        <v>509</v>
      </c>
      <c r="F11" s="101" t="s">
        <v>510</v>
      </c>
      <c r="G11" s="101" t="s">
        <v>511</v>
      </c>
      <c r="H11" s="101">
        <v>6</v>
      </c>
    </row>
    <row r="12" spans="1:8" ht="14.25" customHeight="1" x14ac:dyDescent="0.25">
      <c r="A12" t="str">
        <f t="shared" si="0"/>
        <v>CYPRE RIVER_Pink</v>
      </c>
      <c r="B12" t="s">
        <v>95</v>
      </c>
      <c r="C12" s="99" t="s">
        <v>190</v>
      </c>
      <c r="D12" s="102">
        <v>24</v>
      </c>
      <c r="E12" s="99" t="s">
        <v>509</v>
      </c>
      <c r="F12" s="101" t="s">
        <v>510</v>
      </c>
      <c r="G12" s="101" t="s">
        <v>511</v>
      </c>
      <c r="H12" s="101">
        <v>6</v>
      </c>
    </row>
    <row r="13" spans="1:8" ht="14.25" customHeight="1" x14ac:dyDescent="0.25">
      <c r="A13" t="str">
        <f t="shared" si="0"/>
        <v>MEGIN RIVER_Pink</v>
      </c>
      <c r="B13" t="s">
        <v>95</v>
      </c>
      <c r="C13" s="99" t="s">
        <v>200</v>
      </c>
      <c r="D13" s="102">
        <v>24</v>
      </c>
      <c r="E13" s="99" t="s">
        <v>509</v>
      </c>
      <c r="F13" s="101" t="s">
        <v>510</v>
      </c>
      <c r="G13" s="101" t="s">
        <v>511</v>
      </c>
      <c r="H13" s="101">
        <v>6</v>
      </c>
    </row>
    <row r="14" spans="1:8" ht="14.25" customHeight="1" x14ac:dyDescent="0.25">
      <c r="A14" t="str">
        <f t="shared" si="0"/>
        <v>MOYEHA RIVER_Pink</v>
      </c>
      <c r="B14" t="s">
        <v>95</v>
      </c>
      <c r="C14" s="99" t="s">
        <v>194</v>
      </c>
      <c r="D14" s="102">
        <v>24</v>
      </c>
      <c r="E14" s="99" t="s">
        <v>509</v>
      </c>
      <c r="F14" s="101" t="s">
        <v>510</v>
      </c>
      <c r="G14" s="101" t="s">
        <v>511</v>
      </c>
      <c r="H14" s="101">
        <v>6</v>
      </c>
    </row>
    <row r="15" spans="1:8" ht="14.25" customHeight="1" x14ac:dyDescent="0.25">
      <c r="A15" t="str">
        <f t="shared" si="0"/>
        <v>BURMAN RIVER_Pink</v>
      </c>
      <c r="B15" t="s">
        <v>95</v>
      </c>
      <c r="C15" s="99" t="s">
        <v>216</v>
      </c>
      <c r="D15" s="102">
        <v>25</v>
      </c>
      <c r="E15" s="99" t="s">
        <v>509</v>
      </c>
      <c r="F15" s="101" t="s">
        <v>510</v>
      </c>
      <c r="G15" s="101" t="s">
        <v>511</v>
      </c>
      <c r="H15" s="101">
        <v>6</v>
      </c>
    </row>
    <row r="16" spans="1:8" ht="14.25" customHeight="1" x14ac:dyDescent="0.25">
      <c r="A16" t="str">
        <f t="shared" si="0"/>
        <v>CONUMA RIVER_Pink</v>
      </c>
      <c r="B16" t="s">
        <v>95</v>
      </c>
      <c r="C16" s="99" t="s">
        <v>224</v>
      </c>
      <c r="D16" s="102">
        <v>25</v>
      </c>
      <c r="E16" s="99" t="s">
        <v>509</v>
      </c>
      <c r="F16" s="101" t="s">
        <v>510</v>
      </c>
      <c r="G16" s="101" t="s">
        <v>511</v>
      </c>
      <c r="H16" s="101">
        <v>6</v>
      </c>
    </row>
    <row r="17" spans="1:8" ht="14.25" customHeight="1" x14ac:dyDescent="0.25">
      <c r="A17" t="str">
        <f t="shared" si="0"/>
        <v>ESPINOSA CREEK_Pink</v>
      </c>
      <c r="B17" t="s">
        <v>95</v>
      </c>
      <c r="C17" s="99" t="s">
        <v>243</v>
      </c>
      <c r="D17" s="102">
        <v>25</v>
      </c>
      <c r="E17" s="99" t="s">
        <v>509</v>
      </c>
      <c r="F17" s="101" t="s">
        <v>510</v>
      </c>
      <c r="G17" s="101" t="s">
        <v>511</v>
      </c>
      <c r="H17" s="101">
        <v>6</v>
      </c>
    </row>
    <row r="18" spans="1:8" ht="14.25" customHeight="1" x14ac:dyDescent="0.25">
      <c r="A18" t="str">
        <f t="shared" si="0"/>
        <v>LEINER RIVER_Pink</v>
      </c>
      <c r="B18" t="s">
        <v>95</v>
      </c>
      <c r="C18" s="99" t="s">
        <v>230</v>
      </c>
      <c r="D18" s="102">
        <v>25</v>
      </c>
      <c r="E18" s="99" t="s">
        <v>509</v>
      </c>
      <c r="F18" s="101" t="s">
        <v>510</v>
      </c>
      <c r="G18" s="101" t="s">
        <v>511</v>
      </c>
      <c r="H18" s="101">
        <v>6</v>
      </c>
    </row>
    <row r="19" spans="1:8" ht="14.25" customHeight="1" x14ac:dyDescent="0.25">
      <c r="A19" t="str">
        <f t="shared" si="0"/>
        <v>SUCWOA RIVER_Pink</v>
      </c>
      <c r="B19" t="s">
        <v>95</v>
      </c>
      <c r="C19" s="99" t="s">
        <v>226</v>
      </c>
      <c r="D19" s="102">
        <v>25</v>
      </c>
      <c r="E19" s="99" t="s">
        <v>509</v>
      </c>
      <c r="F19" s="101" t="s">
        <v>510</v>
      </c>
      <c r="G19" s="101" t="s">
        <v>511</v>
      </c>
      <c r="H19" s="101">
        <v>6</v>
      </c>
    </row>
    <row r="20" spans="1:8" ht="14.25" customHeight="1" x14ac:dyDescent="0.25">
      <c r="A20" t="str">
        <f t="shared" si="0"/>
        <v>TAHSIS RIVER_Pink</v>
      </c>
      <c r="B20" t="s">
        <v>95</v>
      </c>
      <c r="C20" s="99" t="s">
        <v>231</v>
      </c>
      <c r="D20" s="102">
        <v>25</v>
      </c>
      <c r="E20" s="99" t="s">
        <v>509</v>
      </c>
      <c r="F20" s="101" t="s">
        <v>510</v>
      </c>
      <c r="G20" s="101" t="s">
        <v>511</v>
      </c>
      <c r="H20" s="101">
        <v>6</v>
      </c>
    </row>
    <row r="21" spans="1:8" ht="14.25" customHeight="1" x14ac:dyDescent="0.25">
      <c r="A21" t="str">
        <f t="shared" si="0"/>
        <v>TLUPANA RIVER_Pink</v>
      </c>
      <c r="B21" t="s">
        <v>95</v>
      </c>
      <c r="C21" s="99" t="s">
        <v>223</v>
      </c>
      <c r="D21" s="102">
        <v>25</v>
      </c>
      <c r="E21" s="99" t="s">
        <v>509</v>
      </c>
      <c r="F21" s="101" t="s">
        <v>510</v>
      </c>
      <c r="G21" s="101" t="s">
        <v>511</v>
      </c>
      <c r="H21" s="101">
        <v>6</v>
      </c>
    </row>
    <row r="22" spans="1:8" ht="14.25" customHeight="1" x14ac:dyDescent="0.25">
      <c r="A22" t="str">
        <f t="shared" si="0"/>
        <v>ZEBALLOS RIVER_Pink</v>
      </c>
      <c r="B22" t="s">
        <v>95</v>
      </c>
      <c r="C22" s="99" t="s">
        <v>241</v>
      </c>
      <c r="D22" s="102">
        <v>25</v>
      </c>
      <c r="E22" s="99" t="s">
        <v>509</v>
      </c>
      <c r="F22" s="101" t="s">
        <v>510</v>
      </c>
      <c r="G22" s="101" t="s">
        <v>511</v>
      </c>
      <c r="H22" s="101">
        <v>6</v>
      </c>
    </row>
    <row r="23" spans="1:8" ht="14.25" customHeight="1" x14ac:dyDescent="0.25">
      <c r="A23" t="str">
        <f t="shared" si="0"/>
        <v>KAOUK RIVER_Pink</v>
      </c>
      <c r="B23" t="s">
        <v>95</v>
      </c>
      <c r="C23" s="99" t="s">
        <v>251</v>
      </c>
      <c r="D23" s="102">
        <v>26</v>
      </c>
      <c r="E23" s="99" t="s">
        <v>509</v>
      </c>
      <c r="F23" s="101" t="s">
        <v>510</v>
      </c>
      <c r="G23" s="101" t="s">
        <v>511</v>
      </c>
      <c r="H23" s="101">
        <v>6</v>
      </c>
    </row>
    <row r="24" spans="1:8" ht="14.25" customHeight="1" x14ac:dyDescent="0.25">
      <c r="A24" t="str">
        <f t="shared" si="0"/>
        <v>TAHSISH RIVER_Pink</v>
      </c>
      <c r="B24" t="s">
        <v>95</v>
      </c>
      <c r="C24" s="99" t="s">
        <v>253</v>
      </c>
      <c r="D24" s="102">
        <v>26</v>
      </c>
      <c r="E24" s="99" t="s">
        <v>509</v>
      </c>
      <c r="F24" s="101" t="s">
        <v>510</v>
      </c>
      <c r="G24" s="101" t="s">
        <v>511</v>
      </c>
      <c r="H24" s="101">
        <v>6</v>
      </c>
    </row>
    <row r="25" spans="1:8" ht="14.25" customHeight="1" x14ac:dyDescent="0.25">
      <c r="A25" t="str">
        <f t="shared" si="0"/>
        <v>COLONIAL/CAYEGHLE CREEKS_Pink</v>
      </c>
      <c r="B25" t="s">
        <v>95</v>
      </c>
      <c r="C25" s="99" t="s">
        <v>275</v>
      </c>
      <c r="D25" s="102">
        <v>27</v>
      </c>
      <c r="E25" s="99" t="s">
        <v>512</v>
      </c>
      <c r="F25" s="103" t="s">
        <v>513</v>
      </c>
      <c r="G25" s="103" t="s">
        <v>514</v>
      </c>
      <c r="H25" s="103">
        <v>5</v>
      </c>
    </row>
    <row r="26" spans="1:8" ht="14.25" customHeight="1" x14ac:dyDescent="0.25">
      <c r="A26" t="str">
        <f t="shared" si="0"/>
        <v>MARBLE RIVER_Pink</v>
      </c>
      <c r="B26" t="s">
        <v>95</v>
      </c>
      <c r="C26" s="99" t="s">
        <v>17</v>
      </c>
      <c r="D26" s="102">
        <v>27</v>
      </c>
      <c r="E26" s="99" t="s">
        <v>512</v>
      </c>
      <c r="F26" s="103" t="s">
        <v>513</v>
      </c>
      <c r="G26" s="103" t="s">
        <v>514</v>
      </c>
      <c r="H26" s="103">
        <v>5</v>
      </c>
    </row>
    <row r="27" spans="1:8" ht="14.25" customHeight="1" x14ac:dyDescent="0.25">
      <c r="A27" t="str">
        <f t="shared" si="0"/>
        <v>GORDON RIVER_Pink</v>
      </c>
      <c r="B27" t="s">
        <v>95</v>
      </c>
      <c r="C27" s="99" t="s">
        <v>36</v>
      </c>
      <c r="D27" s="100">
        <v>20</v>
      </c>
      <c r="E27" s="99" t="s">
        <v>515</v>
      </c>
      <c r="F27" s="101" t="s">
        <v>516</v>
      </c>
      <c r="G27" s="101" t="s">
        <v>511</v>
      </c>
      <c r="H27" s="101">
        <v>2</v>
      </c>
    </row>
    <row r="28" spans="1:8" ht="14.25" customHeight="1" x14ac:dyDescent="0.25">
      <c r="A28" t="str">
        <f t="shared" si="0"/>
        <v>SAN JUAN RIVER_Pink</v>
      </c>
      <c r="B28" t="s">
        <v>95</v>
      </c>
      <c r="C28" s="99" t="s">
        <v>27</v>
      </c>
      <c r="D28" s="100">
        <v>20</v>
      </c>
      <c r="E28" s="99" t="s">
        <v>515</v>
      </c>
      <c r="F28" s="101" t="s">
        <v>516</v>
      </c>
      <c r="G28" s="101" t="s">
        <v>511</v>
      </c>
      <c r="H28" s="101">
        <v>2</v>
      </c>
    </row>
    <row r="29" spans="1:8" ht="14.25" customHeight="1" x14ac:dyDescent="0.25">
      <c r="A29" t="str">
        <f t="shared" si="0"/>
        <v>NITINAT RIVER_Pink</v>
      </c>
      <c r="B29" t="s">
        <v>95</v>
      </c>
      <c r="C29" s="99" t="s">
        <v>101</v>
      </c>
      <c r="D29" s="102">
        <v>22</v>
      </c>
      <c r="E29" s="99" t="s">
        <v>515</v>
      </c>
      <c r="F29" s="101" t="s">
        <v>516</v>
      </c>
      <c r="G29" s="101" t="s">
        <v>511</v>
      </c>
      <c r="H29" s="101">
        <v>2</v>
      </c>
    </row>
    <row r="30" spans="1:8" ht="14.25" customHeight="1" x14ac:dyDescent="0.25">
      <c r="A30" t="str">
        <f t="shared" si="0"/>
        <v>NAHMINT RIVER_Pink</v>
      </c>
      <c r="B30" t="s">
        <v>95</v>
      </c>
      <c r="C30" s="99" t="s">
        <v>125</v>
      </c>
      <c r="D30" s="102">
        <v>23</v>
      </c>
      <c r="E30" s="99" t="s">
        <v>515</v>
      </c>
      <c r="F30" s="101" t="s">
        <v>516</v>
      </c>
      <c r="G30" s="101" t="s">
        <v>511</v>
      </c>
      <c r="H30" s="101">
        <v>2</v>
      </c>
    </row>
    <row r="31" spans="1:8" ht="14.25" customHeight="1" x14ac:dyDescent="0.25">
      <c r="A31" t="str">
        <f t="shared" si="0"/>
        <v>SARITA RIVER_Pink</v>
      </c>
      <c r="B31" t="s">
        <v>95</v>
      </c>
      <c r="C31" s="99" t="s">
        <v>112</v>
      </c>
      <c r="D31" s="102">
        <v>23</v>
      </c>
      <c r="E31" s="99" t="s">
        <v>515</v>
      </c>
      <c r="F31" s="101" t="s">
        <v>516</v>
      </c>
      <c r="G31" s="101" t="s">
        <v>511</v>
      </c>
      <c r="H31" s="101">
        <v>2</v>
      </c>
    </row>
    <row r="32" spans="1:8" ht="14.25" customHeight="1" x14ac:dyDescent="0.25">
      <c r="A32" t="str">
        <f t="shared" si="0"/>
        <v>SOMASS SYSTEM_Pink</v>
      </c>
      <c r="B32" t="s">
        <v>95</v>
      </c>
      <c r="C32" s="99" t="s">
        <v>40</v>
      </c>
      <c r="D32" s="102">
        <v>23</v>
      </c>
      <c r="E32" s="99" t="s">
        <v>515</v>
      </c>
      <c r="F32" s="101" t="s">
        <v>516</v>
      </c>
      <c r="G32" s="101" t="s">
        <v>511</v>
      </c>
      <c r="H32" s="101">
        <v>2</v>
      </c>
    </row>
    <row r="33" spans="1:8" ht="14.25" customHeight="1" x14ac:dyDescent="0.25">
      <c r="A33" t="str">
        <f t="shared" si="0"/>
        <v>THORNTON CREEK_Pink</v>
      </c>
      <c r="B33" t="s">
        <v>95</v>
      </c>
      <c r="C33" s="99" t="s">
        <v>152</v>
      </c>
      <c r="D33" s="102">
        <v>23</v>
      </c>
      <c r="E33" s="99" t="s">
        <v>515</v>
      </c>
      <c r="F33" s="101" t="s">
        <v>516</v>
      </c>
      <c r="G33" s="101" t="s">
        <v>511</v>
      </c>
      <c r="H33" s="101">
        <v>2</v>
      </c>
    </row>
    <row r="34" spans="1:8" ht="14.25" customHeight="1" x14ac:dyDescent="0.25">
      <c r="A34" t="str">
        <f t="shared" si="0"/>
        <v>TOQUART RIVER_Pink</v>
      </c>
      <c r="B34" t="s">
        <v>95</v>
      </c>
      <c r="C34" s="99" t="s">
        <v>143</v>
      </c>
      <c r="D34" s="102">
        <v>23</v>
      </c>
      <c r="E34" s="99" t="s">
        <v>515</v>
      </c>
      <c r="F34" s="101" t="s">
        <v>516</v>
      </c>
      <c r="G34" s="101" t="s">
        <v>511</v>
      </c>
      <c r="H34" s="101">
        <v>2</v>
      </c>
    </row>
    <row r="35" spans="1:8" ht="14.25" customHeight="1" x14ac:dyDescent="0.25">
      <c r="A35" t="str">
        <f t="shared" si="0"/>
        <v>BEDWELL/URSUS_Pink</v>
      </c>
      <c r="B35" t="s">
        <v>95</v>
      </c>
      <c r="C35" s="99" t="s">
        <v>274</v>
      </c>
      <c r="D35" s="102">
        <v>24</v>
      </c>
      <c r="E35" s="99" t="s">
        <v>515</v>
      </c>
      <c r="F35" s="101" t="s">
        <v>516</v>
      </c>
      <c r="G35" s="101" t="s">
        <v>511</v>
      </c>
      <c r="H35" s="101">
        <v>2</v>
      </c>
    </row>
    <row r="36" spans="1:8" ht="14.25" customHeight="1" x14ac:dyDescent="0.25">
      <c r="A36" t="str">
        <f t="shared" si="0"/>
        <v>CYPRE RIVER_Pink</v>
      </c>
      <c r="B36" t="s">
        <v>95</v>
      </c>
      <c r="C36" s="99" t="s">
        <v>190</v>
      </c>
      <c r="D36" s="102">
        <v>24</v>
      </c>
      <c r="E36" s="99" t="s">
        <v>515</v>
      </c>
      <c r="F36" s="101" t="s">
        <v>516</v>
      </c>
      <c r="G36" s="101" t="s">
        <v>511</v>
      </c>
      <c r="H36" s="101">
        <v>2</v>
      </c>
    </row>
    <row r="37" spans="1:8" ht="14.25" customHeight="1" x14ac:dyDescent="0.25">
      <c r="A37" t="str">
        <f t="shared" si="0"/>
        <v>MEGIN RIVER_Pink</v>
      </c>
      <c r="B37" t="s">
        <v>95</v>
      </c>
      <c r="C37" s="99" t="s">
        <v>200</v>
      </c>
      <c r="D37" s="102">
        <v>24</v>
      </c>
      <c r="E37" s="99" t="s">
        <v>515</v>
      </c>
      <c r="F37" s="101" t="s">
        <v>516</v>
      </c>
      <c r="G37" s="101" t="s">
        <v>511</v>
      </c>
      <c r="H37" s="101">
        <v>2</v>
      </c>
    </row>
    <row r="38" spans="1:8" ht="14.25" customHeight="1" x14ac:dyDescent="0.25">
      <c r="A38" t="str">
        <f t="shared" si="0"/>
        <v>MOYEHA RIVER_Pink</v>
      </c>
      <c r="B38" t="s">
        <v>95</v>
      </c>
      <c r="C38" s="99" t="s">
        <v>194</v>
      </c>
      <c r="D38" s="102">
        <v>24</v>
      </c>
      <c r="E38" s="99" t="s">
        <v>515</v>
      </c>
      <c r="F38" s="101" t="s">
        <v>516</v>
      </c>
      <c r="G38" s="101" t="s">
        <v>511</v>
      </c>
      <c r="H38" s="101">
        <v>2</v>
      </c>
    </row>
    <row r="39" spans="1:8" ht="14.25" customHeight="1" x14ac:dyDescent="0.25">
      <c r="A39" t="str">
        <f t="shared" si="0"/>
        <v>BURMAN RIVER_Pink</v>
      </c>
      <c r="B39" t="s">
        <v>95</v>
      </c>
      <c r="C39" s="99" t="s">
        <v>216</v>
      </c>
      <c r="D39" s="102">
        <v>25</v>
      </c>
      <c r="E39" s="99" t="s">
        <v>515</v>
      </c>
      <c r="F39" s="101" t="s">
        <v>516</v>
      </c>
      <c r="G39" s="101" t="s">
        <v>511</v>
      </c>
      <c r="H39" s="101">
        <v>2</v>
      </c>
    </row>
    <row r="40" spans="1:8" ht="14.25" customHeight="1" x14ac:dyDescent="0.25">
      <c r="A40" t="str">
        <f t="shared" si="0"/>
        <v>CONUMA RIVER_Pink</v>
      </c>
      <c r="B40" t="s">
        <v>95</v>
      </c>
      <c r="C40" s="99" t="s">
        <v>224</v>
      </c>
      <c r="D40" s="102">
        <v>25</v>
      </c>
      <c r="E40" s="99" t="s">
        <v>515</v>
      </c>
      <c r="F40" s="101" t="s">
        <v>516</v>
      </c>
      <c r="G40" s="101" t="s">
        <v>511</v>
      </c>
      <c r="H40" s="101">
        <v>2</v>
      </c>
    </row>
    <row r="41" spans="1:8" ht="14.25" customHeight="1" x14ac:dyDescent="0.25">
      <c r="A41" t="str">
        <f t="shared" si="0"/>
        <v>ESPINOSA CREEK_Pink</v>
      </c>
      <c r="B41" t="s">
        <v>95</v>
      </c>
      <c r="C41" s="99" t="s">
        <v>243</v>
      </c>
      <c r="D41" s="102">
        <v>25</v>
      </c>
      <c r="E41" s="99" t="s">
        <v>515</v>
      </c>
      <c r="F41" s="101" t="s">
        <v>516</v>
      </c>
      <c r="G41" s="101" t="s">
        <v>511</v>
      </c>
      <c r="H41" s="101">
        <v>2</v>
      </c>
    </row>
    <row r="42" spans="1:8" ht="14.25" customHeight="1" x14ac:dyDescent="0.25">
      <c r="A42" t="str">
        <f t="shared" si="0"/>
        <v>LEINER RIVER_Pink</v>
      </c>
      <c r="B42" t="s">
        <v>95</v>
      </c>
      <c r="C42" s="99" t="s">
        <v>230</v>
      </c>
      <c r="D42" s="102">
        <v>25</v>
      </c>
      <c r="E42" s="99" t="s">
        <v>515</v>
      </c>
      <c r="F42" s="101" t="s">
        <v>516</v>
      </c>
      <c r="G42" s="101" t="s">
        <v>511</v>
      </c>
      <c r="H42" s="101">
        <v>2</v>
      </c>
    </row>
    <row r="43" spans="1:8" ht="14.25" customHeight="1" x14ac:dyDescent="0.25">
      <c r="A43" t="str">
        <f t="shared" si="0"/>
        <v>SUCWOA RIVER_Pink</v>
      </c>
      <c r="B43" t="s">
        <v>95</v>
      </c>
      <c r="C43" s="99" t="s">
        <v>226</v>
      </c>
      <c r="D43" s="102">
        <v>25</v>
      </c>
      <c r="E43" s="99" t="s">
        <v>515</v>
      </c>
      <c r="F43" s="101" t="s">
        <v>516</v>
      </c>
      <c r="G43" s="101" t="s">
        <v>511</v>
      </c>
      <c r="H43" s="101">
        <v>2</v>
      </c>
    </row>
    <row r="44" spans="1:8" ht="14.25" customHeight="1" x14ac:dyDescent="0.25">
      <c r="A44" t="str">
        <f t="shared" si="0"/>
        <v>TAHSIS RIVER_Pink</v>
      </c>
      <c r="B44" t="s">
        <v>95</v>
      </c>
      <c r="C44" s="99" t="s">
        <v>231</v>
      </c>
      <c r="D44" s="102">
        <v>25</v>
      </c>
      <c r="E44" s="99" t="s">
        <v>515</v>
      </c>
      <c r="F44" s="101" t="s">
        <v>516</v>
      </c>
      <c r="G44" s="101" t="s">
        <v>511</v>
      </c>
      <c r="H44" s="101">
        <v>2</v>
      </c>
    </row>
    <row r="45" spans="1:8" ht="14.25" customHeight="1" x14ac:dyDescent="0.25">
      <c r="A45" t="str">
        <f t="shared" si="0"/>
        <v>TLUPANA RIVER_Pink</v>
      </c>
      <c r="B45" t="s">
        <v>95</v>
      </c>
      <c r="C45" s="99" t="s">
        <v>223</v>
      </c>
      <c r="D45" s="102">
        <v>25</v>
      </c>
      <c r="E45" s="99" t="s">
        <v>515</v>
      </c>
      <c r="F45" s="101" t="s">
        <v>516</v>
      </c>
      <c r="G45" s="101" t="s">
        <v>511</v>
      </c>
      <c r="H45" s="101">
        <v>2</v>
      </c>
    </row>
    <row r="46" spans="1:8" ht="14.25" customHeight="1" x14ac:dyDescent="0.25">
      <c r="A46" t="str">
        <f t="shared" si="0"/>
        <v>ZEBALLOS RIVER_Pink</v>
      </c>
      <c r="B46" t="s">
        <v>95</v>
      </c>
      <c r="C46" s="99" t="s">
        <v>241</v>
      </c>
      <c r="D46" s="102">
        <v>25</v>
      </c>
      <c r="E46" s="99" t="s">
        <v>515</v>
      </c>
      <c r="F46" s="101" t="s">
        <v>516</v>
      </c>
      <c r="G46" s="101" t="s">
        <v>511</v>
      </c>
      <c r="H46" s="101">
        <v>2</v>
      </c>
    </row>
    <row r="47" spans="1:8" ht="14.25" customHeight="1" x14ac:dyDescent="0.25">
      <c r="A47" t="str">
        <f t="shared" si="0"/>
        <v>KAOUK RIVER_Pink</v>
      </c>
      <c r="B47" t="s">
        <v>95</v>
      </c>
      <c r="C47" s="99" t="s">
        <v>251</v>
      </c>
      <c r="D47" s="102">
        <v>26</v>
      </c>
      <c r="E47" s="99" t="s">
        <v>515</v>
      </c>
      <c r="F47" s="101" t="s">
        <v>516</v>
      </c>
      <c r="G47" s="101" t="s">
        <v>511</v>
      </c>
      <c r="H47" s="101">
        <v>2</v>
      </c>
    </row>
    <row r="48" spans="1:8" ht="14.25" customHeight="1" x14ac:dyDescent="0.25">
      <c r="A48" t="str">
        <f t="shared" si="0"/>
        <v>TAHSISH RIVER_Pink</v>
      </c>
      <c r="B48" t="s">
        <v>95</v>
      </c>
      <c r="C48" s="99" t="s">
        <v>253</v>
      </c>
      <c r="D48" s="102">
        <v>26</v>
      </c>
      <c r="E48" s="99" t="s">
        <v>515</v>
      </c>
      <c r="F48" s="101" t="s">
        <v>516</v>
      </c>
      <c r="G48" s="101" t="s">
        <v>511</v>
      </c>
      <c r="H48" s="101">
        <v>2</v>
      </c>
    </row>
    <row r="49" spans="1:8" ht="14.25" customHeight="1" x14ac:dyDescent="0.25">
      <c r="A49" t="str">
        <f t="shared" si="0"/>
        <v>COLONIAL/CAYEGHLE CREEKS_Pink</v>
      </c>
      <c r="B49" t="s">
        <v>95</v>
      </c>
      <c r="C49" s="99" t="s">
        <v>275</v>
      </c>
      <c r="D49" s="102">
        <v>27</v>
      </c>
      <c r="E49" s="104" t="s">
        <v>517</v>
      </c>
      <c r="F49" s="105" t="s">
        <v>518</v>
      </c>
      <c r="G49" s="105" t="s">
        <v>519</v>
      </c>
      <c r="H49" s="103">
        <v>3</v>
      </c>
    </row>
    <row r="50" spans="1:8" ht="14.25" customHeight="1" x14ac:dyDescent="0.25">
      <c r="A50" t="str">
        <f t="shared" si="0"/>
        <v>MARBLE RIVER_Pink</v>
      </c>
      <c r="B50" t="s">
        <v>95</v>
      </c>
      <c r="C50" s="99" t="s">
        <v>17</v>
      </c>
      <c r="D50" s="102">
        <v>27</v>
      </c>
      <c r="E50" s="104" t="s">
        <v>517</v>
      </c>
      <c r="F50" s="105" t="s">
        <v>518</v>
      </c>
      <c r="G50" s="105" t="s">
        <v>519</v>
      </c>
      <c r="H50" s="103">
        <v>3</v>
      </c>
    </row>
    <row r="51" spans="1:8" ht="14.25" customHeight="1" x14ac:dyDescent="0.25">
      <c r="A51" t="str">
        <f t="shared" si="0"/>
        <v>AYUM CREEK_Coho</v>
      </c>
      <c r="B51" t="s">
        <v>93</v>
      </c>
      <c r="C51" s="99" t="s">
        <v>22</v>
      </c>
      <c r="D51" s="100">
        <v>20</v>
      </c>
      <c r="E51" s="99" t="s">
        <v>520</v>
      </c>
      <c r="F51" s="101" t="s">
        <v>521</v>
      </c>
      <c r="G51" s="101" t="s">
        <v>522</v>
      </c>
      <c r="H51" s="101">
        <v>13</v>
      </c>
    </row>
    <row r="52" spans="1:8" ht="14.25" customHeight="1" x14ac:dyDescent="0.25">
      <c r="A52" t="str">
        <f t="shared" si="0"/>
        <v>CHARTERS RIVER_Coho</v>
      </c>
      <c r="B52" t="s">
        <v>93</v>
      </c>
      <c r="C52" s="99" t="s">
        <v>25</v>
      </c>
      <c r="D52" s="100">
        <v>20</v>
      </c>
      <c r="E52" s="99" t="s">
        <v>520</v>
      </c>
      <c r="F52" s="101" t="s">
        <v>521</v>
      </c>
      <c r="G52" s="101" t="s">
        <v>522</v>
      </c>
      <c r="H52" s="101">
        <v>13</v>
      </c>
    </row>
    <row r="53" spans="1:8" ht="14.25" customHeight="1" x14ac:dyDescent="0.25">
      <c r="A53" t="str">
        <f t="shared" si="0"/>
        <v>DE MAMIEL CREEK_Coho</v>
      </c>
      <c r="B53" t="s">
        <v>93</v>
      </c>
      <c r="C53" s="99" t="s">
        <v>24</v>
      </c>
      <c r="D53" s="100">
        <v>20</v>
      </c>
      <c r="E53" s="99" t="s">
        <v>520</v>
      </c>
      <c r="F53" s="101" t="s">
        <v>521</v>
      </c>
      <c r="G53" s="101" t="s">
        <v>522</v>
      </c>
      <c r="H53" s="101">
        <v>13</v>
      </c>
    </row>
    <row r="54" spans="1:8" ht="14.25" customHeight="1" x14ac:dyDescent="0.25">
      <c r="A54" t="str">
        <f t="shared" si="0"/>
        <v>MUIR CREEK_Coho</v>
      </c>
      <c r="B54" t="s">
        <v>93</v>
      </c>
      <c r="C54" s="99" t="s">
        <v>26</v>
      </c>
      <c r="D54" s="100">
        <v>20</v>
      </c>
      <c r="E54" s="99" t="s">
        <v>520</v>
      </c>
      <c r="F54" s="101" t="s">
        <v>521</v>
      </c>
      <c r="G54" s="101" t="s">
        <v>522</v>
      </c>
      <c r="H54" s="101">
        <v>13</v>
      </c>
    </row>
    <row r="55" spans="1:8" ht="14.25" customHeight="1" x14ac:dyDescent="0.25">
      <c r="A55" t="str">
        <f t="shared" si="0"/>
        <v>SOOKE RIVER_Coho</v>
      </c>
      <c r="B55" t="s">
        <v>93</v>
      </c>
      <c r="C55" s="99" t="s">
        <v>23</v>
      </c>
      <c r="D55" s="100">
        <v>20</v>
      </c>
      <c r="E55" s="99" t="s">
        <v>520</v>
      </c>
      <c r="F55" s="101" t="s">
        <v>521</v>
      </c>
      <c r="G55" s="101" t="s">
        <v>522</v>
      </c>
      <c r="H55" s="101">
        <v>13</v>
      </c>
    </row>
    <row r="56" spans="1:8" ht="14.25" customHeight="1" x14ac:dyDescent="0.25">
      <c r="A56" t="str">
        <f t="shared" si="0"/>
        <v>FALLS CREEK_Coho</v>
      </c>
      <c r="B56" t="s">
        <v>93</v>
      </c>
      <c r="C56" s="99" t="s">
        <v>29</v>
      </c>
      <c r="D56" s="100">
        <v>20</v>
      </c>
      <c r="E56" s="99" t="s">
        <v>523</v>
      </c>
      <c r="F56" s="103" t="s">
        <v>524</v>
      </c>
      <c r="G56" s="101" t="s">
        <v>525</v>
      </c>
      <c r="H56" s="101">
        <v>16</v>
      </c>
    </row>
    <row r="57" spans="1:8" ht="14.25" customHeight="1" x14ac:dyDescent="0.25">
      <c r="A57" t="str">
        <f t="shared" si="0"/>
        <v>GORDON RIVER_Coho</v>
      </c>
      <c r="B57" t="s">
        <v>93</v>
      </c>
      <c r="C57" s="99" t="s">
        <v>36</v>
      </c>
      <c r="D57" s="100">
        <v>20</v>
      </c>
      <c r="E57" s="99" t="s">
        <v>523</v>
      </c>
      <c r="F57" s="103" t="s">
        <v>524</v>
      </c>
      <c r="G57" s="101" t="s">
        <v>525</v>
      </c>
      <c r="H57" s="101">
        <v>16</v>
      </c>
    </row>
    <row r="58" spans="1:8" ht="14.25" customHeight="1" x14ac:dyDescent="0.25">
      <c r="A58" t="str">
        <f t="shared" si="0"/>
        <v>HARRIS CREEK_Coho</v>
      </c>
      <c r="B58" t="s">
        <v>93</v>
      </c>
      <c r="C58" s="99" t="s">
        <v>33</v>
      </c>
      <c r="D58" s="100">
        <v>20</v>
      </c>
      <c r="E58" s="99" t="s">
        <v>523</v>
      </c>
      <c r="F58" s="103" t="s">
        <v>524</v>
      </c>
      <c r="G58" s="101" t="s">
        <v>525</v>
      </c>
      <c r="H58" s="101">
        <v>16</v>
      </c>
    </row>
    <row r="59" spans="1:8" ht="14.25" customHeight="1" x14ac:dyDescent="0.25">
      <c r="A59" t="str">
        <f t="shared" si="0"/>
        <v>HEMMINGSEN CREEK_Coho</v>
      </c>
      <c r="B59" t="s">
        <v>93</v>
      </c>
      <c r="C59" s="99" t="s">
        <v>34</v>
      </c>
      <c r="D59" s="100">
        <v>20</v>
      </c>
      <c r="E59" s="99" t="s">
        <v>523</v>
      </c>
      <c r="F59" s="103" t="s">
        <v>524</v>
      </c>
      <c r="G59" s="101" t="s">
        <v>525</v>
      </c>
      <c r="H59" s="101">
        <v>16</v>
      </c>
    </row>
    <row r="60" spans="1:8" ht="14.25" customHeight="1" x14ac:dyDescent="0.25">
      <c r="A60" t="str">
        <f t="shared" si="0"/>
        <v>LENS CREEK_Coho</v>
      </c>
      <c r="B60" t="s">
        <v>93</v>
      </c>
      <c r="C60" s="99" t="s">
        <v>35</v>
      </c>
      <c r="D60" s="100">
        <v>20</v>
      </c>
      <c r="E60" s="99" t="s">
        <v>523</v>
      </c>
      <c r="F60" s="103" t="s">
        <v>524</v>
      </c>
      <c r="G60" s="101" t="s">
        <v>525</v>
      </c>
      <c r="H60" s="101">
        <v>16</v>
      </c>
    </row>
    <row r="61" spans="1:8" ht="14.25" customHeight="1" x14ac:dyDescent="0.25">
      <c r="A61" t="str">
        <f t="shared" si="0"/>
        <v>MOSQUITO CREEK_Coho</v>
      </c>
      <c r="B61" t="s">
        <v>93</v>
      </c>
      <c r="C61" s="99" t="s">
        <v>30</v>
      </c>
      <c r="D61" s="100">
        <v>20</v>
      </c>
      <c r="E61" s="99" t="s">
        <v>523</v>
      </c>
      <c r="F61" s="103" t="s">
        <v>524</v>
      </c>
      <c r="G61" s="101" t="s">
        <v>525</v>
      </c>
      <c r="H61" s="101">
        <v>16</v>
      </c>
    </row>
    <row r="62" spans="1:8" ht="14.25" customHeight="1" x14ac:dyDescent="0.25">
      <c r="A62" t="str">
        <f t="shared" si="0"/>
        <v>RENFREW CREEK_Coho</v>
      </c>
      <c r="B62" t="s">
        <v>93</v>
      </c>
      <c r="C62" s="99" t="s">
        <v>32</v>
      </c>
      <c r="D62" s="100">
        <v>20</v>
      </c>
      <c r="E62" s="99" t="s">
        <v>523</v>
      </c>
      <c r="F62" s="103" t="s">
        <v>524</v>
      </c>
      <c r="G62" s="101" t="s">
        <v>525</v>
      </c>
      <c r="H62" s="101">
        <v>16</v>
      </c>
    </row>
    <row r="63" spans="1:8" ht="14.25" customHeight="1" x14ac:dyDescent="0.25">
      <c r="A63" t="str">
        <f t="shared" si="0"/>
        <v>SAN JUAN RIVER_Coho</v>
      </c>
      <c r="B63" t="s">
        <v>93</v>
      </c>
      <c r="C63" s="99" t="s">
        <v>27</v>
      </c>
      <c r="D63" s="100">
        <v>20</v>
      </c>
      <c r="E63" s="99" t="s">
        <v>523</v>
      </c>
      <c r="F63" s="103" t="s">
        <v>524</v>
      </c>
      <c r="G63" s="101" t="s">
        <v>525</v>
      </c>
      <c r="H63" s="101">
        <v>16</v>
      </c>
    </row>
    <row r="64" spans="1:8" ht="14.25" customHeight="1" x14ac:dyDescent="0.25">
      <c r="A64" t="str">
        <f t="shared" si="0"/>
        <v>CARMANAH CREEK_Coho</v>
      </c>
      <c r="B64" t="s">
        <v>93</v>
      </c>
      <c r="C64" s="99" t="s">
        <v>90</v>
      </c>
      <c r="D64" s="102">
        <v>21</v>
      </c>
      <c r="E64" s="99" t="s">
        <v>523</v>
      </c>
      <c r="F64" s="103" t="s">
        <v>524</v>
      </c>
      <c r="G64" s="101" t="s">
        <v>525</v>
      </c>
      <c r="H64" s="101">
        <v>16</v>
      </c>
    </row>
    <row r="65" spans="1:8" ht="14.25" customHeight="1" x14ac:dyDescent="0.25">
      <c r="A65" t="str">
        <f t="shared" si="0"/>
        <v>CHEEWHAT RIVER_Coho</v>
      </c>
      <c r="B65" t="s">
        <v>93</v>
      </c>
      <c r="C65" s="99" t="s">
        <v>98</v>
      </c>
      <c r="D65" s="102">
        <v>21</v>
      </c>
      <c r="E65" s="99" t="s">
        <v>523</v>
      </c>
      <c r="F65" s="103" t="s">
        <v>524</v>
      </c>
      <c r="G65" s="101" t="s">
        <v>525</v>
      </c>
      <c r="H65" s="101">
        <v>16</v>
      </c>
    </row>
    <row r="66" spans="1:8" ht="14.25" customHeight="1" x14ac:dyDescent="0.25">
      <c r="A66" t="str">
        <f t="shared" si="0"/>
        <v>KLANAWA RIVER_Coho</v>
      </c>
      <c r="B66" t="s">
        <v>93</v>
      </c>
      <c r="C66" s="99" t="s">
        <v>100</v>
      </c>
      <c r="D66" s="102">
        <v>21</v>
      </c>
      <c r="E66" s="99" t="s">
        <v>523</v>
      </c>
      <c r="F66" s="103" t="s">
        <v>524</v>
      </c>
      <c r="G66" s="101" t="s">
        <v>525</v>
      </c>
      <c r="H66" s="101">
        <v>16</v>
      </c>
    </row>
    <row r="67" spans="1:8" ht="14.25" customHeight="1" x14ac:dyDescent="0.25">
      <c r="A67" t="str">
        <f t="shared" si="0"/>
        <v>CAMPUS CREEK_Coho</v>
      </c>
      <c r="B67" t="s">
        <v>93</v>
      </c>
      <c r="C67" s="99" t="s">
        <v>106</v>
      </c>
      <c r="D67" s="102">
        <v>22</v>
      </c>
      <c r="E67" s="99" t="s">
        <v>523</v>
      </c>
      <c r="F67" s="103" t="s">
        <v>524</v>
      </c>
      <c r="G67" s="101" t="s">
        <v>525</v>
      </c>
      <c r="H67" s="101">
        <v>16</v>
      </c>
    </row>
    <row r="68" spans="1:8" ht="14.25" customHeight="1" x14ac:dyDescent="0.25">
      <c r="A68" t="str">
        <f t="shared" ref="A68:A131" si="1">CONCATENATE(C68,"_",B68)</f>
        <v>CAYCUSE RIVER_Coho</v>
      </c>
      <c r="B68" t="s">
        <v>93</v>
      </c>
      <c r="C68" s="99" t="s">
        <v>105</v>
      </c>
      <c r="D68" s="102">
        <v>22</v>
      </c>
      <c r="E68" s="99" t="s">
        <v>523</v>
      </c>
      <c r="F68" s="103" t="s">
        <v>524</v>
      </c>
      <c r="G68" s="101" t="s">
        <v>525</v>
      </c>
      <c r="H68" s="101">
        <v>16</v>
      </c>
    </row>
    <row r="69" spans="1:8" ht="14.25" customHeight="1" x14ac:dyDescent="0.25">
      <c r="A69" t="str">
        <f t="shared" si="1"/>
        <v>DOOBAH CREEK_Coho</v>
      </c>
      <c r="B69" t="s">
        <v>93</v>
      </c>
      <c r="C69" s="99" t="s">
        <v>103</v>
      </c>
      <c r="D69" s="102">
        <v>22</v>
      </c>
      <c r="E69" s="99" t="s">
        <v>523</v>
      </c>
      <c r="F69" s="103" t="s">
        <v>524</v>
      </c>
      <c r="G69" s="101" t="s">
        <v>525</v>
      </c>
      <c r="H69" s="101">
        <v>16</v>
      </c>
    </row>
    <row r="70" spans="1:8" ht="14.25" customHeight="1" x14ac:dyDescent="0.25">
      <c r="A70" t="str">
        <f t="shared" si="1"/>
        <v>HOBITON CREEK_Coho</v>
      </c>
      <c r="B70" t="s">
        <v>93</v>
      </c>
      <c r="C70" s="99" t="s">
        <v>104</v>
      </c>
      <c r="D70" s="102">
        <v>22</v>
      </c>
      <c r="E70" s="99" t="s">
        <v>523</v>
      </c>
      <c r="F70" s="103" t="s">
        <v>524</v>
      </c>
      <c r="G70" s="101" t="s">
        <v>525</v>
      </c>
      <c r="H70" s="101">
        <v>16</v>
      </c>
    </row>
    <row r="71" spans="1:8" ht="14.25" customHeight="1" x14ac:dyDescent="0.25">
      <c r="A71" t="str">
        <f t="shared" si="1"/>
        <v>NITINAT RIVER_Coho</v>
      </c>
      <c r="B71" t="s">
        <v>93</v>
      </c>
      <c r="C71" s="99" t="s">
        <v>101</v>
      </c>
      <c r="D71" s="102">
        <v>22</v>
      </c>
      <c r="E71" s="99" t="s">
        <v>523</v>
      </c>
      <c r="F71" s="103" t="s">
        <v>524</v>
      </c>
      <c r="G71" s="101" t="s">
        <v>525</v>
      </c>
      <c r="H71" s="101">
        <v>16</v>
      </c>
    </row>
    <row r="72" spans="1:8" ht="14.25" customHeight="1" x14ac:dyDescent="0.25">
      <c r="A72" t="str">
        <f t="shared" si="1"/>
        <v>FREDERICK CREEK_Coho</v>
      </c>
      <c r="B72" t="s">
        <v>93</v>
      </c>
      <c r="C72" s="99" t="s">
        <v>113</v>
      </c>
      <c r="D72" s="102">
        <v>23</v>
      </c>
      <c r="E72" s="99" t="s">
        <v>523</v>
      </c>
      <c r="F72" s="103" t="s">
        <v>524</v>
      </c>
      <c r="G72" s="103" t="s">
        <v>526</v>
      </c>
      <c r="H72" s="103">
        <v>16</v>
      </c>
    </row>
    <row r="73" spans="1:8" ht="14.25" customHeight="1" x14ac:dyDescent="0.25">
      <c r="A73" t="str">
        <f t="shared" si="1"/>
        <v>PACHENA RIVER_Coho</v>
      </c>
      <c r="B73" t="s">
        <v>93</v>
      </c>
      <c r="C73" s="99" t="s">
        <v>109</v>
      </c>
      <c r="D73" s="102">
        <v>23</v>
      </c>
      <c r="E73" s="99" t="s">
        <v>523</v>
      </c>
      <c r="F73" s="103" t="s">
        <v>524</v>
      </c>
      <c r="G73" s="103" t="s">
        <v>526</v>
      </c>
      <c r="H73" s="103">
        <v>16</v>
      </c>
    </row>
    <row r="74" spans="1:8" ht="14.25" customHeight="1" x14ac:dyDescent="0.25">
      <c r="A74" t="str">
        <f t="shared" si="1"/>
        <v>POETT NOOK CREEK_Coho</v>
      </c>
      <c r="B74" t="s">
        <v>93</v>
      </c>
      <c r="C74" s="99" t="s">
        <v>111</v>
      </c>
      <c r="D74" s="102">
        <v>23</v>
      </c>
      <c r="E74" s="99" t="s">
        <v>523</v>
      </c>
      <c r="F74" s="103" t="s">
        <v>524</v>
      </c>
      <c r="G74" s="103" t="s">
        <v>526</v>
      </c>
      <c r="H74" s="103">
        <v>16</v>
      </c>
    </row>
    <row r="75" spans="1:8" ht="14.25" customHeight="1" x14ac:dyDescent="0.25">
      <c r="A75" t="str">
        <f t="shared" si="1"/>
        <v>SUGSAW CREEK_Coho</v>
      </c>
      <c r="B75" t="s">
        <v>93</v>
      </c>
      <c r="C75" s="99" t="s">
        <v>110</v>
      </c>
      <c r="D75" s="102">
        <v>23</v>
      </c>
      <c r="E75" s="99" t="s">
        <v>523</v>
      </c>
      <c r="F75" s="103" t="s">
        <v>524</v>
      </c>
      <c r="G75" s="103" t="s">
        <v>526</v>
      </c>
      <c r="H75" s="103">
        <v>16</v>
      </c>
    </row>
    <row r="76" spans="1:8" ht="14.25" customHeight="1" x14ac:dyDescent="0.25">
      <c r="A76" t="str">
        <f t="shared" si="1"/>
        <v>BEAVER CREEK_Coho</v>
      </c>
      <c r="B76" t="s">
        <v>93</v>
      </c>
      <c r="C76" s="99" t="s">
        <v>121</v>
      </c>
      <c r="D76" s="102">
        <v>23</v>
      </c>
      <c r="E76" s="99" t="s">
        <v>527</v>
      </c>
      <c r="F76" s="103" t="s">
        <v>528</v>
      </c>
      <c r="G76" s="103" t="s">
        <v>511</v>
      </c>
      <c r="H76" s="103">
        <v>17</v>
      </c>
    </row>
    <row r="77" spans="1:8" ht="14.25" customHeight="1" x14ac:dyDescent="0.25">
      <c r="A77" t="str">
        <f t="shared" si="1"/>
        <v>CAMPSITE CREEK_Coho</v>
      </c>
      <c r="B77" t="s">
        <v>93</v>
      </c>
      <c r="C77" s="99" t="s">
        <v>108</v>
      </c>
      <c r="D77" s="102">
        <v>23</v>
      </c>
      <c r="E77" s="99" t="s">
        <v>527</v>
      </c>
      <c r="F77" s="103" t="s">
        <v>528</v>
      </c>
      <c r="G77" s="103" t="s">
        <v>511</v>
      </c>
      <c r="H77" s="103">
        <v>17</v>
      </c>
    </row>
    <row r="78" spans="1:8" ht="14.25" customHeight="1" x14ac:dyDescent="0.25">
      <c r="A78" t="str">
        <f t="shared" si="1"/>
        <v>CANOE PASS CREEK_Coho</v>
      </c>
      <c r="B78" t="s">
        <v>93</v>
      </c>
      <c r="C78" s="99" t="s">
        <v>136</v>
      </c>
      <c r="D78" s="102">
        <v>23</v>
      </c>
      <c r="E78" s="99" t="s">
        <v>527</v>
      </c>
      <c r="F78" s="101" t="s">
        <v>528</v>
      </c>
      <c r="G78" s="101" t="s">
        <v>511</v>
      </c>
      <c r="H78" s="101">
        <v>17</v>
      </c>
    </row>
    <row r="79" spans="1:8" ht="14.25" customHeight="1" x14ac:dyDescent="0.25">
      <c r="A79" t="str">
        <f t="shared" si="1"/>
        <v>CARNATION CREEK_Coho</v>
      </c>
      <c r="B79" t="s">
        <v>93</v>
      </c>
      <c r="C79" s="99" t="s">
        <v>114</v>
      </c>
      <c r="D79" s="102">
        <v>23</v>
      </c>
      <c r="E79" s="99" t="s">
        <v>527</v>
      </c>
      <c r="F79" s="101" t="s">
        <v>528</v>
      </c>
      <c r="G79" s="101" t="s">
        <v>511</v>
      </c>
      <c r="H79" s="101">
        <v>17</v>
      </c>
    </row>
    <row r="80" spans="1:8" ht="14.25" customHeight="1" x14ac:dyDescent="0.25">
      <c r="A80" t="str">
        <f t="shared" si="1"/>
        <v>CASS CREEK_Coho</v>
      </c>
      <c r="B80" t="s">
        <v>93</v>
      </c>
      <c r="C80" s="99" t="s">
        <v>126</v>
      </c>
      <c r="D80" s="102">
        <v>23</v>
      </c>
      <c r="E80" s="99" t="s">
        <v>527</v>
      </c>
      <c r="F80" s="101" t="s">
        <v>528</v>
      </c>
      <c r="G80" s="101" t="s">
        <v>511</v>
      </c>
      <c r="H80" s="101">
        <v>17</v>
      </c>
    </row>
    <row r="81" spans="1:8" ht="14.25" customHeight="1" x14ac:dyDescent="0.25">
      <c r="A81" t="str">
        <f t="shared" si="1"/>
        <v>CATARACT CREEK_Coho</v>
      </c>
      <c r="B81" t="s">
        <v>93</v>
      </c>
      <c r="C81" s="99" t="s">
        <v>140</v>
      </c>
      <c r="D81" s="102">
        <v>23</v>
      </c>
      <c r="E81" s="99" t="s">
        <v>527</v>
      </c>
      <c r="F81" s="101" t="s">
        <v>528</v>
      </c>
      <c r="G81" s="101" t="s">
        <v>511</v>
      </c>
      <c r="H81" s="101">
        <v>17</v>
      </c>
    </row>
    <row r="82" spans="1:8" ht="14.25" customHeight="1" x14ac:dyDescent="0.25">
      <c r="A82" t="str">
        <f t="shared" si="1"/>
        <v>CHERRY CREEK_Coho</v>
      </c>
      <c r="B82" t="s">
        <v>93</v>
      </c>
      <c r="C82" s="99" t="s">
        <v>38</v>
      </c>
      <c r="D82" s="102">
        <v>23</v>
      </c>
      <c r="E82" s="99" t="s">
        <v>527</v>
      </c>
      <c r="F82" s="101" t="s">
        <v>528</v>
      </c>
      <c r="G82" s="101" t="s">
        <v>511</v>
      </c>
      <c r="H82" s="101">
        <v>17</v>
      </c>
    </row>
    <row r="83" spans="1:8" ht="14.25" customHeight="1" x14ac:dyDescent="0.25">
      <c r="A83" t="str">
        <f t="shared" si="1"/>
        <v>CHINA CREEK_Coho</v>
      </c>
      <c r="B83" t="s">
        <v>93</v>
      </c>
      <c r="C83" s="99" t="s">
        <v>119</v>
      </c>
      <c r="D83" s="102">
        <v>23</v>
      </c>
      <c r="E83" s="99" t="s">
        <v>527</v>
      </c>
      <c r="F83" s="101" t="s">
        <v>528</v>
      </c>
      <c r="G83" s="101" t="s">
        <v>511</v>
      </c>
      <c r="H83" s="101">
        <v>17</v>
      </c>
    </row>
    <row r="84" spans="1:8" ht="14.25" customHeight="1" x14ac:dyDescent="0.25">
      <c r="A84" t="str">
        <f t="shared" si="1"/>
        <v>CLEMENS CREEK_Coho</v>
      </c>
      <c r="B84" t="s">
        <v>93</v>
      </c>
      <c r="C84" s="99" t="s">
        <v>128</v>
      </c>
      <c r="D84" s="102">
        <v>23</v>
      </c>
      <c r="E84" s="99" t="s">
        <v>527</v>
      </c>
      <c r="F84" s="101" t="s">
        <v>528</v>
      </c>
      <c r="G84" s="101" t="s">
        <v>511</v>
      </c>
      <c r="H84" s="101">
        <v>17</v>
      </c>
    </row>
    <row r="85" spans="1:8" ht="14.25" customHeight="1" x14ac:dyDescent="0.25">
      <c r="A85" t="str">
        <f t="shared" si="1"/>
        <v>COEUR D'ALENE CREEK_Coho</v>
      </c>
      <c r="B85" t="s">
        <v>93</v>
      </c>
      <c r="C85" s="99" t="s">
        <v>133</v>
      </c>
      <c r="D85" s="102">
        <v>23</v>
      </c>
      <c r="E85" s="99" t="s">
        <v>527</v>
      </c>
      <c r="F85" s="101" t="s">
        <v>528</v>
      </c>
      <c r="G85" s="101" t="s">
        <v>511</v>
      </c>
      <c r="H85" s="101">
        <v>17</v>
      </c>
    </row>
    <row r="86" spans="1:8" ht="14.25" customHeight="1" x14ac:dyDescent="0.25">
      <c r="A86" t="str">
        <f t="shared" si="1"/>
        <v>COLEMAN CREEK_Coho</v>
      </c>
      <c r="B86" t="s">
        <v>93</v>
      </c>
      <c r="C86" s="99" t="s">
        <v>117</v>
      </c>
      <c r="D86" s="102">
        <v>23</v>
      </c>
      <c r="E86" s="99" t="s">
        <v>527</v>
      </c>
      <c r="F86" s="101" t="s">
        <v>528</v>
      </c>
      <c r="G86" s="101" t="s">
        <v>511</v>
      </c>
      <c r="H86" s="101">
        <v>17</v>
      </c>
    </row>
    <row r="87" spans="1:8" ht="14.25" customHeight="1" x14ac:dyDescent="0.25">
      <c r="A87" t="str">
        <f t="shared" si="1"/>
        <v>CONSINKA CREEK_Coho</v>
      </c>
      <c r="B87" t="s">
        <v>93</v>
      </c>
      <c r="C87" s="99" t="s">
        <v>115</v>
      </c>
      <c r="D87" s="102">
        <v>23</v>
      </c>
      <c r="E87" s="99" t="s">
        <v>527</v>
      </c>
      <c r="F87" s="101" t="s">
        <v>528</v>
      </c>
      <c r="G87" s="101" t="s">
        <v>511</v>
      </c>
      <c r="H87" s="101">
        <v>17</v>
      </c>
    </row>
    <row r="88" spans="1:8" ht="14.25" customHeight="1" x14ac:dyDescent="0.25">
      <c r="A88" t="str">
        <f t="shared" si="1"/>
        <v>COUS CREEK_Coho</v>
      </c>
      <c r="B88" t="s">
        <v>93</v>
      </c>
      <c r="C88" s="99" t="s">
        <v>123</v>
      </c>
      <c r="D88" s="102">
        <v>23</v>
      </c>
      <c r="E88" s="99" t="s">
        <v>527</v>
      </c>
      <c r="F88" s="101" t="s">
        <v>528</v>
      </c>
      <c r="G88" s="101" t="s">
        <v>511</v>
      </c>
      <c r="H88" s="101">
        <v>17</v>
      </c>
    </row>
    <row r="89" spans="1:8" ht="14.25" customHeight="1" x14ac:dyDescent="0.25">
      <c r="A89" t="str">
        <f t="shared" si="1"/>
        <v>DEER CREEK_Coho</v>
      </c>
      <c r="B89" t="s">
        <v>93</v>
      </c>
      <c r="C89" s="99" t="s">
        <v>122</v>
      </c>
      <c r="D89" s="102">
        <v>23</v>
      </c>
      <c r="E89" s="99" t="s">
        <v>527</v>
      </c>
      <c r="F89" s="101" t="s">
        <v>528</v>
      </c>
      <c r="G89" s="101" t="s">
        <v>511</v>
      </c>
      <c r="H89" s="101">
        <v>17</v>
      </c>
    </row>
    <row r="90" spans="1:8" ht="14.25" customHeight="1" x14ac:dyDescent="0.25">
      <c r="A90" t="str">
        <f t="shared" si="1"/>
        <v>DUTCH HARBOUR CREEK EAST_Coho</v>
      </c>
      <c r="B90" t="s">
        <v>93</v>
      </c>
      <c r="C90" s="99" t="s">
        <v>138</v>
      </c>
      <c r="D90" s="102">
        <v>23</v>
      </c>
      <c r="E90" s="99" t="s">
        <v>527</v>
      </c>
      <c r="F90" s="101" t="s">
        <v>528</v>
      </c>
      <c r="G90" s="101" t="s">
        <v>511</v>
      </c>
      <c r="H90" s="101">
        <v>17</v>
      </c>
    </row>
    <row r="91" spans="1:8" ht="14.25" customHeight="1" x14ac:dyDescent="0.25">
      <c r="A91" t="str">
        <f t="shared" si="1"/>
        <v>DUTCH HARBOUR CREEK WEST_Coho</v>
      </c>
      <c r="B91" t="s">
        <v>93</v>
      </c>
      <c r="C91" s="99" t="s">
        <v>139</v>
      </c>
      <c r="D91" s="102">
        <v>23</v>
      </c>
      <c r="E91" s="99" t="s">
        <v>527</v>
      </c>
      <c r="F91" s="101" t="s">
        <v>528</v>
      </c>
      <c r="G91" s="101" t="s">
        <v>511</v>
      </c>
      <c r="H91" s="101">
        <v>17</v>
      </c>
    </row>
    <row r="92" spans="1:8" ht="14.25" customHeight="1" x14ac:dyDescent="0.25">
      <c r="A92" t="str">
        <f t="shared" si="1"/>
        <v>EFFINGHAM RIVER_Coho</v>
      </c>
      <c r="B92" t="s">
        <v>93</v>
      </c>
      <c r="C92" s="99" t="s">
        <v>134</v>
      </c>
      <c r="D92" s="102">
        <v>23</v>
      </c>
      <c r="E92" s="99" t="s">
        <v>527</v>
      </c>
      <c r="F92" s="101" t="s">
        <v>528</v>
      </c>
      <c r="G92" s="101" t="s">
        <v>511</v>
      </c>
      <c r="H92" s="101">
        <v>17</v>
      </c>
    </row>
    <row r="93" spans="1:8" ht="14.25" customHeight="1" x14ac:dyDescent="0.25">
      <c r="A93" t="str">
        <f t="shared" si="1"/>
        <v>FRANKLIN RIVER_Coho</v>
      </c>
      <c r="B93" t="s">
        <v>93</v>
      </c>
      <c r="C93" s="99" t="s">
        <v>118</v>
      </c>
      <c r="D93" s="102">
        <v>23</v>
      </c>
      <c r="E93" s="99" t="s">
        <v>527</v>
      </c>
      <c r="F93" s="101" t="s">
        <v>528</v>
      </c>
      <c r="G93" s="101" t="s">
        <v>511</v>
      </c>
      <c r="H93" s="101">
        <v>17</v>
      </c>
    </row>
    <row r="94" spans="1:8" ht="14.25" customHeight="1" x14ac:dyDescent="0.25">
      <c r="A94" t="str">
        <f t="shared" si="1"/>
        <v>HENDERSON LAKE_Coho</v>
      </c>
      <c r="B94" t="s">
        <v>93</v>
      </c>
      <c r="C94" s="99" t="s">
        <v>107</v>
      </c>
      <c r="D94" s="102">
        <v>23</v>
      </c>
      <c r="E94" s="99" t="s">
        <v>527</v>
      </c>
      <c r="F94" s="101" t="s">
        <v>528</v>
      </c>
      <c r="G94" s="101" t="s">
        <v>511</v>
      </c>
      <c r="H94" s="101">
        <v>17</v>
      </c>
    </row>
    <row r="95" spans="1:8" ht="14.25" customHeight="1" x14ac:dyDescent="0.25">
      <c r="A95" t="str">
        <f t="shared" si="1"/>
        <v>HILLIER CREEK_Coho</v>
      </c>
      <c r="B95" t="s">
        <v>93</v>
      </c>
      <c r="C95" s="99" t="s">
        <v>150</v>
      </c>
      <c r="D95" s="102">
        <v>23</v>
      </c>
      <c r="E95" s="99" t="s">
        <v>527</v>
      </c>
      <c r="F95" s="101" t="s">
        <v>528</v>
      </c>
      <c r="G95" s="101" t="s">
        <v>511</v>
      </c>
      <c r="H95" s="101">
        <v>17</v>
      </c>
    </row>
    <row r="96" spans="1:8" ht="14.25" customHeight="1" x14ac:dyDescent="0.25">
      <c r="A96" t="str">
        <f t="shared" si="1"/>
        <v>HOLFORD CREEK_Coho</v>
      </c>
      <c r="B96" t="s">
        <v>93</v>
      </c>
      <c r="C96" s="99" t="s">
        <v>130</v>
      </c>
      <c r="D96" s="102">
        <v>23</v>
      </c>
      <c r="E96" s="99" t="s">
        <v>527</v>
      </c>
      <c r="F96" s="101" t="s">
        <v>528</v>
      </c>
      <c r="G96" s="101" t="s">
        <v>511</v>
      </c>
      <c r="H96" s="101">
        <v>17</v>
      </c>
    </row>
    <row r="97" spans="1:8" ht="14.25" customHeight="1" x14ac:dyDescent="0.25">
      <c r="A97" t="str">
        <f t="shared" si="1"/>
        <v>ITATSOO CREEK_Coho</v>
      </c>
      <c r="B97" t="s">
        <v>93</v>
      </c>
      <c r="C97" s="99" t="s">
        <v>149</v>
      </c>
      <c r="D97" s="102">
        <v>23</v>
      </c>
      <c r="E97" s="99" t="s">
        <v>527</v>
      </c>
      <c r="F97" s="101" t="s">
        <v>528</v>
      </c>
      <c r="G97" s="101" t="s">
        <v>511</v>
      </c>
      <c r="H97" s="101">
        <v>17</v>
      </c>
    </row>
    <row r="98" spans="1:8" ht="14.25" customHeight="1" x14ac:dyDescent="0.25">
      <c r="A98" t="str">
        <f t="shared" si="1"/>
        <v>KITSUCKSUS CREEK_Coho</v>
      </c>
      <c r="B98" t="s">
        <v>93</v>
      </c>
      <c r="C98" s="99" t="s">
        <v>39</v>
      </c>
      <c r="D98" s="102">
        <v>23</v>
      </c>
      <c r="E98" s="99" t="s">
        <v>527</v>
      </c>
      <c r="F98" s="101" t="s">
        <v>528</v>
      </c>
      <c r="G98" s="101" t="s">
        <v>511</v>
      </c>
      <c r="H98" s="101">
        <v>17</v>
      </c>
    </row>
    <row r="99" spans="1:8" ht="14.25" customHeight="1" x14ac:dyDescent="0.25">
      <c r="A99" t="str">
        <f t="shared" si="1"/>
        <v>LITTLE MAGGIE RIVER_Coho</v>
      </c>
      <c r="B99" t="s">
        <v>93</v>
      </c>
      <c r="C99" s="99" t="s">
        <v>146</v>
      </c>
      <c r="D99" s="102">
        <v>23</v>
      </c>
      <c r="E99" s="99" t="s">
        <v>527</v>
      </c>
      <c r="F99" s="101" t="s">
        <v>528</v>
      </c>
      <c r="G99" s="101" t="s">
        <v>511</v>
      </c>
      <c r="H99" s="101">
        <v>17</v>
      </c>
    </row>
    <row r="100" spans="1:8" ht="14.25" customHeight="1" x14ac:dyDescent="0.25">
      <c r="A100" t="str">
        <f t="shared" si="1"/>
        <v>LITTLE TOQUART CREEK_Coho</v>
      </c>
      <c r="B100" t="s">
        <v>93</v>
      </c>
      <c r="C100" s="99" t="s">
        <v>144</v>
      </c>
      <c r="D100" s="102">
        <v>23</v>
      </c>
      <c r="E100" s="99" t="s">
        <v>527</v>
      </c>
      <c r="F100" s="101" t="s">
        <v>528</v>
      </c>
      <c r="G100" s="101" t="s">
        <v>511</v>
      </c>
      <c r="H100" s="101">
        <v>17</v>
      </c>
    </row>
    <row r="101" spans="1:8" ht="14.25" customHeight="1" x14ac:dyDescent="0.25">
      <c r="A101" t="str">
        <f t="shared" si="1"/>
        <v>LUCKY CREEK_Coho</v>
      </c>
      <c r="B101" t="s">
        <v>93</v>
      </c>
      <c r="C101" s="99" t="s">
        <v>142</v>
      </c>
      <c r="D101" s="102">
        <v>23</v>
      </c>
      <c r="E101" s="99" t="s">
        <v>527</v>
      </c>
      <c r="F101" s="101" t="s">
        <v>528</v>
      </c>
      <c r="G101" s="101" t="s">
        <v>511</v>
      </c>
      <c r="H101" s="101">
        <v>17</v>
      </c>
    </row>
    <row r="102" spans="1:8" ht="14.25" customHeight="1" x14ac:dyDescent="0.25">
      <c r="A102" t="str">
        <f t="shared" si="1"/>
        <v>MACKTUSH CREEK_Coho</v>
      </c>
      <c r="B102" t="s">
        <v>93</v>
      </c>
      <c r="C102" s="99" t="s">
        <v>124</v>
      </c>
      <c r="D102" s="102">
        <v>23</v>
      </c>
      <c r="E102" s="99" t="s">
        <v>527</v>
      </c>
      <c r="F102" s="101" t="s">
        <v>528</v>
      </c>
      <c r="G102" s="101" t="s">
        <v>511</v>
      </c>
      <c r="H102" s="101">
        <v>17</v>
      </c>
    </row>
    <row r="103" spans="1:8" ht="14.25" customHeight="1" x14ac:dyDescent="0.25">
      <c r="A103" t="str">
        <f t="shared" si="1"/>
        <v>MAGGIE RIVER_Coho</v>
      </c>
      <c r="B103" t="s">
        <v>93</v>
      </c>
      <c r="C103" s="99" t="s">
        <v>145</v>
      </c>
      <c r="D103" s="102">
        <v>23</v>
      </c>
      <c r="E103" s="99" t="s">
        <v>527</v>
      </c>
      <c r="F103" s="101" t="s">
        <v>528</v>
      </c>
      <c r="G103" s="101" t="s">
        <v>511</v>
      </c>
      <c r="H103" s="101">
        <v>17</v>
      </c>
    </row>
    <row r="104" spans="1:8" ht="14.25" customHeight="1" x14ac:dyDescent="0.25">
      <c r="A104" t="str">
        <f t="shared" si="1"/>
        <v>MERCANTILE CREEK_Coho</v>
      </c>
      <c r="B104" t="s">
        <v>93</v>
      </c>
      <c r="C104" s="99" t="s">
        <v>151</v>
      </c>
      <c r="D104" s="102">
        <v>23</v>
      </c>
      <c r="E104" s="99" t="s">
        <v>527</v>
      </c>
      <c r="F104" s="101" t="s">
        <v>528</v>
      </c>
      <c r="G104" s="101" t="s">
        <v>511</v>
      </c>
      <c r="H104" s="101">
        <v>17</v>
      </c>
    </row>
    <row r="105" spans="1:8" ht="14.25" customHeight="1" x14ac:dyDescent="0.25">
      <c r="A105" t="str">
        <f t="shared" si="1"/>
        <v>NAHMINT RIVER_Coho</v>
      </c>
      <c r="B105" t="s">
        <v>93</v>
      </c>
      <c r="C105" s="99" t="s">
        <v>125</v>
      </c>
      <c r="D105" s="102">
        <v>23</v>
      </c>
      <c r="E105" s="99" t="s">
        <v>527</v>
      </c>
      <c r="F105" s="101" t="s">
        <v>528</v>
      </c>
      <c r="G105" s="101" t="s">
        <v>511</v>
      </c>
      <c r="H105" s="101">
        <v>17</v>
      </c>
    </row>
    <row r="106" spans="1:8" ht="14.25" customHeight="1" x14ac:dyDescent="0.25">
      <c r="A106" t="str">
        <f t="shared" si="1"/>
        <v>OWATCHET CREEK_Coho</v>
      </c>
      <c r="B106" t="s">
        <v>93</v>
      </c>
      <c r="C106" s="99" t="s">
        <v>120</v>
      </c>
      <c r="D106" s="102">
        <v>23</v>
      </c>
      <c r="E106" s="99" t="s">
        <v>527</v>
      </c>
      <c r="F106" s="101" t="s">
        <v>528</v>
      </c>
      <c r="G106" s="101" t="s">
        <v>511</v>
      </c>
      <c r="H106" s="101">
        <v>17</v>
      </c>
    </row>
    <row r="107" spans="1:8" ht="14.25" customHeight="1" x14ac:dyDescent="0.25">
      <c r="A107" t="str">
        <f t="shared" si="1"/>
        <v>PIPESTEAM CREEK_Coho</v>
      </c>
      <c r="B107" t="s">
        <v>93</v>
      </c>
      <c r="C107" s="99" t="s">
        <v>141</v>
      </c>
      <c r="D107" s="102">
        <v>23</v>
      </c>
      <c r="E107" s="99" t="s">
        <v>527</v>
      </c>
      <c r="F107" s="101" t="s">
        <v>528</v>
      </c>
      <c r="G107" s="101" t="s">
        <v>511</v>
      </c>
      <c r="H107" s="101">
        <v>17</v>
      </c>
    </row>
    <row r="108" spans="1:8" ht="14.25" customHeight="1" x14ac:dyDescent="0.25">
      <c r="A108" t="str">
        <f t="shared" si="1"/>
        <v>RITHERDON CREEK_Coho</v>
      </c>
      <c r="B108" t="s">
        <v>93</v>
      </c>
      <c r="C108" s="99" t="s">
        <v>116</v>
      </c>
      <c r="D108" s="102">
        <v>23</v>
      </c>
      <c r="E108" s="99" t="s">
        <v>527</v>
      </c>
      <c r="F108" s="101" t="s">
        <v>528</v>
      </c>
      <c r="G108" s="101" t="s">
        <v>511</v>
      </c>
      <c r="H108" s="101">
        <v>17</v>
      </c>
    </row>
    <row r="109" spans="1:8" ht="14.25" customHeight="1" x14ac:dyDescent="0.25">
      <c r="A109" t="str">
        <f t="shared" si="1"/>
        <v>SARITA RIVER_Coho</v>
      </c>
      <c r="B109" t="s">
        <v>93</v>
      </c>
      <c r="C109" s="99" t="s">
        <v>112</v>
      </c>
      <c r="D109" s="102">
        <v>23</v>
      </c>
      <c r="E109" s="99" t="s">
        <v>527</v>
      </c>
      <c r="F109" s="101" t="s">
        <v>528</v>
      </c>
      <c r="G109" s="101" t="s">
        <v>511</v>
      </c>
      <c r="H109" s="101">
        <v>17</v>
      </c>
    </row>
    <row r="110" spans="1:8" ht="14.25" customHeight="1" x14ac:dyDescent="0.25">
      <c r="A110" t="str">
        <f t="shared" si="1"/>
        <v>SECHART CREEK_Coho</v>
      </c>
      <c r="B110" t="s">
        <v>93</v>
      </c>
      <c r="C110" s="99" t="s">
        <v>137</v>
      </c>
      <c r="D110" s="102">
        <v>23</v>
      </c>
      <c r="E110" s="99" t="s">
        <v>527</v>
      </c>
      <c r="F110" s="101" t="s">
        <v>528</v>
      </c>
      <c r="G110" s="101" t="s">
        <v>511</v>
      </c>
      <c r="H110" s="101">
        <v>17</v>
      </c>
    </row>
    <row r="111" spans="1:8" ht="14.25" customHeight="1" x14ac:dyDescent="0.25">
      <c r="A111" t="str">
        <f t="shared" si="1"/>
        <v>SMITH CREEK_Coho</v>
      </c>
      <c r="B111" t="s">
        <v>93</v>
      </c>
      <c r="C111" s="99" t="s">
        <v>153</v>
      </c>
      <c r="D111" s="102">
        <v>23</v>
      </c>
      <c r="E111" s="99" t="s">
        <v>527</v>
      </c>
      <c r="F111" s="101" t="s">
        <v>528</v>
      </c>
      <c r="G111" s="101" t="s">
        <v>511</v>
      </c>
      <c r="H111" s="101">
        <v>17</v>
      </c>
    </row>
    <row r="112" spans="1:8" ht="14.25" customHeight="1" x14ac:dyDescent="0.25">
      <c r="A112" t="str">
        <f t="shared" si="1"/>
        <v>SNUG BASIN CREEK_Coho</v>
      </c>
      <c r="B112" t="s">
        <v>93</v>
      </c>
      <c r="C112" s="99" t="s">
        <v>127</v>
      </c>
      <c r="D112" s="102">
        <v>23</v>
      </c>
      <c r="E112" s="99" t="s">
        <v>527</v>
      </c>
      <c r="F112" s="101" t="s">
        <v>528</v>
      </c>
      <c r="G112" s="101" t="s">
        <v>511</v>
      </c>
      <c r="H112" s="101">
        <v>17</v>
      </c>
    </row>
    <row r="113" spans="1:8" ht="14.25" customHeight="1" x14ac:dyDescent="0.25">
      <c r="A113" t="str">
        <f t="shared" si="1"/>
        <v>SOMASS SYSTEM_Coho</v>
      </c>
      <c r="B113" t="s">
        <v>93</v>
      </c>
      <c r="C113" s="99" t="s">
        <v>40</v>
      </c>
      <c r="D113" s="102">
        <v>23</v>
      </c>
      <c r="E113" s="99" t="s">
        <v>527</v>
      </c>
      <c r="F113" s="101" t="s">
        <v>528</v>
      </c>
      <c r="G113" s="101" t="s">
        <v>511</v>
      </c>
      <c r="H113" s="101">
        <v>17</v>
      </c>
    </row>
    <row r="114" spans="1:8" ht="14.25" customHeight="1" x14ac:dyDescent="0.25">
      <c r="A114" t="str">
        <f t="shared" si="1"/>
        <v>THORNTON CREEK_Coho</v>
      </c>
      <c r="B114" t="s">
        <v>93</v>
      </c>
      <c r="C114" s="99" t="s">
        <v>152</v>
      </c>
      <c r="D114" s="102">
        <v>23</v>
      </c>
      <c r="E114" s="99" t="s">
        <v>527</v>
      </c>
      <c r="F114" s="101" t="s">
        <v>528</v>
      </c>
      <c r="G114" s="101" t="s">
        <v>511</v>
      </c>
      <c r="H114" s="101">
        <v>17</v>
      </c>
    </row>
    <row r="115" spans="1:8" ht="14.25" customHeight="1" x14ac:dyDescent="0.25">
      <c r="A115" t="str">
        <f t="shared" si="1"/>
        <v>TOQUART RIVER_Coho</v>
      </c>
      <c r="B115" t="s">
        <v>93</v>
      </c>
      <c r="C115" s="99" t="s">
        <v>143</v>
      </c>
      <c r="D115" s="102">
        <v>23</v>
      </c>
      <c r="E115" s="99" t="s">
        <v>527</v>
      </c>
      <c r="F115" s="101" t="s">
        <v>528</v>
      </c>
      <c r="G115" s="101" t="s">
        <v>511</v>
      </c>
      <c r="H115" s="101">
        <v>17</v>
      </c>
    </row>
    <row r="116" spans="1:8" ht="14.25" customHeight="1" x14ac:dyDescent="0.25">
      <c r="A116" t="str">
        <f t="shared" si="1"/>
        <v>TWIN RIVERS EAST CREEK_Coho</v>
      </c>
      <c r="B116" t="s">
        <v>93</v>
      </c>
      <c r="C116" s="99" t="s">
        <v>147</v>
      </c>
      <c r="D116" s="102">
        <v>23</v>
      </c>
      <c r="E116" s="99" t="s">
        <v>527</v>
      </c>
      <c r="F116" s="101" t="s">
        <v>528</v>
      </c>
      <c r="G116" s="101" t="s">
        <v>511</v>
      </c>
      <c r="H116" s="101">
        <v>17</v>
      </c>
    </row>
    <row r="117" spans="1:8" ht="14.25" customHeight="1" x14ac:dyDescent="0.25">
      <c r="A117" t="str">
        <f t="shared" si="1"/>
        <v>TWIN RIVERS WEST CREEK_Coho</v>
      </c>
      <c r="B117" t="s">
        <v>93</v>
      </c>
      <c r="C117" s="99" t="s">
        <v>148</v>
      </c>
      <c r="D117" s="102">
        <v>23</v>
      </c>
      <c r="E117" s="99" t="s">
        <v>527</v>
      </c>
      <c r="F117" s="101" t="s">
        <v>528</v>
      </c>
      <c r="G117" s="101" t="s">
        <v>511</v>
      </c>
      <c r="H117" s="101">
        <v>17</v>
      </c>
    </row>
    <row r="118" spans="1:8" ht="14.25" customHeight="1" x14ac:dyDescent="0.25">
      <c r="A118" t="str">
        <f t="shared" si="1"/>
        <v>UCHUCK CREEK_Coho</v>
      </c>
      <c r="B118" t="s">
        <v>93</v>
      </c>
      <c r="C118" s="99" t="s">
        <v>129</v>
      </c>
      <c r="D118" s="102">
        <v>23</v>
      </c>
      <c r="E118" s="99" t="s">
        <v>527</v>
      </c>
      <c r="F118" s="101" t="s">
        <v>528</v>
      </c>
      <c r="G118" s="101" t="s">
        <v>511</v>
      </c>
      <c r="H118" s="101">
        <v>17</v>
      </c>
    </row>
    <row r="119" spans="1:8" ht="14.25" customHeight="1" x14ac:dyDescent="0.25">
      <c r="A119" t="str">
        <f t="shared" si="1"/>
        <v>USELESS CREEK_Coho</v>
      </c>
      <c r="B119" t="s">
        <v>93</v>
      </c>
      <c r="C119" s="99" t="s">
        <v>131</v>
      </c>
      <c r="D119" s="102">
        <v>23</v>
      </c>
      <c r="E119" s="99" t="s">
        <v>527</v>
      </c>
      <c r="F119" s="101" t="s">
        <v>528</v>
      </c>
      <c r="G119" s="101" t="s">
        <v>511</v>
      </c>
      <c r="H119" s="101">
        <v>17</v>
      </c>
    </row>
    <row r="120" spans="1:8" ht="14.25" customHeight="1" x14ac:dyDescent="0.25">
      <c r="A120" t="str">
        <f t="shared" si="1"/>
        <v>VERNON BAY CREEK_Coho</v>
      </c>
      <c r="B120" t="s">
        <v>93</v>
      </c>
      <c r="C120" s="99" t="s">
        <v>132</v>
      </c>
      <c r="D120" s="102">
        <v>23</v>
      </c>
      <c r="E120" s="99" t="s">
        <v>527</v>
      </c>
      <c r="F120" s="101" t="s">
        <v>528</v>
      </c>
      <c r="G120" s="101" t="s">
        <v>511</v>
      </c>
      <c r="H120" s="101">
        <v>17</v>
      </c>
    </row>
    <row r="121" spans="1:8" ht="14.25" customHeight="1" x14ac:dyDescent="0.25">
      <c r="A121" t="str">
        <f t="shared" si="1"/>
        <v>WALLACE CREEK_Coho</v>
      </c>
      <c r="B121" t="s">
        <v>93</v>
      </c>
      <c r="C121" s="99" t="s">
        <v>135</v>
      </c>
      <c r="D121" s="102">
        <v>23</v>
      </c>
      <c r="E121" s="99" t="s">
        <v>527</v>
      </c>
      <c r="F121" s="101" t="s">
        <v>528</v>
      </c>
      <c r="G121" s="101" t="s">
        <v>511</v>
      </c>
      <c r="H121" s="101">
        <v>17</v>
      </c>
    </row>
    <row r="122" spans="1:8" ht="14.25" customHeight="1" x14ac:dyDescent="0.25">
      <c r="A122" t="str">
        <f t="shared" si="1"/>
        <v>ANGORA CREEK_Coho</v>
      </c>
      <c r="B122" t="s">
        <v>93</v>
      </c>
      <c r="C122" s="99" t="s">
        <v>178</v>
      </c>
      <c r="D122" s="102">
        <v>24</v>
      </c>
      <c r="E122" s="99" t="s">
        <v>529</v>
      </c>
      <c r="F122" s="103" t="s">
        <v>530</v>
      </c>
      <c r="G122" s="103" t="s">
        <v>531</v>
      </c>
      <c r="H122" s="103">
        <v>18</v>
      </c>
    </row>
    <row r="123" spans="1:8" ht="14.25" customHeight="1" x14ac:dyDescent="0.25">
      <c r="A123" t="str">
        <f t="shared" si="1"/>
        <v>ATLEO RIVER_Coho</v>
      </c>
      <c r="B123" t="s">
        <v>93</v>
      </c>
      <c r="C123" s="99" t="s">
        <v>195</v>
      </c>
      <c r="D123" s="102">
        <v>24</v>
      </c>
      <c r="E123" s="99" t="s">
        <v>529</v>
      </c>
      <c r="F123" s="103" t="s">
        <v>530</v>
      </c>
      <c r="G123" s="103" t="s">
        <v>531</v>
      </c>
      <c r="H123" s="103">
        <v>18</v>
      </c>
    </row>
    <row r="124" spans="1:8" ht="14.25" customHeight="1" x14ac:dyDescent="0.25">
      <c r="A124" t="str">
        <f t="shared" si="1"/>
        <v>BAWDEN CREEK_Coho</v>
      </c>
      <c r="B124" t="s">
        <v>93</v>
      </c>
      <c r="C124" s="99" t="s">
        <v>191</v>
      </c>
      <c r="D124" s="102">
        <v>24</v>
      </c>
      <c r="E124" s="99" t="s">
        <v>529</v>
      </c>
      <c r="F124" s="103" t="s">
        <v>530</v>
      </c>
      <c r="G124" s="103" t="s">
        <v>531</v>
      </c>
      <c r="H124" s="103">
        <v>18</v>
      </c>
    </row>
    <row r="125" spans="1:8" ht="14.25" customHeight="1" x14ac:dyDescent="0.25">
      <c r="A125" t="str">
        <f t="shared" si="1"/>
        <v>BEDINGFIELD BAY CREEK_Coho</v>
      </c>
      <c r="B125" t="s">
        <v>93</v>
      </c>
      <c r="C125" s="99" t="s">
        <v>154</v>
      </c>
      <c r="D125" s="102">
        <v>24</v>
      </c>
      <c r="E125" s="99" t="s">
        <v>529</v>
      </c>
      <c r="F125" s="103" t="s">
        <v>530</v>
      </c>
      <c r="G125" s="103" t="s">
        <v>531</v>
      </c>
      <c r="H125" s="103">
        <v>18</v>
      </c>
    </row>
    <row r="126" spans="1:8" ht="14.25" customHeight="1" x14ac:dyDescent="0.25">
      <c r="A126" t="str">
        <f t="shared" si="1"/>
        <v>BEDWELL/URSUS_Coho</v>
      </c>
      <c r="B126" t="s">
        <v>93</v>
      </c>
      <c r="C126" s="99" t="s">
        <v>274</v>
      </c>
      <c r="D126" s="102">
        <v>24</v>
      </c>
      <c r="E126" s="99" t="s">
        <v>529</v>
      </c>
      <c r="F126" s="103" t="s">
        <v>530</v>
      </c>
      <c r="G126" s="103" t="s">
        <v>531</v>
      </c>
      <c r="H126" s="103">
        <v>18</v>
      </c>
    </row>
    <row r="127" spans="1:8" ht="14.25" customHeight="1" x14ac:dyDescent="0.25">
      <c r="A127" t="str">
        <f t="shared" si="1"/>
        <v>BULSON CREEK_Coho</v>
      </c>
      <c r="B127" t="s">
        <v>93</v>
      </c>
      <c r="C127" s="99" t="s">
        <v>185</v>
      </c>
      <c r="D127" s="102">
        <v>24</v>
      </c>
      <c r="E127" s="99" t="s">
        <v>529</v>
      </c>
      <c r="F127" s="103" t="s">
        <v>530</v>
      </c>
      <c r="G127" s="103" t="s">
        <v>531</v>
      </c>
      <c r="H127" s="103">
        <v>18</v>
      </c>
    </row>
    <row r="128" spans="1:8" ht="14.25" customHeight="1" x14ac:dyDescent="0.25">
      <c r="A128" t="str">
        <f t="shared" si="1"/>
        <v>CECILIA CREEK_Coho</v>
      </c>
      <c r="B128" t="s">
        <v>93</v>
      </c>
      <c r="C128" s="99" t="s">
        <v>201</v>
      </c>
      <c r="D128" s="102">
        <v>24</v>
      </c>
      <c r="E128" s="99" t="s">
        <v>529</v>
      </c>
      <c r="F128" s="103" t="s">
        <v>530</v>
      </c>
      <c r="G128" s="103" t="s">
        <v>531</v>
      </c>
      <c r="H128" s="103">
        <v>18</v>
      </c>
    </row>
    <row r="129" spans="1:8" ht="14.25" customHeight="1" x14ac:dyDescent="0.25">
      <c r="A129" t="str">
        <f t="shared" si="1"/>
        <v>CLAYOQUOT RIVER_Coho</v>
      </c>
      <c r="B129" t="s">
        <v>93</v>
      </c>
      <c r="C129" s="99" t="s">
        <v>176</v>
      </c>
      <c r="D129" s="102">
        <v>24</v>
      </c>
      <c r="E129" s="99" t="s">
        <v>529</v>
      </c>
      <c r="F129" s="103" t="s">
        <v>530</v>
      </c>
      <c r="G129" s="103" t="s">
        <v>531</v>
      </c>
      <c r="H129" s="103">
        <v>18</v>
      </c>
    </row>
    <row r="130" spans="1:8" ht="14.25" customHeight="1" x14ac:dyDescent="0.25">
      <c r="A130" t="str">
        <f t="shared" si="1"/>
        <v>CLOSE CREEKS (2)_Coho</v>
      </c>
      <c r="B130" t="s">
        <v>93</v>
      </c>
      <c r="C130" s="99" t="s">
        <v>186</v>
      </c>
      <c r="D130" s="102">
        <v>24</v>
      </c>
      <c r="E130" s="99" t="s">
        <v>529</v>
      </c>
      <c r="F130" s="103" t="s">
        <v>530</v>
      </c>
      <c r="G130" s="103" t="s">
        <v>531</v>
      </c>
      <c r="H130" s="103">
        <v>18</v>
      </c>
    </row>
    <row r="131" spans="1:8" ht="14.25" customHeight="1" x14ac:dyDescent="0.25">
      <c r="A131" t="str">
        <f t="shared" si="1"/>
        <v>COLD CREEK_Coho</v>
      </c>
      <c r="B131" t="s">
        <v>93</v>
      </c>
      <c r="C131" s="99" t="s">
        <v>177</v>
      </c>
      <c r="D131" s="102">
        <v>24</v>
      </c>
      <c r="E131" s="99" t="s">
        <v>529</v>
      </c>
      <c r="F131" s="103" t="s">
        <v>530</v>
      </c>
      <c r="G131" s="103" t="s">
        <v>531</v>
      </c>
      <c r="H131" s="103">
        <v>18</v>
      </c>
    </row>
    <row r="132" spans="1:8" ht="14.25" customHeight="1" x14ac:dyDescent="0.25">
      <c r="A132" t="str">
        <f t="shared" ref="A132:A195" si="2">CONCATENATE(C132,"_",B132)</f>
        <v>CONE CREEKS (2)_Coho</v>
      </c>
      <c r="B132" t="s">
        <v>93</v>
      </c>
      <c r="C132" s="99" t="s">
        <v>187</v>
      </c>
      <c r="D132" s="102">
        <v>24</v>
      </c>
      <c r="E132" s="99" t="s">
        <v>529</v>
      </c>
      <c r="F132" s="103" t="s">
        <v>530</v>
      </c>
      <c r="G132" s="103" t="s">
        <v>531</v>
      </c>
      <c r="H132" s="103">
        <v>18</v>
      </c>
    </row>
    <row r="133" spans="1:8" ht="14.25" customHeight="1" x14ac:dyDescent="0.25">
      <c r="A133" t="str">
        <f t="shared" si="2"/>
        <v>COW CREEK_Coho</v>
      </c>
      <c r="B133" t="s">
        <v>93</v>
      </c>
      <c r="C133" s="99" t="s">
        <v>196</v>
      </c>
      <c r="D133" s="102">
        <v>24</v>
      </c>
      <c r="E133" s="99" t="s">
        <v>529</v>
      </c>
      <c r="F133" s="103" t="s">
        <v>530</v>
      </c>
      <c r="G133" s="103" t="s">
        <v>531</v>
      </c>
      <c r="H133" s="103">
        <v>18</v>
      </c>
    </row>
    <row r="134" spans="1:8" ht="14.25" customHeight="1" x14ac:dyDescent="0.25">
      <c r="A134" t="str">
        <f t="shared" si="2"/>
        <v>CYPRE RIVER_Coho</v>
      </c>
      <c r="B134" t="s">
        <v>93</v>
      </c>
      <c r="C134" s="99" t="s">
        <v>190</v>
      </c>
      <c r="D134" s="102">
        <v>24</v>
      </c>
      <c r="E134" s="99" t="s">
        <v>529</v>
      </c>
      <c r="F134" s="103" t="s">
        <v>530</v>
      </c>
      <c r="G134" s="103" t="s">
        <v>531</v>
      </c>
      <c r="H134" s="103">
        <v>18</v>
      </c>
    </row>
    <row r="135" spans="1:8" ht="14.25" customHeight="1" x14ac:dyDescent="0.25">
      <c r="A135" t="str">
        <f t="shared" si="2"/>
        <v>FUNDY CREEK_Coho</v>
      </c>
      <c r="B135" t="s">
        <v>93</v>
      </c>
      <c r="C135" s="99" t="s">
        <v>189</v>
      </c>
      <c r="D135" s="102">
        <v>24</v>
      </c>
      <c r="E135" s="99" t="s">
        <v>529</v>
      </c>
      <c r="F135" s="103" t="s">
        <v>530</v>
      </c>
      <c r="G135" s="103" t="s">
        <v>531</v>
      </c>
      <c r="H135" s="103">
        <v>18</v>
      </c>
    </row>
    <row r="136" spans="1:8" ht="14.25" customHeight="1" x14ac:dyDescent="0.25">
      <c r="A136" t="str">
        <f t="shared" si="2"/>
        <v>HESQUIAT HARBOUR #1 CREEKS_Coho</v>
      </c>
      <c r="B136" t="s">
        <v>93</v>
      </c>
      <c r="C136" s="99" t="s">
        <v>208</v>
      </c>
      <c r="D136" s="102">
        <v>24</v>
      </c>
      <c r="E136" s="99" t="s">
        <v>529</v>
      </c>
      <c r="F136" s="103" t="s">
        <v>530</v>
      </c>
      <c r="G136" s="103" t="s">
        <v>531</v>
      </c>
      <c r="H136" s="103">
        <v>18</v>
      </c>
    </row>
    <row r="137" spans="1:8" ht="14.25" customHeight="1" x14ac:dyDescent="0.25">
      <c r="A137" t="str">
        <f t="shared" si="2"/>
        <v>HESQUIAT HARBOUR #2 CREEKS_Coho</v>
      </c>
      <c r="B137" t="s">
        <v>93</v>
      </c>
      <c r="C137" s="99" t="s">
        <v>209</v>
      </c>
      <c r="D137" s="102">
        <v>24</v>
      </c>
      <c r="E137" s="99" t="s">
        <v>529</v>
      </c>
      <c r="F137" s="103" t="s">
        <v>530</v>
      </c>
      <c r="G137" s="103" t="s">
        <v>531</v>
      </c>
      <c r="H137" s="103">
        <v>18</v>
      </c>
    </row>
    <row r="138" spans="1:8" ht="14.25" customHeight="1" x14ac:dyDescent="0.25">
      <c r="A138" t="str">
        <f t="shared" si="2"/>
        <v>HESQUIAT HARBOUR #3 CREEKS_Coho</v>
      </c>
      <c r="B138" t="s">
        <v>93</v>
      </c>
      <c r="C138" s="99" t="s">
        <v>211</v>
      </c>
      <c r="D138" s="102">
        <v>24</v>
      </c>
      <c r="E138" s="99" t="s">
        <v>529</v>
      </c>
      <c r="F138" s="103" t="s">
        <v>530</v>
      </c>
      <c r="G138" s="103" t="s">
        <v>531</v>
      </c>
      <c r="H138" s="103">
        <v>18</v>
      </c>
    </row>
    <row r="139" spans="1:8" ht="14.25" customHeight="1" x14ac:dyDescent="0.25">
      <c r="A139" t="str">
        <f t="shared" si="2"/>
        <v>HESQUIAT HARBOUR #4 CREEKS_Coho</v>
      </c>
      <c r="B139" t="s">
        <v>93</v>
      </c>
      <c r="C139" s="99" t="s">
        <v>212</v>
      </c>
      <c r="D139" s="102">
        <v>24</v>
      </c>
      <c r="E139" s="99" t="s">
        <v>529</v>
      </c>
      <c r="F139" s="103" t="s">
        <v>530</v>
      </c>
      <c r="G139" s="103" t="s">
        <v>531</v>
      </c>
      <c r="H139" s="103">
        <v>18</v>
      </c>
    </row>
    <row r="140" spans="1:8" ht="14.25" customHeight="1" x14ac:dyDescent="0.25">
      <c r="A140" t="str">
        <f t="shared" si="2"/>
        <v>HESQUIAT LAKE CREEK_Coho</v>
      </c>
      <c r="B140" t="s">
        <v>93</v>
      </c>
      <c r="C140" s="99" t="s">
        <v>210</v>
      </c>
      <c r="D140" s="102">
        <v>24</v>
      </c>
      <c r="E140" s="99" t="s">
        <v>529</v>
      </c>
      <c r="F140" s="103" t="s">
        <v>530</v>
      </c>
      <c r="G140" s="103" t="s">
        <v>531</v>
      </c>
      <c r="H140" s="103">
        <v>18</v>
      </c>
    </row>
    <row r="141" spans="1:8" ht="14.25" customHeight="1" x14ac:dyDescent="0.25">
      <c r="A141" t="str">
        <f t="shared" si="2"/>
        <v>HESQUIAT POINT CREEK_Coho</v>
      </c>
      <c r="B141" t="s">
        <v>93</v>
      </c>
      <c r="C141" s="99" t="s">
        <v>205</v>
      </c>
      <c r="D141" s="102">
        <v>24</v>
      </c>
      <c r="E141" s="99" t="s">
        <v>529</v>
      </c>
      <c r="F141" s="103" t="s">
        <v>530</v>
      </c>
      <c r="G141" s="103" t="s">
        <v>531</v>
      </c>
      <c r="H141" s="103">
        <v>18</v>
      </c>
    </row>
    <row r="142" spans="1:8" ht="14.25" customHeight="1" x14ac:dyDescent="0.25">
      <c r="A142" t="str">
        <f t="shared" si="2"/>
        <v>HOOTLA KOOTLA CREEK_Coho</v>
      </c>
      <c r="B142" t="s">
        <v>93</v>
      </c>
      <c r="C142" s="99" t="s">
        <v>197</v>
      </c>
      <c r="D142" s="102">
        <v>24</v>
      </c>
      <c r="E142" s="99" t="s">
        <v>529</v>
      </c>
      <c r="F142" s="103" t="s">
        <v>530</v>
      </c>
      <c r="G142" s="103" t="s">
        <v>531</v>
      </c>
      <c r="H142" s="103">
        <v>18</v>
      </c>
    </row>
    <row r="143" spans="1:8" ht="14.25" customHeight="1" x14ac:dyDescent="0.25">
      <c r="A143" t="str">
        <f t="shared" si="2"/>
        <v>HOT SPRINGS COVE CREEK_Coho</v>
      </c>
      <c r="B143" t="s">
        <v>93</v>
      </c>
      <c r="C143" s="99" t="s">
        <v>204</v>
      </c>
      <c r="D143" s="102">
        <v>24</v>
      </c>
      <c r="E143" s="99" t="s">
        <v>529</v>
      </c>
      <c r="F143" s="103" t="s">
        <v>530</v>
      </c>
      <c r="G143" s="103" t="s">
        <v>531</v>
      </c>
      <c r="H143" s="103">
        <v>18</v>
      </c>
    </row>
    <row r="144" spans="1:8" ht="14.25" customHeight="1" x14ac:dyDescent="0.25">
      <c r="A144" t="str">
        <f t="shared" si="2"/>
        <v>ICE RIVER_Coho</v>
      </c>
      <c r="B144" t="s">
        <v>93</v>
      </c>
      <c r="C144" s="99" t="s">
        <v>202</v>
      </c>
      <c r="D144" s="102">
        <v>24</v>
      </c>
      <c r="E144" s="99" t="s">
        <v>529</v>
      </c>
      <c r="F144" s="103" t="s">
        <v>530</v>
      </c>
      <c r="G144" s="103" t="s">
        <v>531</v>
      </c>
      <c r="H144" s="103">
        <v>18</v>
      </c>
    </row>
    <row r="145" spans="1:8" ht="14.25" customHeight="1" x14ac:dyDescent="0.25">
      <c r="A145" t="str">
        <f t="shared" si="2"/>
        <v>KENNEDY LAKE BEACHES_Coho</v>
      </c>
      <c r="B145" t="s">
        <v>93</v>
      </c>
      <c r="C145" s="99" t="s">
        <v>180</v>
      </c>
      <c r="D145" s="102">
        <v>24</v>
      </c>
      <c r="E145" s="99" t="s">
        <v>529</v>
      </c>
      <c r="F145" s="103" t="s">
        <v>530</v>
      </c>
      <c r="G145" s="103" t="s">
        <v>531</v>
      </c>
      <c r="H145" s="103">
        <v>18</v>
      </c>
    </row>
    <row r="146" spans="1:8" ht="14.25" customHeight="1" x14ac:dyDescent="0.25">
      <c r="A146" t="str">
        <f t="shared" si="2"/>
        <v>KENNEDY LAKE FEEDER STREAMS_Coho</v>
      </c>
      <c r="B146" t="s">
        <v>93</v>
      </c>
      <c r="C146" s="99" t="s">
        <v>181</v>
      </c>
      <c r="D146" s="102">
        <v>24</v>
      </c>
      <c r="E146" s="99" t="s">
        <v>529</v>
      </c>
      <c r="F146" s="103" t="s">
        <v>530</v>
      </c>
      <c r="G146" s="103" t="s">
        <v>531</v>
      </c>
      <c r="H146" s="103">
        <v>18</v>
      </c>
    </row>
    <row r="147" spans="1:8" ht="14.25" customHeight="1" x14ac:dyDescent="0.25">
      <c r="A147" t="str">
        <f t="shared" si="2"/>
        <v>KENNEDY RIVER (LOWER)_Coho</v>
      </c>
      <c r="B147" t="s">
        <v>93</v>
      </c>
      <c r="C147" s="99" t="s">
        <v>359</v>
      </c>
      <c r="D147" s="102">
        <v>24</v>
      </c>
      <c r="E147" s="99" t="s">
        <v>529</v>
      </c>
      <c r="F147" s="103" t="s">
        <v>530</v>
      </c>
      <c r="G147" s="103" t="s">
        <v>531</v>
      </c>
      <c r="H147" s="103">
        <v>18</v>
      </c>
    </row>
    <row r="148" spans="1:8" ht="14.25" customHeight="1" x14ac:dyDescent="0.25">
      <c r="A148" t="str">
        <f t="shared" si="2"/>
        <v>KENNEDY RIVER (UPPER)_Coho</v>
      </c>
      <c r="B148" t="s">
        <v>93</v>
      </c>
      <c r="C148" s="99" t="s">
        <v>358</v>
      </c>
      <c r="D148" s="102">
        <v>24</v>
      </c>
      <c r="E148" s="99" t="s">
        <v>529</v>
      </c>
      <c r="F148" s="103" t="s">
        <v>530</v>
      </c>
      <c r="G148" s="103" t="s">
        <v>531</v>
      </c>
      <c r="H148" s="103">
        <v>18</v>
      </c>
    </row>
    <row r="149" spans="1:8" ht="14.25" customHeight="1" x14ac:dyDescent="0.25">
      <c r="A149" t="str">
        <f t="shared" si="2"/>
        <v>KOOTOWIS CREEK_Coho</v>
      </c>
      <c r="B149" t="s">
        <v>93</v>
      </c>
      <c r="C149" s="99" t="s">
        <v>175</v>
      </c>
      <c r="D149" s="102">
        <v>24</v>
      </c>
      <c r="E149" s="99" t="s">
        <v>529</v>
      </c>
      <c r="F149" s="103" t="s">
        <v>530</v>
      </c>
      <c r="G149" s="103" t="s">
        <v>531</v>
      </c>
      <c r="H149" s="103">
        <v>18</v>
      </c>
    </row>
    <row r="150" spans="1:8" ht="14.25" customHeight="1" x14ac:dyDescent="0.25">
      <c r="A150" t="str">
        <f t="shared" si="2"/>
        <v>LITTLE WHITEPINE COVE #1 CREEK_Coho</v>
      </c>
      <c r="B150" t="s">
        <v>93</v>
      </c>
      <c r="C150" s="99" t="s">
        <v>192</v>
      </c>
      <c r="D150" s="102">
        <v>24</v>
      </c>
      <c r="E150" s="99" t="s">
        <v>529</v>
      </c>
      <c r="F150" s="103" t="s">
        <v>530</v>
      </c>
      <c r="G150" s="103" t="s">
        <v>531</v>
      </c>
      <c r="H150" s="103">
        <v>18</v>
      </c>
    </row>
    <row r="151" spans="1:8" ht="14.25" customHeight="1" x14ac:dyDescent="0.25">
      <c r="A151" t="str">
        <f t="shared" si="2"/>
        <v>LOST SHOE CREEK_Coho</v>
      </c>
      <c r="B151" t="s">
        <v>93</v>
      </c>
      <c r="C151" s="99" t="s">
        <v>155</v>
      </c>
      <c r="D151" s="102">
        <v>24</v>
      </c>
      <c r="E151" s="99" t="s">
        <v>529</v>
      </c>
      <c r="F151" s="103" t="s">
        <v>530</v>
      </c>
      <c r="G151" s="103" t="s">
        <v>531</v>
      </c>
      <c r="H151" s="103">
        <v>18</v>
      </c>
    </row>
    <row r="152" spans="1:8" ht="14.25" customHeight="1" x14ac:dyDescent="0.25">
      <c r="A152" t="str">
        <f t="shared" si="2"/>
        <v>MEGIN RIVER_Coho</v>
      </c>
      <c r="B152" t="s">
        <v>93</v>
      </c>
      <c r="C152" s="99" t="s">
        <v>200</v>
      </c>
      <c r="D152" s="102">
        <v>24</v>
      </c>
      <c r="E152" s="99" t="s">
        <v>529</v>
      </c>
      <c r="F152" s="103" t="s">
        <v>530</v>
      </c>
      <c r="G152" s="103" t="s">
        <v>531</v>
      </c>
      <c r="H152" s="103">
        <v>18</v>
      </c>
    </row>
    <row r="153" spans="1:8" ht="14.25" customHeight="1" x14ac:dyDescent="0.25">
      <c r="A153" t="str">
        <f t="shared" si="2"/>
        <v>MOYEHA RIVER_Coho</v>
      </c>
      <c r="B153" t="s">
        <v>93</v>
      </c>
      <c r="C153" s="99" t="s">
        <v>194</v>
      </c>
      <c r="D153" s="102">
        <v>24</v>
      </c>
      <c r="E153" s="99" t="s">
        <v>529</v>
      </c>
      <c r="F153" s="103" t="s">
        <v>530</v>
      </c>
      <c r="G153" s="103" t="s">
        <v>531</v>
      </c>
      <c r="H153" s="103">
        <v>18</v>
      </c>
    </row>
    <row r="154" spans="1:8" ht="14.25" customHeight="1" x14ac:dyDescent="0.25">
      <c r="A154" t="str">
        <f t="shared" si="2"/>
        <v>RILEY CREEK_Coho</v>
      </c>
      <c r="B154" t="s">
        <v>93</v>
      </c>
      <c r="C154" s="99" t="s">
        <v>198</v>
      </c>
      <c r="D154" s="102">
        <v>24</v>
      </c>
      <c r="E154" s="99" t="s">
        <v>529</v>
      </c>
      <c r="F154" s="103" t="s">
        <v>530</v>
      </c>
      <c r="G154" s="103" t="s">
        <v>531</v>
      </c>
      <c r="H154" s="103">
        <v>18</v>
      </c>
    </row>
    <row r="155" spans="1:8" ht="14.25" customHeight="1" x14ac:dyDescent="0.25">
      <c r="A155" t="str">
        <f t="shared" si="2"/>
        <v>SAND RIVER_Coho</v>
      </c>
      <c r="B155" t="s">
        <v>93</v>
      </c>
      <c r="C155" s="99" t="s">
        <v>179</v>
      </c>
      <c r="D155" s="102">
        <v>24</v>
      </c>
      <c r="E155" s="99" t="s">
        <v>529</v>
      </c>
      <c r="F155" s="103" t="s">
        <v>530</v>
      </c>
      <c r="G155" s="103" t="s">
        <v>531</v>
      </c>
      <c r="H155" s="103">
        <v>18</v>
      </c>
    </row>
    <row r="156" spans="1:8" ht="14.25" customHeight="1" x14ac:dyDescent="0.25">
      <c r="A156" t="str">
        <f t="shared" si="2"/>
        <v>SANDHILL CREEK_Coho</v>
      </c>
      <c r="B156" t="s">
        <v>93</v>
      </c>
      <c r="C156" s="99" t="s">
        <v>174</v>
      </c>
      <c r="D156" s="102">
        <v>24</v>
      </c>
      <c r="E156" s="99" t="s">
        <v>529</v>
      </c>
      <c r="F156" s="103" t="s">
        <v>530</v>
      </c>
      <c r="G156" s="103" t="s">
        <v>531</v>
      </c>
      <c r="H156" s="103">
        <v>18</v>
      </c>
    </row>
    <row r="157" spans="1:8" ht="14.25" customHeight="1" x14ac:dyDescent="0.25">
      <c r="A157" t="str">
        <f t="shared" si="2"/>
        <v>SUTTON MILL CREEK_Coho</v>
      </c>
      <c r="B157" t="s">
        <v>93</v>
      </c>
      <c r="C157" s="99" t="s">
        <v>188</v>
      </c>
      <c r="D157" s="102">
        <v>24</v>
      </c>
      <c r="E157" s="99" t="s">
        <v>529</v>
      </c>
      <c r="F157" s="103" t="s">
        <v>530</v>
      </c>
      <c r="G157" s="103" t="s">
        <v>531</v>
      </c>
      <c r="H157" s="103">
        <v>18</v>
      </c>
    </row>
    <row r="158" spans="1:8" ht="14.25" customHeight="1" x14ac:dyDescent="0.25">
      <c r="A158" t="str">
        <f t="shared" si="2"/>
        <v>SYDNEY RIVER_Coho</v>
      </c>
      <c r="B158" t="s">
        <v>93</v>
      </c>
      <c r="C158" s="99" t="s">
        <v>203</v>
      </c>
      <c r="D158" s="102">
        <v>24</v>
      </c>
      <c r="E158" s="99" t="s">
        <v>529</v>
      </c>
      <c r="F158" s="103" t="s">
        <v>530</v>
      </c>
      <c r="G158" s="103" t="s">
        <v>531</v>
      </c>
      <c r="H158" s="103">
        <v>18</v>
      </c>
    </row>
    <row r="159" spans="1:8" ht="14.25" customHeight="1" x14ac:dyDescent="0.25">
      <c r="A159" t="str">
        <f t="shared" si="2"/>
        <v>TOFINO CREEK_Coho</v>
      </c>
      <c r="B159" t="s">
        <v>93</v>
      </c>
      <c r="C159" s="99" t="s">
        <v>182</v>
      </c>
      <c r="D159" s="102">
        <v>24</v>
      </c>
      <c r="E159" s="99" t="s">
        <v>529</v>
      </c>
      <c r="F159" s="103" t="s">
        <v>530</v>
      </c>
      <c r="G159" s="103" t="s">
        <v>531</v>
      </c>
      <c r="H159" s="103">
        <v>18</v>
      </c>
    </row>
    <row r="160" spans="1:8" ht="14.25" customHeight="1" x14ac:dyDescent="0.25">
      <c r="A160" t="str">
        <f t="shared" si="2"/>
        <v>TRANQUIL CREEK_Coho</v>
      </c>
      <c r="B160" t="s">
        <v>93</v>
      </c>
      <c r="C160" s="106" t="s">
        <v>183</v>
      </c>
      <c r="D160" s="102">
        <v>24</v>
      </c>
      <c r="E160" s="99" t="s">
        <v>529</v>
      </c>
      <c r="F160" s="103" t="s">
        <v>530</v>
      </c>
      <c r="G160" s="103" t="s">
        <v>531</v>
      </c>
      <c r="H160" s="103">
        <v>18</v>
      </c>
    </row>
    <row r="161" spans="1:8" ht="14.25" customHeight="1" x14ac:dyDescent="0.25">
      <c r="A161" t="str">
        <f t="shared" si="2"/>
        <v>WARN BAY CREEK_Coho</v>
      </c>
      <c r="B161" t="s">
        <v>93</v>
      </c>
      <c r="C161" s="99" t="s">
        <v>184</v>
      </c>
      <c r="D161" s="102">
        <v>24</v>
      </c>
      <c r="E161" s="99" t="s">
        <v>529</v>
      </c>
      <c r="F161" s="103" t="s">
        <v>530</v>
      </c>
      <c r="G161" s="103" t="s">
        <v>531</v>
      </c>
      <c r="H161" s="103">
        <v>18</v>
      </c>
    </row>
    <row r="162" spans="1:8" ht="14.25" customHeight="1" x14ac:dyDescent="0.25">
      <c r="A162" t="str">
        <f t="shared" si="2"/>
        <v>WATTA CREEK_Coho</v>
      </c>
      <c r="B162" t="s">
        <v>93</v>
      </c>
      <c r="C162" s="99" t="s">
        <v>199</v>
      </c>
      <c r="D162" s="102">
        <v>24</v>
      </c>
      <c r="E162" s="99" t="s">
        <v>529</v>
      </c>
      <c r="F162" s="103" t="s">
        <v>530</v>
      </c>
      <c r="G162" s="103" t="s">
        <v>531</v>
      </c>
      <c r="H162" s="103">
        <v>18</v>
      </c>
    </row>
    <row r="163" spans="1:8" ht="14.25" customHeight="1" x14ac:dyDescent="0.25">
      <c r="A163" t="str">
        <f t="shared" si="2"/>
        <v>WHITE PINE COVE CREEK_Coho</v>
      </c>
      <c r="B163" t="s">
        <v>93</v>
      </c>
      <c r="C163" s="99" t="s">
        <v>193</v>
      </c>
      <c r="D163" s="102">
        <v>24</v>
      </c>
      <c r="E163" s="99" t="s">
        <v>529</v>
      </c>
      <c r="F163" s="103" t="s">
        <v>530</v>
      </c>
      <c r="G163" s="103" t="s">
        <v>531</v>
      </c>
      <c r="H163" s="103">
        <v>18</v>
      </c>
    </row>
    <row r="164" spans="1:8" ht="14.25" customHeight="1" x14ac:dyDescent="0.25">
      <c r="A164" t="str">
        <f t="shared" si="2"/>
        <v>BEANO CREEK_Coho</v>
      </c>
      <c r="B164" t="s">
        <v>93</v>
      </c>
      <c r="C164" s="99" t="s">
        <v>234</v>
      </c>
      <c r="D164" s="102">
        <v>25</v>
      </c>
      <c r="E164" s="99" t="s">
        <v>527</v>
      </c>
      <c r="F164" s="101" t="s">
        <v>528</v>
      </c>
      <c r="G164" s="101" t="s">
        <v>511</v>
      </c>
      <c r="H164" s="101">
        <v>17</v>
      </c>
    </row>
    <row r="165" spans="1:8" ht="14.25" customHeight="1" x14ac:dyDescent="0.25">
      <c r="A165" t="str">
        <f t="shared" si="2"/>
        <v>BINGO CREEK_Coho</v>
      </c>
      <c r="B165" t="s">
        <v>93</v>
      </c>
      <c r="C165" s="99" t="s">
        <v>213</v>
      </c>
      <c r="D165" s="102">
        <v>25</v>
      </c>
      <c r="E165" s="99" t="s">
        <v>527</v>
      </c>
      <c r="F165" s="101" t="s">
        <v>528</v>
      </c>
      <c r="G165" s="101" t="s">
        <v>511</v>
      </c>
      <c r="H165" s="101">
        <v>17</v>
      </c>
    </row>
    <row r="166" spans="1:8" ht="14.25" customHeight="1" x14ac:dyDescent="0.25">
      <c r="A166" t="str">
        <f t="shared" si="2"/>
        <v>INNER BASIN CREEK (Black C)_Coho</v>
      </c>
      <c r="B166" t="s">
        <v>93</v>
      </c>
      <c r="C166" s="99" t="s">
        <v>607</v>
      </c>
      <c r="D166" s="102">
        <v>25</v>
      </c>
      <c r="E166" s="99" t="s">
        <v>527</v>
      </c>
      <c r="F166" s="101" t="s">
        <v>528</v>
      </c>
      <c r="G166" s="101" t="s">
        <v>511</v>
      </c>
      <c r="H166" s="101">
        <v>17</v>
      </c>
    </row>
    <row r="167" spans="1:8" ht="14.25" customHeight="1" x14ac:dyDescent="0.25">
      <c r="A167" t="str">
        <f t="shared" si="2"/>
        <v>BRODICK CREEK_Coho</v>
      </c>
      <c r="B167" t="s">
        <v>93</v>
      </c>
      <c r="C167" s="99" t="s">
        <v>238</v>
      </c>
      <c r="D167" s="102">
        <v>25</v>
      </c>
      <c r="E167" s="99" t="s">
        <v>527</v>
      </c>
      <c r="F167" s="101" t="s">
        <v>528</v>
      </c>
      <c r="G167" s="101" t="s">
        <v>511</v>
      </c>
      <c r="H167" s="101">
        <v>17</v>
      </c>
    </row>
    <row r="168" spans="1:8" ht="14.25" customHeight="1" x14ac:dyDescent="0.25">
      <c r="A168" t="str">
        <f t="shared" si="2"/>
        <v>BURMAN RIVER_Coho</v>
      </c>
      <c r="B168" t="s">
        <v>93</v>
      </c>
      <c r="C168" s="99" t="s">
        <v>216</v>
      </c>
      <c r="D168" s="102">
        <v>25</v>
      </c>
      <c r="E168" s="99" t="s">
        <v>527</v>
      </c>
      <c r="F168" s="101" t="s">
        <v>528</v>
      </c>
      <c r="G168" s="101" t="s">
        <v>511</v>
      </c>
      <c r="H168" s="101">
        <v>17</v>
      </c>
    </row>
    <row r="169" spans="1:8" ht="14.25" customHeight="1" x14ac:dyDescent="0.25">
      <c r="A169" t="str">
        <f t="shared" si="2"/>
        <v>CANTON CREEK_Coho</v>
      </c>
      <c r="B169" t="s">
        <v>93</v>
      </c>
      <c r="C169" s="99" t="s">
        <v>225</v>
      </c>
      <c r="D169" s="102">
        <v>25</v>
      </c>
      <c r="E169" s="99" t="s">
        <v>527</v>
      </c>
      <c r="F169" s="101" t="s">
        <v>528</v>
      </c>
      <c r="G169" s="101" t="s">
        <v>511</v>
      </c>
      <c r="H169" s="101">
        <v>17</v>
      </c>
    </row>
    <row r="170" spans="1:8" ht="14.25" customHeight="1" x14ac:dyDescent="0.25">
      <c r="A170" t="str">
        <f t="shared" si="2"/>
        <v>CHUM CREEK_Coho</v>
      </c>
      <c r="B170" t="s">
        <v>93</v>
      </c>
      <c r="C170" s="99" t="s">
        <v>244</v>
      </c>
      <c r="D170" s="102">
        <v>25</v>
      </c>
      <c r="E170" s="99" t="s">
        <v>527</v>
      </c>
      <c r="F170" s="101" t="s">
        <v>528</v>
      </c>
      <c r="G170" s="101" t="s">
        <v>511</v>
      </c>
      <c r="H170" s="101">
        <v>17</v>
      </c>
    </row>
    <row r="171" spans="1:8" ht="14.25" customHeight="1" x14ac:dyDescent="0.25">
      <c r="A171" t="str">
        <f t="shared" si="2"/>
        <v>CONUMA RIVER_Coho</v>
      </c>
      <c r="B171" t="s">
        <v>93</v>
      </c>
      <c r="C171" s="99" t="s">
        <v>224</v>
      </c>
      <c r="D171" s="102">
        <v>25</v>
      </c>
      <c r="E171" s="99" t="s">
        <v>527</v>
      </c>
      <c r="F171" s="101" t="s">
        <v>528</v>
      </c>
      <c r="G171" s="101" t="s">
        <v>511</v>
      </c>
      <c r="H171" s="101">
        <v>17</v>
      </c>
    </row>
    <row r="172" spans="1:8" ht="14.25" customHeight="1" x14ac:dyDescent="0.25">
      <c r="A172" t="str">
        <f t="shared" si="2"/>
        <v>COUGAR CREEK_Coho</v>
      </c>
      <c r="B172" t="s">
        <v>93</v>
      </c>
      <c r="C172" s="99" t="s">
        <v>222</v>
      </c>
      <c r="D172" s="102">
        <v>25</v>
      </c>
      <c r="E172" s="99" t="s">
        <v>527</v>
      </c>
      <c r="F172" s="101" t="s">
        <v>528</v>
      </c>
      <c r="G172" s="101" t="s">
        <v>511</v>
      </c>
      <c r="H172" s="101">
        <v>17</v>
      </c>
    </row>
    <row r="173" spans="1:8" ht="14.25" customHeight="1" x14ac:dyDescent="0.25">
      <c r="A173" t="str">
        <f t="shared" si="2"/>
        <v>DESERTED CREEK_Coho</v>
      </c>
      <c r="B173" t="s">
        <v>93</v>
      </c>
      <c r="C173" s="99" t="s">
        <v>227</v>
      </c>
      <c r="D173" s="102">
        <v>25</v>
      </c>
      <c r="E173" s="99" t="s">
        <v>527</v>
      </c>
      <c r="F173" s="101" t="s">
        <v>528</v>
      </c>
      <c r="G173" s="101" t="s">
        <v>511</v>
      </c>
      <c r="H173" s="101">
        <v>17</v>
      </c>
    </row>
    <row r="174" spans="1:8" ht="14.25" customHeight="1" x14ac:dyDescent="0.25">
      <c r="A174" t="str">
        <f t="shared" si="2"/>
        <v>ELIZA CREEK_Coho</v>
      </c>
      <c r="B174" t="s">
        <v>93</v>
      </c>
      <c r="C174" s="99" t="s">
        <v>246</v>
      </c>
      <c r="D174" s="102">
        <v>25</v>
      </c>
      <c r="E174" s="99" t="s">
        <v>527</v>
      </c>
      <c r="F174" s="101" t="s">
        <v>528</v>
      </c>
      <c r="G174" s="101" t="s">
        <v>511</v>
      </c>
      <c r="H174" s="101">
        <v>17</v>
      </c>
    </row>
    <row r="175" spans="1:8" ht="14.25" customHeight="1" x14ac:dyDescent="0.25">
      <c r="A175" t="str">
        <f t="shared" si="2"/>
        <v>ESPINOSA CREEK_Coho</v>
      </c>
      <c r="B175" t="s">
        <v>93</v>
      </c>
      <c r="C175" s="99" t="s">
        <v>243</v>
      </c>
      <c r="D175" s="102">
        <v>25</v>
      </c>
      <c r="E175" s="99" t="s">
        <v>527</v>
      </c>
      <c r="F175" s="101" t="s">
        <v>528</v>
      </c>
      <c r="G175" s="101" t="s">
        <v>511</v>
      </c>
      <c r="H175" s="101">
        <v>17</v>
      </c>
    </row>
    <row r="176" spans="1:8" ht="14.25" customHeight="1" x14ac:dyDescent="0.25">
      <c r="A176" t="str">
        <f t="shared" si="2"/>
        <v>GOLD RIVER_Coho</v>
      </c>
      <c r="B176" t="s">
        <v>93</v>
      </c>
      <c r="C176" s="99" t="s">
        <v>217</v>
      </c>
      <c r="D176" s="102">
        <v>25</v>
      </c>
      <c r="E176" s="99" t="s">
        <v>527</v>
      </c>
      <c r="F176" s="101" t="s">
        <v>528</v>
      </c>
      <c r="G176" s="101" t="s">
        <v>511</v>
      </c>
      <c r="H176" s="101">
        <v>17</v>
      </c>
    </row>
    <row r="177" spans="1:8" ht="14.25" customHeight="1" x14ac:dyDescent="0.25">
      <c r="A177" t="str">
        <f t="shared" si="2"/>
        <v>GUISE CREEK_Coho</v>
      </c>
      <c r="B177" t="s">
        <v>93</v>
      </c>
      <c r="C177" s="99" t="s">
        <v>236</v>
      </c>
      <c r="D177" s="102">
        <v>25</v>
      </c>
      <c r="E177" s="99" t="s">
        <v>527</v>
      </c>
      <c r="F177" s="101" t="s">
        <v>528</v>
      </c>
      <c r="G177" s="101" t="s">
        <v>511</v>
      </c>
      <c r="H177" s="101">
        <v>17</v>
      </c>
    </row>
    <row r="178" spans="1:8" ht="14.25" customHeight="1" x14ac:dyDescent="0.25">
      <c r="A178" t="str">
        <f t="shared" si="2"/>
        <v>HAMMOND CREEK_Coho</v>
      </c>
      <c r="B178" t="s">
        <v>93</v>
      </c>
      <c r="C178" s="99" t="s">
        <v>214</v>
      </c>
      <c r="D178" s="102">
        <v>25</v>
      </c>
      <c r="E178" s="99" t="s">
        <v>527</v>
      </c>
      <c r="F178" s="101" t="s">
        <v>528</v>
      </c>
      <c r="G178" s="101" t="s">
        <v>511</v>
      </c>
      <c r="H178" s="101">
        <v>17</v>
      </c>
    </row>
    <row r="179" spans="1:8" ht="14.25" customHeight="1" x14ac:dyDescent="0.25">
      <c r="A179" t="str">
        <f t="shared" si="2"/>
        <v>HOISS CREEK_Coho</v>
      </c>
      <c r="B179" t="s">
        <v>93</v>
      </c>
      <c r="C179" s="99" t="s">
        <v>228</v>
      </c>
      <c r="D179" s="102">
        <v>25</v>
      </c>
      <c r="E179" s="99" t="s">
        <v>527</v>
      </c>
      <c r="F179" s="101" t="s">
        <v>528</v>
      </c>
      <c r="G179" s="101" t="s">
        <v>511</v>
      </c>
      <c r="H179" s="101">
        <v>17</v>
      </c>
    </row>
    <row r="180" spans="1:8" ht="14.25" customHeight="1" x14ac:dyDescent="0.25">
      <c r="A180" t="str">
        <f t="shared" si="2"/>
        <v>INNER BASIN RIVER (Ransom C)_Coho</v>
      </c>
      <c r="B180" t="s">
        <v>93</v>
      </c>
      <c r="C180" s="99" t="s">
        <v>608</v>
      </c>
      <c r="D180" s="102">
        <v>25</v>
      </c>
      <c r="E180" s="99" t="s">
        <v>527</v>
      </c>
      <c r="F180" s="101" t="s">
        <v>528</v>
      </c>
      <c r="G180" s="101" t="s">
        <v>511</v>
      </c>
      <c r="H180" s="101">
        <v>17</v>
      </c>
    </row>
    <row r="181" spans="1:8" ht="14.25" customHeight="1" x14ac:dyDescent="0.25">
      <c r="A181" t="str">
        <f t="shared" si="2"/>
        <v>KENDRICK CREEK_Coho</v>
      </c>
      <c r="B181" t="s">
        <v>93</v>
      </c>
      <c r="C181" s="99" t="s">
        <v>232</v>
      </c>
      <c r="D181" s="102">
        <v>25</v>
      </c>
      <c r="E181" s="99" t="s">
        <v>527</v>
      </c>
      <c r="F181" s="101" t="s">
        <v>528</v>
      </c>
      <c r="G181" s="101" t="s">
        <v>511</v>
      </c>
      <c r="H181" s="101">
        <v>17</v>
      </c>
    </row>
    <row r="182" spans="1:8" ht="14.25" customHeight="1" x14ac:dyDescent="0.25">
      <c r="A182" t="str">
        <f t="shared" si="2"/>
        <v>KLEEPTEE CREEK_Coho</v>
      </c>
      <c r="B182" t="s">
        <v>93</v>
      </c>
      <c r="C182" s="99" t="s">
        <v>221</v>
      </c>
      <c r="D182" s="102">
        <v>25</v>
      </c>
      <c r="E182" s="99" t="s">
        <v>527</v>
      </c>
      <c r="F182" s="101" t="s">
        <v>528</v>
      </c>
      <c r="G182" s="101" t="s">
        <v>511</v>
      </c>
      <c r="H182" s="101">
        <v>17</v>
      </c>
    </row>
    <row r="183" spans="1:8" ht="14.25" customHeight="1" x14ac:dyDescent="0.25">
      <c r="A183" t="str">
        <f t="shared" si="2"/>
        <v>LEINER RIVER_Coho</v>
      </c>
      <c r="B183" t="s">
        <v>93</v>
      </c>
      <c r="C183" s="99" t="s">
        <v>230</v>
      </c>
      <c r="D183" s="102">
        <v>25</v>
      </c>
      <c r="E183" s="99" t="s">
        <v>527</v>
      </c>
      <c r="F183" s="101" t="s">
        <v>528</v>
      </c>
      <c r="G183" s="101" t="s">
        <v>511</v>
      </c>
      <c r="H183" s="101">
        <v>17</v>
      </c>
    </row>
    <row r="184" spans="1:8" ht="14.25" customHeight="1" x14ac:dyDescent="0.25">
      <c r="A184" t="str">
        <f t="shared" si="2"/>
        <v>LITTLE ZEBALLOS RIVER_Coho</v>
      </c>
      <c r="B184" t="s">
        <v>93</v>
      </c>
      <c r="C184" s="99" t="s">
        <v>240</v>
      </c>
      <c r="D184" s="102">
        <v>25</v>
      </c>
      <c r="E184" s="99" t="s">
        <v>527</v>
      </c>
      <c r="F184" s="101" t="s">
        <v>528</v>
      </c>
      <c r="G184" s="101" t="s">
        <v>511</v>
      </c>
      <c r="H184" s="101">
        <v>17</v>
      </c>
    </row>
    <row r="185" spans="1:8" ht="14.25" customHeight="1" x14ac:dyDescent="0.25">
      <c r="A185" t="str">
        <f t="shared" si="2"/>
        <v>LORD CREEK_Coho</v>
      </c>
      <c r="B185" t="s">
        <v>93</v>
      </c>
      <c r="C185" s="99" t="s">
        <v>239</v>
      </c>
      <c r="D185" s="102">
        <v>25</v>
      </c>
      <c r="E185" s="99" t="s">
        <v>527</v>
      </c>
      <c r="F185" s="101" t="s">
        <v>528</v>
      </c>
      <c r="G185" s="101" t="s">
        <v>511</v>
      </c>
      <c r="H185" s="101">
        <v>17</v>
      </c>
    </row>
    <row r="186" spans="1:8" ht="14.25" customHeight="1" x14ac:dyDescent="0.25">
      <c r="A186" t="str">
        <f t="shared" si="2"/>
        <v>MAMAT CREEK_Coho</v>
      </c>
      <c r="B186" t="s">
        <v>93</v>
      </c>
      <c r="C186" s="99" t="s">
        <v>242</v>
      </c>
      <c r="D186" s="102">
        <v>25</v>
      </c>
      <c r="E186" s="99" t="s">
        <v>527</v>
      </c>
      <c r="F186" s="101" t="s">
        <v>528</v>
      </c>
      <c r="G186" s="101" t="s">
        <v>511</v>
      </c>
      <c r="H186" s="101">
        <v>17</v>
      </c>
    </row>
    <row r="187" spans="1:8" ht="14.25" customHeight="1" x14ac:dyDescent="0.25">
      <c r="A187" t="str">
        <f t="shared" si="2"/>
        <v>MARVINAS BAY CREEK_Coho</v>
      </c>
      <c r="B187" t="s">
        <v>93</v>
      </c>
      <c r="C187" s="99" t="s">
        <v>233</v>
      </c>
      <c r="D187" s="102">
        <v>25</v>
      </c>
      <c r="E187" s="99" t="s">
        <v>527</v>
      </c>
      <c r="F187" s="101" t="s">
        <v>528</v>
      </c>
      <c r="G187" s="101" t="s">
        <v>511</v>
      </c>
      <c r="H187" s="101">
        <v>17</v>
      </c>
    </row>
    <row r="188" spans="1:8" ht="14.25" customHeight="1" x14ac:dyDescent="0.25">
      <c r="A188" t="str">
        <f t="shared" si="2"/>
        <v>MCCURDY CREEK_Coho</v>
      </c>
      <c r="B188" t="s">
        <v>93</v>
      </c>
      <c r="C188" s="99" t="s">
        <v>220</v>
      </c>
      <c r="D188" s="102">
        <v>25</v>
      </c>
      <c r="E188" s="99" t="s">
        <v>527</v>
      </c>
      <c r="F188" s="101" t="s">
        <v>528</v>
      </c>
      <c r="G188" s="101" t="s">
        <v>511</v>
      </c>
      <c r="H188" s="101">
        <v>17</v>
      </c>
    </row>
    <row r="189" spans="1:8" ht="14.25" customHeight="1" x14ac:dyDescent="0.25">
      <c r="A189" t="str">
        <f t="shared" si="2"/>
        <v>MIDDLE ELIZA CREEK_Coho</v>
      </c>
      <c r="B189" t="s">
        <v>93</v>
      </c>
      <c r="C189" s="99" t="s">
        <v>247</v>
      </c>
      <c r="D189" s="102">
        <v>25</v>
      </c>
      <c r="E189" s="99" t="s">
        <v>527</v>
      </c>
      <c r="F189" s="101" t="s">
        <v>528</v>
      </c>
      <c r="G189" s="101" t="s">
        <v>511</v>
      </c>
      <c r="H189" s="101">
        <v>17</v>
      </c>
    </row>
    <row r="190" spans="1:8" ht="14.25" customHeight="1" x14ac:dyDescent="0.25">
      <c r="A190" t="str">
        <f t="shared" si="2"/>
        <v>MOOYAH RIVER_Coho</v>
      </c>
      <c r="B190" t="s">
        <v>93</v>
      </c>
      <c r="C190" s="99" t="s">
        <v>215</v>
      </c>
      <c r="D190" s="102">
        <v>25</v>
      </c>
      <c r="E190" s="99" t="s">
        <v>527</v>
      </c>
      <c r="F190" s="101" t="s">
        <v>528</v>
      </c>
      <c r="G190" s="101" t="s">
        <v>511</v>
      </c>
      <c r="H190" s="101">
        <v>17</v>
      </c>
    </row>
    <row r="191" spans="1:8" ht="14.25" customHeight="1" x14ac:dyDescent="0.25">
      <c r="A191" t="str">
        <f t="shared" si="2"/>
        <v>MUCHALAT RIVER_Coho</v>
      </c>
      <c r="B191" t="s">
        <v>93</v>
      </c>
      <c r="C191" s="99" t="s">
        <v>218</v>
      </c>
      <c r="D191" s="102">
        <v>25</v>
      </c>
      <c r="E191" s="99" t="s">
        <v>527</v>
      </c>
      <c r="F191" s="101" t="s">
        <v>528</v>
      </c>
      <c r="G191" s="101" t="s">
        <v>511</v>
      </c>
      <c r="H191" s="101">
        <v>17</v>
      </c>
    </row>
    <row r="192" spans="1:8" ht="14.25" customHeight="1" x14ac:dyDescent="0.25">
      <c r="A192" t="str">
        <f t="shared" si="2"/>
        <v>OKTWANCH RIVER_Coho</v>
      </c>
      <c r="B192" t="s">
        <v>93</v>
      </c>
      <c r="C192" s="99" t="s">
        <v>219</v>
      </c>
      <c r="D192" s="102">
        <v>25</v>
      </c>
      <c r="E192" s="99" t="s">
        <v>527</v>
      </c>
      <c r="F192" s="101" t="s">
        <v>528</v>
      </c>
      <c r="G192" s="101" t="s">
        <v>511</v>
      </c>
      <c r="H192" s="101">
        <v>17</v>
      </c>
    </row>
    <row r="193" spans="1:8" ht="14.25" customHeight="1" x14ac:dyDescent="0.25">
      <c r="A193" t="str">
        <f t="shared" si="2"/>
        <v>OWOSSITSA CREEK_Coho</v>
      </c>
      <c r="B193" t="s">
        <v>93</v>
      </c>
      <c r="C193" s="99" t="s">
        <v>237</v>
      </c>
      <c r="D193" s="102">
        <v>25</v>
      </c>
      <c r="E193" s="99" t="s">
        <v>527</v>
      </c>
      <c r="F193" s="101" t="s">
        <v>528</v>
      </c>
      <c r="G193" s="101" t="s">
        <v>511</v>
      </c>
      <c r="H193" s="101">
        <v>17</v>
      </c>
    </row>
    <row r="194" spans="1:8" ht="14.25" customHeight="1" x14ac:dyDescent="0.25">
      <c r="A194" t="str">
        <f t="shared" si="2"/>
        <v>PARK RIVER_Coho</v>
      </c>
      <c r="B194" t="s">
        <v>93</v>
      </c>
      <c r="C194" s="99" t="s">
        <v>245</v>
      </c>
      <c r="D194" s="102">
        <v>25</v>
      </c>
      <c r="E194" s="99" t="s">
        <v>527</v>
      </c>
      <c r="F194" s="101" t="s">
        <v>528</v>
      </c>
      <c r="G194" s="101" t="s">
        <v>511</v>
      </c>
      <c r="H194" s="101">
        <v>17</v>
      </c>
    </row>
    <row r="195" spans="1:8" ht="14.25" customHeight="1" x14ac:dyDescent="0.25">
      <c r="A195" t="str">
        <f t="shared" si="2"/>
        <v>SUCWOA RIVER_Coho</v>
      </c>
      <c r="B195" t="s">
        <v>93</v>
      </c>
      <c r="C195" s="99" t="s">
        <v>226</v>
      </c>
      <c r="D195" s="102">
        <v>25</v>
      </c>
      <c r="E195" s="99" t="s">
        <v>527</v>
      </c>
      <c r="F195" s="101" t="s">
        <v>528</v>
      </c>
      <c r="G195" s="101" t="s">
        <v>511</v>
      </c>
      <c r="H195" s="101">
        <v>17</v>
      </c>
    </row>
    <row r="196" spans="1:8" ht="14.25" customHeight="1" x14ac:dyDescent="0.25">
      <c r="A196" t="str">
        <f t="shared" ref="A196:A260" si="3">CONCATENATE(C196,"_",B196)</f>
        <v>TAHSIS RIVER_Coho</v>
      </c>
      <c r="B196" t="s">
        <v>93</v>
      </c>
      <c r="C196" s="99" t="s">
        <v>231</v>
      </c>
      <c r="D196" s="102">
        <v>25</v>
      </c>
      <c r="E196" s="99" t="s">
        <v>527</v>
      </c>
      <c r="F196" s="101" t="s">
        <v>528</v>
      </c>
      <c r="G196" s="101" t="s">
        <v>511</v>
      </c>
      <c r="H196" s="101">
        <v>17</v>
      </c>
    </row>
    <row r="197" spans="1:8" ht="14.25" customHeight="1" x14ac:dyDescent="0.25">
      <c r="A197" t="str">
        <f t="shared" si="3"/>
        <v>TLUPANA RIVER_Coho</v>
      </c>
      <c r="B197" t="s">
        <v>93</v>
      </c>
      <c r="C197" s="99" t="s">
        <v>223</v>
      </c>
      <c r="D197" s="102">
        <v>25</v>
      </c>
      <c r="E197" s="99" t="s">
        <v>527</v>
      </c>
      <c r="F197" s="101" t="s">
        <v>528</v>
      </c>
      <c r="G197" s="101" t="s">
        <v>511</v>
      </c>
      <c r="H197" s="101">
        <v>17</v>
      </c>
    </row>
    <row r="198" spans="1:8" ht="14.25" customHeight="1" x14ac:dyDescent="0.25">
      <c r="A198" t="str">
        <f t="shared" si="3"/>
        <v>TSOWWIN RIVER_Coho</v>
      </c>
      <c r="B198" t="s">
        <v>93</v>
      </c>
      <c r="C198" s="99" t="s">
        <v>229</v>
      </c>
      <c r="D198" s="102">
        <v>25</v>
      </c>
      <c r="E198" s="99" t="s">
        <v>527</v>
      </c>
      <c r="F198" s="101" t="s">
        <v>528</v>
      </c>
      <c r="G198" s="101" t="s">
        <v>511</v>
      </c>
      <c r="H198" s="101">
        <v>17</v>
      </c>
    </row>
    <row r="199" spans="1:8" ht="14.25" customHeight="1" x14ac:dyDescent="0.25">
      <c r="A199" t="str">
        <f t="shared" si="3"/>
        <v>ZEBALLOS RIVER_Coho</v>
      </c>
      <c r="B199" t="s">
        <v>93</v>
      </c>
      <c r="C199" s="99" t="s">
        <v>241</v>
      </c>
      <c r="D199" s="102">
        <v>25</v>
      </c>
      <c r="E199" s="99" t="s">
        <v>527</v>
      </c>
      <c r="F199" s="101" t="s">
        <v>528</v>
      </c>
      <c r="G199" s="101" t="s">
        <v>511</v>
      </c>
      <c r="H199" s="101">
        <v>17</v>
      </c>
    </row>
    <row r="200" spans="1:8" ht="14.25" customHeight="1" x14ac:dyDescent="0.25">
      <c r="A200" t="str">
        <f t="shared" si="3"/>
        <v>AMAI CREEK_Coho</v>
      </c>
      <c r="B200" t="s">
        <v>93</v>
      </c>
      <c r="C200" s="99" t="s">
        <v>250</v>
      </c>
      <c r="D200" s="102">
        <v>26</v>
      </c>
      <c r="E200" s="99" t="s">
        <v>527</v>
      </c>
      <c r="F200" s="101" t="s">
        <v>528</v>
      </c>
      <c r="G200" s="101" t="s">
        <v>511</v>
      </c>
      <c r="H200" s="101">
        <v>17</v>
      </c>
    </row>
    <row r="201" spans="1:8" ht="14.25" customHeight="1" x14ac:dyDescent="0.25">
      <c r="A201" t="str">
        <f t="shared" si="3"/>
        <v>ARTLISH RIVER_Coho</v>
      </c>
      <c r="B201" t="s">
        <v>93</v>
      </c>
      <c r="C201" s="99" t="s">
        <v>252</v>
      </c>
      <c r="D201" s="102">
        <v>26</v>
      </c>
      <c r="E201" s="99" t="s">
        <v>527</v>
      </c>
      <c r="F201" s="101" t="s">
        <v>528</v>
      </c>
      <c r="G201" s="101" t="s">
        <v>511</v>
      </c>
      <c r="H201" s="101">
        <v>17</v>
      </c>
    </row>
    <row r="202" spans="1:8" ht="14.25" customHeight="1" x14ac:dyDescent="0.25">
      <c r="A202" t="str">
        <f t="shared" si="3"/>
        <v>CACHALOT CREEK_Coho</v>
      </c>
      <c r="B202" t="s">
        <v>93</v>
      </c>
      <c r="C202" s="99" t="s">
        <v>248</v>
      </c>
      <c r="D202" s="102">
        <v>26</v>
      </c>
      <c r="E202" s="99" t="s">
        <v>527</v>
      </c>
      <c r="F202" s="101" t="s">
        <v>528</v>
      </c>
      <c r="G202" s="101" t="s">
        <v>511</v>
      </c>
      <c r="H202" s="101">
        <v>17</v>
      </c>
    </row>
    <row r="203" spans="1:8" ht="14.25" customHeight="1" x14ac:dyDescent="0.25">
      <c r="A203" t="str">
        <f t="shared" si="3"/>
        <v>CHAMISS CREEK_Coho</v>
      </c>
      <c r="B203" t="s">
        <v>93</v>
      </c>
      <c r="C203" s="99" t="s">
        <v>260</v>
      </c>
      <c r="D203" s="102">
        <v>26</v>
      </c>
      <c r="E203" s="99" t="s">
        <v>527</v>
      </c>
      <c r="F203" s="101" t="s">
        <v>528</v>
      </c>
      <c r="G203" s="101" t="s">
        <v>511</v>
      </c>
      <c r="H203" s="101">
        <v>17</v>
      </c>
    </row>
    <row r="204" spans="1:8" ht="14.25" customHeight="1" x14ac:dyDescent="0.25">
      <c r="A204" t="str">
        <f t="shared" si="3"/>
        <v>CLANNINICK CREEK_Coho</v>
      </c>
      <c r="B204" t="s">
        <v>93</v>
      </c>
      <c r="C204" s="99" t="s">
        <v>261</v>
      </c>
      <c r="D204" s="102">
        <v>26</v>
      </c>
      <c r="E204" s="99" t="s">
        <v>527</v>
      </c>
      <c r="F204" s="101" t="s">
        <v>528</v>
      </c>
      <c r="G204" s="101" t="s">
        <v>511</v>
      </c>
      <c r="H204" s="101">
        <v>17</v>
      </c>
    </row>
    <row r="205" spans="1:8" ht="14.25" customHeight="1" x14ac:dyDescent="0.25">
      <c r="A205" t="str">
        <f t="shared" si="3"/>
        <v>EASY CREEK_Coho</v>
      </c>
      <c r="B205" t="s">
        <v>93</v>
      </c>
      <c r="C205" s="99" t="s">
        <v>257</v>
      </c>
      <c r="D205" s="102">
        <v>26</v>
      </c>
      <c r="E205" s="99" t="s">
        <v>527</v>
      </c>
      <c r="F205" s="101" t="s">
        <v>528</v>
      </c>
      <c r="G205" s="101" t="s">
        <v>511</v>
      </c>
      <c r="H205" s="101">
        <v>17</v>
      </c>
    </row>
    <row r="206" spans="1:8" ht="14.25" customHeight="1" x14ac:dyDescent="0.25">
      <c r="A206" t="str">
        <f t="shared" si="3"/>
        <v>ELAINE CREEK_Coho</v>
      </c>
      <c r="B206" t="s">
        <v>93</v>
      </c>
      <c r="C206" s="99" t="s">
        <v>258</v>
      </c>
      <c r="D206" s="102">
        <v>26</v>
      </c>
      <c r="E206" s="99" t="s">
        <v>527</v>
      </c>
      <c r="F206" s="101" t="s">
        <v>528</v>
      </c>
      <c r="G206" s="101" t="s">
        <v>511</v>
      </c>
      <c r="H206" s="101">
        <v>17</v>
      </c>
    </row>
    <row r="207" spans="1:8" ht="14.25" customHeight="1" x14ac:dyDescent="0.25">
      <c r="A207" t="str">
        <f t="shared" si="3"/>
        <v>JANSEN LAKE CREEK_Coho</v>
      </c>
      <c r="B207" t="s">
        <v>93</v>
      </c>
      <c r="C207" s="99" t="s">
        <v>259</v>
      </c>
      <c r="D207" s="102">
        <v>26</v>
      </c>
      <c r="E207" s="99" t="s">
        <v>527</v>
      </c>
      <c r="F207" s="101" t="s">
        <v>528</v>
      </c>
      <c r="G207" s="101" t="s">
        <v>511</v>
      </c>
      <c r="H207" s="101">
        <v>17</v>
      </c>
    </row>
    <row r="208" spans="1:8" ht="14.25" customHeight="1" x14ac:dyDescent="0.25">
      <c r="A208" t="str">
        <f t="shared" si="3"/>
        <v>KAOUK RIVER_Coho</v>
      </c>
      <c r="B208" t="s">
        <v>93</v>
      </c>
      <c r="C208" s="99" t="s">
        <v>251</v>
      </c>
      <c r="D208" s="102">
        <v>26</v>
      </c>
      <c r="E208" s="99" t="s">
        <v>527</v>
      </c>
      <c r="F208" s="101" t="s">
        <v>528</v>
      </c>
      <c r="G208" s="101" t="s">
        <v>511</v>
      </c>
      <c r="H208" s="101">
        <v>17</v>
      </c>
    </row>
    <row r="209" spans="1:8" ht="14.25" customHeight="1" x14ac:dyDescent="0.25">
      <c r="A209" t="str">
        <f t="shared" si="3"/>
        <v>KASHUTL RIVER_Coho</v>
      </c>
      <c r="B209" t="s">
        <v>93</v>
      </c>
      <c r="C209" s="99" t="s">
        <v>256</v>
      </c>
      <c r="D209" s="102">
        <v>26</v>
      </c>
      <c r="E209" s="99" t="s">
        <v>527</v>
      </c>
      <c r="F209" s="101" t="s">
        <v>528</v>
      </c>
      <c r="G209" s="101" t="s">
        <v>511</v>
      </c>
      <c r="H209" s="101">
        <v>17</v>
      </c>
    </row>
    <row r="210" spans="1:8" ht="14.25" customHeight="1" x14ac:dyDescent="0.25">
      <c r="A210" t="str">
        <f t="shared" si="3"/>
        <v>KAUWINCH RIVER_Coho</v>
      </c>
      <c r="B210" t="s">
        <v>93</v>
      </c>
      <c r="C210" s="99" t="s">
        <v>255</v>
      </c>
      <c r="D210" s="102">
        <v>26</v>
      </c>
      <c r="E210" s="99" t="s">
        <v>527</v>
      </c>
      <c r="F210" s="101" t="s">
        <v>528</v>
      </c>
      <c r="G210" s="101" t="s">
        <v>511</v>
      </c>
      <c r="H210" s="101">
        <v>17</v>
      </c>
    </row>
    <row r="211" spans="1:8" ht="14.25" customHeight="1" x14ac:dyDescent="0.25">
      <c r="A211" t="str">
        <f t="shared" si="3"/>
        <v>MALKSOPE RIVER_Coho</v>
      </c>
      <c r="B211" t="s">
        <v>93</v>
      </c>
      <c r="C211" s="99" t="s">
        <v>265</v>
      </c>
      <c r="D211" s="102">
        <v>26</v>
      </c>
      <c r="E211" s="99" t="s">
        <v>527</v>
      </c>
      <c r="F211" s="101" t="s">
        <v>528</v>
      </c>
      <c r="G211" s="101" t="s">
        <v>511</v>
      </c>
      <c r="H211" s="101">
        <v>17</v>
      </c>
    </row>
    <row r="212" spans="1:8" ht="14.25" customHeight="1" x14ac:dyDescent="0.25">
      <c r="A212" t="str">
        <f t="shared" si="3"/>
        <v>NARROWGUT CREEK_Coho</v>
      </c>
      <c r="B212" t="s">
        <v>93</v>
      </c>
      <c r="C212" s="99" t="s">
        <v>249</v>
      </c>
      <c r="D212" s="102">
        <v>26</v>
      </c>
      <c r="E212" s="99" t="s">
        <v>527</v>
      </c>
      <c r="F212" s="101" t="s">
        <v>528</v>
      </c>
      <c r="G212" s="101" t="s">
        <v>511</v>
      </c>
      <c r="H212" s="101">
        <v>17</v>
      </c>
    </row>
    <row r="213" spans="1:8" ht="14.25" customHeight="1" x14ac:dyDescent="0.25">
      <c r="A213" t="str">
        <f t="shared" si="3"/>
        <v>OUOUKINSH RIVER_Coho</v>
      </c>
      <c r="B213" t="s">
        <v>93</v>
      </c>
      <c r="C213" s="99" t="s">
        <v>266</v>
      </c>
      <c r="D213" s="102">
        <v>26</v>
      </c>
      <c r="E213" s="99" t="s">
        <v>527</v>
      </c>
      <c r="F213" s="101" t="s">
        <v>528</v>
      </c>
      <c r="G213" s="101" t="s">
        <v>511</v>
      </c>
      <c r="H213" s="101">
        <v>17</v>
      </c>
    </row>
    <row r="214" spans="1:8" ht="14.25" customHeight="1" x14ac:dyDescent="0.25">
      <c r="A214" t="str">
        <f t="shared" si="3"/>
        <v>TAHSISH RIVER_Coho</v>
      </c>
      <c r="B214" t="s">
        <v>93</v>
      </c>
      <c r="C214" s="99" t="s">
        <v>253</v>
      </c>
      <c r="D214" s="102">
        <v>26</v>
      </c>
      <c r="E214" s="99" t="s">
        <v>527</v>
      </c>
      <c r="F214" s="101" t="s">
        <v>528</v>
      </c>
      <c r="G214" s="101" t="s">
        <v>511</v>
      </c>
      <c r="H214" s="101">
        <v>17</v>
      </c>
    </row>
    <row r="215" spans="1:8" ht="14.25" customHeight="1" x14ac:dyDescent="0.25">
      <c r="A215" t="str">
        <f t="shared" si="3"/>
        <v>YAKU RIVER_Coho</v>
      </c>
      <c r="B215" t="s">
        <v>93</v>
      </c>
      <c r="C215" s="99" t="s">
        <v>254</v>
      </c>
      <c r="D215" s="102">
        <v>26</v>
      </c>
      <c r="E215" s="99" t="s">
        <v>527</v>
      </c>
      <c r="F215" s="101" t="s">
        <v>528</v>
      </c>
      <c r="G215" s="101" t="s">
        <v>511</v>
      </c>
      <c r="H215" s="101">
        <v>17</v>
      </c>
    </row>
    <row r="216" spans="1:8" ht="14.25" customHeight="1" x14ac:dyDescent="0.25">
      <c r="A216" t="str">
        <f t="shared" si="3"/>
        <v>BENSON RIVER_Coho</v>
      </c>
      <c r="B216" t="s">
        <v>93</v>
      </c>
      <c r="C216" s="99" t="s">
        <v>16</v>
      </c>
      <c r="D216" s="102">
        <v>27</v>
      </c>
      <c r="E216" s="99" t="s">
        <v>532</v>
      </c>
      <c r="F216" s="103" t="s">
        <v>533</v>
      </c>
      <c r="G216" s="103" t="s">
        <v>534</v>
      </c>
      <c r="H216" s="103">
        <v>15</v>
      </c>
    </row>
    <row r="217" spans="1:8" ht="14.25" customHeight="1" x14ac:dyDescent="0.25">
      <c r="A217" t="str">
        <f t="shared" si="3"/>
        <v>COLONIAL/CAYEGHLE CREEKS_Coho</v>
      </c>
      <c r="B217" t="s">
        <v>93</v>
      </c>
      <c r="C217" s="99" t="s">
        <v>275</v>
      </c>
      <c r="D217" s="102">
        <v>27</v>
      </c>
      <c r="E217" s="99" t="s">
        <v>532</v>
      </c>
      <c r="F217" s="103" t="s">
        <v>533</v>
      </c>
      <c r="G217" s="103" t="s">
        <v>534</v>
      </c>
      <c r="H217" s="103">
        <v>15</v>
      </c>
    </row>
    <row r="218" spans="1:8" ht="14.25" customHeight="1" x14ac:dyDescent="0.25">
      <c r="A218" t="str">
        <f t="shared" si="3"/>
        <v>MARBLE RIVER_Coho</v>
      </c>
      <c r="B218" t="s">
        <v>93</v>
      </c>
      <c r="C218" s="99" t="s">
        <v>17</v>
      </c>
      <c r="D218" s="102">
        <v>27</v>
      </c>
      <c r="E218" s="99" t="s">
        <v>532</v>
      </c>
      <c r="F218" s="103" t="s">
        <v>533</v>
      </c>
      <c r="G218" s="103" t="s">
        <v>534</v>
      </c>
      <c r="H218" s="103">
        <v>15</v>
      </c>
    </row>
    <row r="219" spans="1:8" ht="14.25" customHeight="1" x14ac:dyDescent="0.25">
      <c r="A219" t="str">
        <f t="shared" si="3"/>
        <v>CHARTERS RIVER_Chinook</v>
      </c>
      <c r="B219" t="s">
        <v>97</v>
      </c>
      <c r="C219" s="99" t="s">
        <v>25</v>
      </c>
      <c r="D219" s="100">
        <v>20</v>
      </c>
      <c r="E219" s="99" t="s">
        <v>535</v>
      </c>
      <c r="F219" s="101" t="s">
        <v>536</v>
      </c>
      <c r="G219" s="101" t="s">
        <v>537</v>
      </c>
      <c r="H219" s="101">
        <v>31</v>
      </c>
    </row>
    <row r="220" spans="1:8" ht="14.25" customHeight="1" x14ac:dyDescent="0.25">
      <c r="A220" t="str">
        <f t="shared" si="3"/>
        <v>DE MAMIEL CREEK_Chinook</v>
      </c>
      <c r="B220" t="s">
        <v>97</v>
      </c>
      <c r="C220" s="99" t="s">
        <v>24</v>
      </c>
      <c r="D220" s="100">
        <v>20</v>
      </c>
      <c r="E220" s="99" t="s">
        <v>535</v>
      </c>
      <c r="F220" s="101" t="s">
        <v>536</v>
      </c>
      <c r="G220" s="101" t="s">
        <v>537</v>
      </c>
      <c r="H220" s="101">
        <v>31</v>
      </c>
    </row>
    <row r="221" spans="1:8" ht="14.25" customHeight="1" x14ac:dyDescent="0.25">
      <c r="A221" t="str">
        <f t="shared" si="3"/>
        <v>GORDON RIVER_Chinook</v>
      </c>
      <c r="B221" t="s">
        <v>97</v>
      </c>
      <c r="C221" s="99" t="s">
        <v>36</v>
      </c>
      <c r="D221" s="100">
        <v>20</v>
      </c>
      <c r="E221" s="99" t="s">
        <v>538</v>
      </c>
      <c r="F221" s="103" t="s">
        <v>539</v>
      </c>
      <c r="G221" s="103" t="s">
        <v>540</v>
      </c>
      <c r="H221" s="101">
        <v>30</v>
      </c>
    </row>
    <row r="222" spans="1:8" ht="14.25" customHeight="1" x14ac:dyDescent="0.25">
      <c r="A222" t="str">
        <f t="shared" si="3"/>
        <v>HARRIS CREEK_Chinook</v>
      </c>
      <c r="B222" t="s">
        <v>97</v>
      </c>
      <c r="C222" s="99" t="s">
        <v>33</v>
      </c>
      <c r="D222" s="100">
        <v>20</v>
      </c>
      <c r="E222" s="99" t="s">
        <v>538</v>
      </c>
      <c r="F222" s="103" t="s">
        <v>539</v>
      </c>
      <c r="G222" s="103" t="s">
        <v>540</v>
      </c>
      <c r="H222" s="101">
        <v>31</v>
      </c>
    </row>
    <row r="223" spans="1:8" ht="14.25" customHeight="1" x14ac:dyDescent="0.25">
      <c r="A223" t="str">
        <f t="shared" si="3"/>
        <v>LENS CREEK_Chinook</v>
      </c>
      <c r="B223" t="s">
        <v>97</v>
      </c>
      <c r="C223" s="99" t="s">
        <v>35</v>
      </c>
      <c r="D223" s="100">
        <v>20</v>
      </c>
      <c r="E223" s="99" t="s">
        <v>538</v>
      </c>
      <c r="F223" s="103" t="s">
        <v>539</v>
      </c>
      <c r="G223" s="103" t="s">
        <v>540</v>
      </c>
      <c r="H223" s="101">
        <v>32</v>
      </c>
    </row>
    <row r="224" spans="1:8" ht="14.25" customHeight="1" x14ac:dyDescent="0.25">
      <c r="A224" t="str">
        <f t="shared" si="3"/>
        <v>RENFREW CREEK_Chinook</v>
      </c>
      <c r="B224" t="s">
        <v>97</v>
      </c>
      <c r="C224" s="99" t="s">
        <v>32</v>
      </c>
      <c r="D224" s="100">
        <v>20</v>
      </c>
      <c r="E224" s="99" t="s">
        <v>538</v>
      </c>
      <c r="F224" s="103" t="s">
        <v>539</v>
      </c>
      <c r="G224" s="103" t="s">
        <v>540</v>
      </c>
      <c r="H224" s="101">
        <v>32</v>
      </c>
    </row>
    <row r="225" spans="1:8" ht="14.25" customHeight="1" x14ac:dyDescent="0.25">
      <c r="A225" t="str">
        <f t="shared" si="3"/>
        <v>SAN JUAN RIVER_Chinook</v>
      </c>
      <c r="B225" t="s">
        <v>97</v>
      </c>
      <c r="C225" s="99" t="s">
        <v>27</v>
      </c>
      <c r="D225" s="100">
        <v>20</v>
      </c>
      <c r="E225" s="99" t="s">
        <v>538</v>
      </c>
      <c r="F225" s="103" t="s">
        <v>539</v>
      </c>
      <c r="G225" s="103" t="s">
        <v>540</v>
      </c>
      <c r="H225" s="101">
        <v>33</v>
      </c>
    </row>
    <row r="226" spans="1:8" ht="14.25" customHeight="1" x14ac:dyDescent="0.25">
      <c r="A226" t="str">
        <f t="shared" si="3"/>
        <v>SOOKE RIVER_Chinook</v>
      </c>
      <c r="B226" t="s">
        <v>97</v>
      </c>
      <c r="C226" s="99" t="s">
        <v>23</v>
      </c>
      <c r="D226" s="100">
        <v>20</v>
      </c>
      <c r="E226" s="99" t="s">
        <v>535</v>
      </c>
      <c r="F226" s="101" t="s">
        <v>536</v>
      </c>
      <c r="G226" s="101" t="s">
        <v>537</v>
      </c>
      <c r="H226" s="101">
        <v>31</v>
      </c>
    </row>
    <row r="227" spans="1:8" ht="14.25" customHeight="1" x14ac:dyDescent="0.25">
      <c r="A227" t="str">
        <f t="shared" si="3"/>
        <v>CARMANAH CREEK_Chinook</v>
      </c>
      <c r="B227" t="s">
        <v>97</v>
      </c>
      <c r="C227" s="99" t="s">
        <v>90</v>
      </c>
      <c r="D227" s="102">
        <v>21</v>
      </c>
      <c r="E227" s="99" t="s">
        <v>535</v>
      </c>
      <c r="F227" s="101" t="s">
        <v>536</v>
      </c>
      <c r="G227" s="101" t="s">
        <v>537</v>
      </c>
      <c r="H227" s="101">
        <v>31</v>
      </c>
    </row>
    <row r="228" spans="1:8" ht="14.25" customHeight="1" x14ac:dyDescent="0.25">
      <c r="A228" t="str">
        <f t="shared" si="3"/>
        <v>KLANAWA RIVER_Chinook</v>
      </c>
      <c r="B228" t="s">
        <v>97</v>
      </c>
      <c r="C228" s="99" t="s">
        <v>100</v>
      </c>
      <c r="D228" s="102">
        <v>21</v>
      </c>
      <c r="E228" s="99" t="s">
        <v>535</v>
      </c>
      <c r="F228" s="101" t="s">
        <v>536</v>
      </c>
      <c r="G228" s="101" t="s">
        <v>537</v>
      </c>
      <c r="H228" s="101">
        <v>31</v>
      </c>
    </row>
    <row r="229" spans="1:8" ht="14.25" customHeight="1" x14ac:dyDescent="0.25">
      <c r="A229" t="str">
        <f t="shared" si="3"/>
        <v>CAMPUS CREEK_Chinook</v>
      </c>
      <c r="B229" t="s">
        <v>97</v>
      </c>
      <c r="C229" s="99" t="s">
        <v>106</v>
      </c>
      <c r="D229" s="102">
        <v>22</v>
      </c>
      <c r="E229" s="99" t="s">
        <v>535</v>
      </c>
      <c r="F229" s="101" t="s">
        <v>536</v>
      </c>
      <c r="G229" s="101" t="s">
        <v>537</v>
      </c>
      <c r="H229" s="101">
        <v>31</v>
      </c>
    </row>
    <row r="230" spans="1:8" ht="14.25" customHeight="1" x14ac:dyDescent="0.25">
      <c r="A230" t="str">
        <f t="shared" si="3"/>
        <v>CAYCUSE RIVER_Chinook</v>
      </c>
      <c r="B230" t="s">
        <v>97</v>
      </c>
      <c r="C230" s="99" t="s">
        <v>105</v>
      </c>
      <c r="D230" s="102">
        <v>22</v>
      </c>
      <c r="E230" s="99" t="s">
        <v>535</v>
      </c>
      <c r="F230" s="101" t="s">
        <v>536</v>
      </c>
      <c r="G230" s="101" t="s">
        <v>537</v>
      </c>
      <c r="H230" s="101">
        <v>31</v>
      </c>
    </row>
    <row r="231" spans="1:8" ht="14.25" customHeight="1" x14ac:dyDescent="0.25">
      <c r="A231" t="str">
        <f t="shared" si="3"/>
        <v>DOOBAH CREEK_Chinook</v>
      </c>
      <c r="B231" t="s">
        <v>97</v>
      </c>
      <c r="C231" s="99" t="s">
        <v>103</v>
      </c>
      <c r="D231" s="102">
        <v>22</v>
      </c>
      <c r="E231" s="99" t="s">
        <v>535</v>
      </c>
      <c r="F231" s="101" t="s">
        <v>536</v>
      </c>
      <c r="G231" s="101" t="s">
        <v>537</v>
      </c>
      <c r="H231" s="101">
        <v>31</v>
      </c>
    </row>
    <row r="232" spans="1:8" ht="14.25" customHeight="1" x14ac:dyDescent="0.25">
      <c r="A232" t="str">
        <f t="shared" si="3"/>
        <v>NITINAT RIVER_Chinook</v>
      </c>
      <c r="B232" t="s">
        <v>97</v>
      </c>
      <c r="C232" s="99" t="s">
        <v>101</v>
      </c>
      <c r="D232" s="102">
        <v>22</v>
      </c>
      <c r="E232" s="99" t="s">
        <v>535</v>
      </c>
      <c r="F232" s="101" t="s">
        <v>536</v>
      </c>
      <c r="G232" s="101" t="s">
        <v>537</v>
      </c>
      <c r="H232" s="101">
        <v>31</v>
      </c>
    </row>
    <row r="233" spans="1:8" ht="14.25" customHeight="1" x14ac:dyDescent="0.25">
      <c r="A233" t="str">
        <f t="shared" si="3"/>
        <v>CLEMENS CREEK_Chinook</v>
      </c>
      <c r="B233" t="s">
        <v>97</v>
      </c>
      <c r="C233" s="99" t="s">
        <v>128</v>
      </c>
      <c r="D233" s="102">
        <v>23</v>
      </c>
      <c r="E233" s="99" t="s">
        <v>535</v>
      </c>
      <c r="F233" s="101" t="s">
        <v>536</v>
      </c>
      <c r="G233" s="101" t="s">
        <v>537</v>
      </c>
      <c r="H233" s="101">
        <v>31</v>
      </c>
    </row>
    <row r="234" spans="1:8" ht="14.25" customHeight="1" x14ac:dyDescent="0.25">
      <c r="A234" t="str">
        <f t="shared" si="3"/>
        <v>COEUR D'ALENE CREEK_Chinook</v>
      </c>
      <c r="B234" t="s">
        <v>97</v>
      </c>
      <c r="C234" s="99" t="s">
        <v>133</v>
      </c>
      <c r="D234" s="102">
        <v>23</v>
      </c>
      <c r="E234" s="99" t="s">
        <v>535</v>
      </c>
      <c r="F234" s="101" t="s">
        <v>536</v>
      </c>
      <c r="G234" s="101" t="s">
        <v>537</v>
      </c>
      <c r="H234" s="101">
        <v>31</v>
      </c>
    </row>
    <row r="235" spans="1:8" ht="14.25" customHeight="1" x14ac:dyDescent="0.25">
      <c r="A235" t="str">
        <f t="shared" si="3"/>
        <v>CONSINKA CREEK_Chinook</v>
      </c>
      <c r="B235" t="s">
        <v>97</v>
      </c>
      <c r="C235" s="99" t="s">
        <v>115</v>
      </c>
      <c r="D235" s="102">
        <v>23</v>
      </c>
      <c r="E235" s="99" t="s">
        <v>535</v>
      </c>
      <c r="F235" s="101" t="s">
        <v>536</v>
      </c>
      <c r="G235" s="101" t="s">
        <v>537</v>
      </c>
      <c r="H235" s="101">
        <v>31</v>
      </c>
    </row>
    <row r="236" spans="1:8" ht="14.25" customHeight="1" x14ac:dyDescent="0.25">
      <c r="A236" t="str">
        <f t="shared" si="3"/>
        <v>COUS CREEK_Chinook</v>
      </c>
      <c r="B236" t="s">
        <v>97</v>
      </c>
      <c r="C236" s="99" t="s">
        <v>123</v>
      </c>
      <c r="D236" s="102">
        <v>23</v>
      </c>
      <c r="E236" s="99" t="s">
        <v>535</v>
      </c>
      <c r="F236" s="101" t="s">
        <v>536</v>
      </c>
      <c r="G236" s="101" t="s">
        <v>537</v>
      </c>
      <c r="H236" s="101">
        <v>31</v>
      </c>
    </row>
    <row r="237" spans="1:8" ht="14.25" customHeight="1" x14ac:dyDescent="0.25">
      <c r="A237" t="str">
        <f t="shared" si="3"/>
        <v>EFFINGHAM RIVER_Chinook</v>
      </c>
      <c r="B237" t="s">
        <v>97</v>
      </c>
      <c r="C237" s="99" t="s">
        <v>134</v>
      </c>
      <c r="D237" s="102">
        <v>23</v>
      </c>
      <c r="E237" s="99" t="s">
        <v>535</v>
      </c>
      <c r="F237" s="101" t="s">
        <v>536</v>
      </c>
      <c r="G237" s="101" t="s">
        <v>537</v>
      </c>
      <c r="H237" s="101">
        <v>31</v>
      </c>
    </row>
    <row r="238" spans="1:8" ht="14.25" customHeight="1" x14ac:dyDescent="0.25">
      <c r="A238" t="str">
        <f t="shared" si="3"/>
        <v>FRANKLIN RIVER_Chinook</v>
      </c>
      <c r="B238" t="s">
        <v>97</v>
      </c>
      <c r="C238" s="99" t="s">
        <v>118</v>
      </c>
      <c r="D238" s="102">
        <v>23</v>
      </c>
      <c r="E238" s="99" t="s">
        <v>535</v>
      </c>
      <c r="F238" s="101" t="s">
        <v>536</v>
      </c>
      <c r="G238" s="101" t="s">
        <v>537</v>
      </c>
      <c r="H238" s="101">
        <v>31</v>
      </c>
    </row>
    <row r="239" spans="1:8" ht="14.25" customHeight="1" x14ac:dyDescent="0.25">
      <c r="A239" t="str">
        <f t="shared" si="3"/>
        <v>HENDERSON LAKE_Chinook</v>
      </c>
      <c r="B239" t="s">
        <v>97</v>
      </c>
      <c r="C239" s="99" t="s">
        <v>107</v>
      </c>
      <c r="D239" s="102">
        <v>23</v>
      </c>
      <c r="E239" s="99" t="s">
        <v>535</v>
      </c>
      <c r="F239" s="101" t="s">
        <v>536</v>
      </c>
      <c r="G239" s="101" t="s">
        <v>537</v>
      </c>
      <c r="H239" s="101">
        <v>31</v>
      </c>
    </row>
    <row r="240" spans="1:8" ht="14.25" customHeight="1" x14ac:dyDescent="0.25">
      <c r="A240" t="str">
        <f t="shared" si="3"/>
        <v>MACKTUSH CREEK_Chinook</v>
      </c>
      <c r="B240" t="s">
        <v>97</v>
      </c>
      <c r="C240" s="99" t="s">
        <v>124</v>
      </c>
      <c r="D240" s="102">
        <v>23</v>
      </c>
      <c r="E240" s="99" t="s">
        <v>535</v>
      </c>
      <c r="F240" s="101" t="s">
        <v>536</v>
      </c>
      <c r="G240" s="101" t="s">
        <v>537</v>
      </c>
      <c r="H240" s="101">
        <v>31</v>
      </c>
    </row>
    <row r="241" spans="1:8" ht="14.25" customHeight="1" x14ac:dyDescent="0.25">
      <c r="A241" t="str">
        <f t="shared" si="3"/>
        <v>MERCANTILE CREEK_Chinook</v>
      </c>
      <c r="B241" t="s">
        <v>97</v>
      </c>
      <c r="C241" s="99" t="s">
        <v>151</v>
      </c>
      <c r="D241" s="102">
        <v>23</v>
      </c>
      <c r="E241" s="99" t="s">
        <v>535</v>
      </c>
      <c r="F241" s="101" t="s">
        <v>536</v>
      </c>
      <c r="G241" s="101" t="s">
        <v>537</v>
      </c>
      <c r="H241" s="101">
        <v>31</v>
      </c>
    </row>
    <row r="242" spans="1:8" ht="14.25" customHeight="1" x14ac:dyDescent="0.25">
      <c r="A242" t="str">
        <f t="shared" si="3"/>
        <v>NAHMINT RIVER_Chinook</v>
      </c>
      <c r="B242" t="s">
        <v>97</v>
      </c>
      <c r="C242" s="99" t="s">
        <v>125</v>
      </c>
      <c r="D242" s="102">
        <v>23</v>
      </c>
      <c r="E242" s="99" t="s">
        <v>535</v>
      </c>
      <c r="F242" s="101" t="s">
        <v>536</v>
      </c>
      <c r="G242" s="101" t="s">
        <v>537</v>
      </c>
      <c r="H242" s="101">
        <v>31</v>
      </c>
    </row>
    <row r="243" spans="1:8" ht="14.25" customHeight="1" x14ac:dyDescent="0.25">
      <c r="A243" t="str">
        <f t="shared" si="3"/>
        <v>SARITA RIVER_Chinook</v>
      </c>
      <c r="B243" t="s">
        <v>97</v>
      </c>
      <c r="C243" s="99" t="s">
        <v>112</v>
      </c>
      <c r="D243" s="102">
        <v>23</v>
      </c>
      <c r="E243" s="99" t="s">
        <v>535</v>
      </c>
      <c r="F243" s="101" t="s">
        <v>536</v>
      </c>
      <c r="G243" s="101" t="s">
        <v>537</v>
      </c>
      <c r="H243" s="101">
        <v>31</v>
      </c>
    </row>
    <row r="244" spans="1:8" ht="14.25" customHeight="1" x14ac:dyDescent="0.25">
      <c r="A244" t="str">
        <f t="shared" si="3"/>
        <v>SMITH CREEK_Chinook</v>
      </c>
      <c r="B244" t="s">
        <v>97</v>
      </c>
      <c r="C244" s="99" t="s">
        <v>153</v>
      </c>
      <c r="D244" s="102">
        <v>23</v>
      </c>
      <c r="E244" s="99" t="s">
        <v>535</v>
      </c>
      <c r="F244" s="101" t="s">
        <v>536</v>
      </c>
      <c r="G244" s="101" t="s">
        <v>537</v>
      </c>
      <c r="H244" s="101">
        <v>31</v>
      </c>
    </row>
    <row r="245" spans="1:8" ht="14.25" customHeight="1" x14ac:dyDescent="0.25">
      <c r="A245" t="str">
        <f t="shared" si="3"/>
        <v>SOMASS SYSTEM_Chinook</v>
      </c>
      <c r="B245" t="s">
        <v>97</v>
      </c>
      <c r="C245" s="99" t="s">
        <v>40</v>
      </c>
      <c r="D245" s="102">
        <v>23</v>
      </c>
      <c r="E245" s="99" t="s">
        <v>535</v>
      </c>
      <c r="F245" s="101" t="s">
        <v>536</v>
      </c>
      <c r="G245" s="101" t="s">
        <v>537</v>
      </c>
      <c r="H245" s="101">
        <v>31</v>
      </c>
    </row>
    <row r="246" spans="1:8" ht="14.25" customHeight="1" x14ac:dyDescent="0.25">
      <c r="A246" t="str">
        <f t="shared" si="3"/>
        <v>SUGSAW CREEK_Chinook</v>
      </c>
      <c r="B246" t="s">
        <v>97</v>
      </c>
      <c r="C246" s="99" t="s">
        <v>110</v>
      </c>
      <c r="D246" s="102">
        <v>23</v>
      </c>
      <c r="E246" s="99" t="s">
        <v>535</v>
      </c>
      <c r="F246" s="101" t="s">
        <v>536</v>
      </c>
      <c r="G246" s="101" t="s">
        <v>537</v>
      </c>
      <c r="H246" s="101">
        <v>31</v>
      </c>
    </row>
    <row r="247" spans="1:8" ht="14.25" customHeight="1" x14ac:dyDescent="0.25">
      <c r="A247" t="str">
        <f t="shared" si="3"/>
        <v>THORNTON CREEK_Chinook</v>
      </c>
      <c r="B247" t="s">
        <v>97</v>
      </c>
      <c r="C247" s="99" t="s">
        <v>152</v>
      </c>
      <c r="D247" s="102">
        <v>23</v>
      </c>
      <c r="E247" s="99" t="s">
        <v>535</v>
      </c>
      <c r="F247" s="101" t="s">
        <v>536</v>
      </c>
      <c r="G247" s="101" t="s">
        <v>537</v>
      </c>
      <c r="H247" s="101">
        <v>31</v>
      </c>
    </row>
    <row r="248" spans="1:8" ht="14.25" customHeight="1" x14ac:dyDescent="0.25">
      <c r="A248" t="str">
        <f t="shared" si="3"/>
        <v>TOQUART RIVER_Chinook</v>
      </c>
      <c r="B248" t="s">
        <v>97</v>
      </c>
      <c r="C248" s="99" t="s">
        <v>143</v>
      </c>
      <c r="D248" s="102">
        <v>23</v>
      </c>
      <c r="E248" s="99" t="s">
        <v>535</v>
      </c>
      <c r="F248" s="101" t="s">
        <v>536</v>
      </c>
      <c r="G248" s="101" t="s">
        <v>537</v>
      </c>
      <c r="H248" s="101">
        <v>31</v>
      </c>
    </row>
    <row r="249" spans="1:8" ht="14.25" customHeight="1" x14ac:dyDescent="0.25">
      <c r="A249" t="str">
        <f t="shared" si="3"/>
        <v>UCHUCK CREEK_Chinook</v>
      </c>
      <c r="B249" t="s">
        <v>97</v>
      </c>
      <c r="C249" s="99" t="s">
        <v>129</v>
      </c>
      <c r="D249" s="102">
        <v>23</v>
      </c>
      <c r="E249" s="99" t="s">
        <v>535</v>
      </c>
      <c r="F249" s="101" t="s">
        <v>536</v>
      </c>
      <c r="G249" s="101" t="s">
        <v>537</v>
      </c>
      <c r="H249" s="101">
        <v>31</v>
      </c>
    </row>
    <row r="250" spans="1:8" ht="14.25" customHeight="1" x14ac:dyDescent="0.25">
      <c r="A250" t="str">
        <f t="shared" si="3"/>
        <v>WALLACE CREEK_Chinook</v>
      </c>
      <c r="B250" t="s">
        <v>97</v>
      </c>
      <c r="C250" s="99" t="s">
        <v>135</v>
      </c>
      <c r="D250" s="102">
        <v>23</v>
      </c>
      <c r="E250" s="99" t="s">
        <v>535</v>
      </c>
      <c r="F250" s="101" t="s">
        <v>536</v>
      </c>
      <c r="G250" s="101" t="s">
        <v>537</v>
      </c>
      <c r="H250" s="101">
        <v>31</v>
      </c>
    </row>
    <row r="251" spans="1:8" ht="14.25" customHeight="1" x14ac:dyDescent="0.25">
      <c r="A251" t="str">
        <f t="shared" si="3"/>
        <v>BEDWELL/URSUS_Chinook</v>
      </c>
      <c r="B251" t="s">
        <v>97</v>
      </c>
      <c r="C251" s="99" t="s">
        <v>274</v>
      </c>
      <c r="D251" s="102">
        <v>24</v>
      </c>
      <c r="E251" s="99" t="s">
        <v>535</v>
      </c>
      <c r="F251" s="101" t="s">
        <v>536</v>
      </c>
      <c r="G251" s="101" t="s">
        <v>537</v>
      </c>
      <c r="H251" s="101">
        <v>31</v>
      </c>
    </row>
    <row r="252" spans="1:8" ht="14.25" customHeight="1" x14ac:dyDescent="0.25">
      <c r="A252" t="str">
        <f t="shared" si="3"/>
        <v>CLAYOQUOT RIVER_Chinook</v>
      </c>
      <c r="B252" t="s">
        <v>97</v>
      </c>
      <c r="C252" s="99" t="s">
        <v>176</v>
      </c>
      <c r="D252" s="102">
        <v>24</v>
      </c>
      <c r="E252" s="99" t="s">
        <v>535</v>
      </c>
      <c r="F252" s="101" t="s">
        <v>536</v>
      </c>
      <c r="G252" s="101" t="s">
        <v>537</v>
      </c>
      <c r="H252" s="101">
        <v>31</v>
      </c>
    </row>
    <row r="253" spans="1:8" ht="14.25" customHeight="1" x14ac:dyDescent="0.25">
      <c r="A253" t="str">
        <f t="shared" si="3"/>
        <v>CYPRE RIVER_Chinook</v>
      </c>
      <c r="B253" t="s">
        <v>97</v>
      </c>
      <c r="C253" s="99" t="s">
        <v>190</v>
      </c>
      <c r="D253" s="102">
        <v>24</v>
      </c>
      <c r="E253" s="99" t="s">
        <v>535</v>
      </c>
      <c r="F253" s="101" t="s">
        <v>536</v>
      </c>
      <c r="G253" s="101" t="s">
        <v>537</v>
      </c>
      <c r="H253" s="101">
        <v>31</v>
      </c>
    </row>
    <row r="254" spans="1:8" ht="14.25" customHeight="1" x14ac:dyDescent="0.25">
      <c r="A254" t="str">
        <f t="shared" si="3"/>
        <v>ICE RIVER_Chinook</v>
      </c>
      <c r="B254" t="s">
        <v>97</v>
      </c>
      <c r="C254" s="99" t="s">
        <v>202</v>
      </c>
      <c r="D254" s="102">
        <v>24</v>
      </c>
      <c r="E254" s="99" t="s">
        <v>535</v>
      </c>
      <c r="F254" s="101" t="s">
        <v>536</v>
      </c>
      <c r="G254" s="101" t="s">
        <v>537</v>
      </c>
      <c r="H254" s="101">
        <v>31</v>
      </c>
    </row>
    <row r="255" spans="1:8" ht="14.25" customHeight="1" x14ac:dyDescent="0.25">
      <c r="A255" t="str">
        <f t="shared" si="3"/>
        <v>KENNEDY RIVER (LOWER)_Chinook</v>
      </c>
      <c r="B255" t="s">
        <v>97</v>
      </c>
      <c r="C255" s="99" t="s">
        <v>359</v>
      </c>
      <c r="D255" s="102">
        <v>24</v>
      </c>
      <c r="E255" s="99" t="s">
        <v>535</v>
      </c>
      <c r="F255" s="101" t="s">
        <v>536</v>
      </c>
      <c r="G255" s="101" t="s">
        <v>537</v>
      </c>
      <c r="H255" s="101">
        <v>31</v>
      </c>
    </row>
    <row r="256" spans="1:8" ht="14.25" customHeight="1" x14ac:dyDescent="0.25">
      <c r="A256" t="str">
        <f t="shared" si="3"/>
        <v>KENNEDY RIVER (UPPER)_Chinook</v>
      </c>
      <c r="B256" t="s">
        <v>97</v>
      </c>
      <c r="C256" s="99" t="s">
        <v>358</v>
      </c>
      <c r="D256" s="102">
        <v>24</v>
      </c>
      <c r="E256" s="99" t="s">
        <v>535</v>
      </c>
      <c r="F256" s="101" t="s">
        <v>536</v>
      </c>
      <c r="G256" s="101" t="s">
        <v>537</v>
      </c>
      <c r="H256" s="101">
        <v>31</v>
      </c>
    </row>
    <row r="257" spans="1:8" ht="14.25" customHeight="1" x14ac:dyDescent="0.25">
      <c r="A257" t="str">
        <f t="shared" si="3"/>
        <v>MEGIN RIVER_Chinook</v>
      </c>
      <c r="B257" t="s">
        <v>97</v>
      </c>
      <c r="C257" s="99" t="s">
        <v>200</v>
      </c>
      <c r="D257" s="102">
        <v>24</v>
      </c>
      <c r="E257" s="99" t="s">
        <v>535</v>
      </c>
      <c r="F257" s="101" t="s">
        <v>536</v>
      </c>
      <c r="G257" s="101" t="s">
        <v>537</v>
      </c>
      <c r="H257" s="101">
        <v>31</v>
      </c>
    </row>
    <row r="258" spans="1:8" ht="14.25" customHeight="1" x14ac:dyDescent="0.25">
      <c r="A258" t="str">
        <f t="shared" si="3"/>
        <v>MOYEHA RIVER_Chinook</v>
      </c>
      <c r="B258" t="s">
        <v>97</v>
      </c>
      <c r="C258" s="99" t="s">
        <v>194</v>
      </c>
      <c r="D258" s="102">
        <v>24</v>
      </c>
      <c r="E258" s="99" t="s">
        <v>535</v>
      </c>
      <c r="F258" s="101" t="s">
        <v>536</v>
      </c>
      <c r="G258" s="101" t="s">
        <v>537</v>
      </c>
      <c r="H258" s="101">
        <v>31</v>
      </c>
    </row>
    <row r="259" spans="1:8" ht="14.25" customHeight="1" x14ac:dyDescent="0.25">
      <c r="A259" t="str">
        <f t="shared" si="3"/>
        <v>SAND RIVER_Chinook</v>
      </c>
      <c r="B259" t="s">
        <v>97</v>
      </c>
      <c r="C259" s="99" t="s">
        <v>179</v>
      </c>
      <c r="D259" s="102">
        <v>24</v>
      </c>
      <c r="E259" s="99" t="s">
        <v>535</v>
      </c>
      <c r="F259" s="101" t="s">
        <v>536</v>
      </c>
      <c r="G259" s="101" t="s">
        <v>537</v>
      </c>
      <c r="H259" s="101">
        <v>31</v>
      </c>
    </row>
    <row r="260" spans="1:8" ht="14.25" customHeight="1" x14ac:dyDescent="0.25">
      <c r="A260" t="str">
        <f t="shared" si="3"/>
        <v>SYDNEY RIVER_Chinook</v>
      </c>
      <c r="B260" t="s">
        <v>97</v>
      </c>
      <c r="C260" s="99" t="s">
        <v>203</v>
      </c>
      <c r="D260" s="102">
        <v>24</v>
      </c>
      <c r="E260" s="99" t="s">
        <v>535</v>
      </c>
      <c r="F260" s="101" t="s">
        <v>536</v>
      </c>
      <c r="G260" s="101" t="s">
        <v>537</v>
      </c>
      <c r="H260" s="101">
        <v>31</v>
      </c>
    </row>
    <row r="261" spans="1:8" ht="14.25" customHeight="1" x14ac:dyDescent="0.25">
      <c r="A261" t="str">
        <f t="shared" ref="A261:A324" si="4">CONCATENATE(C261,"_",B261)</f>
        <v>TOFINO CREEK_Chinook</v>
      </c>
      <c r="B261" t="s">
        <v>97</v>
      </c>
      <c r="C261" s="99" t="s">
        <v>182</v>
      </c>
      <c r="D261" s="102">
        <v>24</v>
      </c>
      <c r="E261" s="99" t="s">
        <v>535</v>
      </c>
      <c r="F261" s="101" t="s">
        <v>536</v>
      </c>
      <c r="G261" s="101" t="s">
        <v>537</v>
      </c>
      <c r="H261" s="101">
        <v>31</v>
      </c>
    </row>
    <row r="262" spans="1:8" ht="14.25" customHeight="1" x14ac:dyDescent="0.25">
      <c r="A262" t="str">
        <f t="shared" si="4"/>
        <v>TRANQUIL CREEK_Chinook</v>
      </c>
      <c r="B262" t="s">
        <v>97</v>
      </c>
      <c r="C262" s="106" t="s">
        <v>183</v>
      </c>
      <c r="D262" s="102">
        <v>24</v>
      </c>
      <c r="E262" s="99" t="s">
        <v>535</v>
      </c>
      <c r="F262" s="101" t="s">
        <v>536</v>
      </c>
      <c r="G262" s="101" t="s">
        <v>537</v>
      </c>
      <c r="H262" s="101">
        <v>31</v>
      </c>
    </row>
    <row r="263" spans="1:8" ht="14.25" customHeight="1" x14ac:dyDescent="0.25">
      <c r="A263" t="str">
        <f t="shared" si="4"/>
        <v>WARN BAY CREEK_Chinook</v>
      </c>
      <c r="B263" t="s">
        <v>97</v>
      </c>
      <c r="C263" s="99" t="s">
        <v>184</v>
      </c>
      <c r="D263" s="102">
        <v>24</v>
      </c>
      <c r="E263" s="99" t="s">
        <v>535</v>
      </c>
      <c r="F263" s="101" t="s">
        <v>536</v>
      </c>
      <c r="G263" s="101" t="s">
        <v>537</v>
      </c>
      <c r="H263" s="101">
        <v>31</v>
      </c>
    </row>
    <row r="264" spans="1:8" ht="14.25" customHeight="1" x14ac:dyDescent="0.25">
      <c r="A264" t="str">
        <f t="shared" si="4"/>
        <v>WATTA CREEK_Chinook</v>
      </c>
      <c r="B264" t="s">
        <v>97</v>
      </c>
      <c r="C264" s="99" t="s">
        <v>199</v>
      </c>
      <c r="D264" s="102">
        <v>24</v>
      </c>
      <c r="E264" s="99" t="s">
        <v>535</v>
      </c>
      <c r="F264" s="101" t="s">
        <v>536</v>
      </c>
      <c r="G264" s="101" t="s">
        <v>537</v>
      </c>
      <c r="H264" s="101">
        <v>31</v>
      </c>
    </row>
    <row r="265" spans="1:8" ht="14.25" customHeight="1" x14ac:dyDescent="0.25">
      <c r="A265" t="str">
        <f t="shared" si="4"/>
        <v>WHITE PINE COVE CREEK_Chinook</v>
      </c>
      <c r="B265" t="s">
        <v>97</v>
      </c>
      <c r="C265" s="99" t="s">
        <v>193</v>
      </c>
      <c r="D265" s="102">
        <v>24</v>
      </c>
      <c r="E265" s="99" t="s">
        <v>535</v>
      </c>
      <c r="F265" s="101" t="s">
        <v>536</v>
      </c>
      <c r="G265" s="101" t="s">
        <v>537</v>
      </c>
      <c r="H265" s="101">
        <v>31</v>
      </c>
    </row>
    <row r="266" spans="1:8" ht="14.25" customHeight="1" x14ac:dyDescent="0.25">
      <c r="A266" t="str">
        <f t="shared" si="4"/>
        <v>BURMAN RIVER_Chinook</v>
      </c>
      <c r="B266" t="s">
        <v>97</v>
      </c>
      <c r="C266" s="99" t="s">
        <v>216</v>
      </c>
      <c r="D266" s="102">
        <v>25</v>
      </c>
      <c r="E266" s="99" t="s">
        <v>541</v>
      </c>
      <c r="F266" s="103" t="s">
        <v>542</v>
      </c>
      <c r="G266" s="103" t="s">
        <v>543</v>
      </c>
      <c r="H266" s="103">
        <v>32</v>
      </c>
    </row>
    <row r="267" spans="1:8" ht="14.25" customHeight="1" x14ac:dyDescent="0.25">
      <c r="A267" t="str">
        <f t="shared" si="4"/>
        <v>CANTON CREEK_Chinook</v>
      </c>
      <c r="B267" t="s">
        <v>97</v>
      </c>
      <c r="C267" s="99" t="s">
        <v>225</v>
      </c>
      <c r="D267" s="102">
        <v>25</v>
      </c>
      <c r="E267" s="99" t="s">
        <v>541</v>
      </c>
      <c r="F267" s="103" t="s">
        <v>542</v>
      </c>
      <c r="G267" s="103" t="s">
        <v>543</v>
      </c>
      <c r="H267" s="103">
        <v>32</v>
      </c>
    </row>
    <row r="268" spans="1:8" ht="14.25" customHeight="1" x14ac:dyDescent="0.25">
      <c r="A268" t="str">
        <f t="shared" si="4"/>
        <v>CHUM CREEK_Chinook</v>
      </c>
      <c r="B268" t="s">
        <v>97</v>
      </c>
      <c r="C268" s="99" t="s">
        <v>244</v>
      </c>
      <c r="D268" s="102">
        <v>25</v>
      </c>
      <c r="E268" s="99" t="s">
        <v>541</v>
      </c>
      <c r="F268" s="103" t="s">
        <v>542</v>
      </c>
      <c r="G268" s="103" t="s">
        <v>543</v>
      </c>
      <c r="H268" s="103">
        <v>32</v>
      </c>
    </row>
    <row r="269" spans="1:8" ht="14.25" customHeight="1" x14ac:dyDescent="0.25">
      <c r="A269" t="str">
        <f t="shared" si="4"/>
        <v>CONUMA RIVER_Chinook</v>
      </c>
      <c r="B269" t="s">
        <v>97</v>
      </c>
      <c r="C269" s="99" t="s">
        <v>224</v>
      </c>
      <c r="D269" s="102">
        <v>25</v>
      </c>
      <c r="E269" s="99" t="s">
        <v>541</v>
      </c>
      <c r="F269" s="103" t="s">
        <v>542</v>
      </c>
      <c r="G269" s="103" t="s">
        <v>543</v>
      </c>
      <c r="H269" s="103">
        <v>32</v>
      </c>
    </row>
    <row r="270" spans="1:8" ht="14.25" customHeight="1" x14ac:dyDescent="0.25">
      <c r="A270" t="str">
        <f t="shared" si="4"/>
        <v>DESERTED CREEK_Chinook</v>
      </c>
      <c r="B270" t="s">
        <v>97</v>
      </c>
      <c r="C270" s="99" t="s">
        <v>227</v>
      </c>
      <c r="D270" s="102">
        <v>25</v>
      </c>
      <c r="E270" s="99" t="s">
        <v>541</v>
      </c>
      <c r="F270" s="103" t="s">
        <v>542</v>
      </c>
      <c r="G270" s="103" t="s">
        <v>543</v>
      </c>
      <c r="H270" s="103">
        <v>32</v>
      </c>
    </row>
    <row r="271" spans="1:8" ht="14.25" customHeight="1" x14ac:dyDescent="0.25">
      <c r="A271" t="str">
        <f t="shared" si="4"/>
        <v>ESPINOSA CREEK_Chinook</v>
      </c>
      <c r="B271" t="s">
        <v>97</v>
      </c>
      <c r="C271" s="99" t="s">
        <v>243</v>
      </c>
      <c r="D271" s="102">
        <v>25</v>
      </c>
      <c r="E271" s="99" t="s">
        <v>541</v>
      </c>
      <c r="F271" s="103" t="s">
        <v>542</v>
      </c>
      <c r="G271" s="103" t="s">
        <v>543</v>
      </c>
      <c r="H271" s="103">
        <v>32</v>
      </c>
    </row>
    <row r="272" spans="1:8" ht="14.25" customHeight="1" x14ac:dyDescent="0.25">
      <c r="A272" t="str">
        <f t="shared" si="4"/>
        <v>GOLD RIVER_Chinook</v>
      </c>
      <c r="B272" t="s">
        <v>97</v>
      </c>
      <c r="C272" s="99" t="s">
        <v>217</v>
      </c>
      <c r="D272" s="102">
        <v>25</v>
      </c>
      <c r="E272" s="99" t="s">
        <v>541</v>
      </c>
      <c r="F272" s="103" t="s">
        <v>542</v>
      </c>
      <c r="G272" s="103" t="s">
        <v>543</v>
      </c>
      <c r="H272" s="103">
        <v>32</v>
      </c>
    </row>
    <row r="273" spans="1:8" ht="14.25" customHeight="1" x14ac:dyDescent="0.25">
      <c r="A273" t="str">
        <f t="shared" si="4"/>
        <v>HAMMOND CREEK_Chinook</v>
      </c>
      <c r="B273" t="s">
        <v>97</v>
      </c>
      <c r="C273" s="99" t="s">
        <v>214</v>
      </c>
      <c r="D273" s="102">
        <v>25</v>
      </c>
      <c r="E273" s="99" t="s">
        <v>541</v>
      </c>
      <c r="F273" s="103" t="s">
        <v>542</v>
      </c>
      <c r="G273" s="103" t="s">
        <v>543</v>
      </c>
      <c r="H273" s="103">
        <v>32</v>
      </c>
    </row>
    <row r="274" spans="1:8" ht="14.25" customHeight="1" x14ac:dyDescent="0.25">
      <c r="A274" t="str">
        <f t="shared" si="4"/>
        <v>HOISS CREEK_Chinook</v>
      </c>
      <c r="B274" t="s">
        <v>97</v>
      </c>
      <c r="C274" s="99" t="s">
        <v>228</v>
      </c>
      <c r="D274" s="102">
        <v>25</v>
      </c>
      <c r="E274" s="99" t="s">
        <v>541</v>
      </c>
      <c r="F274" s="103" t="s">
        <v>542</v>
      </c>
      <c r="G274" s="103" t="s">
        <v>543</v>
      </c>
      <c r="H274" s="103">
        <v>32</v>
      </c>
    </row>
    <row r="275" spans="1:8" ht="14.25" customHeight="1" x14ac:dyDescent="0.25">
      <c r="A275" t="str">
        <f t="shared" si="4"/>
        <v>INNER BASIN RIVER (Ransom C)_Chinook</v>
      </c>
      <c r="B275" t="s">
        <v>97</v>
      </c>
      <c r="C275" s="99" t="s">
        <v>608</v>
      </c>
      <c r="D275" s="102">
        <v>25</v>
      </c>
      <c r="E275" s="99" t="s">
        <v>541</v>
      </c>
      <c r="F275" s="103" t="s">
        <v>542</v>
      </c>
      <c r="G275" s="103" t="s">
        <v>543</v>
      </c>
      <c r="H275" s="103">
        <v>32</v>
      </c>
    </row>
    <row r="276" spans="1:8" ht="14.25" customHeight="1" x14ac:dyDescent="0.25">
      <c r="A276" t="str">
        <f t="shared" si="4"/>
        <v>KLEEPTEE CREEK_Chinook</v>
      </c>
      <c r="B276" t="s">
        <v>97</v>
      </c>
      <c r="C276" s="99" t="s">
        <v>221</v>
      </c>
      <c r="D276" s="102">
        <v>25</v>
      </c>
      <c r="E276" s="99" t="s">
        <v>541</v>
      </c>
      <c r="F276" s="103" t="s">
        <v>542</v>
      </c>
      <c r="G276" s="103" t="s">
        <v>543</v>
      </c>
      <c r="H276" s="103">
        <v>32</v>
      </c>
    </row>
    <row r="277" spans="1:8" ht="14.25" customHeight="1" x14ac:dyDescent="0.25">
      <c r="A277" t="str">
        <f t="shared" si="4"/>
        <v>LEINER RIVER_Chinook</v>
      </c>
      <c r="B277" t="s">
        <v>97</v>
      </c>
      <c r="C277" s="99" t="s">
        <v>230</v>
      </c>
      <c r="D277" s="102">
        <v>25</v>
      </c>
      <c r="E277" s="99" t="s">
        <v>541</v>
      </c>
      <c r="F277" s="103" t="s">
        <v>542</v>
      </c>
      <c r="G277" s="103" t="s">
        <v>543</v>
      </c>
      <c r="H277" s="103">
        <v>32</v>
      </c>
    </row>
    <row r="278" spans="1:8" ht="14.25" customHeight="1" x14ac:dyDescent="0.25">
      <c r="A278" t="str">
        <f t="shared" si="4"/>
        <v>LITTLE ZEBALLOS RIVER_Chinook</v>
      </c>
      <c r="B278" t="s">
        <v>97</v>
      </c>
      <c r="C278" s="99" t="s">
        <v>240</v>
      </c>
      <c r="D278" s="102">
        <v>25</v>
      </c>
      <c r="E278" s="99" t="s">
        <v>541</v>
      </c>
      <c r="F278" s="103" t="s">
        <v>542</v>
      </c>
      <c r="G278" s="103" t="s">
        <v>543</v>
      </c>
      <c r="H278" s="103">
        <v>32</v>
      </c>
    </row>
    <row r="279" spans="1:8" ht="14.25" customHeight="1" x14ac:dyDescent="0.25">
      <c r="A279" t="str">
        <f t="shared" si="4"/>
        <v>MAMAT CREEK_Chinook</v>
      </c>
      <c r="B279" t="s">
        <v>97</v>
      </c>
      <c r="C279" s="99" t="s">
        <v>242</v>
      </c>
      <c r="D279" s="102">
        <v>25</v>
      </c>
      <c r="E279" s="99" t="s">
        <v>541</v>
      </c>
      <c r="F279" s="103" t="s">
        <v>542</v>
      </c>
      <c r="G279" s="103" t="s">
        <v>543</v>
      </c>
      <c r="H279" s="103">
        <v>32</v>
      </c>
    </row>
    <row r="280" spans="1:8" ht="14.25" customHeight="1" x14ac:dyDescent="0.25">
      <c r="A280" t="str">
        <f t="shared" si="4"/>
        <v>MARVINAS BAY CREEK_Chinook</v>
      </c>
      <c r="B280" t="s">
        <v>97</v>
      </c>
      <c r="C280" s="99" t="s">
        <v>233</v>
      </c>
      <c r="D280" s="102">
        <v>25</v>
      </c>
      <c r="E280" s="99" t="s">
        <v>541</v>
      </c>
      <c r="F280" s="103" t="s">
        <v>542</v>
      </c>
      <c r="G280" s="103" t="s">
        <v>543</v>
      </c>
      <c r="H280" s="103">
        <v>32</v>
      </c>
    </row>
    <row r="281" spans="1:8" ht="14.25" customHeight="1" x14ac:dyDescent="0.25">
      <c r="A281" t="str">
        <f t="shared" si="4"/>
        <v>MOOYAH RIVER_Chinook</v>
      </c>
      <c r="B281" t="s">
        <v>97</v>
      </c>
      <c r="C281" s="99" t="s">
        <v>215</v>
      </c>
      <c r="D281" s="102">
        <v>25</v>
      </c>
      <c r="E281" s="99" t="s">
        <v>541</v>
      </c>
      <c r="F281" s="103" t="s">
        <v>542</v>
      </c>
      <c r="G281" s="103" t="s">
        <v>543</v>
      </c>
      <c r="H281" s="103">
        <v>32</v>
      </c>
    </row>
    <row r="282" spans="1:8" ht="14.25" customHeight="1" x14ac:dyDescent="0.25">
      <c r="A282" t="str">
        <f t="shared" si="4"/>
        <v>MUCHALAT RIVER_Chinook</v>
      </c>
      <c r="B282" t="s">
        <v>97</v>
      </c>
      <c r="C282" s="99" t="s">
        <v>218</v>
      </c>
      <c r="D282" s="102">
        <v>25</v>
      </c>
      <c r="E282" s="99" t="s">
        <v>541</v>
      </c>
      <c r="F282" s="103" t="s">
        <v>542</v>
      </c>
      <c r="G282" s="103" t="s">
        <v>543</v>
      </c>
      <c r="H282" s="103">
        <v>32</v>
      </c>
    </row>
    <row r="283" spans="1:8" ht="14.25" customHeight="1" x14ac:dyDescent="0.25">
      <c r="A283" t="str">
        <f t="shared" si="4"/>
        <v>OKTWANCH RIVER_Chinook</v>
      </c>
      <c r="B283" t="s">
        <v>97</v>
      </c>
      <c r="C283" s="99" t="s">
        <v>219</v>
      </c>
      <c r="D283" s="102">
        <v>25</v>
      </c>
      <c r="E283" s="99" t="s">
        <v>541</v>
      </c>
      <c r="F283" s="103" t="s">
        <v>542</v>
      </c>
      <c r="G283" s="103" t="s">
        <v>543</v>
      </c>
      <c r="H283" s="103">
        <v>32</v>
      </c>
    </row>
    <row r="284" spans="1:8" ht="14.25" customHeight="1" x14ac:dyDescent="0.25">
      <c r="A284" t="str">
        <f t="shared" si="4"/>
        <v>OWOSSITSA CREEK_Chinook</v>
      </c>
      <c r="B284" t="s">
        <v>97</v>
      </c>
      <c r="C284" s="99" t="s">
        <v>237</v>
      </c>
      <c r="D284" s="102">
        <v>25</v>
      </c>
      <c r="E284" s="99" t="s">
        <v>541</v>
      </c>
      <c r="F284" s="103" t="s">
        <v>542</v>
      </c>
      <c r="G284" s="103" t="s">
        <v>543</v>
      </c>
      <c r="H284" s="103">
        <v>32</v>
      </c>
    </row>
    <row r="285" spans="1:8" ht="14.25" customHeight="1" x14ac:dyDescent="0.25">
      <c r="A285" t="str">
        <f t="shared" si="4"/>
        <v>PARK RIVER_Chinook</v>
      </c>
      <c r="B285" t="s">
        <v>97</v>
      </c>
      <c r="C285" s="99" t="s">
        <v>245</v>
      </c>
      <c r="D285" s="102">
        <v>25</v>
      </c>
      <c r="E285" s="99" t="s">
        <v>541</v>
      </c>
      <c r="F285" s="103" t="s">
        <v>542</v>
      </c>
      <c r="G285" s="103" t="s">
        <v>543</v>
      </c>
      <c r="H285" s="103">
        <v>32</v>
      </c>
    </row>
    <row r="286" spans="1:8" ht="14.25" customHeight="1" x14ac:dyDescent="0.25">
      <c r="A286" t="str">
        <f t="shared" si="4"/>
        <v>SUCWOA RIVER_Chinook</v>
      </c>
      <c r="B286" t="s">
        <v>97</v>
      </c>
      <c r="C286" s="99" t="s">
        <v>226</v>
      </c>
      <c r="D286" s="102">
        <v>25</v>
      </c>
      <c r="E286" s="99" t="s">
        <v>541</v>
      </c>
      <c r="F286" s="103" t="s">
        <v>542</v>
      </c>
      <c r="G286" s="103" t="s">
        <v>543</v>
      </c>
      <c r="H286" s="103">
        <v>32</v>
      </c>
    </row>
    <row r="287" spans="1:8" ht="14.25" customHeight="1" x14ac:dyDescent="0.25">
      <c r="A287" t="str">
        <f t="shared" si="4"/>
        <v>TAHSIS RIVER_Chinook</v>
      </c>
      <c r="B287" t="s">
        <v>97</v>
      </c>
      <c r="C287" s="99" t="s">
        <v>231</v>
      </c>
      <c r="D287" s="102">
        <v>25</v>
      </c>
      <c r="E287" s="99" t="s">
        <v>541</v>
      </c>
      <c r="F287" s="103" t="s">
        <v>542</v>
      </c>
      <c r="G287" s="103" t="s">
        <v>543</v>
      </c>
      <c r="H287" s="103">
        <v>32</v>
      </c>
    </row>
    <row r="288" spans="1:8" ht="14.25" customHeight="1" x14ac:dyDescent="0.25">
      <c r="A288" t="str">
        <f t="shared" si="4"/>
        <v>TLUPANA RIVER_Chinook</v>
      </c>
      <c r="B288" t="s">
        <v>97</v>
      </c>
      <c r="C288" s="99" t="s">
        <v>223</v>
      </c>
      <c r="D288" s="102">
        <v>25</v>
      </c>
      <c r="E288" s="99" t="s">
        <v>541</v>
      </c>
      <c r="F288" s="103" t="s">
        <v>542</v>
      </c>
      <c r="G288" s="103" t="s">
        <v>543</v>
      </c>
      <c r="H288" s="103">
        <v>32</v>
      </c>
    </row>
    <row r="289" spans="1:8" ht="14.25" customHeight="1" x14ac:dyDescent="0.25">
      <c r="A289" t="str">
        <f t="shared" si="4"/>
        <v>TSOWWIN RIVER_Chinook</v>
      </c>
      <c r="B289" t="s">
        <v>97</v>
      </c>
      <c r="C289" s="99" t="s">
        <v>229</v>
      </c>
      <c r="D289" s="102">
        <v>25</v>
      </c>
      <c r="E289" s="99" t="s">
        <v>541</v>
      </c>
      <c r="F289" s="103" t="s">
        <v>542</v>
      </c>
      <c r="G289" s="103" t="s">
        <v>543</v>
      </c>
      <c r="H289" s="103">
        <v>32</v>
      </c>
    </row>
    <row r="290" spans="1:8" ht="14.25" customHeight="1" x14ac:dyDescent="0.25">
      <c r="A290" t="str">
        <f t="shared" si="4"/>
        <v>ZEBALLOS RIVER_Chinook</v>
      </c>
      <c r="B290" t="s">
        <v>97</v>
      </c>
      <c r="C290" s="99" t="s">
        <v>241</v>
      </c>
      <c r="D290" s="102">
        <v>25</v>
      </c>
      <c r="E290" s="99" t="s">
        <v>541</v>
      </c>
      <c r="F290" s="103" t="s">
        <v>542</v>
      </c>
      <c r="G290" s="103" t="s">
        <v>543</v>
      </c>
      <c r="H290" s="103">
        <v>32</v>
      </c>
    </row>
    <row r="291" spans="1:8" ht="14.25" customHeight="1" x14ac:dyDescent="0.25">
      <c r="A291" t="str">
        <f t="shared" si="4"/>
        <v>AMAI CREEK_Chinook</v>
      </c>
      <c r="B291" t="s">
        <v>97</v>
      </c>
      <c r="C291" s="99" t="s">
        <v>250</v>
      </c>
      <c r="D291" s="102">
        <v>26</v>
      </c>
      <c r="E291" s="99" t="s">
        <v>541</v>
      </c>
      <c r="F291" s="103" t="s">
        <v>542</v>
      </c>
      <c r="G291" s="103" t="s">
        <v>543</v>
      </c>
      <c r="H291" s="103">
        <v>32</v>
      </c>
    </row>
    <row r="292" spans="1:8" ht="14.25" customHeight="1" x14ac:dyDescent="0.25">
      <c r="A292" t="str">
        <f t="shared" si="4"/>
        <v>ARTLISH RIVER_Chinook</v>
      </c>
      <c r="B292" t="s">
        <v>97</v>
      </c>
      <c r="C292" s="99" t="s">
        <v>252</v>
      </c>
      <c r="D292" s="102">
        <v>26</v>
      </c>
      <c r="E292" s="99" t="s">
        <v>541</v>
      </c>
      <c r="F292" s="103" t="s">
        <v>542</v>
      </c>
      <c r="G292" s="103" t="s">
        <v>543</v>
      </c>
      <c r="H292" s="103">
        <v>32</v>
      </c>
    </row>
    <row r="293" spans="1:8" ht="14.25" customHeight="1" x14ac:dyDescent="0.25">
      <c r="A293" t="str">
        <f t="shared" si="4"/>
        <v>EASY CREEK_Chinook</v>
      </c>
      <c r="B293" t="s">
        <v>97</v>
      </c>
      <c r="C293" s="99" t="s">
        <v>257</v>
      </c>
      <c r="D293" s="102">
        <v>26</v>
      </c>
      <c r="E293" s="99" t="s">
        <v>541</v>
      </c>
      <c r="F293" s="103" t="s">
        <v>542</v>
      </c>
      <c r="G293" s="103" t="s">
        <v>543</v>
      </c>
      <c r="H293" s="103">
        <v>32</v>
      </c>
    </row>
    <row r="294" spans="1:8" ht="14.25" customHeight="1" x14ac:dyDescent="0.25">
      <c r="A294" t="str">
        <f t="shared" si="4"/>
        <v>KAOUK RIVER_Chinook</v>
      </c>
      <c r="B294" t="s">
        <v>97</v>
      </c>
      <c r="C294" s="99" t="s">
        <v>251</v>
      </c>
      <c r="D294" s="102">
        <v>26</v>
      </c>
      <c r="E294" s="99" t="s">
        <v>541</v>
      </c>
      <c r="F294" s="103" t="s">
        <v>542</v>
      </c>
      <c r="G294" s="103" t="s">
        <v>543</v>
      </c>
      <c r="H294" s="103">
        <v>32</v>
      </c>
    </row>
    <row r="295" spans="1:8" ht="14.25" customHeight="1" x14ac:dyDescent="0.25">
      <c r="A295" t="str">
        <f t="shared" si="4"/>
        <v>KASHUTL RIVER_Chinook</v>
      </c>
      <c r="B295" t="s">
        <v>97</v>
      </c>
      <c r="C295" s="99" t="s">
        <v>256</v>
      </c>
      <c r="D295" s="102">
        <v>26</v>
      </c>
      <c r="E295" s="99" t="s">
        <v>541</v>
      </c>
      <c r="F295" s="103" t="s">
        <v>542</v>
      </c>
      <c r="G295" s="103" t="s">
        <v>543</v>
      </c>
      <c r="H295" s="103">
        <v>32</v>
      </c>
    </row>
    <row r="296" spans="1:8" ht="14.25" customHeight="1" x14ac:dyDescent="0.25">
      <c r="A296" t="str">
        <f t="shared" si="4"/>
        <v>KAUWINCH RIVER_Chinook</v>
      </c>
      <c r="B296" t="s">
        <v>97</v>
      </c>
      <c r="C296" s="99" t="s">
        <v>255</v>
      </c>
      <c r="D296" s="102">
        <v>26</v>
      </c>
      <c r="E296" s="99" t="s">
        <v>541</v>
      </c>
      <c r="F296" s="103" t="s">
        <v>542</v>
      </c>
      <c r="G296" s="103" t="s">
        <v>543</v>
      </c>
      <c r="H296" s="103">
        <v>32</v>
      </c>
    </row>
    <row r="297" spans="1:8" ht="14.25" customHeight="1" x14ac:dyDescent="0.25">
      <c r="A297" t="str">
        <f t="shared" si="4"/>
        <v>MALKSOPE RIVER_Chinook</v>
      </c>
      <c r="B297" t="s">
        <v>97</v>
      </c>
      <c r="C297" s="99" t="s">
        <v>265</v>
      </c>
      <c r="D297" s="102">
        <v>26</v>
      </c>
      <c r="E297" s="99" t="s">
        <v>541</v>
      </c>
      <c r="F297" s="103" t="s">
        <v>542</v>
      </c>
      <c r="G297" s="103" t="s">
        <v>543</v>
      </c>
      <c r="H297" s="103">
        <v>32</v>
      </c>
    </row>
    <row r="298" spans="1:8" ht="14.25" customHeight="1" x14ac:dyDescent="0.25">
      <c r="A298" t="str">
        <f t="shared" si="4"/>
        <v>NARROWGUT CREEK_Chinook</v>
      </c>
      <c r="B298" t="s">
        <v>97</v>
      </c>
      <c r="C298" s="99" t="s">
        <v>249</v>
      </c>
      <c r="D298" s="102">
        <v>26</v>
      </c>
      <c r="E298" s="99" t="s">
        <v>541</v>
      </c>
      <c r="F298" s="103" t="s">
        <v>542</v>
      </c>
      <c r="G298" s="103" t="s">
        <v>543</v>
      </c>
      <c r="H298" s="103">
        <v>32</v>
      </c>
    </row>
    <row r="299" spans="1:8" ht="14.25" customHeight="1" x14ac:dyDescent="0.25">
      <c r="A299" t="str">
        <f t="shared" si="4"/>
        <v>OUOUKINSH RIVER_Chinook</v>
      </c>
      <c r="B299" t="s">
        <v>97</v>
      </c>
      <c r="C299" s="99" t="s">
        <v>266</v>
      </c>
      <c r="D299" s="102">
        <v>26</v>
      </c>
      <c r="E299" s="99" t="s">
        <v>541</v>
      </c>
      <c r="F299" s="103" t="s">
        <v>542</v>
      </c>
      <c r="G299" s="103" t="s">
        <v>543</v>
      </c>
      <c r="H299" s="103">
        <v>32</v>
      </c>
    </row>
    <row r="300" spans="1:8" ht="14.25" customHeight="1" x14ac:dyDescent="0.25">
      <c r="A300" t="str">
        <f t="shared" si="4"/>
        <v>TAHSISH RIVER_Chinook</v>
      </c>
      <c r="B300" t="s">
        <v>97</v>
      </c>
      <c r="C300" s="99" t="s">
        <v>253</v>
      </c>
      <c r="D300" s="102">
        <v>26</v>
      </c>
      <c r="E300" s="99" t="s">
        <v>541</v>
      </c>
      <c r="F300" s="103" t="s">
        <v>542</v>
      </c>
      <c r="G300" s="103" t="s">
        <v>543</v>
      </c>
      <c r="H300" s="103">
        <v>32</v>
      </c>
    </row>
    <row r="301" spans="1:8" ht="14.25" customHeight="1" x14ac:dyDescent="0.25">
      <c r="A301" t="str">
        <f t="shared" si="4"/>
        <v>BENSON RIVER_Chinook</v>
      </c>
      <c r="B301" t="s">
        <v>97</v>
      </c>
      <c r="C301" s="99" t="s">
        <v>16</v>
      </c>
      <c r="D301" s="102">
        <v>27</v>
      </c>
      <c r="E301" s="99" t="s">
        <v>544</v>
      </c>
      <c r="F301" s="103" t="s">
        <v>545</v>
      </c>
      <c r="G301" s="103" t="s">
        <v>519</v>
      </c>
      <c r="H301" s="103">
        <v>33</v>
      </c>
    </row>
    <row r="302" spans="1:8" ht="14.25" customHeight="1" x14ac:dyDescent="0.25">
      <c r="A302" t="str">
        <f t="shared" si="4"/>
        <v>COLONIAL/CAYEGHLE CREEKS_Chinook</v>
      </c>
      <c r="B302" t="s">
        <v>97</v>
      </c>
      <c r="C302" s="107" t="s">
        <v>275</v>
      </c>
      <c r="D302" s="102">
        <v>27</v>
      </c>
      <c r="E302" s="107" t="s">
        <v>544</v>
      </c>
      <c r="F302" s="108" t="s">
        <v>545</v>
      </c>
      <c r="G302" s="108" t="s">
        <v>519</v>
      </c>
      <c r="H302" s="108">
        <v>33</v>
      </c>
    </row>
    <row r="303" spans="1:8" ht="14.25" customHeight="1" x14ac:dyDescent="0.25">
      <c r="A303" t="str">
        <f t="shared" si="4"/>
        <v>MARBLE RIVER_Chinook</v>
      </c>
      <c r="B303" t="s">
        <v>97</v>
      </c>
      <c r="C303" s="99" t="s">
        <v>17</v>
      </c>
      <c r="D303" s="102">
        <v>27</v>
      </c>
      <c r="E303" s="99" t="s">
        <v>544</v>
      </c>
      <c r="F303" s="103" t="s">
        <v>545</v>
      </c>
      <c r="G303" s="103" t="s">
        <v>519</v>
      </c>
      <c r="H303" s="103">
        <v>33</v>
      </c>
    </row>
    <row r="304" spans="1:8" ht="14.25" customHeight="1" x14ac:dyDescent="0.25">
      <c r="A304" t="str">
        <f t="shared" si="4"/>
        <v>AYUM CREEK_Chum</v>
      </c>
      <c r="B304" t="s">
        <v>96</v>
      </c>
      <c r="C304" s="107" t="s">
        <v>22</v>
      </c>
      <c r="D304" s="100">
        <v>20</v>
      </c>
      <c r="E304" s="107" t="s">
        <v>546</v>
      </c>
      <c r="F304" s="109" t="s">
        <v>547</v>
      </c>
      <c r="G304" s="109" t="s">
        <v>548</v>
      </c>
      <c r="H304" s="109">
        <v>4</v>
      </c>
    </row>
    <row r="305" spans="1:8" ht="14.25" customHeight="1" x14ac:dyDescent="0.25">
      <c r="A305" t="str">
        <f t="shared" si="4"/>
        <v>CHARTERS RIVER_Chum</v>
      </c>
      <c r="B305" t="s">
        <v>96</v>
      </c>
      <c r="C305" s="107" t="s">
        <v>25</v>
      </c>
      <c r="D305" s="100">
        <v>20</v>
      </c>
      <c r="E305" s="107" t="s">
        <v>546</v>
      </c>
      <c r="F305" s="109" t="s">
        <v>547</v>
      </c>
      <c r="G305" s="109" t="s">
        <v>548</v>
      </c>
      <c r="H305" s="109">
        <v>4</v>
      </c>
    </row>
    <row r="306" spans="1:8" ht="14.25" customHeight="1" x14ac:dyDescent="0.25">
      <c r="A306" t="str">
        <f t="shared" si="4"/>
        <v>DE MAMIEL CREEK_Chum</v>
      </c>
      <c r="B306" t="s">
        <v>96</v>
      </c>
      <c r="C306" s="107" t="s">
        <v>24</v>
      </c>
      <c r="D306" s="100">
        <v>20</v>
      </c>
      <c r="E306" s="107" t="s">
        <v>546</v>
      </c>
      <c r="F306" s="109" t="s">
        <v>547</v>
      </c>
      <c r="G306" s="109" t="s">
        <v>548</v>
      </c>
      <c r="H306" s="109">
        <v>4</v>
      </c>
    </row>
    <row r="307" spans="1:8" ht="14.25" customHeight="1" x14ac:dyDescent="0.25">
      <c r="A307" t="str">
        <f t="shared" si="4"/>
        <v>SOOKE RIVER_Chum</v>
      </c>
      <c r="B307" t="s">
        <v>96</v>
      </c>
      <c r="C307" s="107" t="s">
        <v>23</v>
      </c>
      <c r="D307" s="100">
        <v>20</v>
      </c>
      <c r="E307" s="107" t="s">
        <v>546</v>
      </c>
      <c r="F307" s="109" t="s">
        <v>547</v>
      </c>
      <c r="G307" s="109" t="s">
        <v>548</v>
      </c>
      <c r="H307" s="109">
        <v>4</v>
      </c>
    </row>
    <row r="308" spans="1:8" ht="14.25" customHeight="1" x14ac:dyDescent="0.25">
      <c r="A308" t="str">
        <f t="shared" si="4"/>
        <v>JORDAN RIVER_Chum</v>
      </c>
      <c r="B308" t="s">
        <v>96</v>
      </c>
      <c r="C308" s="107" t="s">
        <v>549</v>
      </c>
      <c r="D308" s="100">
        <v>20</v>
      </c>
      <c r="E308" s="107" t="s">
        <v>550</v>
      </c>
      <c r="F308" s="108" t="s">
        <v>551</v>
      </c>
      <c r="G308" s="108" t="s">
        <v>537</v>
      </c>
      <c r="H308" s="109">
        <v>10</v>
      </c>
    </row>
    <row r="309" spans="1:8" ht="14.25" customHeight="1" x14ac:dyDescent="0.25">
      <c r="A309" t="str">
        <f t="shared" si="4"/>
        <v>KIRBY CREEK_Chum</v>
      </c>
      <c r="B309" t="s">
        <v>96</v>
      </c>
      <c r="C309" s="107" t="s">
        <v>552</v>
      </c>
      <c r="D309" s="100">
        <v>20</v>
      </c>
      <c r="E309" s="107" t="s">
        <v>550</v>
      </c>
      <c r="F309" s="108" t="s">
        <v>551</v>
      </c>
      <c r="G309" s="108" t="s">
        <v>537</v>
      </c>
      <c r="H309" s="109">
        <v>10</v>
      </c>
    </row>
    <row r="310" spans="1:8" ht="14.25" customHeight="1" x14ac:dyDescent="0.25">
      <c r="A310" t="str">
        <f t="shared" si="4"/>
        <v>MAIDENHAIR CREEK_Chum</v>
      </c>
      <c r="B310" t="s">
        <v>96</v>
      </c>
      <c r="C310" s="107" t="s">
        <v>553</v>
      </c>
      <c r="D310" s="100">
        <v>20</v>
      </c>
      <c r="E310" s="107" t="s">
        <v>550</v>
      </c>
      <c r="F310" s="108" t="s">
        <v>551</v>
      </c>
      <c r="G310" s="108" t="s">
        <v>537</v>
      </c>
      <c r="H310" s="109">
        <v>10</v>
      </c>
    </row>
    <row r="311" spans="1:8" ht="14.25" customHeight="1" x14ac:dyDescent="0.25">
      <c r="A311" t="str">
        <f t="shared" si="4"/>
        <v>MUIR CREEK_Chum</v>
      </c>
      <c r="B311" t="s">
        <v>96</v>
      </c>
      <c r="C311" s="107" t="s">
        <v>26</v>
      </c>
      <c r="D311" s="100">
        <v>20</v>
      </c>
      <c r="E311" s="107" t="s">
        <v>550</v>
      </c>
      <c r="F311" s="108" t="s">
        <v>551</v>
      </c>
      <c r="G311" s="108" t="s">
        <v>537</v>
      </c>
      <c r="H311" s="109">
        <v>10</v>
      </c>
    </row>
    <row r="312" spans="1:8" ht="14.25" customHeight="1" x14ac:dyDescent="0.25">
      <c r="A312" t="str">
        <f t="shared" si="4"/>
        <v>UGLOW CREEK_Chum</v>
      </c>
      <c r="B312" t="s">
        <v>96</v>
      </c>
      <c r="C312" s="107" t="s">
        <v>554</v>
      </c>
      <c r="D312" s="100">
        <v>20</v>
      </c>
      <c r="E312" s="107" t="s">
        <v>550</v>
      </c>
      <c r="F312" s="108" t="s">
        <v>551</v>
      </c>
      <c r="G312" s="108" t="s">
        <v>537</v>
      </c>
      <c r="H312" s="109">
        <v>10</v>
      </c>
    </row>
    <row r="313" spans="1:8" ht="14.25" customHeight="1" x14ac:dyDescent="0.25">
      <c r="A313" t="str">
        <f t="shared" si="4"/>
        <v>GORDON RIVER_Chum</v>
      </c>
      <c r="B313" t="s">
        <v>96</v>
      </c>
      <c r="C313" s="107" t="s">
        <v>36</v>
      </c>
      <c r="D313" s="100">
        <v>20</v>
      </c>
      <c r="E313" s="107" t="s">
        <v>550</v>
      </c>
      <c r="F313" s="108" t="s">
        <v>551</v>
      </c>
      <c r="G313" s="108" t="s">
        <v>537</v>
      </c>
      <c r="H313" s="108">
        <v>10</v>
      </c>
    </row>
    <row r="314" spans="1:8" ht="14.25" customHeight="1" x14ac:dyDescent="0.25">
      <c r="A314" t="str">
        <f t="shared" si="4"/>
        <v>HARRIS CREEK_Chum</v>
      </c>
      <c r="B314" t="s">
        <v>96</v>
      </c>
      <c r="C314" s="107" t="s">
        <v>33</v>
      </c>
      <c r="D314" s="100">
        <v>20</v>
      </c>
      <c r="E314" s="107" t="s">
        <v>550</v>
      </c>
      <c r="F314" s="108" t="s">
        <v>551</v>
      </c>
      <c r="G314" s="108" t="s">
        <v>537</v>
      </c>
      <c r="H314" s="108">
        <v>10</v>
      </c>
    </row>
    <row r="315" spans="1:8" ht="14.25" customHeight="1" x14ac:dyDescent="0.25">
      <c r="A315" t="str">
        <f t="shared" si="4"/>
        <v>HEMMINGSEN CREEK_Chum</v>
      </c>
      <c r="B315" t="s">
        <v>96</v>
      </c>
      <c r="C315" s="107" t="s">
        <v>34</v>
      </c>
      <c r="D315" s="100">
        <v>20</v>
      </c>
      <c r="E315" s="107" t="s">
        <v>550</v>
      </c>
      <c r="F315" s="108" t="s">
        <v>551</v>
      </c>
      <c r="G315" s="108" t="s">
        <v>537</v>
      </c>
      <c r="H315" s="108">
        <v>10</v>
      </c>
    </row>
    <row r="316" spans="1:8" ht="14.25" customHeight="1" x14ac:dyDescent="0.25">
      <c r="A316" t="str">
        <f t="shared" si="4"/>
        <v>LENS CREEK_Chum</v>
      </c>
      <c r="B316" t="s">
        <v>96</v>
      </c>
      <c r="C316" s="107" t="s">
        <v>35</v>
      </c>
      <c r="D316" s="100">
        <v>20</v>
      </c>
      <c r="E316" s="107" t="s">
        <v>550</v>
      </c>
      <c r="F316" s="108" t="s">
        <v>551</v>
      </c>
      <c r="G316" s="108" t="s">
        <v>537</v>
      </c>
      <c r="H316" s="108">
        <v>10</v>
      </c>
    </row>
    <row r="317" spans="1:8" ht="14.25" customHeight="1" x14ac:dyDescent="0.25">
      <c r="A317" t="str">
        <f t="shared" si="4"/>
        <v>MOSQUITO CREEK_Chum</v>
      </c>
      <c r="B317" t="s">
        <v>96</v>
      </c>
      <c r="C317" s="107" t="s">
        <v>30</v>
      </c>
      <c r="D317" s="100">
        <v>20</v>
      </c>
      <c r="E317" s="107" t="s">
        <v>550</v>
      </c>
      <c r="F317" s="108" t="s">
        <v>551</v>
      </c>
      <c r="G317" s="108" t="s">
        <v>537</v>
      </c>
      <c r="H317" s="108">
        <v>10</v>
      </c>
    </row>
    <row r="318" spans="1:8" ht="14.25" customHeight="1" x14ac:dyDescent="0.25">
      <c r="A318" t="str">
        <f t="shared" si="4"/>
        <v>RENFREW CREEK_Chum</v>
      </c>
      <c r="B318" t="s">
        <v>96</v>
      </c>
      <c r="C318" s="107" t="s">
        <v>32</v>
      </c>
      <c r="D318" s="100">
        <v>20</v>
      </c>
      <c r="E318" s="107" t="s">
        <v>550</v>
      </c>
      <c r="F318" s="108" t="s">
        <v>551</v>
      </c>
      <c r="G318" s="108" t="s">
        <v>537</v>
      </c>
      <c r="H318" s="108">
        <v>10</v>
      </c>
    </row>
    <row r="319" spans="1:8" ht="14.25" customHeight="1" x14ac:dyDescent="0.25">
      <c r="A319" t="str">
        <f t="shared" si="4"/>
        <v>SAN JUAN RIVER_Chum</v>
      </c>
      <c r="B319" t="s">
        <v>96</v>
      </c>
      <c r="C319" s="107" t="s">
        <v>27</v>
      </c>
      <c r="D319" s="100">
        <v>20</v>
      </c>
      <c r="E319" s="107" t="s">
        <v>550</v>
      </c>
      <c r="F319" s="108" t="s">
        <v>551</v>
      </c>
      <c r="G319" s="108" t="s">
        <v>537</v>
      </c>
      <c r="H319" s="108">
        <v>10</v>
      </c>
    </row>
    <row r="320" spans="1:8" ht="14.25" customHeight="1" x14ac:dyDescent="0.25">
      <c r="A320" t="str">
        <f t="shared" si="4"/>
        <v>BLUE CREEK_Chum</v>
      </c>
      <c r="B320" t="s">
        <v>96</v>
      </c>
      <c r="C320" s="107" t="s">
        <v>555</v>
      </c>
      <c r="D320" s="100">
        <v>21</v>
      </c>
      <c r="E320" s="107" t="s">
        <v>550</v>
      </c>
      <c r="F320" s="108" t="s">
        <v>551</v>
      </c>
      <c r="G320" s="108" t="s">
        <v>537</v>
      </c>
      <c r="H320" s="108">
        <v>10</v>
      </c>
    </row>
    <row r="321" spans="1:8" ht="14.25" customHeight="1" x14ac:dyDescent="0.25">
      <c r="A321" t="str">
        <f t="shared" si="4"/>
        <v>CARMANAH CREEK_Chum</v>
      </c>
      <c r="B321" t="s">
        <v>96</v>
      </c>
      <c r="C321" s="107" t="s">
        <v>90</v>
      </c>
      <c r="D321" s="102">
        <v>21</v>
      </c>
      <c r="E321" s="107" t="s">
        <v>550</v>
      </c>
      <c r="F321" s="108" t="s">
        <v>551</v>
      </c>
      <c r="G321" s="108" t="s">
        <v>537</v>
      </c>
      <c r="H321" s="108">
        <v>10</v>
      </c>
    </row>
    <row r="322" spans="1:8" ht="14.25" customHeight="1" x14ac:dyDescent="0.25">
      <c r="A322" t="str">
        <f t="shared" si="4"/>
        <v>CHEEWHAT RIVER_Chum</v>
      </c>
      <c r="B322" t="s">
        <v>96</v>
      </c>
      <c r="C322" s="107" t="s">
        <v>98</v>
      </c>
      <c r="D322" s="102">
        <v>21</v>
      </c>
      <c r="E322" s="107" t="s">
        <v>550</v>
      </c>
      <c r="F322" s="108" t="s">
        <v>551</v>
      </c>
      <c r="G322" s="108" t="s">
        <v>537</v>
      </c>
      <c r="H322" s="108">
        <v>10</v>
      </c>
    </row>
    <row r="323" spans="1:8" ht="14.25" customHeight="1" x14ac:dyDescent="0.25">
      <c r="A323" t="str">
        <f t="shared" si="4"/>
        <v>KLANAWA RIVER_Chum</v>
      </c>
      <c r="B323" t="s">
        <v>96</v>
      </c>
      <c r="C323" s="107" t="s">
        <v>100</v>
      </c>
      <c r="D323" s="102">
        <v>21</v>
      </c>
      <c r="E323" s="107" t="s">
        <v>550</v>
      </c>
      <c r="F323" s="108" t="s">
        <v>551</v>
      </c>
      <c r="G323" s="108" t="s">
        <v>537</v>
      </c>
      <c r="H323" s="108">
        <v>10</v>
      </c>
    </row>
    <row r="324" spans="1:8" ht="14.25" customHeight="1" x14ac:dyDescent="0.25">
      <c r="A324" t="str">
        <f t="shared" si="4"/>
        <v>CAMPUS CREEK_Chum</v>
      </c>
      <c r="B324" t="s">
        <v>96</v>
      </c>
      <c r="C324" s="107" t="s">
        <v>106</v>
      </c>
      <c r="D324" s="102">
        <v>22</v>
      </c>
      <c r="E324" s="107" t="s">
        <v>550</v>
      </c>
      <c r="F324" s="108" t="s">
        <v>551</v>
      </c>
      <c r="G324" s="108" t="s">
        <v>537</v>
      </c>
      <c r="H324" s="108">
        <v>10</v>
      </c>
    </row>
    <row r="325" spans="1:8" ht="14.25" customHeight="1" x14ac:dyDescent="0.25">
      <c r="A325" t="str">
        <f t="shared" ref="A325:A388" si="5">CONCATENATE(C325,"_",B325)</f>
        <v>CAYCUSE RIVER_Chum</v>
      </c>
      <c r="B325" t="s">
        <v>96</v>
      </c>
      <c r="C325" s="107" t="s">
        <v>105</v>
      </c>
      <c r="D325" s="102">
        <v>22</v>
      </c>
      <c r="E325" s="107" t="s">
        <v>550</v>
      </c>
      <c r="F325" s="108" t="s">
        <v>551</v>
      </c>
      <c r="G325" s="108" t="s">
        <v>537</v>
      </c>
      <c r="H325" s="108">
        <v>10</v>
      </c>
    </row>
    <row r="326" spans="1:8" ht="14.25" customHeight="1" x14ac:dyDescent="0.25">
      <c r="A326" t="str">
        <f t="shared" si="5"/>
        <v>DOOBAH CREEK_Chum</v>
      </c>
      <c r="B326" t="s">
        <v>96</v>
      </c>
      <c r="C326" s="107" t="s">
        <v>103</v>
      </c>
      <c r="D326" s="102">
        <v>22</v>
      </c>
      <c r="E326" s="107" t="s">
        <v>550</v>
      </c>
      <c r="F326" s="108" t="s">
        <v>551</v>
      </c>
      <c r="G326" s="108" t="s">
        <v>537</v>
      </c>
      <c r="H326" s="108">
        <v>10</v>
      </c>
    </row>
    <row r="327" spans="1:8" ht="14.25" customHeight="1" x14ac:dyDescent="0.25">
      <c r="A327" t="str">
        <f t="shared" si="5"/>
        <v>HOBITON CREEK_Chum</v>
      </c>
      <c r="B327" t="s">
        <v>96</v>
      </c>
      <c r="C327" s="107" t="s">
        <v>104</v>
      </c>
      <c r="D327" s="102">
        <v>22</v>
      </c>
      <c r="E327" s="107" t="s">
        <v>550</v>
      </c>
      <c r="F327" s="108" t="s">
        <v>551</v>
      </c>
      <c r="G327" s="108" t="s">
        <v>537</v>
      </c>
      <c r="H327" s="108">
        <v>10</v>
      </c>
    </row>
    <row r="328" spans="1:8" ht="14.25" customHeight="1" x14ac:dyDescent="0.25">
      <c r="A328" t="str">
        <f t="shared" si="5"/>
        <v>NITINAT RIVER_Chum</v>
      </c>
      <c r="B328" t="s">
        <v>96</v>
      </c>
      <c r="C328" s="107" t="s">
        <v>101</v>
      </c>
      <c r="D328" s="102">
        <v>22</v>
      </c>
      <c r="E328" s="107" t="s">
        <v>550</v>
      </c>
      <c r="F328" s="108" t="s">
        <v>551</v>
      </c>
      <c r="G328" s="108" t="s">
        <v>537</v>
      </c>
      <c r="H328" s="108">
        <v>10</v>
      </c>
    </row>
    <row r="329" spans="1:8" ht="14.25" customHeight="1" x14ac:dyDescent="0.25">
      <c r="A329" t="str">
        <f t="shared" si="5"/>
        <v>BEAVER CREEK_Chum</v>
      </c>
      <c r="B329" t="s">
        <v>96</v>
      </c>
      <c r="C329" s="107" t="s">
        <v>121</v>
      </c>
      <c r="D329" s="102">
        <v>23</v>
      </c>
      <c r="E329" s="107" t="s">
        <v>550</v>
      </c>
      <c r="F329" s="108" t="s">
        <v>551</v>
      </c>
      <c r="G329" s="108" t="s">
        <v>537</v>
      </c>
      <c r="H329" s="108">
        <v>10</v>
      </c>
    </row>
    <row r="330" spans="1:8" ht="14.25" customHeight="1" x14ac:dyDescent="0.25">
      <c r="A330" t="str">
        <f t="shared" si="5"/>
        <v>CAMPSITE CREEK_Chum</v>
      </c>
      <c r="B330" t="s">
        <v>96</v>
      </c>
      <c r="C330" s="107" t="s">
        <v>108</v>
      </c>
      <c r="D330" s="102">
        <v>23</v>
      </c>
      <c r="E330" s="107" t="s">
        <v>550</v>
      </c>
      <c r="F330" s="108" t="s">
        <v>551</v>
      </c>
      <c r="G330" s="108" t="s">
        <v>537</v>
      </c>
      <c r="H330" s="108">
        <v>10</v>
      </c>
    </row>
    <row r="331" spans="1:8" ht="14.25" customHeight="1" x14ac:dyDescent="0.25">
      <c r="A331" t="str">
        <f t="shared" si="5"/>
        <v>CANOE PASS CREEK_Chum</v>
      </c>
      <c r="B331" t="s">
        <v>96</v>
      </c>
      <c r="C331" s="107" t="s">
        <v>136</v>
      </c>
      <c r="D331" s="102">
        <v>23</v>
      </c>
      <c r="E331" s="107" t="s">
        <v>550</v>
      </c>
      <c r="F331" s="108" t="s">
        <v>551</v>
      </c>
      <c r="G331" s="108" t="s">
        <v>537</v>
      </c>
      <c r="H331" s="108">
        <v>10</v>
      </c>
    </row>
    <row r="332" spans="1:8" ht="14.25" customHeight="1" x14ac:dyDescent="0.25">
      <c r="A332" t="str">
        <f t="shared" si="5"/>
        <v>CARNATION CREEK_Chum</v>
      </c>
      <c r="B332" t="s">
        <v>96</v>
      </c>
      <c r="C332" s="107" t="s">
        <v>114</v>
      </c>
      <c r="D332" s="102">
        <v>23</v>
      </c>
      <c r="E332" s="107" t="s">
        <v>550</v>
      </c>
      <c r="F332" s="108" t="s">
        <v>551</v>
      </c>
      <c r="G332" s="108" t="s">
        <v>537</v>
      </c>
      <c r="H332" s="108">
        <v>10</v>
      </c>
    </row>
    <row r="333" spans="1:8" ht="14.25" customHeight="1" x14ac:dyDescent="0.25">
      <c r="A333" t="str">
        <f t="shared" si="5"/>
        <v>CASS CREEK_Chum</v>
      </c>
      <c r="B333" t="s">
        <v>96</v>
      </c>
      <c r="C333" s="107" t="s">
        <v>126</v>
      </c>
      <c r="D333" s="102">
        <v>23</v>
      </c>
      <c r="E333" s="107" t="s">
        <v>550</v>
      </c>
      <c r="F333" s="108" t="s">
        <v>551</v>
      </c>
      <c r="G333" s="108" t="s">
        <v>537</v>
      </c>
      <c r="H333" s="108">
        <v>10</v>
      </c>
    </row>
    <row r="334" spans="1:8" ht="14.25" customHeight="1" x14ac:dyDescent="0.25">
      <c r="A334" t="str">
        <f t="shared" si="5"/>
        <v>CATARACT CREEK_Chum</v>
      </c>
      <c r="B334" t="s">
        <v>96</v>
      </c>
      <c r="C334" s="107" t="s">
        <v>140</v>
      </c>
      <c r="D334" s="102">
        <v>23</v>
      </c>
      <c r="E334" s="107" t="s">
        <v>550</v>
      </c>
      <c r="F334" s="108" t="s">
        <v>551</v>
      </c>
      <c r="G334" s="108" t="s">
        <v>537</v>
      </c>
      <c r="H334" s="108">
        <v>10</v>
      </c>
    </row>
    <row r="335" spans="1:8" ht="14.25" customHeight="1" x14ac:dyDescent="0.25">
      <c r="A335" t="str">
        <f t="shared" si="5"/>
        <v>CHERRY CREEK_Chum</v>
      </c>
      <c r="B335" t="s">
        <v>96</v>
      </c>
      <c r="C335" s="107" t="s">
        <v>38</v>
      </c>
      <c r="D335" s="102">
        <v>23</v>
      </c>
      <c r="E335" s="107" t="s">
        <v>550</v>
      </c>
      <c r="F335" s="108" t="s">
        <v>551</v>
      </c>
      <c r="G335" s="108" t="s">
        <v>537</v>
      </c>
      <c r="H335" s="108">
        <v>10</v>
      </c>
    </row>
    <row r="336" spans="1:8" ht="14.25" customHeight="1" x14ac:dyDescent="0.25">
      <c r="A336" t="str">
        <f t="shared" si="5"/>
        <v>CHINA CREEK_Chum</v>
      </c>
      <c r="B336" t="s">
        <v>96</v>
      </c>
      <c r="C336" s="107" t="s">
        <v>119</v>
      </c>
      <c r="D336" s="102">
        <v>23</v>
      </c>
      <c r="E336" s="107" t="s">
        <v>550</v>
      </c>
      <c r="F336" s="108" t="s">
        <v>551</v>
      </c>
      <c r="G336" s="108" t="s">
        <v>537</v>
      </c>
      <c r="H336" s="108">
        <v>10</v>
      </c>
    </row>
    <row r="337" spans="1:8" ht="14.25" customHeight="1" x14ac:dyDescent="0.25">
      <c r="A337" t="str">
        <f t="shared" si="5"/>
        <v>CLEMENS CREEK_Chum</v>
      </c>
      <c r="B337" t="s">
        <v>96</v>
      </c>
      <c r="C337" s="107" t="s">
        <v>128</v>
      </c>
      <c r="D337" s="102">
        <v>23</v>
      </c>
      <c r="E337" s="107" t="s">
        <v>550</v>
      </c>
      <c r="F337" s="108" t="s">
        <v>551</v>
      </c>
      <c r="G337" s="108" t="s">
        <v>537</v>
      </c>
      <c r="H337" s="108">
        <v>10</v>
      </c>
    </row>
    <row r="338" spans="1:8" ht="14.25" customHeight="1" x14ac:dyDescent="0.25">
      <c r="A338" t="str">
        <f t="shared" si="5"/>
        <v>COEUR D'ALENE CREEK_Chum</v>
      </c>
      <c r="B338" t="s">
        <v>96</v>
      </c>
      <c r="C338" s="107" t="s">
        <v>133</v>
      </c>
      <c r="D338" s="102">
        <v>23</v>
      </c>
      <c r="E338" s="107" t="s">
        <v>550</v>
      </c>
      <c r="F338" s="108" t="s">
        <v>551</v>
      </c>
      <c r="G338" s="108" t="s">
        <v>537</v>
      </c>
      <c r="H338" s="108">
        <v>10</v>
      </c>
    </row>
    <row r="339" spans="1:8" ht="14.25" customHeight="1" x14ac:dyDescent="0.25">
      <c r="A339" t="str">
        <f t="shared" si="5"/>
        <v>COLEMAN CREEK_Chum</v>
      </c>
      <c r="B339" t="s">
        <v>96</v>
      </c>
      <c r="C339" s="107" t="s">
        <v>117</v>
      </c>
      <c r="D339" s="102">
        <v>23</v>
      </c>
      <c r="E339" s="107" t="s">
        <v>550</v>
      </c>
      <c r="F339" s="108" t="s">
        <v>551</v>
      </c>
      <c r="G339" s="108" t="s">
        <v>537</v>
      </c>
      <c r="H339" s="108">
        <v>10</v>
      </c>
    </row>
    <row r="340" spans="1:8" ht="14.25" customHeight="1" x14ac:dyDescent="0.25">
      <c r="A340" t="str">
        <f t="shared" si="5"/>
        <v>CONSINKA CREEK_Chum</v>
      </c>
      <c r="B340" t="s">
        <v>96</v>
      </c>
      <c r="C340" s="107" t="s">
        <v>115</v>
      </c>
      <c r="D340" s="102">
        <v>23</v>
      </c>
      <c r="E340" s="107" t="s">
        <v>550</v>
      </c>
      <c r="F340" s="108" t="s">
        <v>551</v>
      </c>
      <c r="G340" s="108" t="s">
        <v>537</v>
      </c>
      <c r="H340" s="108">
        <v>10</v>
      </c>
    </row>
    <row r="341" spans="1:8" ht="14.25" customHeight="1" x14ac:dyDescent="0.25">
      <c r="A341" t="str">
        <f t="shared" si="5"/>
        <v>COUS CREEK_Chum</v>
      </c>
      <c r="B341" t="s">
        <v>96</v>
      </c>
      <c r="C341" s="107" t="s">
        <v>123</v>
      </c>
      <c r="D341" s="102">
        <v>23</v>
      </c>
      <c r="E341" s="107" t="s">
        <v>550</v>
      </c>
      <c r="F341" s="108" t="s">
        <v>551</v>
      </c>
      <c r="G341" s="108" t="s">
        <v>537</v>
      </c>
      <c r="H341" s="108">
        <v>10</v>
      </c>
    </row>
    <row r="342" spans="1:8" ht="14.25" customHeight="1" x14ac:dyDescent="0.25">
      <c r="A342" t="str">
        <f t="shared" si="5"/>
        <v>DEER CREEK_Chum</v>
      </c>
      <c r="B342" t="s">
        <v>96</v>
      </c>
      <c r="C342" s="107" t="s">
        <v>122</v>
      </c>
      <c r="D342" s="102">
        <v>23</v>
      </c>
      <c r="E342" s="107" t="s">
        <v>550</v>
      </c>
      <c r="F342" s="108" t="s">
        <v>551</v>
      </c>
      <c r="G342" s="108" t="s">
        <v>537</v>
      </c>
      <c r="H342" s="108">
        <v>10</v>
      </c>
    </row>
    <row r="343" spans="1:8" ht="14.25" customHeight="1" x14ac:dyDescent="0.25">
      <c r="A343" t="str">
        <f t="shared" si="5"/>
        <v>DUTCH HARBOUR CREEK EAST_Chum</v>
      </c>
      <c r="B343" t="s">
        <v>96</v>
      </c>
      <c r="C343" s="107" t="s">
        <v>138</v>
      </c>
      <c r="D343" s="102">
        <v>23</v>
      </c>
      <c r="E343" s="107" t="s">
        <v>550</v>
      </c>
      <c r="F343" s="108" t="s">
        <v>551</v>
      </c>
      <c r="G343" s="108" t="s">
        <v>537</v>
      </c>
      <c r="H343" s="108">
        <v>10</v>
      </c>
    </row>
    <row r="344" spans="1:8" ht="14.25" customHeight="1" x14ac:dyDescent="0.25">
      <c r="A344" t="str">
        <f t="shared" si="5"/>
        <v>DUTCH HARBOUR CREEK WEST_Chum</v>
      </c>
      <c r="B344" t="s">
        <v>96</v>
      </c>
      <c r="C344" s="107" t="s">
        <v>139</v>
      </c>
      <c r="D344" s="102">
        <v>23</v>
      </c>
      <c r="E344" s="107" t="s">
        <v>550</v>
      </c>
      <c r="F344" s="108" t="s">
        <v>551</v>
      </c>
      <c r="G344" s="108" t="s">
        <v>537</v>
      </c>
      <c r="H344" s="108">
        <v>10</v>
      </c>
    </row>
    <row r="345" spans="1:8" ht="14.25" customHeight="1" x14ac:dyDescent="0.25">
      <c r="A345" t="str">
        <f t="shared" si="5"/>
        <v>EFFINGHAM RIVER_Chum</v>
      </c>
      <c r="B345" t="s">
        <v>96</v>
      </c>
      <c r="C345" s="107" t="s">
        <v>134</v>
      </c>
      <c r="D345" s="102">
        <v>23</v>
      </c>
      <c r="E345" s="107" t="s">
        <v>550</v>
      </c>
      <c r="F345" s="108" t="s">
        <v>551</v>
      </c>
      <c r="G345" s="108" t="s">
        <v>537</v>
      </c>
      <c r="H345" s="108">
        <v>10</v>
      </c>
    </row>
    <row r="346" spans="1:8" ht="14.25" customHeight="1" x14ac:dyDescent="0.25">
      <c r="A346" t="str">
        <f t="shared" si="5"/>
        <v>FRANKLIN RIVER_Chum</v>
      </c>
      <c r="B346" t="s">
        <v>96</v>
      </c>
      <c r="C346" s="107" t="s">
        <v>118</v>
      </c>
      <c r="D346" s="102">
        <v>23</v>
      </c>
      <c r="E346" s="107" t="s">
        <v>550</v>
      </c>
      <c r="F346" s="108" t="s">
        <v>551</v>
      </c>
      <c r="G346" s="108" t="s">
        <v>537</v>
      </c>
      <c r="H346" s="108">
        <v>10</v>
      </c>
    </row>
    <row r="347" spans="1:8" ht="14.25" customHeight="1" x14ac:dyDescent="0.25">
      <c r="A347" t="str">
        <f t="shared" si="5"/>
        <v>FREDERICK CREEK_Chum</v>
      </c>
      <c r="B347" t="s">
        <v>96</v>
      </c>
      <c r="C347" s="107" t="s">
        <v>113</v>
      </c>
      <c r="D347" s="102">
        <v>23</v>
      </c>
      <c r="E347" s="107" t="s">
        <v>550</v>
      </c>
      <c r="F347" s="108" t="s">
        <v>551</v>
      </c>
      <c r="G347" s="108" t="s">
        <v>537</v>
      </c>
      <c r="H347" s="108">
        <v>10</v>
      </c>
    </row>
    <row r="348" spans="1:8" ht="14.25" customHeight="1" x14ac:dyDescent="0.25">
      <c r="A348" t="str">
        <f t="shared" si="5"/>
        <v>HENDERSON LAKE_Chum</v>
      </c>
      <c r="B348" t="s">
        <v>96</v>
      </c>
      <c r="C348" s="107" t="s">
        <v>107</v>
      </c>
      <c r="D348" s="102">
        <v>23</v>
      </c>
      <c r="E348" s="107" t="s">
        <v>550</v>
      </c>
      <c r="F348" s="108" t="s">
        <v>551</v>
      </c>
      <c r="G348" s="108" t="s">
        <v>537</v>
      </c>
      <c r="H348" s="108">
        <v>10</v>
      </c>
    </row>
    <row r="349" spans="1:8" ht="14.25" customHeight="1" x14ac:dyDescent="0.25">
      <c r="A349" t="str">
        <f t="shared" si="5"/>
        <v>HILLIER CREEK_Chum</v>
      </c>
      <c r="B349" t="s">
        <v>96</v>
      </c>
      <c r="C349" s="107" t="s">
        <v>150</v>
      </c>
      <c r="D349" s="102">
        <v>23</v>
      </c>
      <c r="E349" s="107" t="s">
        <v>550</v>
      </c>
      <c r="F349" s="108" t="s">
        <v>551</v>
      </c>
      <c r="G349" s="108" t="s">
        <v>537</v>
      </c>
      <c r="H349" s="108">
        <v>10</v>
      </c>
    </row>
    <row r="350" spans="1:8" ht="14.25" customHeight="1" x14ac:dyDescent="0.25">
      <c r="A350" t="str">
        <f t="shared" si="5"/>
        <v>HOLFORD CREEK_Chum</v>
      </c>
      <c r="B350" t="s">
        <v>96</v>
      </c>
      <c r="C350" s="107" t="s">
        <v>130</v>
      </c>
      <c r="D350" s="102">
        <v>23</v>
      </c>
      <c r="E350" s="107" t="s">
        <v>550</v>
      </c>
      <c r="F350" s="108" t="s">
        <v>551</v>
      </c>
      <c r="G350" s="108" t="s">
        <v>537</v>
      </c>
      <c r="H350" s="108">
        <v>10</v>
      </c>
    </row>
    <row r="351" spans="1:8" ht="14.25" customHeight="1" x14ac:dyDescent="0.25">
      <c r="A351" t="str">
        <f t="shared" si="5"/>
        <v>ITATSOO CREEK_Chum</v>
      </c>
      <c r="B351" t="s">
        <v>96</v>
      </c>
      <c r="C351" s="107" t="s">
        <v>149</v>
      </c>
      <c r="D351" s="102">
        <v>23</v>
      </c>
      <c r="E351" s="107" t="s">
        <v>550</v>
      </c>
      <c r="F351" s="108" t="s">
        <v>551</v>
      </c>
      <c r="G351" s="108" t="s">
        <v>537</v>
      </c>
      <c r="H351" s="108">
        <v>10</v>
      </c>
    </row>
    <row r="352" spans="1:8" ht="14.25" customHeight="1" x14ac:dyDescent="0.25">
      <c r="A352" t="str">
        <f t="shared" si="5"/>
        <v>KITSUCKSUS CREEK_Chum</v>
      </c>
      <c r="B352" t="s">
        <v>96</v>
      </c>
      <c r="C352" s="107" t="s">
        <v>39</v>
      </c>
      <c r="D352" s="102">
        <v>23</v>
      </c>
      <c r="E352" s="107" t="s">
        <v>550</v>
      </c>
      <c r="F352" s="108" t="s">
        <v>551</v>
      </c>
      <c r="G352" s="108" t="s">
        <v>537</v>
      </c>
      <c r="H352" s="108">
        <v>10</v>
      </c>
    </row>
    <row r="353" spans="1:8" ht="14.25" customHeight="1" x14ac:dyDescent="0.25">
      <c r="A353" t="str">
        <f t="shared" si="5"/>
        <v>LITTLE MAGGIE RIVER_Chum</v>
      </c>
      <c r="B353" t="s">
        <v>96</v>
      </c>
      <c r="C353" s="107" t="s">
        <v>146</v>
      </c>
      <c r="D353" s="102">
        <v>23</v>
      </c>
      <c r="E353" s="107" t="s">
        <v>550</v>
      </c>
      <c r="F353" s="108" t="s">
        <v>551</v>
      </c>
      <c r="G353" s="108" t="s">
        <v>537</v>
      </c>
      <c r="H353" s="108">
        <v>10</v>
      </c>
    </row>
    <row r="354" spans="1:8" ht="14.25" customHeight="1" x14ac:dyDescent="0.25">
      <c r="A354" t="str">
        <f t="shared" si="5"/>
        <v>LITTLE TOQUART CREEK_Chum</v>
      </c>
      <c r="B354" t="s">
        <v>96</v>
      </c>
      <c r="C354" s="107" t="s">
        <v>144</v>
      </c>
      <c r="D354" s="102">
        <v>23</v>
      </c>
      <c r="E354" s="107" t="s">
        <v>550</v>
      </c>
      <c r="F354" s="108" t="s">
        <v>551</v>
      </c>
      <c r="G354" s="108" t="s">
        <v>537</v>
      </c>
      <c r="H354" s="108">
        <v>10</v>
      </c>
    </row>
    <row r="355" spans="1:8" ht="14.25" customHeight="1" x14ac:dyDescent="0.25">
      <c r="A355" t="str">
        <f t="shared" si="5"/>
        <v>LUCKY CREEK_Chum</v>
      </c>
      <c r="B355" t="s">
        <v>96</v>
      </c>
      <c r="C355" s="107" t="s">
        <v>142</v>
      </c>
      <c r="D355" s="102">
        <v>23</v>
      </c>
      <c r="E355" s="107" t="s">
        <v>550</v>
      </c>
      <c r="F355" s="108" t="s">
        <v>551</v>
      </c>
      <c r="G355" s="108" t="s">
        <v>537</v>
      </c>
      <c r="H355" s="108">
        <v>10</v>
      </c>
    </row>
    <row r="356" spans="1:8" ht="14.25" customHeight="1" x14ac:dyDescent="0.25">
      <c r="A356" t="str">
        <f t="shared" si="5"/>
        <v>MACKTUSH CREEK_Chum</v>
      </c>
      <c r="B356" t="s">
        <v>96</v>
      </c>
      <c r="C356" s="107" t="s">
        <v>124</v>
      </c>
      <c r="D356" s="102">
        <v>23</v>
      </c>
      <c r="E356" s="107" t="s">
        <v>550</v>
      </c>
      <c r="F356" s="108" t="s">
        <v>551</v>
      </c>
      <c r="G356" s="108" t="s">
        <v>537</v>
      </c>
      <c r="H356" s="108">
        <v>10</v>
      </c>
    </row>
    <row r="357" spans="1:8" ht="14.25" customHeight="1" x14ac:dyDescent="0.25">
      <c r="A357" t="str">
        <f t="shared" si="5"/>
        <v>MAGGIE RIVER_Chum</v>
      </c>
      <c r="B357" t="s">
        <v>96</v>
      </c>
      <c r="C357" s="107" t="s">
        <v>145</v>
      </c>
      <c r="D357" s="102">
        <v>23</v>
      </c>
      <c r="E357" s="107" t="s">
        <v>550</v>
      </c>
      <c r="F357" s="108" t="s">
        <v>551</v>
      </c>
      <c r="G357" s="108" t="s">
        <v>537</v>
      </c>
      <c r="H357" s="108">
        <v>10</v>
      </c>
    </row>
    <row r="358" spans="1:8" ht="14.25" customHeight="1" x14ac:dyDescent="0.25">
      <c r="A358" t="str">
        <f t="shared" si="5"/>
        <v>MERCANTILE CREEK_Chum</v>
      </c>
      <c r="B358" t="s">
        <v>96</v>
      </c>
      <c r="C358" s="107" t="s">
        <v>151</v>
      </c>
      <c r="D358" s="102">
        <v>23</v>
      </c>
      <c r="E358" s="107" t="s">
        <v>550</v>
      </c>
      <c r="F358" s="108" t="s">
        <v>551</v>
      </c>
      <c r="G358" s="108" t="s">
        <v>537</v>
      </c>
      <c r="H358" s="108">
        <v>10</v>
      </c>
    </row>
    <row r="359" spans="1:8" ht="14.25" customHeight="1" x14ac:dyDescent="0.25">
      <c r="A359" t="str">
        <f t="shared" si="5"/>
        <v>NAHMINT RIVER_Chum</v>
      </c>
      <c r="B359" t="s">
        <v>96</v>
      </c>
      <c r="C359" s="107" t="s">
        <v>125</v>
      </c>
      <c r="D359" s="102">
        <v>23</v>
      </c>
      <c r="E359" s="107" t="s">
        <v>550</v>
      </c>
      <c r="F359" s="108" t="s">
        <v>551</v>
      </c>
      <c r="G359" s="108" t="s">
        <v>537</v>
      </c>
      <c r="H359" s="108">
        <v>10</v>
      </c>
    </row>
    <row r="360" spans="1:8" ht="14.25" customHeight="1" x14ac:dyDescent="0.25">
      <c r="A360" t="str">
        <f t="shared" si="5"/>
        <v>OWATCHET CREEK_Chum</v>
      </c>
      <c r="B360" t="s">
        <v>96</v>
      </c>
      <c r="C360" s="107" t="s">
        <v>120</v>
      </c>
      <c r="D360" s="102">
        <v>23</v>
      </c>
      <c r="E360" s="107" t="s">
        <v>550</v>
      </c>
      <c r="F360" s="108" t="s">
        <v>551</v>
      </c>
      <c r="G360" s="108" t="s">
        <v>537</v>
      </c>
      <c r="H360" s="108">
        <v>10</v>
      </c>
    </row>
    <row r="361" spans="1:8" ht="14.25" customHeight="1" x14ac:dyDescent="0.25">
      <c r="A361" t="str">
        <f t="shared" si="5"/>
        <v>PACHENA RIVER_Chum</v>
      </c>
      <c r="B361" t="s">
        <v>96</v>
      </c>
      <c r="C361" s="107" t="s">
        <v>109</v>
      </c>
      <c r="D361" s="102">
        <v>23</v>
      </c>
      <c r="E361" s="107" t="s">
        <v>550</v>
      </c>
      <c r="F361" s="108" t="s">
        <v>551</v>
      </c>
      <c r="G361" s="108" t="s">
        <v>537</v>
      </c>
      <c r="H361" s="108">
        <v>10</v>
      </c>
    </row>
    <row r="362" spans="1:8" ht="14.25" customHeight="1" x14ac:dyDescent="0.25">
      <c r="A362" t="str">
        <f t="shared" si="5"/>
        <v>PIPESTEAM CREEK_Chum</v>
      </c>
      <c r="B362" t="s">
        <v>96</v>
      </c>
      <c r="C362" s="107" t="s">
        <v>141</v>
      </c>
      <c r="D362" s="102">
        <v>23</v>
      </c>
      <c r="E362" s="107" t="s">
        <v>550</v>
      </c>
      <c r="F362" s="108" t="s">
        <v>551</v>
      </c>
      <c r="G362" s="108" t="s">
        <v>537</v>
      </c>
      <c r="H362" s="108">
        <v>10</v>
      </c>
    </row>
    <row r="363" spans="1:8" ht="14.25" customHeight="1" x14ac:dyDescent="0.25">
      <c r="A363" t="str">
        <f t="shared" si="5"/>
        <v>POETT NOOK CREEK_Chum</v>
      </c>
      <c r="B363" t="s">
        <v>96</v>
      </c>
      <c r="C363" s="107" t="s">
        <v>111</v>
      </c>
      <c r="D363" s="102">
        <v>23</v>
      </c>
      <c r="E363" s="107" t="s">
        <v>550</v>
      </c>
      <c r="F363" s="108" t="s">
        <v>551</v>
      </c>
      <c r="G363" s="108" t="s">
        <v>537</v>
      </c>
      <c r="H363" s="108">
        <v>10</v>
      </c>
    </row>
    <row r="364" spans="1:8" ht="14.25" customHeight="1" x14ac:dyDescent="0.25">
      <c r="A364" t="str">
        <f t="shared" si="5"/>
        <v>RITHERDON CREEK_Chum</v>
      </c>
      <c r="B364" t="s">
        <v>96</v>
      </c>
      <c r="C364" s="107" t="s">
        <v>116</v>
      </c>
      <c r="D364" s="102">
        <v>23</v>
      </c>
      <c r="E364" s="107" t="s">
        <v>550</v>
      </c>
      <c r="F364" s="108" t="s">
        <v>551</v>
      </c>
      <c r="G364" s="108" t="s">
        <v>537</v>
      </c>
      <c r="H364" s="108">
        <v>10</v>
      </c>
    </row>
    <row r="365" spans="1:8" ht="14.25" customHeight="1" x14ac:dyDescent="0.25">
      <c r="A365" t="str">
        <f t="shared" si="5"/>
        <v>SARITA RIVER_Chum</v>
      </c>
      <c r="B365" t="s">
        <v>96</v>
      </c>
      <c r="C365" s="107" t="s">
        <v>112</v>
      </c>
      <c r="D365" s="102">
        <v>23</v>
      </c>
      <c r="E365" s="107" t="s">
        <v>550</v>
      </c>
      <c r="F365" s="108" t="s">
        <v>551</v>
      </c>
      <c r="G365" s="108" t="s">
        <v>537</v>
      </c>
      <c r="H365" s="108">
        <v>10</v>
      </c>
    </row>
    <row r="366" spans="1:8" ht="14.25" customHeight="1" x14ac:dyDescent="0.25">
      <c r="A366" t="str">
        <f t="shared" si="5"/>
        <v>SECHART CREEK_Chum</v>
      </c>
      <c r="B366" t="s">
        <v>96</v>
      </c>
      <c r="C366" s="107" t="s">
        <v>137</v>
      </c>
      <c r="D366" s="102">
        <v>23</v>
      </c>
      <c r="E366" s="107" t="s">
        <v>550</v>
      </c>
      <c r="F366" s="108" t="s">
        <v>551</v>
      </c>
      <c r="G366" s="108" t="s">
        <v>537</v>
      </c>
      <c r="H366" s="108">
        <v>10</v>
      </c>
    </row>
    <row r="367" spans="1:8" ht="14.25" customHeight="1" x14ac:dyDescent="0.25">
      <c r="A367" t="str">
        <f t="shared" si="5"/>
        <v>SMITH CREEK_Chum</v>
      </c>
      <c r="B367" t="s">
        <v>96</v>
      </c>
      <c r="C367" s="107" t="s">
        <v>153</v>
      </c>
      <c r="D367" s="102">
        <v>23</v>
      </c>
      <c r="E367" s="107" t="s">
        <v>550</v>
      </c>
      <c r="F367" s="108" t="s">
        <v>551</v>
      </c>
      <c r="G367" s="108" t="s">
        <v>537</v>
      </c>
      <c r="H367" s="108">
        <v>10</v>
      </c>
    </row>
    <row r="368" spans="1:8" ht="14.25" customHeight="1" x14ac:dyDescent="0.25">
      <c r="A368" t="str">
        <f t="shared" si="5"/>
        <v>SNUG BASIN CREEK_Chum</v>
      </c>
      <c r="B368" t="s">
        <v>96</v>
      </c>
      <c r="C368" s="107" t="s">
        <v>127</v>
      </c>
      <c r="D368" s="102">
        <v>23</v>
      </c>
      <c r="E368" s="107" t="s">
        <v>550</v>
      </c>
      <c r="F368" s="108" t="s">
        <v>551</v>
      </c>
      <c r="G368" s="108" t="s">
        <v>537</v>
      </c>
      <c r="H368" s="108">
        <v>10</v>
      </c>
    </row>
    <row r="369" spans="1:8" ht="14.25" customHeight="1" x14ac:dyDescent="0.25">
      <c r="A369" t="str">
        <f t="shared" si="5"/>
        <v>SOMASS SYSTEM_Chum</v>
      </c>
      <c r="B369" t="s">
        <v>96</v>
      </c>
      <c r="C369" s="107" t="s">
        <v>40</v>
      </c>
      <c r="D369" s="102">
        <v>23</v>
      </c>
      <c r="E369" s="107" t="s">
        <v>550</v>
      </c>
      <c r="F369" s="108" t="s">
        <v>551</v>
      </c>
      <c r="G369" s="108" t="s">
        <v>537</v>
      </c>
      <c r="H369" s="108">
        <v>10</v>
      </c>
    </row>
    <row r="370" spans="1:8" ht="14.25" customHeight="1" x14ac:dyDescent="0.25">
      <c r="A370" t="str">
        <f t="shared" si="5"/>
        <v>SUGSAW CREEK_Chum</v>
      </c>
      <c r="B370" t="s">
        <v>96</v>
      </c>
      <c r="C370" s="107" t="s">
        <v>110</v>
      </c>
      <c r="D370" s="102">
        <v>23</v>
      </c>
      <c r="E370" s="107" t="s">
        <v>550</v>
      </c>
      <c r="F370" s="108" t="s">
        <v>551</v>
      </c>
      <c r="G370" s="108" t="s">
        <v>537</v>
      </c>
      <c r="H370" s="108">
        <v>10</v>
      </c>
    </row>
    <row r="371" spans="1:8" ht="14.25" customHeight="1" x14ac:dyDescent="0.25">
      <c r="A371" t="str">
        <f t="shared" si="5"/>
        <v>THORNTON CREEK_Chum</v>
      </c>
      <c r="B371" t="s">
        <v>96</v>
      </c>
      <c r="C371" s="107" t="s">
        <v>152</v>
      </c>
      <c r="D371" s="102">
        <v>23</v>
      </c>
      <c r="E371" s="107" t="s">
        <v>550</v>
      </c>
      <c r="F371" s="108" t="s">
        <v>551</v>
      </c>
      <c r="G371" s="108" t="s">
        <v>537</v>
      </c>
      <c r="H371" s="108">
        <v>10</v>
      </c>
    </row>
    <row r="372" spans="1:8" ht="14.25" customHeight="1" x14ac:dyDescent="0.25">
      <c r="A372" t="str">
        <f t="shared" si="5"/>
        <v>TOQUART RIVER_Chum</v>
      </c>
      <c r="B372" t="s">
        <v>96</v>
      </c>
      <c r="C372" s="107" t="s">
        <v>143</v>
      </c>
      <c r="D372" s="102">
        <v>23</v>
      </c>
      <c r="E372" s="107" t="s">
        <v>550</v>
      </c>
      <c r="F372" s="108" t="s">
        <v>551</v>
      </c>
      <c r="G372" s="108" t="s">
        <v>537</v>
      </c>
      <c r="H372" s="108">
        <v>10</v>
      </c>
    </row>
    <row r="373" spans="1:8" ht="14.25" customHeight="1" x14ac:dyDescent="0.25">
      <c r="A373" t="str">
        <f t="shared" si="5"/>
        <v>TWIN RIVERS EAST CREEK_Chum</v>
      </c>
      <c r="B373" t="s">
        <v>96</v>
      </c>
      <c r="C373" s="107" t="s">
        <v>147</v>
      </c>
      <c r="D373" s="102">
        <v>23</v>
      </c>
      <c r="E373" s="107" t="s">
        <v>550</v>
      </c>
      <c r="F373" s="108" t="s">
        <v>551</v>
      </c>
      <c r="G373" s="108" t="s">
        <v>537</v>
      </c>
      <c r="H373" s="108">
        <v>10</v>
      </c>
    </row>
    <row r="374" spans="1:8" ht="14.25" customHeight="1" x14ac:dyDescent="0.25">
      <c r="A374" t="str">
        <f t="shared" si="5"/>
        <v>TWIN RIVERS WEST CREEK_Chum</v>
      </c>
      <c r="B374" t="s">
        <v>96</v>
      </c>
      <c r="C374" s="107" t="s">
        <v>148</v>
      </c>
      <c r="D374" s="102">
        <v>23</v>
      </c>
      <c r="E374" s="107" t="s">
        <v>550</v>
      </c>
      <c r="F374" s="108" t="s">
        <v>551</v>
      </c>
      <c r="G374" s="108" t="s">
        <v>537</v>
      </c>
      <c r="H374" s="108">
        <v>10</v>
      </c>
    </row>
    <row r="375" spans="1:8" ht="14.25" customHeight="1" x14ac:dyDescent="0.25">
      <c r="A375" t="str">
        <f t="shared" si="5"/>
        <v>UCHUCK CREEK_Chum</v>
      </c>
      <c r="B375" t="s">
        <v>96</v>
      </c>
      <c r="C375" s="107" t="s">
        <v>129</v>
      </c>
      <c r="D375" s="102">
        <v>23</v>
      </c>
      <c r="E375" s="107" t="s">
        <v>550</v>
      </c>
      <c r="F375" s="108" t="s">
        <v>551</v>
      </c>
      <c r="G375" s="108" t="s">
        <v>537</v>
      </c>
      <c r="H375" s="108">
        <v>10</v>
      </c>
    </row>
    <row r="376" spans="1:8" ht="14.25" customHeight="1" x14ac:dyDescent="0.25">
      <c r="A376" t="str">
        <f t="shared" si="5"/>
        <v>USELESS CREEK_Chum</v>
      </c>
      <c r="B376" t="s">
        <v>96</v>
      </c>
      <c r="C376" s="107" t="s">
        <v>131</v>
      </c>
      <c r="D376" s="102">
        <v>23</v>
      </c>
      <c r="E376" s="107" t="s">
        <v>550</v>
      </c>
      <c r="F376" s="108" t="s">
        <v>551</v>
      </c>
      <c r="G376" s="108" t="s">
        <v>537</v>
      </c>
      <c r="H376" s="108">
        <v>10</v>
      </c>
    </row>
    <row r="377" spans="1:8" ht="14.25" customHeight="1" x14ac:dyDescent="0.25">
      <c r="A377" t="str">
        <f t="shared" si="5"/>
        <v>VERNON BAY CREEK_Chum</v>
      </c>
      <c r="B377" t="s">
        <v>96</v>
      </c>
      <c r="C377" s="107" t="s">
        <v>132</v>
      </c>
      <c r="D377" s="102">
        <v>23</v>
      </c>
      <c r="E377" s="107" t="s">
        <v>550</v>
      </c>
      <c r="F377" s="108" t="s">
        <v>551</v>
      </c>
      <c r="G377" s="108" t="s">
        <v>537</v>
      </c>
      <c r="H377" s="108">
        <v>10</v>
      </c>
    </row>
    <row r="378" spans="1:8" ht="14.25" customHeight="1" x14ac:dyDescent="0.25">
      <c r="A378" t="str">
        <f t="shared" si="5"/>
        <v>WALLACE CREEK_Chum</v>
      </c>
      <c r="B378" t="s">
        <v>96</v>
      </c>
      <c r="C378" s="107" t="s">
        <v>135</v>
      </c>
      <c r="D378" s="102">
        <v>23</v>
      </c>
      <c r="E378" s="107" t="s">
        <v>550</v>
      </c>
      <c r="F378" s="108" t="s">
        <v>551</v>
      </c>
      <c r="G378" s="108" t="s">
        <v>537</v>
      </c>
      <c r="H378" s="108">
        <v>10</v>
      </c>
    </row>
    <row r="379" spans="1:8" ht="14.25" customHeight="1" x14ac:dyDescent="0.25">
      <c r="A379" t="str">
        <f t="shared" si="5"/>
        <v>ANGORA CREEK_Chum</v>
      </c>
      <c r="B379" t="s">
        <v>96</v>
      </c>
      <c r="C379" s="107" t="s">
        <v>178</v>
      </c>
      <c r="D379" s="102">
        <v>24</v>
      </c>
      <c r="E379" s="107" t="s">
        <v>550</v>
      </c>
      <c r="F379" s="108" t="s">
        <v>551</v>
      </c>
      <c r="G379" s="108" t="s">
        <v>537</v>
      </c>
      <c r="H379" s="108">
        <v>10</v>
      </c>
    </row>
    <row r="380" spans="1:8" ht="14.25" customHeight="1" x14ac:dyDescent="0.25">
      <c r="A380" t="str">
        <f t="shared" si="5"/>
        <v>ATLEO RIVER_Chum</v>
      </c>
      <c r="B380" t="s">
        <v>96</v>
      </c>
      <c r="C380" s="107" t="s">
        <v>195</v>
      </c>
      <c r="D380" s="102">
        <v>24</v>
      </c>
      <c r="E380" s="107" t="s">
        <v>550</v>
      </c>
      <c r="F380" s="108" t="s">
        <v>551</v>
      </c>
      <c r="G380" s="108" t="s">
        <v>537</v>
      </c>
      <c r="H380" s="108">
        <v>10</v>
      </c>
    </row>
    <row r="381" spans="1:8" ht="14.25" customHeight="1" x14ac:dyDescent="0.25">
      <c r="A381" t="str">
        <f t="shared" si="5"/>
        <v>BAWDEN CREEK_Chum</v>
      </c>
      <c r="B381" t="s">
        <v>96</v>
      </c>
      <c r="C381" s="107" t="s">
        <v>191</v>
      </c>
      <c r="D381" s="102">
        <v>24</v>
      </c>
      <c r="E381" s="107" t="s">
        <v>550</v>
      </c>
      <c r="F381" s="108" t="s">
        <v>551</v>
      </c>
      <c r="G381" s="108" t="s">
        <v>537</v>
      </c>
      <c r="H381" s="108">
        <v>10</v>
      </c>
    </row>
    <row r="382" spans="1:8" ht="14.25" customHeight="1" x14ac:dyDescent="0.25">
      <c r="A382" t="str">
        <f t="shared" si="5"/>
        <v>BEDINGFIELD BAY CREEK_Chum</v>
      </c>
      <c r="B382" t="s">
        <v>96</v>
      </c>
      <c r="C382" s="107" t="s">
        <v>154</v>
      </c>
      <c r="D382" s="102">
        <v>24</v>
      </c>
      <c r="E382" s="107" t="s">
        <v>550</v>
      </c>
      <c r="F382" s="108" t="s">
        <v>551</v>
      </c>
      <c r="G382" s="108" t="s">
        <v>537</v>
      </c>
      <c r="H382" s="108">
        <v>10</v>
      </c>
    </row>
    <row r="383" spans="1:8" ht="14.25" customHeight="1" x14ac:dyDescent="0.25">
      <c r="A383" t="str">
        <f t="shared" si="5"/>
        <v>BEDWELL/URSUS_Chum</v>
      </c>
      <c r="B383" t="s">
        <v>96</v>
      </c>
      <c r="C383" s="107" t="s">
        <v>274</v>
      </c>
      <c r="D383" s="102">
        <v>24</v>
      </c>
      <c r="E383" s="107" t="s">
        <v>550</v>
      </c>
      <c r="F383" s="108" t="s">
        <v>551</v>
      </c>
      <c r="G383" s="108" t="s">
        <v>537</v>
      </c>
      <c r="H383" s="108">
        <v>10</v>
      </c>
    </row>
    <row r="384" spans="1:8" ht="14.25" customHeight="1" x14ac:dyDescent="0.25">
      <c r="A384" t="str">
        <f t="shared" si="5"/>
        <v>BULSON CREEK_Chum</v>
      </c>
      <c r="B384" t="s">
        <v>96</v>
      </c>
      <c r="C384" s="107" t="s">
        <v>185</v>
      </c>
      <c r="D384" s="102">
        <v>24</v>
      </c>
      <c r="E384" s="107" t="s">
        <v>550</v>
      </c>
      <c r="F384" s="108" t="s">
        <v>551</v>
      </c>
      <c r="G384" s="108" t="s">
        <v>537</v>
      </c>
      <c r="H384" s="108">
        <v>10</v>
      </c>
    </row>
    <row r="385" spans="1:8" ht="14.25" customHeight="1" x14ac:dyDescent="0.25">
      <c r="A385" t="str">
        <f t="shared" si="5"/>
        <v>CECILIA CREEK_Chum</v>
      </c>
      <c r="B385" t="s">
        <v>96</v>
      </c>
      <c r="C385" s="107" t="s">
        <v>201</v>
      </c>
      <c r="D385" s="102">
        <v>24</v>
      </c>
      <c r="E385" s="107" t="s">
        <v>550</v>
      </c>
      <c r="F385" s="108" t="s">
        <v>551</v>
      </c>
      <c r="G385" s="108" t="s">
        <v>537</v>
      </c>
      <c r="H385" s="108">
        <v>10</v>
      </c>
    </row>
    <row r="386" spans="1:8" ht="14.25" customHeight="1" x14ac:dyDescent="0.25">
      <c r="A386" t="str">
        <f t="shared" si="5"/>
        <v>CLAYOQUOT RIVER_Chum</v>
      </c>
      <c r="B386" t="s">
        <v>96</v>
      </c>
      <c r="C386" s="107" t="s">
        <v>176</v>
      </c>
      <c r="D386" s="102">
        <v>24</v>
      </c>
      <c r="E386" s="107" t="s">
        <v>550</v>
      </c>
      <c r="F386" s="108" t="s">
        <v>551</v>
      </c>
      <c r="G386" s="108" t="s">
        <v>537</v>
      </c>
      <c r="H386" s="108">
        <v>10</v>
      </c>
    </row>
    <row r="387" spans="1:8" ht="14.25" customHeight="1" x14ac:dyDescent="0.25">
      <c r="A387" t="str">
        <f t="shared" si="5"/>
        <v>CLOSE CREEKS (2)_Chum</v>
      </c>
      <c r="B387" t="s">
        <v>96</v>
      </c>
      <c r="C387" s="107" t="s">
        <v>186</v>
      </c>
      <c r="D387" s="102">
        <v>24</v>
      </c>
      <c r="E387" s="107" t="s">
        <v>550</v>
      </c>
      <c r="F387" s="108" t="s">
        <v>551</v>
      </c>
      <c r="G387" s="108" t="s">
        <v>537</v>
      </c>
      <c r="H387" s="108">
        <v>10</v>
      </c>
    </row>
    <row r="388" spans="1:8" ht="14.25" customHeight="1" x14ac:dyDescent="0.25">
      <c r="A388" t="str">
        <f t="shared" si="5"/>
        <v>COLD CREEK_Chum</v>
      </c>
      <c r="B388" t="s">
        <v>96</v>
      </c>
      <c r="C388" s="107" t="s">
        <v>177</v>
      </c>
      <c r="D388" s="102">
        <v>24</v>
      </c>
      <c r="E388" s="107" t="s">
        <v>550</v>
      </c>
      <c r="F388" s="108" t="s">
        <v>551</v>
      </c>
      <c r="G388" s="108" t="s">
        <v>537</v>
      </c>
      <c r="H388" s="108">
        <v>10</v>
      </c>
    </row>
    <row r="389" spans="1:8" ht="14.25" customHeight="1" x14ac:dyDescent="0.25">
      <c r="A389" t="str">
        <f t="shared" ref="A389:A452" si="6">CONCATENATE(C389,"_",B389)</f>
        <v>CONE CREEKS (2)_Chum</v>
      </c>
      <c r="B389" t="s">
        <v>96</v>
      </c>
      <c r="C389" s="107" t="s">
        <v>187</v>
      </c>
      <c r="D389" s="102">
        <v>24</v>
      </c>
      <c r="E389" s="107" t="s">
        <v>550</v>
      </c>
      <c r="F389" s="108" t="s">
        <v>551</v>
      </c>
      <c r="G389" s="108" t="s">
        <v>537</v>
      </c>
      <c r="H389" s="108">
        <v>10</v>
      </c>
    </row>
    <row r="390" spans="1:8" ht="14.25" customHeight="1" x14ac:dyDescent="0.25">
      <c r="A390" t="str">
        <f t="shared" si="6"/>
        <v>COW CREEK_Chum</v>
      </c>
      <c r="B390" t="s">
        <v>96</v>
      </c>
      <c r="C390" s="107" t="s">
        <v>196</v>
      </c>
      <c r="D390" s="102">
        <v>24</v>
      </c>
      <c r="E390" s="107" t="s">
        <v>550</v>
      </c>
      <c r="F390" s="108" t="s">
        <v>551</v>
      </c>
      <c r="G390" s="108" t="s">
        <v>537</v>
      </c>
      <c r="H390" s="108">
        <v>10</v>
      </c>
    </row>
    <row r="391" spans="1:8" ht="14.25" customHeight="1" x14ac:dyDescent="0.25">
      <c r="A391" t="str">
        <f t="shared" si="6"/>
        <v>CYPRE RIVER_Chum</v>
      </c>
      <c r="B391" t="s">
        <v>96</v>
      </c>
      <c r="C391" s="107" t="s">
        <v>190</v>
      </c>
      <c r="D391" s="102">
        <v>24</v>
      </c>
      <c r="E391" s="107" t="s">
        <v>550</v>
      </c>
      <c r="F391" s="108" t="s">
        <v>551</v>
      </c>
      <c r="G391" s="108" t="s">
        <v>537</v>
      </c>
      <c r="H391" s="108">
        <v>10</v>
      </c>
    </row>
    <row r="392" spans="1:8" ht="14.25" customHeight="1" x14ac:dyDescent="0.25">
      <c r="A392" t="str">
        <f t="shared" si="6"/>
        <v>FUNDY CREEK_Chum</v>
      </c>
      <c r="B392" t="s">
        <v>96</v>
      </c>
      <c r="C392" s="107" t="s">
        <v>189</v>
      </c>
      <c r="D392" s="102">
        <v>24</v>
      </c>
      <c r="E392" s="107" t="s">
        <v>550</v>
      </c>
      <c r="F392" s="108" t="s">
        <v>551</v>
      </c>
      <c r="G392" s="108" t="s">
        <v>537</v>
      </c>
      <c r="H392" s="108">
        <v>10</v>
      </c>
    </row>
    <row r="393" spans="1:8" ht="14.25" customHeight="1" x14ac:dyDescent="0.25">
      <c r="A393" t="str">
        <f t="shared" si="6"/>
        <v>HESQUIAT HARBOUR #1 CREEKS_Chum</v>
      </c>
      <c r="B393" t="s">
        <v>96</v>
      </c>
      <c r="C393" s="107" t="s">
        <v>208</v>
      </c>
      <c r="D393" s="102">
        <v>24</v>
      </c>
      <c r="E393" s="107" t="s">
        <v>550</v>
      </c>
      <c r="F393" s="108" t="s">
        <v>551</v>
      </c>
      <c r="G393" s="108" t="s">
        <v>537</v>
      </c>
      <c r="H393" s="108">
        <v>10</v>
      </c>
    </row>
    <row r="394" spans="1:8" ht="14.25" customHeight="1" x14ac:dyDescent="0.25">
      <c r="A394" t="str">
        <f t="shared" si="6"/>
        <v>HESQUIAT HARBOUR #2 CREEKS_Chum</v>
      </c>
      <c r="B394" t="s">
        <v>96</v>
      </c>
      <c r="C394" s="107" t="s">
        <v>209</v>
      </c>
      <c r="D394" s="102">
        <v>24</v>
      </c>
      <c r="E394" s="107" t="s">
        <v>550</v>
      </c>
      <c r="F394" s="108" t="s">
        <v>551</v>
      </c>
      <c r="G394" s="108" t="s">
        <v>537</v>
      </c>
      <c r="H394" s="108">
        <v>10</v>
      </c>
    </row>
    <row r="395" spans="1:8" ht="14.25" customHeight="1" x14ac:dyDescent="0.25">
      <c r="A395" t="str">
        <f t="shared" si="6"/>
        <v>HESQUIAT HARBOUR #3 CREEKS_Chum</v>
      </c>
      <c r="B395" t="s">
        <v>96</v>
      </c>
      <c r="C395" s="107" t="s">
        <v>211</v>
      </c>
      <c r="D395" s="102">
        <v>24</v>
      </c>
      <c r="E395" s="107" t="s">
        <v>550</v>
      </c>
      <c r="F395" s="108" t="s">
        <v>551</v>
      </c>
      <c r="G395" s="108" t="s">
        <v>537</v>
      </c>
      <c r="H395" s="108">
        <v>10</v>
      </c>
    </row>
    <row r="396" spans="1:8" ht="14.25" customHeight="1" x14ac:dyDescent="0.25">
      <c r="A396" t="str">
        <f t="shared" si="6"/>
        <v>HESQUIAT HARBOUR #4 CREEKS_Chum</v>
      </c>
      <c r="B396" t="s">
        <v>96</v>
      </c>
      <c r="C396" s="107" t="s">
        <v>212</v>
      </c>
      <c r="D396" s="102">
        <v>24</v>
      </c>
      <c r="E396" s="107" t="s">
        <v>550</v>
      </c>
      <c r="F396" s="108" t="s">
        <v>551</v>
      </c>
      <c r="G396" s="108" t="s">
        <v>537</v>
      </c>
      <c r="H396" s="108">
        <v>10</v>
      </c>
    </row>
    <row r="397" spans="1:8" ht="14.25" customHeight="1" x14ac:dyDescent="0.25">
      <c r="A397" t="str">
        <f t="shared" si="6"/>
        <v>HESQUIAT LAKE CREEK_Chum</v>
      </c>
      <c r="B397" t="s">
        <v>96</v>
      </c>
      <c r="C397" s="107" t="s">
        <v>210</v>
      </c>
      <c r="D397" s="102">
        <v>24</v>
      </c>
      <c r="E397" s="107" t="s">
        <v>550</v>
      </c>
      <c r="F397" s="108" t="s">
        <v>551</v>
      </c>
      <c r="G397" s="108" t="s">
        <v>537</v>
      </c>
      <c r="H397" s="108">
        <v>10</v>
      </c>
    </row>
    <row r="398" spans="1:8" ht="14.25" customHeight="1" x14ac:dyDescent="0.25">
      <c r="A398" t="str">
        <f t="shared" si="6"/>
        <v>HESQUIAT POINT CREEK_Chum</v>
      </c>
      <c r="B398" t="s">
        <v>96</v>
      </c>
      <c r="C398" s="107" t="s">
        <v>205</v>
      </c>
      <c r="D398" s="102">
        <v>24</v>
      </c>
      <c r="E398" s="107" t="s">
        <v>550</v>
      </c>
      <c r="F398" s="108" t="s">
        <v>551</v>
      </c>
      <c r="G398" s="108" t="s">
        <v>537</v>
      </c>
      <c r="H398" s="108">
        <v>10</v>
      </c>
    </row>
    <row r="399" spans="1:8" ht="14.25" customHeight="1" x14ac:dyDescent="0.25">
      <c r="A399" t="str">
        <f t="shared" si="6"/>
        <v>HOOTLA KOOTLA CREEK_Chum</v>
      </c>
      <c r="B399" t="s">
        <v>96</v>
      </c>
      <c r="C399" s="107" t="s">
        <v>197</v>
      </c>
      <c r="D399" s="102">
        <v>24</v>
      </c>
      <c r="E399" s="107" t="s">
        <v>550</v>
      </c>
      <c r="F399" s="108" t="s">
        <v>551</v>
      </c>
      <c r="G399" s="108" t="s">
        <v>537</v>
      </c>
      <c r="H399" s="108">
        <v>10</v>
      </c>
    </row>
    <row r="400" spans="1:8" ht="14.25" customHeight="1" x14ac:dyDescent="0.25">
      <c r="A400" t="str">
        <f t="shared" si="6"/>
        <v>HOT SPRINGS COVE CREEK_Chum</v>
      </c>
      <c r="B400" t="s">
        <v>96</v>
      </c>
      <c r="C400" s="107" t="s">
        <v>204</v>
      </c>
      <c r="D400" s="102">
        <v>24</v>
      </c>
      <c r="E400" s="107" t="s">
        <v>550</v>
      </c>
      <c r="F400" s="108" t="s">
        <v>551</v>
      </c>
      <c r="G400" s="108" t="s">
        <v>537</v>
      </c>
      <c r="H400" s="108">
        <v>10</v>
      </c>
    </row>
    <row r="401" spans="1:8" ht="14.25" customHeight="1" x14ac:dyDescent="0.25">
      <c r="A401" t="str">
        <f t="shared" si="6"/>
        <v>ICE RIVER_Chum</v>
      </c>
      <c r="B401" t="s">
        <v>96</v>
      </c>
      <c r="C401" s="107" t="s">
        <v>202</v>
      </c>
      <c r="D401" s="102">
        <v>24</v>
      </c>
      <c r="E401" s="107" t="s">
        <v>550</v>
      </c>
      <c r="F401" s="108" t="s">
        <v>551</v>
      </c>
      <c r="G401" s="108" t="s">
        <v>537</v>
      </c>
      <c r="H401" s="108">
        <v>10</v>
      </c>
    </row>
    <row r="402" spans="1:8" ht="14.25" customHeight="1" x14ac:dyDescent="0.25">
      <c r="A402" t="str">
        <f t="shared" si="6"/>
        <v>KENNEDY LAKE BEACHES_Chum</v>
      </c>
      <c r="B402" t="s">
        <v>96</v>
      </c>
      <c r="C402" s="107" t="s">
        <v>180</v>
      </c>
      <c r="D402" s="102">
        <v>24</v>
      </c>
      <c r="E402" s="107" t="s">
        <v>550</v>
      </c>
      <c r="F402" s="108" t="s">
        <v>551</v>
      </c>
      <c r="G402" s="108" t="s">
        <v>537</v>
      </c>
      <c r="H402" s="108">
        <v>10</v>
      </c>
    </row>
    <row r="403" spans="1:8" ht="14.25" customHeight="1" x14ac:dyDescent="0.25">
      <c r="A403" t="str">
        <f t="shared" si="6"/>
        <v>KENNEDY LAKE FEEDER STREAMS_Chum</v>
      </c>
      <c r="B403" t="s">
        <v>96</v>
      </c>
      <c r="C403" s="107" t="s">
        <v>181</v>
      </c>
      <c r="D403" s="102">
        <v>24</v>
      </c>
      <c r="E403" s="107" t="s">
        <v>550</v>
      </c>
      <c r="F403" s="108" t="s">
        <v>551</v>
      </c>
      <c r="G403" s="108" t="s">
        <v>537</v>
      </c>
      <c r="H403" s="108">
        <v>10</v>
      </c>
    </row>
    <row r="404" spans="1:8" ht="14.25" customHeight="1" x14ac:dyDescent="0.25">
      <c r="A404" t="str">
        <f t="shared" si="6"/>
        <v>KENNEDY RIVER (LOWER)_Chum</v>
      </c>
      <c r="B404" t="s">
        <v>96</v>
      </c>
      <c r="C404" s="107" t="s">
        <v>359</v>
      </c>
      <c r="D404" s="102">
        <v>24</v>
      </c>
      <c r="E404" s="107" t="s">
        <v>550</v>
      </c>
      <c r="F404" s="108" t="s">
        <v>551</v>
      </c>
      <c r="G404" s="108" t="s">
        <v>537</v>
      </c>
      <c r="H404" s="108">
        <v>10</v>
      </c>
    </row>
    <row r="405" spans="1:8" ht="14.25" customHeight="1" x14ac:dyDescent="0.25">
      <c r="A405" t="str">
        <f t="shared" si="6"/>
        <v>KENNEDY RIVER (UPPER)_Chum</v>
      </c>
      <c r="B405" t="s">
        <v>96</v>
      </c>
      <c r="C405" s="107" t="s">
        <v>358</v>
      </c>
      <c r="D405" s="102">
        <v>24</v>
      </c>
      <c r="E405" s="107" t="s">
        <v>550</v>
      </c>
      <c r="F405" s="108" t="s">
        <v>551</v>
      </c>
      <c r="G405" s="108" t="s">
        <v>537</v>
      </c>
      <c r="H405" s="108">
        <v>10</v>
      </c>
    </row>
    <row r="406" spans="1:8" ht="14.25" customHeight="1" x14ac:dyDescent="0.25">
      <c r="A406" t="str">
        <f t="shared" si="6"/>
        <v>KOOTOWIS CREEK_Chum</v>
      </c>
      <c r="B406" t="s">
        <v>96</v>
      </c>
      <c r="C406" s="107" t="s">
        <v>175</v>
      </c>
      <c r="D406" s="102">
        <v>24</v>
      </c>
      <c r="E406" s="107" t="s">
        <v>550</v>
      </c>
      <c r="F406" s="108" t="s">
        <v>551</v>
      </c>
      <c r="G406" s="108" t="s">
        <v>537</v>
      </c>
      <c r="H406" s="108">
        <v>10</v>
      </c>
    </row>
    <row r="407" spans="1:8" ht="14.25" customHeight="1" x14ac:dyDescent="0.25">
      <c r="A407" t="str">
        <f t="shared" si="6"/>
        <v>LITTLE WHITEPINE COVE #1 CREEK_Chum</v>
      </c>
      <c r="B407" t="s">
        <v>96</v>
      </c>
      <c r="C407" s="107" t="s">
        <v>192</v>
      </c>
      <c r="D407" s="102">
        <v>24</v>
      </c>
      <c r="E407" s="107" t="s">
        <v>550</v>
      </c>
      <c r="F407" s="108" t="s">
        <v>551</v>
      </c>
      <c r="G407" s="108" t="s">
        <v>537</v>
      </c>
      <c r="H407" s="108">
        <v>10</v>
      </c>
    </row>
    <row r="408" spans="1:8" ht="14.25" customHeight="1" x14ac:dyDescent="0.25">
      <c r="A408" t="str">
        <f t="shared" si="6"/>
        <v>LOST SHOE CREEK_Chum</v>
      </c>
      <c r="B408" t="s">
        <v>96</v>
      </c>
      <c r="C408" s="107" t="s">
        <v>155</v>
      </c>
      <c r="D408" s="102">
        <v>24</v>
      </c>
      <c r="E408" s="107" t="s">
        <v>550</v>
      </c>
      <c r="F408" s="108" t="s">
        <v>551</v>
      </c>
      <c r="G408" s="108" t="s">
        <v>537</v>
      </c>
      <c r="H408" s="108">
        <v>10</v>
      </c>
    </row>
    <row r="409" spans="1:8" ht="14.25" customHeight="1" x14ac:dyDescent="0.25">
      <c r="A409" t="str">
        <f t="shared" si="6"/>
        <v>MEGIN RIVER_Chum</v>
      </c>
      <c r="B409" t="s">
        <v>96</v>
      </c>
      <c r="C409" s="107" t="s">
        <v>200</v>
      </c>
      <c r="D409" s="102">
        <v>24</v>
      </c>
      <c r="E409" s="107" t="s">
        <v>550</v>
      </c>
      <c r="F409" s="108" t="s">
        <v>551</v>
      </c>
      <c r="G409" s="108" t="s">
        <v>537</v>
      </c>
      <c r="H409" s="108">
        <v>10</v>
      </c>
    </row>
    <row r="410" spans="1:8" ht="14.25" customHeight="1" x14ac:dyDescent="0.25">
      <c r="A410" t="str">
        <f t="shared" si="6"/>
        <v>MOYEHA RIVER_Chum</v>
      </c>
      <c r="B410" t="s">
        <v>96</v>
      </c>
      <c r="C410" s="107" t="s">
        <v>194</v>
      </c>
      <c r="D410" s="102">
        <v>24</v>
      </c>
      <c r="E410" s="107" t="s">
        <v>550</v>
      </c>
      <c r="F410" s="108" t="s">
        <v>551</v>
      </c>
      <c r="G410" s="108" t="s">
        <v>537</v>
      </c>
      <c r="H410" s="108">
        <v>10</v>
      </c>
    </row>
    <row r="411" spans="1:8" ht="14.25" customHeight="1" x14ac:dyDescent="0.25">
      <c r="A411" t="str">
        <f t="shared" si="6"/>
        <v>RILEY CREEK_Chum</v>
      </c>
      <c r="B411" t="s">
        <v>96</v>
      </c>
      <c r="C411" s="107" t="s">
        <v>198</v>
      </c>
      <c r="D411" s="102">
        <v>24</v>
      </c>
      <c r="E411" s="107" t="s">
        <v>550</v>
      </c>
      <c r="F411" s="108" t="s">
        <v>551</v>
      </c>
      <c r="G411" s="108" t="s">
        <v>537</v>
      </c>
      <c r="H411" s="108">
        <v>10</v>
      </c>
    </row>
    <row r="412" spans="1:8" ht="14.25" customHeight="1" x14ac:dyDescent="0.25">
      <c r="A412" t="str">
        <f t="shared" si="6"/>
        <v>SAND RIVER_Chum</v>
      </c>
      <c r="B412" t="s">
        <v>96</v>
      </c>
      <c r="C412" s="107" t="s">
        <v>179</v>
      </c>
      <c r="D412" s="102">
        <v>24</v>
      </c>
      <c r="E412" s="107" t="s">
        <v>550</v>
      </c>
      <c r="F412" s="108" t="s">
        <v>551</v>
      </c>
      <c r="G412" s="108" t="s">
        <v>537</v>
      </c>
      <c r="H412" s="108">
        <v>10</v>
      </c>
    </row>
    <row r="413" spans="1:8" ht="14.25" customHeight="1" x14ac:dyDescent="0.25">
      <c r="A413" t="str">
        <f t="shared" si="6"/>
        <v>SANDHILL CREEK_Chum</v>
      </c>
      <c r="B413" t="s">
        <v>96</v>
      </c>
      <c r="C413" s="107" t="s">
        <v>174</v>
      </c>
      <c r="D413" s="102">
        <v>24</v>
      </c>
      <c r="E413" s="107" t="s">
        <v>550</v>
      </c>
      <c r="F413" s="108" t="s">
        <v>551</v>
      </c>
      <c r="G413" s="108" t="s">
        <v>537</v>
      </c>
      <c r="H413" s="108">
        <v>10</v>
      </c>
    </row>
    <row r="414" spans="1:8" ht="14.25" customHeight="1" x14ac:dyDescent="0.25">
      <c r="A414" t="str">
        <f t="shared" si="6"/>
        <v>SUTTON MILL CREEK_Chum</v>
      </c>
      <c r="B414" t="s">
        <v>96</v>
      </c>
      <c r="C414" s="107" t="s">
        <v>188</v>
      </c>
      <c r="D414" s="102">
        <v>24</v>
      </c>
      <c r="E414" s="107" t="s">
        <v>550</v>
      </c>
      <c r="F414" s="108" t="s">
        <v>551</v>
      </c>
      <c r="G414" s="108" t="s">
        <v>537</v>
      </c>
      <c r="H414" s="108">
        <v>10</v>
      </c>
    </row>
    <row r="415" spans="1:8" ht="14.25" customHeight="1" x14ac:dyDescent="0.25">
      <c r="A415" t="str">
        <f t="shared" si="6"/>
        <v>SYDNEY RIVER_Chum</v>
      </c>
      <c r="B415" t="s">
        <v>96</v>
      </c>
      <c r="C415" s="107" t="s">
        <v>203</v>
      </c>
      <c r="D415" s="102">
        <v>24</v>
      </c>
      <c r="E415" s="107" t="s">
        <v>550</v>
      </c>
      <c r="F415" s="108" t="s">
        <v>551</v>
      </c>
      <c r="G415" s="108" t="s">
        <v>537</v>
      </c>
      <c r="H415" s="108">
        <v>10</v>
      </c>
    </row>
    <row r="416" spans="1:8" ht="14.25" customHeight="1" x14ac:dyDescent="0.25">
      <c r="A416" t="str">
        <f t="shared" si="6"/>
        <v>TOFINO CREEK_Chum</v>
      </c>
      <c r="B416" t="s">
        <v>96</v>
      </c>
      <c r="C416" s="107" t="s">
        <v>182</v>
      </c>
      <c r="D416" s="102">
        <v>24</v>
      </c>
      <c r="E416" s="107" t="s">
        <v>550</v>
      </c>
      <c r="F416" s="108" t="s">
        <v>551</v>
      </c>
      <c r="G416" s="108" t="s">
        <v>537</v>
      </c>
      <c r="H416" s="108">
        <v>10</v>
      </c>
    </row>
    <row r="417" spans="1:8" ht="14.25" customHeight="1" x14ac:dyDescent="0.25">
      <c r="A417" t="str">
        <f t="shared" si="6"/>
        <v>TRANQUIL CREEK_Chum</v>
      </c>
      <c r="B417" t="s">
        <v>96</v>
      </c>
      <c r="C417" s="110" t="s">
        <v>183</v>
      </c>
      <c r="D417" s="102">
        <v>24</v>
      </c>
      <c r="E417" s="107" t="s">
        <v>550</v>
      </c>
      <c r="F417" s="108" t="s">
        <v>551</v>
      </c>
      <c r="G417" s="108" t="s">
        <v>537</v>
      </c>
      <c r="H417" s="108">
        <v>10</v>
      </c>
    </row>
    <row r="418" spans="1:8" ht="14.25" customHeight="1" x14ac:dyDescent="0.25">
      <c r="A418" t="str">
        <f t="shared" si="6"/>
        <v>WARN BAY CREEK_Chum</v>
      </c>
      <c r="B418" t="s">
        <v>96</v>
      </c>
      <c r="C418" s="107" t="s">
        <v>184</v>
      </c>
      <c r="D418" s="102">
        <v>24</v>
      </c>
      <c r="E418" s="107" t="s">
        <v>550</v>
      </c>
      <c r="F418" s="108" t="s">
        <v>551</v>
      </c>
      <c r="G418" s="108" t="s">
        <v>537</v>
      </c>
      <c r="H418" s="108">
        <v>10</v>
      </c>
    </row>
    <row r="419" spans="1:8" ht="14.25" customHeight="1" x14ac:dyDescent="0.25">
      <c r="A419" t="str">
        <f t="shared" si="6"/>
        <v>WATTA CREEK_Chum</v>
      </c>
      <c r="B419" t="s">
        <v>96</v>
      </c>
      <c r="C419" s="107" t="s">
        <v>199</v>
      </c>
      <c r="D419" s="102">
        <v>24</v>
      </c>
      <c r="E419" s="107" t="s">
        <v>550</v>
      </c>
      <c r="F419" s="108" t="s">
        <v>551</v>
      </c>
      <c r="G419" s="108" t="s">
        <v>537</v>
      </c>
      <c r="H419" s="108">
        <v>10</v>
      </c>
    </row>
    <row r="420" spans="1:8" ht="14.25" customHeight="1" x14ac:dyDescent="0.25">
      <c r="A420" t="str">
        <f t="shared" si="6"/>
        <v>WHITE PINE COVE CREEK_Chum</v>
      </c>
      <c r="B420" t="s">
        <v>96</v>
      </c>
      <c r="C420" s="107" t="s">
        <v>193</v>
      </c>
      <c r="D420" s="102">
        <v>24</v>
      </c>
      <c r="E420" s="107" t="s">
        <v>550</v>
      </c>
      <c r="F420" s="108" t="s">
        <v>551</v>
      </c>
      <c r="G420" s="108" t="s">
        <v>537</v>
      </c>
      <c r="H420" s="108">
        <v>10</v>
      </c>
    </row>
    <row r="421" spans="1:8" ht="14.25" customHeight="1" x14ac:dyDescent="0.25">
      <c r="A421" t="str">
        <f t="shared" si="6"/>
        <v>BEANO CREEK_Chum</v>
      </c>
      <c r="B421" t="s">
        <v>96</v>
      </c>
      <c r="C421" s="107" t="s">
        <v>234</v>
      </c>
      <c r="D421" s="102">
        <v>25</v>
      </c>
      <c r="E421" s="107" t="s">
        <v>550</v>
      </c>
      <c r="F421" s="108" t="s">
        <v>551</v>
      </c>
      <c r="G421" s="108" t="s">
        <v>537</v>
      </c>
      <c r="H421" s="108">
        <v>10</v>
      </c>
    </row>
    <row r="422" spans="1:8" ht="14.25" customHeight="1" x14ac:dyDescent="0.25">
      <c r="A422" t="str">
        <f t="shared" si="6"/>
        <v>BINGO CREEK_Chum</v>
      </c>
      <c r="B422" t="s">
        <v>96</v>
      </c>
      <c r="C422" s="107" t="s">
        <v>213</v>
      </c>
      <c r="D422" s="102">
        <v>25</v>
      </c>
      <c r="E422" s="107" t="s">
        <v>550</v>
      </c>
      <c r="F422" s="108" t="s">
        <v>551</v>
      </c>
      <c r="G422" s="108" t="s">
        <v>537</v>
      </c>
      <c r="H422" s="108">
        <v>10</v>
      </c>
    </row>
    <row r="423" spans="1:8" ht="14.25" customHeight="1" x14ac:dyDescent="0.25">
      <c r="A423" t="str">
        <f t="shared" si="6"/>
        <v>INNER BASIN CREEK (Black C)_Chum</v>
      </c>
      <c r="B423" t="s">
        <v>96</v>
      </c>
      <c r="C423" s="99" t="s">
        <v>607</v>
      </c>
      <c r="D423" s="102">
        <v>25</v>
      </c>
      <c r="E423" s="107" t="s">
        <v>550</v>
      </c>
      <c r="F423" s="108" t="s">
        <v>551</v>
      </c>
      <c r="G423" s="108" t="s">
        <v>537</v>
      </c>
      <c r="H423" s="108">
        <v>10</v>
      </c>
    </row>
    <row r="424" spans="1:8" ht="14.25" customHeight="1" x14ac:dyDescent="0.25">
      <c r="A424" t="str">
        <f t="shared" si="6"/>
        <v>BRODICK CREEK_Chum</v>
      </c>
      <c r="B424" t="s">
        <v>96</v>
      </c>
      <c r="C424" s="107" t="s">
        <v>238</v>
      </c>
      <c r="D424" s="102">
        <v>25</v>
      </c>
      <c r="E424" s="107" t="s">
        <v>550</v>
      </c>
      <c r="F424" s="108" t="s">
        <v>551</v>
      </c>
      <c r="G424" s="108" t="s">
        <v>537</v>
      </c>
      <c r="H424" s="108">
        <v>10</v>
      </c>
    </row>
    <row r="425" spans="1:8" ht="14.25" customHeight="1" x14ac:dyDescent="0.25">
      <c r="A425" t="str">
        <f t="shared" si="6"/>
        <v>BURMAN RIVER_Chum</v>
      </c>
      <c r="B425" t="s">
        <v>96</v>
      </c>
      <c r="C425" s="107" t="s">
        <v>216</v>
      </c>
      <c r="D425" s="102">
        <v>25</v>
      </c>
      <c r="E425" s="107" t="s">
        <v>550</v>
      </c>
      <c r="F425" s="108" t="s">
        <v>551</v>
      </c>
      <c r="G425" s="108" t="s">
        <v>537</v>
      </c>
      <c r="H425" s="108">
        <v>10</v>
      </c>
    </row>
    <row r="426" spans="1:8" ht="14.25" customHeight="1" x14ac:dyDescent="0.25">
      <c r="A426" t="str">
        <f t="shared" si="6"/>
        <v>CANTON CREEK_Chum</v>
      </c>
      <c r="B426" t="s">
        <v>96</v>
      </c>
      <c r="C426" s="107" t="s">
        <v>225</v>
      </c>
      <c r="D426" s="102">
        <v>25</v>
      </c>
      <c r="E426" s="107" t="s">
        <v>550</v>
      </c>
      <c r="F426" s="108" t="s">
        <v>551</v>
      </c>
      <c r="G426" s="108" t="s">
        <v>537</v>
      </c>
      <c r="H426" s="108">
        <v>10</v>
      </c>
    </row>
    <row r="427" spans="1:8" ht="14.25" customHeight="1" x14ac:dyDescent="0.25">
      <c r="A427" t="str">
        <f t="shared" si="6"/>
        <v>CHUM CREEK_Chum</v>
      </c>
      <c r="B427" t="s">
        <v>96</v>
      </c>
      <c r="C427" s="107" t="s">
        <v>244</v>
      </c>
      <c r="D427" s="102">
        <v>25</v>
      </c>
      <c r="E427" s="107" t="s">
        <v>550</v>
      </c>
      <c r="F427" s="108" t="s">
        <v>551</v>
      </c>
      <c r="G427" s="108" t="s">
        <v>537</v>
      </c>
      <c r="H427" s="108">
        <v>10</v>
      </c>
    </row>
    <row r="428" spans="1:8" ht="14.25" customHeight="1" x14ac:dyDescent="0.25">
      <c r="A428" t="str">
        <f t="shared" si="6"/>
        <v>CONUMA RIVER_Chum</v>
      </c>
      <c r="B428" t="s">
        <v>96</v>
      </c>
      <c r="C428" s="107" t="s">
        <v>224</v>
      </c>
      <c r="D428" s="102">
        <v>25</v>
      </c>
      <c r="E428" s="107" t="s">
        <v>550</v>
      </c>
      <c r="F428" s="108" t="s">
        <v>551</v>
      </c>
      <c r="G428" s="108" t="s">
        <v>537</v>
      </c>
      <c r="H428" s="108">
        <v>10</v>
      </c>
    </row>
    <row r="429" spans="1:8" ht="14.25" customHeight="1" x14ac:dyDescent="0.25">
      <c r="A429" t="str">
        <f t="shared" si="6"/>
        <v>COUGAR CREEK_Chum</v>
      </c>
      <c r="B429" t="s">
        <v>96</v>
      </c>
      <c r="C429" s="107" t="s">
        <v>222</v>
      </c>
      <c r="D429" s="102">
        <v>25</v>
      </c>
      <c r="E429" s="107" t="s">
        <v>550</v>
      </c>
      <c r="F429" s="108" t="s">
        <v>551</v>
      </c>
      <c r="G429" s="108" t="s">
        <v>537</v>
      </c>
      <c r="H429" s="108">
        <v>10</v>
      </c>
    </row>
    <row r="430" spans="1:8" ht="14.25" customHeight="1" x14ac:dyDescent="0.25">
      <c r="A430" t="str">
        <f t="shared" si="6"/>
        <v>DESERTED CREEK_Chum</v>
      </c>
      <c r="B430" t="s">
        <v>96</v>
      </c>
      <c r="C430" s="107" t="s">
        <v>227</v>
      </c>
      <c r="D430" s="102">
        <v>25</v>
      </c>
      <c r="E430" s="107" t="s">
        <v>550</v>
      </c>
      <c r="F430" s="108" t="s">
        <v>551</v>
      </c>
      <c r="G430" s="108" t="s">
        <v>537</v>
      </c>
      <c r="H430" s="108">
        <v>10</v>
      </c>
    </row>
    <row r="431" spans="1:8" ht="14.25" customHeight="1" x14ac:dyDescent="0.25">
      <c r="A431" t="str">
        <f t="shared" si="6"/>
        <v>ELIZA CREEK_Chum</v>
      </c>
      <c r="B431" t="s">
        <v>96</v>
      </c>
      <c r="C431" s="107" t="s">
        <v>246</v>
      </c>
      <c r="D431" s="102">
        <v>25</v>
      </c>
      <c r="E431" s="107" t="s">
        <v>550</v>
      </c>
      <c r="F431" s="108" t="s">
        <v>551</v>
      </c>
      <c r="G431" s="108" t="s">
        <v>537</v>
      </c>
      <c r="H431" s="108">
        <v>10</v>
      </c>
    </row>
    <row r="432" spans="1:8" ht="14.25" customHeight="1" x14ac:dyDescent="0.25">
      <c r="A432" t="str">
        <f t="shared" si="6"/>
        <v>ESPINOSA CREEK_Chum</v>
      </c>
      <c r="B432" t="s">
        <v>96</v>
      </c>
      <c r="C432" s="107" t="s">
        <v>243</v>
      </c>
      <c r="D432" s="102">
        <v>25</v>
      </c>
      <c r="E432" s="107" t="s">
        <v>550</v>
      </c>
      <c r="F432" s="108" t="s">
        <v>551</v>
      </c>
      <c r="G432" s="108" t="s">
        <v>537</v>
      </c>
      <c r="H432" s="108">
        <v>10</v>
      </c>
    </row>
    <row r="433" spans="1:8" ht="14.25" customHeight="1" x14ac:dyDescent="0.25">
      <c r="A433" t="str">
        <f t="shared" si="6"/>
        <v>GOLD RIVER_Chum</v>
      </c>
      <c r="B433" t="s">
        <v>96</v>
      </c>
      <c r="C433" s="107" t="s">
        <v>217</v>
      </c>
      <c r="D433" s="102">
        <v>25</v>
      </c>
      <c r="E433" s="107" t="s">
        <v>550</v>
      </c>
      <c r="F433" s="108" t="s">
        <v>551</v>
      </c>
      <c r="G433" s="108" t="s">
        <v>537</v>
      </c>
      <c r="H433" s="108">
        <v>10</v>
      </c>
    </row>
    <row r="434" spans="1:8" ht="14.25" customHeight="1" x14ac:dyDescent="0.25">
      <c r="A434" t="str">
        <f t="shared" si="6"/>
        <v>GUISE CREEK_Chum</v>
      </c>
      <c r="B434" t="s">
        <v>96</v>
      </c>
      <c r="C434" s="107" t="s">
        <v>236</v>
      </c>
      <c r="D434" s="102">
        <v>25</v>
      </c>
      <c r="E434" s="107" t="s">
        <v>550</v>
      </c>
      <c r="F434" s="108" t="s">
        <v>551</v>
      </c>
      <c r="G434" s="108" t="s">
        <v>537</v>
      </c>
      <c r="H434" s="108">
        <v>10</v>
      </c>
    </row>
    <row r="435" spans="1:8" ht="14.25" customHeight="1" x14ac:dyDescent="0.25">
      <c r="A435" t="str">
        <f t="shared" si="6"/>
        <v>HAMMOND CREEK_Chum</v>
      </c>
      <c r="B435" t="s">
        <v>96</v>
      </c>
      <c r="C435" s="107" t="s">
        <v>214</v>
      </c>
      <c r="D435" s="102">
        <v>25</v>
      </c>
      <c r="E435" s="107" t="s">
        <v>550</v>
      </c>
      <c r="F435" s="108" t="s">
        <v>551</v>
      </c>
      <c r="G435" s="108" t="s">
        <v>537</v>
      </c>
      <c r="H435" s="108">
        <v>10</v>
      </c>
    </row>
    <row r="436" spans="1:8" ht="14.25" customHeight="1" x14ac:dyDescent="0.25">
      <c r="A436" t="str">
        <f t="shared" si="6"/>
        <v>HOISS CREEK_Chum</v>
      </c>
      <c r="B436" t="s">
        <v>96</v>
      </c>
      <c r="C436" s="107" t="s">
        <v>228</v>
      </c>
      <c r="D436" s="102">
        <v>25</v>
      </c>
      <c r="E436" s="107" t="s">
        <v>550</v>
      </c>
      <c r="F436" s="108" t="s">
        <v>551</v>
      </c>
      <c r="G436" s="108" t="s">
        <v>537</v>
      </c>
      <c r="H436" s="108">
        <v>10</v>
      </c>
    </row>
    <row r="437" spans="1:8" ht="14.25" customHeight="1" x14ac:dyDescent="0.25">
      <c r="A437" t="str">
        <f t="shared" si="6"/>
        <v>INNER BASIN RIVER (Ransom C)_Chum</v>
      </c>
      <c r="B437" t="s">
        <v>96</v>
      </c>
      <c r="C437" s="99" t="s">
        <v>608</v>
      </c>
      <c r="D437" s="102">
        <v>25</v>
      </c>
      <c r="E437" s="107" t="s">
        <v>550</v>
      </c>
      <c r="F437" s="108" t="s">
        <v>551</v>
      </c>
      <c r="G437" s="108" t="s">
        <v>537</v>
      </c>
      <c r="H437" s="108">
        <v>10</v>
      </c>
    </row>
    <row r="438" spans="1:8" ht="14.25" customHeight="1" x14ac:dyDescent="0.25">
      <c r="A438" t="str">
        <f t="shared" si="6"/>
        <v>KENDRICK CREEK_Chum</v>
      </c>
      <c r="B438" t="s">
        <v>96</v>
      </c>
      <c r="C438" s="107" t="s">
        <v>232</v>
      </c>
      <c r="D438" s="102">
        <v>25</v>
      </c>
      <c r="E438" s="107" t="s">
        <v>550</v>
      </c>
      <c r="F438" s="108" t="s">
        <v>551</v>
      </c>
      <c r="G438" s="108" t="s">
        <v>537</v>
      </c>
      <c r="H438" s="108">
        <v>10</v>
      </c>
    </row>
    <row r="439" spans="1:8" ht="14.25" customHeight="1" x14ac:dyDescent="0.25">
      <c r="A439" t="str">
        <f t="shared" si="6"/>
        <v>KLEEPTEE CREEK_Chum</v>
      </c>
      <c r="B439" t="s">
        <v>96</v>
      </c>
      <c r="C439" s="107" t="s">
        <v>221</v>
      </c>
      <c r="D439" s="102">
        <v>25</v>
      </c>
      <c r="E439" s="107" t="s">
        <v>550</v>
      </c>
      <c r="F439" s="108" t="s">
        <v>551</v>
      </c>
      <c r="G439" s="108" t="s">
        <v>537</v>
      </c>
      <c r="H439" s="108">
        <v>10</v>
      </c>
    </row>
    <row r="440" spans="1:8" ht="14.25" customHeight="1" x14ac:dyDescent="0.25">
      <c r="A440" t="str">
        <f t="shared" si="6"/>
        <v>LEINER RIVER_Chum</v>
      </c>
      <c r="B440" t="s">
        <v>96</v>
      </c>
      <c r="C440" s="107" t="s">
        <v>230</v>
      </c>
      <c r="D440" s="102">
        <v>25</v>
      </c>
      <c r="E440" s="107" t="s">
        <v>550</v>
      </c>
      <c r="F440" s="108" t="s">
        <v>551</v>
      </c>
      <c r="G440" s="108" t="s">
        <v>537</v>
      </c>
      <c r="H440" s="108">
        <v>10</v>
      </c>
    </row>
    <row r="441" spans="1:8" ht="14.25" customHeight="1" x14ac:dyDescent="0.25">
      <c r="A441" t="str">
        <f t="shared" si="6"/>
        <v>LITTLE ZEBALLOS RIVER_Chum</v>
      </c>
      <c r="B441" t="s">
        <v>96</v>
      </c>
      <c r="C441" s="107" t="s">
        <v>240</v>
      </c>
      <c r="D441" s="102">
        <v>25</v>
      </c>
      <c r="E441" s="107" t="s">
        <v>550</v>
      </c>
      <c r="F441" s="108" t="s">
        <v>551</v>
      </c>
      <c r="G441" s="108" t="s">
        <v>537</v>
      </c>
      <c r="H441" s="108">
        <v>10</v>
      </c>
    </row>
    <row r="442" spans="1:8" ht="14.25" customHeight="1" x14ac:dyDescent="0.25">
      <c r="A442" t="str">
        <f t="shared" si="6"/>
        <v>LORD CREEK_Chum</v>
      </c>
      <c r="B442" t="s">
        <v>96</v>
      </c>
      <c r="C442" s="107" t="s">
        <v>239</v>
      </c>
      <c r="D442" s="102">
        <v>25</v>
      </c>
      <c r="E442" s="107" t="s">
        <v>550</v>
      </c>
      <c r="F442" s="108" t="s">
        <v>551</v>
      </c>
      <c r="G442" s="108" t="s">
        <v>537</v>
      </c>
      <c r="H442" s="108">
        <v>10</v>
      </c>
    </row>
    <row r="443" spans="1:8" ht="14.25" customHeight="1" x14ac:dyDescent="0.25">
      <c r="A443" t="str">
        <f t="shared" si="6"/>
        <v>MAMAT CREEK_Chum</v>
      </c>
      <c r="B443" t="s">
        <v>96</v>
      </c>
      <c r="C443" s="107" t="s">
        <v>242</v>
      </c>
      <c r="D443" s="102">
        <v>25</v>
      </c>
      <c r="E443" s="107" t="s">
        <v>550</v>
      </c>
      <c r="F443" s="108" t="s">
        <v>551</v>
      </c>
      <c r="G443" s="108" t="s">
        <v>537</v>
      </c>
      <c r="H443" s="108">
        <v>10</v>
      </c>
    </row>
    <row r="444" spans="1:8" ht="14.25" customHeight="1" x14ac:dyDescent="0.25">
      <c r="A444" t="str">
        <f t="shared" si="6"/>
        <v>MARVINAS BAY CREEK_Chum</v>
      </c>
      <c r="B444" t="s">
        <v>96</v>
      </c>
      <c r="C444" s="107" t="s">
        <v>233</v>
      </c>
      <c r="D444" s="102">
        <v>25</v>
      </c>
      <c r="E444" s="107" t="s">
        <v>550</v>
      </c>
      <c r="F444" s="108" t="s">
        <v>551</v>
      </c>
      <c r="G444" s="108" t="s">
        <v>537</v>
      </c>
      <c r="H444" s="108">
        <v>10</v>
      </c>
    </row>
    <row r="445" spans="1:8" ht="14.25" customHeight="1" x14ac:dyDescent="0.25">
      <c r="A445" t="str">
        <f t="shared" si="6"/>
        <v>MCCURDY CREEK_Chum</v>
      </c>
      <c r="B445" t="s">
        <v>96</v>
      </c>
      <c r="C445" s="107" t="s">
        <v>220</v>
      </c>
      <c r="D445" s="102">
        <v>25</v>
      </c>
      <c r="E445" s="107" t="s">
        <v>550</v>
      </c>
      <c r="F445" s="108" t="s">
        <v>551</v>
      </c>
      <c r="G445" s="108" t="s">
        <v>537</v>
      </c>
      <c r="H445" s="108">
        <v>10</v>
      </c>
    </row>
    <row r="446" spans="1:8" ht="14.25" customHeight="1" x14ac:dyDescent="0.25">
      <c r="A446" t="str">
        <f t="shared" si="6"/>
        <v>MIDDLE ELIZA CREEK_Chum</v>
      </c>
      <c r="B446" t="s">
        <v>96</v>
      </c>
      <c r="C446" s="107" t="s">
        <v>247</v>
      </c>
      <c r="D446" s="102">
        <v>25</v>
      </c>
      <c r="E446" s="107" t="s">
        <v>550</v>
      </c>
      <c r="F446" s="108" t="s">
        <v>551</v>
      </c>
      <c r="G446" s="108" t="s">
        <v>537</v>
      </c>
      <c r="H446" s="108">
        <v>10</v>
      </c>
    </row>
    <row r="447" spans="1:8" ht="14.25" customHeight="1" x14ac:dyDescent="0.25">
      <c r="A447" t="str">
        <f t="shared" si="6"/>
        <v>MOOYAH RIVER_Chum</v>
      </c>
      <c r="B447" t="s">
        <v>96</v>
      </c>
      <c r="C447" s="107" t="s">
        <v>215</v>
      </c>
      <c r="D447" s="102">
        <v>25</v>
      </c>
      <c r="E447" s="107" t="s">
        <v>550</v>
      </c>
      <c r="F447" s="108" t="s">
        <v>551</v>
      </c>
      <c r="G447" s="108" t="s">
        <v>537</v>
      </c>
      <c r="H447" s="108">
        <v>10</v>
      </c>
    </row>
    <row r="448" spans="1:8" ht="14.25" customHeight="1" x14ac:dyDescent="0.25">
      <c r="A448" t="str">
        <f t="shared" si="6"/>
        <v>MUCHALAT RIVER_Chum</v>
      </c>
      <c r="B448" t="s">
        <v>96</v>
      </c>
      <c r="C448" s="107" t="s">
        <v>218</v>
      </c>
      <c r="D448" s="102">
        <v>25</v>
      </c>
      <c r="E448" s="107" t="s">
        <v>550</v>
      </c>
      <c r="F448" s="108" t="s">
        <v>551</v>
      </c>
      <c r="G448" s="108" t="s">
        <v>537</v>
      </c>
      <c r="H448" s="108">
        <v>10</v>
      </c>
    </row>
    <row r="449" spans="1:8" ht="14.25" customHeight="1" x14ac:dyDescent="0.25">
      <c r="A449" t="str">
        <f t="shared" si="6"/>
        <v>OKTWANCH RIVER_Chum</v>
      </c>
      <c r="B449" t="s">
        <v>96</v>
      </c>
      <c r="C449" s="107" t="s">
        <v>219</v>
      </c>
      <c r="D449" s="102">
        <v>25</v>
      </c>
      <c r="E449" s="107" t="s">
        <v>550</v>
      </c>
      <c r="F449" s="108" t="s">
        <v>551</v>
      </c>
      <c r="G449" s="108" t="s">
        <v>537</v>
      </c>
      <c r="H449" s="108">
        <v>10</v>
      </c>
    </row>
    <row r="450" spans="1:8" ht="14.25" customHeight="1" x14ac:dyDescent="0.25">
      <c r="A450" t="str">
        <f t="shared" si="6"/>
        <v>OWOSSITSA CREEK_Chum</v>
      </c>
      <c r="B450" t="s">
        <v>96</v>
      </c>
      <c r="C450" s="107" t="s">
        <v>237</v>
      </c>
      <c r="D450" s="102">
        <v>25</v>
      </c>
      <c r="E450" s="107" t="s">
        <v>550</v>
      </c>
      <c r="F450" s="108" t="s">
        <v>551</v>
      </c>
      <c r="G450" s="108" t="s">
        <v>537</v>
      </c>
      <c r="H450" s="108">
        <v>10</v>
      </c>
    </row>
    <row r="451" spans="1:8" ht="14.25" customHeight="1" x14ac:dyDescent="0.25">
      <c r="A451" t="str">
        <f t="shared" si="6"/>
        <v>PARK RIVER_Chum</v>
      </c>
      <c r="B451" t="s">
        <v>96</v>
      </c>
      <c r="C451" s="107" t="s">
        <v>245</v>
      </c>
      <c r="D451" s="102">
        <v>25</v>
      </c>
      <c r="E451" s="107" t="s">
        <v>550</v>
      </c>
      <c r="F451" s="108" t="s">
        <v>551</v>
      </c>
      <c r="G451" s="108" t="s">
        <v>537</v>
      </c>
      <c r="H451" s="108">
        <v>10</v>
      </c>
    </row>
    <row r="452" spans="1:8" ht="14.25" customHeight="1" x14ac:dyDescent="0.25">
      <c r="A452" t="str">
        <f t="shared" si="6"/>
        <v>SUCWOA RIVER_Chum</v>
      </c>
      <c r="B452" t="s">
        <v>96</v>
      </c>
      <c r="C452" s="107" t="s">
        <v>226</v>
      </c>
      <c r="D452" s="102">
        <v>25</v>
      </c>
      <c r="E452" s="107" t="s">
        <v>550</v>
      </c>
      <c r="F452" s="108" t="s">
        <v>551</v>
      </c>
      <c r="G452" s="108" t="s">
        <v>537</v>
      </c>
      <c r="H452" s="108">
        <v>10</v>
      </c>
    </row>
    <row r="453" spans="1:8" ht="14.25" customHeight="1" x14ac:dyDescent="0.25">
      <c r="A453" t="str">
        <f t="shared" ref="A453:A517" si="7">CONCATENATE(C453,"_",B453)</f>
        <v>TAHSIS RIVER_Chum</v>
      </c>
      <c r="B453" t="s">
        <v>96</v>
      </c>
      <c r="C453" s="107" t="s">
        <v>231</v>
      </c>
      <c r="D453" s="102">
        <v>25</v>
      </c>
      <c r="E453" s="107" t="s">
        <v>550</v>
      </c>
      <c r="F453" s="108" t="s">
        <v>551</v>
      </c>
      <c r="G453" s="108" t="s">
        <v>537</v>
      </c>
      <c r="H453" s="108">
        <v>10</v>
      </c>
    </row>
    <row r="454" spans="1:8" ht="14.25" customHeight="1" x14ac:dyDescent="0.25">
      <c r="A454" t="str">
        <f t="shared" si="7"/>
        <v>TLUPANA RIVER_Chum</v>
      </c>
      <c r="B454" t="s">
        <v>96</v>
      </c>
      <c r="C454" s="107" t="s">
        <v>223</v>
      </c>
      <c r="D454" s="102">
        <v>25</v>
      </c>
      <c r="E454" s="107" t="s">
        <v>550</v>
      </c>
      <c r="F454" s="108" t="s">
        <v>551</v>
      </c>
      <c r="G454" s="108" t="s">
        <v>537</v>
      </c>
      <c r="H454" s="108">
        <v>10</v>
      </c>
    </row>
    <row r="455" spans="1:8" ht="14.25" customHeight="1" x14ac:dyDescent="0.25">
      <c r="A455" t="str">
        <f t="shared" si="7"/>
        <v>TSOWWIN RIVER_Chum</v>
      </c>
      <c r="B455" t="s">
        <v>96</v>
      </c>
      <c r="C455" s="107" t="s">
        <v>229</v>
      </c>
      <c r="D455" s="102">
        <v>25</v>
      </c>
      <c r="E455" s="107" t="s">
        <v>550</v>
      </c>
      <c r="F455" s="108" t="s">
        <v>551</v>
      </c>
      <c r="G455" s="108" t="s">
        <v>537</v>
      </c>
      <c r="H455" s="108">
        <v>10</v>
      </c>
    </row>
    <row r="456" spans="1:8" ht="14.25" customHeight="1" x14ac:dyDescent="0.25">
      <c r="A456" t="str">
        <f t="shared" si="7"/>
        <v>ZEBALLOS RIVER_Chum</v>
      </c>
      <c r="B456" t="s">
        <v>96</v>
      </c>
      <c r="C456" s="107" t="s">
        <v>241</v>
      </c>
      <c r="D456" s="102">
        <v>25</v>
      </c>
      <c r="E456" s="107" t="s">
        <v>550</v>
      </c>
      <c r="F456" s="108" t="s">
        <v>551</v>
      </c>
      <c r="G456" s="108" t="s">
        <v>537</v>
      </c>
      <c r="H456" s="108">
        <v>10</v>
      </c>
    </row>
    <row r="457" spans="1:8" ht="14.25" customHeight="1" x14ac:dyDescent="0.25">
      <c r="A457" t="str">
        <f t="shared" si="7"/>
        <v>AMAI CREEK_Chum</v>
      </c>
      <c r="B457" t="s">
        <v>96</v>
      </c>
      <c r="C457" s="107" t="s">
        <v>250</v>
      </c>
      <c r="D457" s="102">
        <v>26</v>
      </c>
      <c r="E457" s="107" t="s">
        <v>550</v>
      </c>
      <c r="F457" s="108" t="s">
        <v>551</v>
      </c>
      <c r="G457" s="108" t="s">
        <v>537</v>
      </c>
      <c r="H457" s="108">
        <v>10</v>
      </c>
    </row>
    <row r="458" spans="1:8" ht="14.25" customHeight="1" x14ac:dyDescent="0.25">
      <c r="A458" t="str">
        <f t="shared" si="7"/>
        <v>ARTLISH RIVER_Chum</v>
      </c>
      <c r="B458" t="s">
        <v>96</v>
      </c>
      <c r="C458" s="107" t="s">
        <v>252</v>
      </c>
      <c r="D458" s="102">
        <v>26</v>
      </c>
      <c r="E458" s="107" t="s">
        <v>550</v>
      </c>
      <c r="F458" s="108" t="s">
        <v>551</v>
      </c>
      <c r="G458" s="108" t="s">
        <v>537</v>
      </c>
      <c r="H458" s="108">
        <v>10</v>
      </c>
    </row>
    <row r="459" spans="1:8" ht="14.25" customHeight="1" x14ac:dyDescent="0.25">
      <c r="A459" t="str">
        <f t="shared" si="7"/>
        <v>CACHALOT CREEK_Chum</v>
      </c>
      <c r="B459" t="s">
        <v>96</v>
      </c>
      <c r="C459" s="107" t="s">
        <v>248</v>
      </c>
      <c r="D459" s="102">
        <v>26</v>
      </c>
      <c r="E459" s="107" t="s">
        <v>550</v>
      </c>
      <c r="F459" s="108" t="s">
        <v>551</v>
      </c>
      <c r="G459" s="108" t="s">
        <v>537</v>
      </c>
      <c r="H459" s="108">
        <v>10</v>
      </c>
    </row>
    <row r="460" spans="1:8" ht="14.25" customHeight="1" x14ac:dyDescent="0.25">
      <c r="A460" t="str">
        <f t="shared" si="7"/>
        <v>CHAMISS CREEK_Chum</v>
      </c>
      <c r="B460" t="s">
        <v>96</v>
      </c>
      <c r="C460" s="107" t="s">
        <v>260</v>
      </c>
      <c r="D460" s="102">
        <v>26</v>
      </c>
      <c r="E460" s="107" t="s">
        <v>550</v>
      </c>
      <c r="F460" s="108" t="s">
        <v>551</v>
      </c>
      <c r="G460" s="108" t="s">
        <v>537</v>
      </c>
      <c r="H460" s="108">
        <v>10</v>
      </c>
    </row>
    <row r="461" spans="1:8" ht="14.25" customHeight="1" x14ac:dyDescent="0.25">
      <c r="A461" t="str">
        <f t="shared" si="7"/>
        <v>CLANNINICK CREEK_Chum</v>
      </c>
      <c r="B461" t="s">
        <v>96</v>
      </c>
      <c r="C461" s="107" t="s">
        <v>261</v>
      </c>
      <c r="D461" s="102">
        <v>26</v>
      </c>
      <c r="E461" s="107" t="s">
        <v>550</v>
      </c>
      <c r="F461" s="108" t="s">
        <v>551</v>
      </c>
      <c r="G461" s="108" t="s">
        <v>537</v>
      </c>
      <c r="H461" s="108">
        <v>10</v>
      </c>
    </row>
    <row r="462" spans="1:8" ht="14.25" customHeight="1" x14ac:dyDescent="0.25">
      <c r="A462" t="str">
        <f t="shared" si="7"/>
        <v>EASY CREEK_Chum</v>
      </c>
      <c r="B462" t="s">
        <v>96</v>
      </c>
      <c r="C462" s="107" t="s">
        <v>257</v>
      </c>
      <c r="D462" s="102">
        <v>26</v>
      </c>
      <c r="E462" s="107" t="s">
        <v>550</v>
      </c>
      <c r="F462" s="108" t="s">
        <v>551</v>
      </c>
      <c r="G462" s="108" t="s">
        <v>537</v>
      </c>
      <c r="H462" s="108">
        <v>10</v>
      </c>
    </row>
    <row r="463" spans="1:8" ht="14.25" customHeight="1" x14ac:dyDescent="0.25">
      <c r="A463" t="str">
        <f t="shared" si="7"/>
        <v>ELAINE CREEK_Chum</v>
      </c>
      <c r="B463" t="s">
        <v>96</v>
      </c>
      <c r="C463" s="107" t="s">
        <v>258</v>
      </c>
      <c r="D463" s="102">
        <v>26</v>
      </c>
      <c r="E463" s="107" t="s">
        <v>550</v>
      </c>
      <c r="F463" s="108" t="s">
        <v>551</v>
      </c>
      <c r="G463" s="108" t="s">
        <v>537</v>
      </c>
      <c r="H463" s="108">
        <v>10</v>
      </c>
    </row>
    <row r="464" spans="1:8" ht="14.25" customHeight="1" x14ac:dyDescent="0.25">
      <c r="A464" t="str">
        <f t="shared" si="7"/>
        <v>JANSEN LAKE CREEK_Chum</v>
      </c>
      <c r="B464" t="s">
        <v>96</v>
      </c>
      <c r="C464" s="107" t="s">
        <v>259</v>
      </c>
      <c r="D464" s="102">
        <v>26</v>
      </c>
      <c r="E464" s="107" t="s">
        <v>550</v>
      </c>
      <c r="F464" s="108" t="s">
        <v>551</v>
      </c>
      <c r="G464" s="108" t="s">
        <v>537</v>
      </c>
      <c r="H464" s="108">
        <v>10</v>
      </c>
    </row>
    <row r="465" spans="1:8" ht="14.25" customHeight="1" x14ac:dyDescent="0.25">
      <c r="A465" t="str">
        <f t="shared" si="7"/>
        <v>KAOUK RIVER_Chum</v>
      </c>
      <c r="B465" t="s">
        <v>96</v>
      </c>
      <c r="C465" s="107" t="s">
        <v>251</v>
      </c>
      <c r="D465" s="102">
        <v>26</v>
      </c>
      <c r="E465" s="107" t="s">
        <v>550</v>
      </c>
      <c r="F465" s="108" t="s">
        <v>551</v>
      </c>
      <c r="G465" s="108" t="s">
        <v>537</v>
      </c>
      <c r="H465" s="108">
        <v>10</v>
      </c>
    </row>
    <row r="466" spans="1:8" ht="14.25" customHeight="1" x14ac:dyDescent="0.25">
      <c r="A466" t="str">
        <f t="shared" si="7"/>
        <v>KASHUTL RIVER_Chum</v>
      </c>
      <c r="B466" t="s">
        <v>96</v>
      </c>
      <c r="C466" s="107" t="s">
        <v>256</v>
      </c>
      <c r="D466" s="102">
        <v>26</v>
      </c>
      <c r="E466" s="107" t="s">
        <v>550</v>
      </c>
      <c r="F466" s="108" t="s">
        <v>551</v>
      </c>
      <c r="G466" s="108" t="s">
        <v>537</v>
      </c>
      <c r="H466" s="108">
        <v>10</v>
      </c>
    </row>
    <row r="467" spans="1:8" ht="14.25" customHeight="1" x14ac:dyDescent="0.25">
      <c r="A467" t="str">
        <f t="shared" si="7"/>
        <v>KAUWINCH RIVER_Chum</v>
      </c>
      <c r="B467" t="s">
        <v>96</v>
      </c>
      <c r="C467" s="107" t="s">
        <v>255</v>
      </c>
      <c r="D467" s="102">
        <v>26</v>
      </c>
      <c r="E467" s="107" t="s">
        <v>550</v>
      </c>
      <c r="F467" s="108" t="s">
        <v>551</v>
      </c>
      <c r="G467" s="108" t="s">
        <v>537</v>
      </c>
      <c r="H467" s="108">
        <v>10</v>
      </c>
    </row>
    <row r="468" spans="1:8" ht="14.25" customHeight="1" x14ac:dyDescent="0.25">
      <c r="A468" t="str">
        <f t="shared" si="7"/>
        <v>MALKSOPE RIVER_Chum</v>
      </c>
      <c r="B468" t="s">
        <v>96</v>
      </c>
      <c r="C468" s="107" t="s">
        <v>265</v>
      </c>
      <c r="D468" s="102">
        <v>26</v>
      </c>
      <c r="E468" s="107" t="s">
        <v>550</v>
      </c>
      <c r="F468" s="108" t="s">
        <v>551</v>
      </c>
      <c r="G468" s="108" t="s">
        <v>537</v>
      </c>
      <c r="H468" s="108">
        <v>10</v>
      </c>
    </row>
    <row r="469" spans="1:8" ht="14.25" customHeight="1" x14ac:dyDescent="0.25">
      <c r="A469" t="str">
        <f t="shared" si="7"/>
        <v>NARROWGUT CREEK_Chum</v>
      </c>
      <c r="B469" t="s">
        <v>96</v>
      </c>
      <c r="C469" s="107" t="s">
        <v>249</v>
      </c>
      <c r="D469" s="102">
        <v>26</v>
      </c>
      <c r="E469" s="107" t="s">
        <v>550</v>
      </c>
      <c r="F469" s="108" t="s">
        <v>551</v>
      </c>
      <c r="G469" s="108" t="s">
        <v>537</v>
      </c>
      <c r="H469" s="108">
        <v>10</v>
      </c>
    </row>
    <row r="470" spans="1:8" ht="14.25" customHeight="1" x14ac:dyDescent="0.25">
      <c r="A470" t="str">
        <f t="shared" si="7"/>
        <v>OUOUKINSH RIVER_Chum</v>
      </c>
      <c r="B470" t="s">
        <v>96</v>
      </c>
      <c r="C470" s="107" t="s">
        <v>266</v>
      </c>
      <c r="D470" s="102">
        <v>26</v>
      </c>
      <c r="E470" s="107" t="s">
        <v>550</v>
      </c>
      <c r="F470" s="108" t="s">
        <v>551</v>
      </c>
      <c r="G470" s="108" t="s">
        <v>537</v>
      </c>
      <c r="H470" s="108">
        <v>10</v>
      </c>
    </row>
    <row r="471" spans="1:8" ht="14.25" customHeight="1" x14ac:dyDescent="0.25">
      <c r="A471" t="str">
        <f t="shared" si="7"/>
        <v>TAHSISH RIVER_Chum</v>
      </c>
      <c r="B471" t="s">
        <v>96</v>
      </c>
      <c r="C471" s="107" t="s">
        <v>253</v>
      </c>
      <c r="D471" s="102">
        <v>26</v>
      </c>
      <c r="E471" s="107" t="s">
        <v>550</v>
      </c>
      <c r="F471" s="108" t="s">
        <v>551</v>
      </c>
      <c r="G471" s="108" t="s">
        <v>537</v>
      </c>
      <c r="H471" s="108">
        <v>10</v>
      </c>
    </row>
    <row r="472" spans="1:8" ht="14.25" customHeight="1" x14ac:dyDescent="0.25">
      <c r="A472" t="str">
        <f t="shared" si="7"/>
        <v>YAKU RIVER_Chum</v>
      </c>
      <c r="B472" t="s">
        <v>96</v>
      </c>
      <c r="C472" s="107" t="s">
        <v>254</v>
      </c>
      <c r="D472" s="102">
        <v>26</v>
      </c>
      <c r="E472" s="107" t="s">
        <v>550</v>
      </c>
      <c r="F472" s="108" t="s">
        <v>551</v>
      </c>
      <c r="G472" s="108" t="s">
        <v>537</v>
      </c>
      <c r="H472" s="108">
        <v>10</v>
      </c>
    </row>
    <row r="473" spans="1:8" ht="14.25" customHeight="1" x14ac:dyDescent="0.25">
      <c r="A473" t="str">
        <f t="shared" si="7"/>
        <v>COLONIAL/CAYEGHLE CREEKS_Chum</v>
      </c>
      <c r="B473" t="s">
        <v>96</v>
      </c>
      <c r="C473" s="107" t="s">
        <v>275</v>
      </c>
      <c r="D473" s="102">
        <v>27</v>
      </c>
      <c r="E473" s="107" t="s">
        <v>556</v>
      </c>
      <c r="F473" s="108" t="s">
        <v>557</v>
      </c>
      <c r="G473" s="109" t="s">
        <v>519</v>
      </c>
      <c r="H473" s="109">
        <v>11</v>
      </c>
    </row>
    <row r="474" spans="1:8" ht="14.25" customHeight="1" x14ac:dyDescent="0.25">
      <c r="A474" t="str">
        <f t="shared" si="7"/>
        <v>MARBLE RIVER_Chum</v>
      </c>
      <c r="B474" t="s">
        <v>96</v>
      </c>
      <c r="C474" s="107" t="s">
        <v>17</v>
      </c>
      <c r="D474" s="102">
        <v>27</v>
      </c>
      <c r="E474" s="107" t="s">
        <v>556</v>
      </c>
      <c r="F474" s="108" t="s">
        <v>557</v>
      </c>
      <c r="G474" s="109" t="s">
        <v>519</v>
      </c>
      <c r="H474" s="109">
        <v>11</v>
      </c>
    </row>
    <row r="475" spans="1:8" ht="14.25" customHeight="1" x14ac:dyDescent="0.25">
      <c r="A475" t="str">
        <f t="shared" si="7"/>
        <v>GORDON RIVER_Sockeye</v>
      </c>
      <c r="B475" t="s">
        <v>91</v>
      </c>
      <c r="C475" s="111" t="s">
        <v>36</v>
      </c>
      <c r="D475" s="112">
        <v>20</v>
      </c>
      <c r="E475" s="111" t="s">
        <v>558</v>
      </c>
      <c r="F475" s="111" t="s">
        <v>559</v>
      </c>
      <c r="G475" s="111" t="s">
        <v>511</v>
      </c>
      <c r="H475" s="103" t="s">
        <v>560</v>
      </c>
    </row>
    <row r="476" spans="1:8" ht="14.25" customHeight="1" x14ac:dyDescent="0.25">
      <c r="A476" t="str">
        <f t="shared" si="7"/>
        <v>RENFREW CREEK_Sockeye</v>
      </c>
      <c r="B476" t="s">
        <v>91</v>
      </c>
      <c r="C476" s="111" t="s">
        <v>32</v>
      </c>
      <c r="D476" s="112">
        <v>20</v>
      </c>
      <c r="E476" s="111" t="s">
        <v>558</v>
      </c>
      <c r="F476" s="111" t="s">
        <v>559</v>
      </c>
      <c r="G476" s="111" t="s">
        <v>511</v>
      </c>
      <c r="H476" s="103" t="s">
        <v>560</v>
      </c>
    </row>
    <row r="477" spans="1:8" ht="14.25" customHeight="1" x14ac:dyDescent="0.25">
      <c r="A477" t="str">
        <f t="shared" si="7"/>
        <v>SAN JUAN RIVER_Sockeye</v>
      </c>
      <c r="B477" t="s">
        <v>91</v>
      </c>
      <c r="C477" s="111" t="s">
        <v>27</v>
      </c>
      <c r="D477" s="112">
        <v>20</v>
      </c>
      <c r="E477" s="111" t="s">
        <v>558</v>
      </c>
      <c r="F477" s="111" t="s">
        <v>559</v>
      </c>
      <c r="G477" s="111" t="s">
        <v>511</v>
      </c>
      <c r="H477" s="103" t="s">
        <v>560</v>
      </c>
    </row>
    <row r="478" spans="1:8" ht="14.25" customHeight="1" x14ac:dyDescent="0.25">
      <c r="A478" t="str">
        <f t="shared" si="7"/>
        <v>KLANAWA RIVER_Sockeye</v>
      </c>
      <c r="B478" t="s">
        <v>91</v>
      </c>
      <c r="C478" s="111" t="s">
        <v>100</v>
      </c>
      <c r="D478" s="112">
        <v>21</v>
      </c>
      <c r="E478" s="111" t="s">
        <v>558</v>
      </c>
      <c r="F478" s="111" t="s">
        <v>559</v>
      </c>
      <c r="G478" s="111" t="s">
        <v>511</v>
      </c>
      <c r="H478" s="103" t="s">
        <v>560</v>
      </c>
    </row>
    <row r="479" spans="1:8" ht="14.25" customHeight="1" x14ac:dyDescent="0.25">
      <c r="A479" t="str">
        <f t="shared" si="7"/>
        <v>CLEMENS CREEK_Sockeye</v>
      </c>
      <c r="B479" t="s">
        <v>91</v>
      </c>
      <c r="C479" s="111" t="s">
        <v>128</v>
      </c>
      <c r="D479" s="112">
        <v>23</v>
      </c>
      <c r="E479" s="111" t="s">
        <v>558</v>
      </c>
      <c r="F479" s="111" t="s">
        <v>559</v>
      </c>
      <c r="G479" s="111" t="s">
        <v>511</v>
      </c>
      <c r="H479" s="103" t="s">
        <v>560</v>
      </c>
    </row>
    <row r="480" spans="1:8" ht="14.25" customHeight="1" x14ac:dyDescent="0.25">
      <c r="A480" t="str">
        <f t="shared" si="7"/>
        <v>ITATSOO CREEK_Sockeye</v>
      </c>
      <c r="B480" t="s">
        <v>91</v>
      </c>
      <c r="C480" s="111" t="s">
        <v>149</v>
      </c>
      <c r="D480" s="112">
        <v>23</v>
      </c>
      <c r="E480" s="111" t="s">
        <v>558</v>
      </c>
      <c r="F480" s="111" t="s">
        <v>559</v>
      </c>
      <c r="G480" s="111" t="s">
        <v>511</v>
      </c>
      <c r="H480" s="103" t="s">
        <v>560</v>
      </c>
    </row>
    <row r="481" spans="1:8" ht="14.25" customHeight="1" x14ac:dyDescent="0.25">
      <c r="A481" t="str">
        <f t="shared" si="7"/>
        <v>NAHMINT RIVER_Sockeye</v>
      </c>
      <c r="B481" t="s">
        <v>91</v>
      </c>
      <c r="C481" s="111" t="s">
        <v>125</v>
      </c>
      <c r="D481" s="112">
        <v>23</v>
      </c>
      <c r="E481" s="111" t="s">
        <v>558</v>
      </c>
      <c r="F481" s="111" t="s">
        <v>559</v>
      </c>
      <c r="G481" s="111" t="s">
        <v>511</v>
      </c>
      <c r="H481" s="103" t="s">
        <v>560</v>
      </c>
    </row>
    <row r="482" spans="1:8" ht="14.25" customHeight="1" x14ac:dyDescent="0.25">
      <c r="A482" t="str">
        <f t="shared" si="7"/>
        <v>SARITA RIVER_Sockeye</v>
      </c>
      <c r="B482" t="s">
        <v>91</v>
      </c>
      <c r="C482" s="111" t="s">
        <v>112</v>
      </c>
      <c r="D482" s="112">
        <v>23</v>
      </c>
      <c r="E482" s="111" t="s">
        <v>558</v>
      </c>
      <c r="F482" s="111" t="s">
        <v>559</v>
      </c>
      <c r="G482" s="111" t="s">
        <v>511</v>
      </c>
      <c r="H482" s="103" t="s">
        <v>560</v>
      </c>
    </row>
    <row r="483" spans="1:8" ht="14.25" customHeight="1" x14ac:dyDescent="0.25">
      <c r="A483" t="str">
        <f t="shared" si="7"/>
        <v>BEDWELL/URSUS_Sockeye</v>
      </c>
      <c r="B483" t="s">
        <v>91</v>
      </c>
      <c r="C483" s="111" t="s">
        <v>274</v>
      </c>
      <c r="D483" s="112">
        <v>24</v>
      </c>
      <c r="E483" s="111" t="s">
        <v>558</v>
      </c>
      <c r="F483" s="111" t="s">
        <v>559</v>
      </c>
      <c r="G483" s="111" t="s">
        <v>511</v>
      </c>
      <c r="H483" s="103" t="s">
        <v>560</v>
      </c>
    </row>
    <row r="484" spans="1:8" ht="14.25" customHeight="1" x14ac:dyDescent="0.25">
      <c r="A484" t="str">
        <f t="shared" si="7"/>
        <v>COLD CREEK_Sockeye</v>
      </c>
      <c r="B484" t="s">
        <v>91</v>
      </c>
      <c r="C484" s="99" t="s">
        <v>177</v>
      </c>
      <c r="D484" s="102">
        <v>24</v>
      </c>
      <c r="E484" s="111" t="s">
        <v>558</v>
      </c>
      <c r="F484" s="111" t="s">
        <v>559</v>
      </c>
      <c r="G484" s="111" t="s">
        <v>511</v>
      </c>
      <c r="H484" s="103" t="s">
        <v>560</v>
      </c>
    </row>
    <row r="485" spans="1:8" ht="14.25" customHeight="1" x14ac:dyDescent="0.25">
      <c r="A485" t="str">
        <f t="shared" si="7"/>
        <v>CYPRE RIVER_Sockeye</v>
      </c>
      <c r="B485" t="s">
        <v>91</v>
      </c>
      <c r="C485" s="99" t="s">
        <v>190</v>
      </c>
      <c r="D485" s="102">
        <v>24</v>
      </c>
      <c r="E485" s="111" t="s">
        <v>558</v>
      </c>
      <c r="F485" s="111" t="s">
        <v>559</v>
      </c>
      <c r="G485" s="111" t="s">
        <v>511</v>
      </c>
      <c r="H485" s="103" t="s">
        <v>560</v>
      </c>
    </row>
    <row r="486" spans="1:8" ht="14.25" customHeight="1" x14ac:dyDescent="0.25">
      <c r="A486" t="str">
        <f t="shared" si="7"/>
        <v>ICE RIVER_Sockeye</v>
      </c>
      <c r="B486" t="s">
        <v>91</v>
      </c>
      <c r="C486" s="99" t="s">
        <v>202</v>
      </c>
      <c r="D486" s="102">
        <v>24</v>
      </c>
      <c r="E486" s="111" t="s">
        <v>558</v>
      </c>
      <c r="F486" s="111" t="s">
        <v>559</v>
      </c>
      <c r="G486" s="111" t="s">
        <v>511</v>
      </c>
      <c r="H486" s="103" t="s">
        <v>560</v>
      </c>
    </row>
    <row r="487" spans="1:8" ht="14.25" customHeight="1" x14ac:dyDescent="0.25">
      <c r="A487" t="str">
        <f t="shared" si="7"/>
        <v>MOYEHA RIVER_Sockeye</v>
      </c>
      <c r="B487" t="s">
        <v>91</v>
      </c>
      <c r="C487" s="99" t="s">
        <v>194</v>
      </c>
      <c r="D487" s="102">
        <v>24</v>
      </c>
      <c r="E487" s="111" t="s">
        <v>558</v>
      </c>
      <c r="F487" s="111" t="s">
        <v>559</v>
      </c>
      <c r="G487" s="111" t="s">
        <v>511</v>
      </c>
      <c r="H487" s="103" t="s">
        <v>560</v>
      </c>
    </row>
    <row r="488" spans="1:8" ht="14.25" customHeight="1" x14ac:dyDescent="0.25">
      <c r="A488" t="str">
        <f t="shared" si="7"/>
        <v>SAND RIVER_Sockeye</v>
      </c>
      <c r="B488" t="s">
        <v>91</v>
      </c>
      <c r="C488" s="99" t="s">
        <v>179</v>
      </c>
      <c r="D488" s="102">
        <v>24</v>
      </c>
      <c r="E488" s="111" t="s">
        <v>558</v>
      </c>
      <c r="F488" s="111" t="s">
        <v>559</v>
      </c>
      <c r="G488" s="111" t="s">
        <v>511</v>
      </c>
      <c r="H488" s="103" t="s">
        <v>560</v>
      </c>
    </row>
    <row r="489" spans="1:8" ht="14.25" customHeight="1" x14ac:dyDescent="0.25">
      <c r="A489" t="str">
        <f t="shared" si="7"/>
        <v>SYDNEY RIVER_Sockeye</v>
      </c>
      <c r="B489" t="s">
        <v>91</v>
      </c>
      <c r="C489" s="99" t="s">
        <v>203</v>
      </c>
      <c r="D489" s="102">
        <v>24</v>
      </c>
      <c r="E489" s="111" t="s">
        <v>558</v>
      </c>
      <c r="F489" s="111" t="s">
        <v>559</v>
      </c>
      <c r="G489" s="111" t="s">
        <v>511</v>
      </c>
      <c r="H489" s="103" t="s">
        <v>560</v>
      </c>
    </row>
    <row r="490" spans="1:8" ht="14.25" customHeight="1" x14ac:dyDescent="0.25">
      <c r="A490" t="str">
        <f t="shared" si="7"/>
        <v>TRANQUIL CREEK_Sockeye</v>
      </c>
      <c r="B490" t="s">
        <v>91</v>
      </c>
      <c r="C490" s="99" t="s">
        <v>183</v>
      </c>
      <c r="D490" s="102">
        <v>24</v>
      </c>
      <c r="E490" s="111" t="s">
        <v>558</v>
      </c>
      <c r="F490" s="111" t="s">
        <v>559</v>
      </c>
      <c r="G490" s="111" t="s">
        <v>511</v>
      </c>
      <c r="H490" s="103" t="s">
        <v>560</v>
      </c>
    </row>
    <row r="491" spans="1:8" ht="14.25" customHeight="1" x14ac:dyDescent="0.25">
      <c r="A491" t="str">
        <f t="shared" si="7"/>
        <v>BEANO CREEK_Sockeye</v>
      </c>
      <c r="B491" t="s">
        <v>91</v>
      </c>
      <c r="C491" s="99" t="s">
        <v>234</v>
      </c>
      <c r="D491" s="102">
        <v>25</v>
      </c>
      <c r="E491" s="111" t="s">
        <v>558</v>
      </c>
      <c r="F491" s="111" t="s">
        <v>559</v>
      </c>
      <c r="G491" s="111" t="s">
        <v>511</v>
      </c>
      <c r="H491" s="103" t="s">
        <v>560</v>
      </c>
    </row>
    <row r="492" spans="1:8" ht="14.25" customHeight="1" x14ac:dyDescent="0.25">
      <c r="A492" t="str">
        <f t="shared" si="7"/>
        <v>INNER BASIN CREEK (Black C)_Sockeye</v>
      </c>
      <c r="B492" t="s">
        <v>91</v>
      </c>
      <c r="C492" s="99" t="s">
        <v>607</v>
      </c>
      <c r="D492" s="102">
        <v>25</v>
      </c>
      <c r="E492" s="111" t="s">
        <v>558</v>
      </c>
      <c r="F492" s="111" t="s">
        <v>559</v>
      </c>
      <c r="G492" s="111" t="s">
        <v>511</v>
      </c>
      <c r="H492" s="103" t="s">
        <v>560</v>
      </c>
    </row>
    <row r="493" spans="1:8" ht="14.25" customHeight="1" x14ac:dyDescent="0.25">
      <c r="A493" t="str">
        <f t="shared" si="7"/>
        <v>INNER BASIN RIVER (Ransom C)_Sockeye</v>
      </c>
      <c r="B493" t="s">
        <v>91</v>
      </c>
      <c r="C493" s="99" t="s">
        <v>608</v>
      </c>
      <c r="D493" s="102">
        <v>25</v>
      </c>
      <c r="E493" s="111" t="s">
        <v>558</v>
      </c>
      <c r="F493" s="111" t="s">
        <v>559</v>
      </c>
      <c r="G493" s="111" t="s">
        <v>511</v>
      </c>
      <c r="H493" s="103" t="s">
        <v>560</v>
      </c>
    </row>
    <row r="494" spans="1:8" ht="14.25" customHeight="1" x14ac:dyDescent="0.25">
      <c r="A494" t="str">
        <f t="shared" si="7"/>
        <v>BRODICK CREEK_Sockeye</v>
      </c>
      <c r="B494" t="s">
        <v>91</v>
      </c>
      <c r="C494" s="99" t="s">
        <v>238</v>
      </c>
      <c r="D494" s="102">
        <v>25</v>
      </c>
      <c r="E494" s="111" t="s">
        <v>558</v>
      </c>
      <c r="F494" s="111" t="s">
        <v>559</v>
      </c>
      <c r="G494" s="111" t="s">
        <v>511</v>
      </c>
      <c r="H494" s="103" t="s">
        <v>560</v>
      </c>
    </row>
    <row r="495" spans="1:8" ht="14.25" customHeight="1" x14ac:dyDescent="0.25">
      <c r="A495" t="str">
        <f t="shared" si="7"/>
        <v>BURMAN RIVER_Sockeye</v>
      </c>
      <c r="B495" t="s">
        <v>91</v>
      </c>
      <c r="C495" s="99" t="s">
        <v>216</v>
      </c>
      <c r="D495" s="102">
        <v>25</v>
      </c>
      <c r="E495" s="111" t="s">
        <v>558</v>
      </c>
      <c r="F495" s="111" t="s">
        <v>559</v>
      </c>
      <c r="G495" s="111" t="s">
        <v>511</v>
      </c>
      <c r="H495" s="103" t="s">
        <v>560</v>
      </c>
    </row>
    <row r="496" spans="1:8" ht="14.25" customHeight="1" x14ac:dyDescent="0.25">
      <c r="A496" t="str">
        <f t="shared" si="7"/>
        <v>CANTON CREEK_Sockeye</v>
      </c>
      <c r="B496" t="s">
        <v>91</v>
      </c>
      <c r="C496" s="99" t="s">
        <v>225</v>
      </c>
      <c r="D496" s="102">
        <v>25</v>
      </c>
      <c r="E496" s="111" t="s">
        <v>558</v>
      </c>
      <c r="F496" s="111" t="s">
        <v>559</v>
      </c>
      <c r="G496" s="111" t="s">
        <v>511</v>
      </c>
      <c r="H496" s="103" t="s">
        <v>560</v>
      </c>
    </row>
    <row r="497" spans="1:8" ht="14.25" customHeight="1" x14ac:dyDescent="0.25">
      <c r="A497" t="str">
        <f t="shared" si="7"/>
        <v>CHUM CREEK_Sockeye</v>
      </c>
      <c r="B497" t="s">
        <v>91</v>
      </c>
      <c r="C497" s="99" t="s">
        <v>244</v>
      </c>
      <c r="D497" s="102">
        <v>25</v>
      </c>
      <c r="E497" s="111" t="s">
        <v>558</v>
      </c>
      <c r="F497" s="111" t="s">
        <v>559</v>
      </c>
      <c r="G497" s="111" t="s">
        <v>511</v>
      </c>
      <c r="H497" s="103" t="s">
        <v>560</v>
      </c>
    </row>
    <row r="498" spans="1:8" ht="14.25" customHeight="1" x14ac:dyDescent="0.25">
      <c r="A498" t="str">
        <f t="shared" si="7"/>
        <v>CONUMA RIVER_Sockeye</v>
      </c>
      <c r="B498" t="s">
        <v>91</v>
      </c>
      <c r="C498" s="99" t="s">
        <v>224</v>
      </c>
      <c r="D498" s="102">
        <v>25</v>
      </c>
      <c r="E498" s="111" t="s">
        <v>558</v>
      </c>
      <c r="F498" s="111" t="s">
        <v>559</v>
      </c>
      <c r="G498" s="111" t="s">
        <v>511</v>
      </c>
      <c r="H498" s="103" t="s">
        <v>560</v>
      </c>
    </row>
    <row r="499" spans="1:8" ht="14.25" customHeight="1" x14ac:dyDescent="0.25">
      <c r="A499" t="str">
        <f t="shared" si="7"/>
        <v>ESPINOSA CREEK_Sockeye</v>
      </c>
      <c r="B499" t="s">
        <v>91</v>
      </c>
      <c r="C499" s="99" t="s">
        <v>243</v>
      </c>
      <c r="D499" s="102">
        <v>25</v>
      </c>
      <c r="E499" s="111" t="s">
        <v>558</v>
      </c>
      <c r="F499" s="111" t="s">
        <v>559</v>
      </c>
      <c r="G499" s="111" t="s">
        <v>511</v>
      </c>
      <c r="H499" s="103" t="s">
        <v>560</v>
      </c>
    </row>
    <row r="500" spans="1:8" ht="14.25" customHeight="1" x14ac:dyDescent="0.25">
      <c r="A500" t="str">
        <f t="shared" si="7"/>
        <v>HAMMOND CREEK_Sockeye</v>
      </c>
      <c r="B500" t="s">
        <v>91</v>
      </c>
      <c r="C500" s="99" t="s">
        <v>214</v>
      </c>
      <c r="D500" s="102">
        <v>25</v>
      </c>
      <c r="E500" s="111" t="s">
        <v>558</v>
      </c>
      <c r="F500" s="111" t="s">
        <v>559</v>
      </c>
      <c r="G500" s="111" t="s">
        <v>511</v>
      </c>
      <c r="H500" s="103" t="s">
        <v>560</v>
      </c>
    </row>
    <row r="501" spans="1:8" ht="14.25" customHeight="1" x14ac:dyDescent="0.25">
      <c r="A501" t="str">
        <f t="shared" si="7"/>
        <v>HOISS CREEK_Sockeye</v>
      </c>
      <c r="B501" t="s">
        <v>91</v>
      </c>
      <c r="C501" s="99" t="s">
        <v>228</v>
      </c>
      <c r="D501" s="102">
        <v>25</v>
      </c>
      <c r="E501" s="111" t="s">
        <v>558</v>
      </c>
      <c r="F501" s="111" t="s">
        <v>559</v>
      </c>
      <c r="G501" s="111" t="s">
        <v>511</v>
      </c>
      <c r="H501" s="103" t="s">
        <v>560</v>
      </c>
    </row>
    <row r="502" spans="1:8" ht="14.25" customHeight="1" x14ac:dyDescent="0.25">
      <c r="A502" t="str">
        <f t="shared" si="7"/>
        <v>KLEEPTEE CREEK_Sockeye</v>
      </c>
      <c r="B502" t="s">
        <v>91</v>
      </c>
      <c r="C502" s="99" t="s">
        <v>221</v>
      </c>
      <c r="D502" s="102">
        <v>25</v>
      </c>
      <c r="E502" s="111" t="s">
        <v>558</v>
      </c>
      <c r="F502" s="111" t="s">
        <v>559</v>
      </c>
      <c r="G502" s="111" t="s">
        <v>511</v>
      </c>
      <c r="H502" s="103" t="s">
        <v>560</v>
      </c>
    </row>
    <row r="503" spans="1:8" ht="14.25" customHeight="1" x14ac:dyDescent="0.25">
      <c r="A503" t="str">
        <f t="shared" si="7"/>
        <v>LEINER RIVER_Sockeye</v>
      </c>
      <c r="B503" t="s">
        <v>91</v>
      </c>
      <c r="C503" s="99" t="s">
        <v>230</v>
      </c>
      <c r="D503" s="102">
        <v>25</v>
      </c>
      <c r="E503" s="111" t="s">
        <v>558</v>
      </c>
      <c r="F503" s="111" t="s">
        <v>559</v>
      </c>
      <c r="G503" s="111" t="s">
        <v>511</v>
      </c>
      <c r="H503" s="103" t="s">
        <v>560</v>
      </c>
    </row>
    <row r="504" spans="1:8" ht="14.25" customHeight="1" x14ac:dyDescent="0.25">
      <c r="A504" t="str">
        <f t="shared" si="7"/>
        <v>LITTLE ZEBALLOS RIVER_Sockeye</v>
      </c>
      <c r="B504" t="s">
        <v>91</v>
      </c>
      <c r="C504" s="99" t="s">
        <v>240</v>
      </c>
      <c r="D504" s="102">
        <v>25</v>
      </c>
      <c r="E504" s="111" t="s">
        <v>558</v>
      </c>
      <c r="F504" s="111" t="s">
        <v>559</v>
      </c>
      <c r="G504" s="111" t="s">
        <v>511</v>
      </c>
      <c r="H504" s="103" t="s">
        <v>560</v>
      </c>
    </row>
    <row r="505" spans="1:8" ht="14.25" customHeight="1" x14ac:dyDescent="0.25">
      <c r="A505" t="str">
        <f t="shared" si="7"/>
        <v>LORD CREEK_Sockeye</v>
      </c>
      <c r="B505" t="s">
        <v>91</v>
      </c>
      <c r="C505" s="99" t="s">
        <v>239</v>
      </c>
      <c r="D505" s="102">
        <v>25</v>
      </c>
      <c r="E505" s="111" t="s">
        <v>558</v>
      </c>
      <c r="F505" s="111" t="s">
        <v>559</v>
      </c>
      <c r="G505" s="111" t="s">
        <v>511</v>
      </c>
      <c r="H505" s="103" t="s">
        <v>560</v>
      </c>
    </row>
    <row r="506" spans="1:8" ht="14.25" customHeight="1" x14ac:dyDescent="0.25">
      <c r="A506" t="str">
        <f t="shared" si="7"/>
        <v>MARVINAS BAY CREEK_Sockeye</v>
      </c>
      <c r="B506" t="s">
        <v>91</v>
      </c>
      <c r="C506" s="99" t="s">
        <v>233</v>
      </c>
      <c r="D506" s="102">
        <v>25</v>
      </c>
      <c r="E506" s="111" t="s">
        <v>558</v>
      </c>
      <c r="F506" s="111" t="s">
        <v>559</v>
      </c>
      <c r="G506" s="111" t="s">
        <v>511</v>
      </c>
      <c r="H506" s="103" t="s">
        <v>560</v>
      </c>
    </row>
    <row r="507" spans="1:8" ht="14.25" customHeight="1" x14ac:dyDescent="0.25">
      <c r="A507" t="str">
        <f t="shared" si="7"/>
        <v>MOOYAH RIVER_Sockeye</v>
      </c>
      <c r="B507" t="s">
        <v>91</v>
      </c>
      <c r="C507" s="99" t="s">
        <v>215</v>
      </c>
      <c r="D507" s="102">
        <v>25</v>
      </c>
      <c r="E507" s="111" t="s">
        <v>558</v>
      </c>
      <c r="F507" s="111" t="s">
        <v>559</v>
      </c>
      <c r="G507" s="111" t="s">
        <v>511</v>
      </c>
      <c r="H507" s="103" t="s">
        <v>560</v>
      </c>
    </row>
    <row r="508" spans="1:8" ht="14.25" customHeight="1" x14ac:dyDescent="0.25">
      <c r="A508" t="str">
        <f t="shared" si="7"/>
        <v>OKTWANCH RIVER_Sockeye</v>
      </c>
      <c r="B508" t="s">
        <v>91</v>
      </c>
      <c r="C508" s="99" t="s">
        <v>219</v>
      </c>
      <c r="D508" s="102">
        <v>25</v>
      </c>
      <c r="E508" s="111" t="s">
        <v>558</v>
      </c>
      <c r="F508" s="111" t="s">
        <v>559</v>
      </c>
      <c r="G508" s="111" t="s">
        <v>511</v>
      </c>
      <c r="H508" s="103" t="s">
        <v>560</v>
      </c>
    </row>
    <row r="509" spans="1:8" ht="14.25" customHeight="1" x14ac:dyDescent="0.25">
      <c r="A509" t="str">
        <f t="shared" si="7"/>
        <v>SUCWOA RIVER_Sockeye</v>
      </c>
      <c r="B509" t="s">
        <v>91</v>
      </c>
      <c r="C509" s="99" t="s">
        <v>226</v>
      </c>
      <c r="D509" s="102">
        <v>25</v>
      </c>
      <c r="E509" s="111" t="s">
        <v>558</v>
      </c>
      <c r="F509" s="111" t="s">
        <v>559</v>
      </c>
      <c r="G509" s="111" t="s">
        <v>511</v>
      </c>
      <c r="H509" s="103" t="s">
        <v>560</v>
      </c>
    </row>
    <row r="510" spans="1:8" ht="14.25" customHeight="1" x14ac:dyDescent="0.25">
      <c r="A510" t="str">
        <f t="shared" si="7"/>
        <v>TAHSIS RIVER_Sockeye</v>
      </c>
      <c r="B510" t="s">
        <v>91</v>
      </c>
      <c r="C510" s="99" t="s">
        <v>231</v>
      </c>
      <c r="D510" s="102">
        <v>25</v>
      </c>
      <c r="E510" s="111" t="s">
        <v>558</v>
      </c>
      <c r="F510" s="111" t="s">
        <v>559</v>
      </c>
      <c r="G510" s="111" t="s">
        <v>511</v>
      </c>
      <c r="H510" s="103" t="s">
        <v>560</v>
      </c>
    </row>
    <row r="511" spans="1:8" ht="14.25" customHeight="1" x14ac:dyDescent="0.25">
      <c r="A511" t="str">
        <f t="shared" si="7"/>
        <v>TLUPANA RIVER_Sockeye</v>
      </c>
      <c r="B511" t="s">
        <v>91</v>
      </c>
      <c r="C511" s="99" t="s">
        <v>223</v>
      </c>
      <c r="D511" s="102">
        <v>25</v>
      </c>
      <c r="E511" s="111" t="s">
        <v>558</v>
      </c>
      <c r="F511" s="111" t="s">
        <v>559</v>
      </c>
      <c r="G511" s="111" t="s">
        <v>511</v>
      </c>
      <c r="H511" s="103" t="s">
        <v>560</v>
      </c>
    </row>
    <row r="512" spans="1:8" ht="14.25" customHeight="1" x14ac:dyDescent="0.25">
      <c r="A512" t="str">
        <f t="shared" si="7"/>
        <v>TSOWWIN RIVER_Sockeye</v>
      </c>
      <c r="B512" t="s">
        <v>91</v>
      </c>
      <c r="C512" s="99" t="s">
        <v>229</v>
      </c>
      <c r="D512" s="102">
        <v>25</v>
      </c>
      <c r="E512" s="111" t="s">
        <v>558</v>
      </c>
      <c r="F512" s="111" t="s">
        <v>559</v>
      </c>
      <c r="G512" s="111" t="s">
        <v>511</v>
      </c>
      <c r="H512" s="103" t="s">
        <v>560</v>
      </c>
    </row>
    <row r="513" spans="1:8" ht="14.25" customHeight="1" x14ac:dyDescent="0.25">
      <c r="A513" t="str">
        <f t="shared" si="7"/>
        <v>ZEBALLOS RIVER_Sockeye</v>
      </c>
      <c r="B513" t="s">
        <v>91</v>
      </c>
      <c r="C513" s="99" t="s">
        <v>241</v>
      </c>
      <c r="D513" s="102">
        <v>25</v>
      </c>
      <c r="E513" s="111" t="s">
        <v>558</v>
      </c>
      <c r="F513" s="111" t="s">
        <v>559</v>
      </c>
      <c r="G513" s="111" t="s">
        <v>511</v>
      </c>
      <c r="H513" s="103" t="s">
        <v>560</v>
      </c>
    </row>
    <row r="514" spans="1:8" ht="14.25" customHeight="1" x14ac:dyDescent="0.25">
      <c r="A514" t="str">
        <f t="shared" si="7"/>
        <v>AMAI CREEK_Sockeye</v>
      </c>
      <c r="B514" t="s">
        <v>91</v>
      </c>
      <c r="C514" s="99" t="s">
        <v>250</v>
      </c>
      <c r="D514" s="102">
        <v>26</v>
      </c>
      <c r="E514" s="111" t="s">
        <v>558</v>
      </c>
      <c r="F514" s="111" t="s">
        <v>559</v>
      </c>
      <c r="G514" s="111" t="s">
        <v>511</v>
      </c>
      <c r="H514" s="103" t="s">
        <v>560</v>
      </c>
    </row>
    <row r="515" spans="1:8" ht="14.25" customHeight="1" x14ac:dyDescent="0.25">
      <c r="A515" t="str">
        <f t="shared" si="7"/>
        <v>ARTLISH RIVER_Sockeye</v>
      </c>
      <c r="B515" t="s">
        <v>91</v>
      </c>
      <c r="C515" s="99" t="s">
        <v>252</v>
      </c>
      <c r="D515" s="102">
        <v>26</v>
      </c>
      <c r="E515" s="111" t="s">
        <v>558</v>
      </c>
      <c r="F515" s="111" t="s">
        <v>559</v>
      </c>
      <c r="G515" s="111" t="s">
        <v>511</v>
      </c>
      <c r="H515" s="103" t="s">
        <v>560</v>
      </c>
    </row>
    <row r="516" spans="1:8" ht="14.25" customHeight="1" x14ac:dyDescent="0.25">
      <c r="A516" t="str">
        <f t="shared" si="7"/>
        <v>KAOUK RIVER_Sockeye</v>
      </c>
      <c r="B516" t="s">
        <v>91</v>
      </c>
      <c r="C516" s="99" t="s">
        <v>251</v>
      </c>
      <c r="D516" s="102">
        <v>26</v>
      </c>
      <c r="E516" s="111" t="s">
        <v>558</v>
      </c>
      <c r="F516" s="111" t="s">
        <v>559</v>
      </c>
      <c r="G516" s="111" t="s">
        <v>511</v>
      </c>
      <c r="H516" s="103" t="s">
        <v>560</v>
      </c>
    </row>
    <row r="517" spans="1:8" ht="14.25" customHeight="1" x14ac:dyDescent="0.25">
      <c r="A517" t="str">
        <f t="shared" si="7"/>
        <v>KASHUTL RIVER_Sockeye</v>
      </c>
      <c r="B517" t="s">
        <v>91</v>
      </c>
      <c r="C517" s="99" t="s">
        <v>256</v>
      </c>
      <c r="D517" s="102">
        <v>26</v>
      </c>
      <c r="E517" s="111" t="s">
        <v>558</v>
      </c>
      <c r="F517" s="111" t="s">
        <v>559</v>
      </c>
      <c r="G517" s="111" t="s">
        <v>511</v>
      </c>
      <c r="H517" s="103" t="s">
        <v>560</v>
      </c>
    </row>
    <row r="518" spans="1:8" ht="14.25" customHeight="1" x14ac:dyDescent="0.25">
      <c r="A518" t="str">
        <f t="shared" ref="A518:A544" si="8">CONCATENATE(C518,"_",B518)</f>
        <v>KAUWINCH RIVER_Sockeye</v>
      </c>
      <c r="B518" t="s">
        <v>91</v>
      </c>
      <c r="C518" s="99" t="s">
        <v>255</v>
      </c>
      <c r="D518" s="102">
        <v>26</v>
      </c>
      <c r="E518" s="111" t="s">
        <v>558</v>
      </c>
      <c r="F518" s="111" t="s">
        <v>559</v>
      </c>
      <c r="G518" s="111" t="s">
        <v>511</v>
      </c>
      <c r="H518" s="103" t="s">
        <v>560</v>
      </c>
    </row>
    <row r="519" spans="1:8" ht="14.25" customHeight="1" x14ac:dyDescent="0.25">
      <c r="A519" t="str">
        <f t="shared" si="8"/>
        <v>MALKSOPE RIVER_Sockeye</v>
      </c>
      <c r="B519" t="s">
        <v>91</v>
      </c>
      <c r="C519" s="99" t="s">
        <v>265</v>
      </c>
      <c r="D519" s="102">
        <v>26</v>
      </c>
      <c r="E519" s="111" t="s">
        <v>558</v>
      </c>
      <c r="F519" s="111" t="s">
        <v>559</v>
      </c>
      <c r="G519" s="111" t="s">
        <v>511</v>
      </c>
      <c r="H519" s="103" t="s">
        <v>560</v>
      </c>
    </row>
    <row r="520" spans="1:8" ht="14.25" customHeight="1" x14ac:dyDescent="0.25">
      <c r="A520" t="str">
        <f t="shared" si="8"/>
        <v>NARROWGUT CREEK_Sockeye</v>
      </c>
      <c r="B520" t="s">
        <v>91</v>
      </c>
      <c r="C520" s="99" t="s">
        <v>249</v>
      </c>
      <c r="D520" s="102">
        <v>26</v>
      </c>
      <c r="E520" s="111" t="s">
        <v>558</v>
      </c>
      <c r="F520" s="111" t="s">
        <v>559</v>
      </c>
      <c r="G520" s="111" t="s">
        <v>511</v>
      </c>
      <c r="H520" s="103" t="s">
        <v>560</v>
      </c>
    </row>
    <row r="521" spans="1:8" ht="14.25" customHeight="1" x14ac:dyDescent="0.25">
      <c r="A521" t="str">
        <f t="shared" si="8"/>
        <v>TAHSISH RIVER_Sockeye</v>
      </c>
      <c r="B521" t="s">
        <v>91</v>
      </c>
      <c r="C521" s="99" t="s">
        <v>253</v>
      </c>
      <c r="D521" s="102">
        <v>26</v>
      </c>
      <c r="E521" s="111" t="s">
        <v>558</v>
      </c>
      <c r="F521" s="111" t="s">
        <v>559</v>
      </c>
      <c r="G521" s="111" t="s">
        <v>511</v>
      </c>
      <c r="H521" s="103" t="s">
        <v>560</v>
      </c>
    </row>
    <row r="522" spans="1:8" ht="14.25" customHeight="1" x14ac:dyDescent="0.25">
      <c r="A522" t="str">
        <f t="shared" si="8"/>
        <v>COLONIAL/CAYEGHLE CREEKS_Sockeye</v>
      </c>
      <c r="B522" t="s">
        <v>91</v>
      </c>
      <c r="C522" s="99" t="s">
        <v>275</v>
      </c>
      <c r="D522" s="102">
        <v>27</v>
      </c>
      <c r="E522" s="111" t="s">
        <v>556</v>
      </c>
      <c r="F522" s="111" t="s">
        <v>561</v>
      </c>
      <c r="G522" s="103" t="s">
        <v>519</v>
      </c>
      <c r="H522" s="111">
        <v>11</v>
      </c>
    </row>
    <row r="523" spans="1:8" ht="14.25" customHeight="1" x14ac:dyDescent="0.25">
      <c r="A523" t="str">
        <f t="shared" si="8"/>
        <v>SOOKE RIVER_Sockeye</v>
      </c>
      <c r="B523" t="s">
        <v>91</v>
      </c>
      <c r="C523" s="113" t="s">
        <v>23</v>
      </c>
      <c r="D523" s="114">
        <v>20</v>
      </c>
      <c r="E523" s="115" t="s">
        <v>562</v>
      </c>
      <c r="F523" s="115" t="str">
        <f>CONCATENATE("SK-",E523)</f>
        <v>SK-L-13-25</v>
      </c>
      <c r="G523" s="115" t="s">
        <v>563</v>
      </c>
      <c r="H523" s="111"/>
    </row>
    <row r="524" spans="1:8" ht="14.25" customHeight="1" x14ac:dyDescent="0.25">
      <c r="A524" t="str">
        <f t="shared" si="8"/>
        <v>CHEEWHAT RIVER_Sockeye</v>
      </c>
      <c r="B524" t="s">
        <v>91</v>
      </c>
      <c r="C524" s="113" t="s">
        <v>98</v>
      </c>
      <c r="D524" s="114">
        <v>21</v>
      </c>
      <c r="E524" s="115" t="s">
        <v>564</v>
      </c>
      <c r="F524" s="115" t="str">
        <f t="shared" ref="F524:F544" si="9">CONCATENATE("SK-",E524)</f>
        <v>SK-L-13-6</v>
      </c>
      <c r="G524" s="115" t="s">
        <v>565</v>
      </c>
      <c r="H524" s="111"/>
    </row>
    <row r="525" spans="1:8" ht="14.25" customHeight="1" x14ac:dyDescent="0.25">
      <c r="A525" t="str">
        <f t="shared" si="8"/>
        <v>HOBITON CREEK_Sockeye</v>
      </c>
      <c r="B525" t="s">
        <v>91</v>
      </c>
      <c r="C525" s="113" t="s">
        <v>104</v>
      </c>
      <c r="D525" s="114">
        <v>22</v>
      </c>
      <c r="E525" s="115" t="s">
        <v>566</v>
      </c>
      <c r="F525" s="115" t="str">
        <f t="shared" si="9"/>
        <v>SK-L-13-13</v>
      </c>
      <c r="G525" s="115" t="s">
        <v>567</v>
      </c>
      <c r="H525" s="111"/>
    </row>
    <row r="526" spans="1:8" ht="14.25" customHeight="1" x14ac:dyDescent="0.25">
      <c r="A526" t="str">
        <f t="shared" si="8"/>
        <v>NITINAT RIVER_Sockeye</v>
      </c>
      <c r="B526" t="s">
        <v>91</v>
      </c>
      <c r="C526" s="113" t="s">
        <v>101</v>
      </c>
      <c r="D526" s="114">
        <v>22</v>
      </c>
      <c r="E526" s="115" t="s">
        <v>568</v>
      </c>
      <c r="F526" s="115" t="str">
        <f t="shared" si="9"/>
        <v>SK-L-13-21</v>
      </c>
      <c r="G526" s="115" t="s">
        <v>473</v>
      </c>
      <c r="H526" s="111"/>
    </row>
    <row r="527" spans="1:8" ht="14.25" customHeight="1" x14ac:dyDescent="0.25">
      <c r="A527" t="str">
        <f t="shared" si="8"/>
        <v>CAYCUSE RIVER_Sockeye</v>
      </c>
      <c r="B527" t="s">
        <v>91</v>
      </c>
      <c r="C527" s="113" t="s">
        <v>105</v>
      </c>
      <c r="D527" s="114">
        <v>22</v>
      </c>
      <c r="E527" s="115" t="s">
        <v>568</v>
      </c>
      <c r="F527" s="115" t="str">
        <f t="shared" si="9"/>
        <v>SK-L-13-21</v>
      </c>
      <c r="G527" s="115" t="s">
        <v>473</v>
      </c>
      <c r="H527" s="111"/>
    </row>
    <row r="528" spans="1:8" ht="14.25" customHeight="1" x14ac:dyDescent="0.25">
      <c r="A528" t="str">
        <f t="shared" si="8"/>
        <v>TOQUART RIVER_Sockeye</v>
      </c>
      <c r="B528" t="s">
        <v>91</v>
      </c>
      <c r="C528" s="113" t="s">
        <v>143</v>
      </c>
      <c r="D528" s="114">
        <v>23</v>
      </c>
      <c r="E528" s="115" t="s">
        <v>569</v>
      </c>
      <c r="F528" s="115" t="str">
        <f t="shared" si="9"/>
        <v>SK-L-13-17</v>
      </c>
      <c r="G528" s="115" t="s">
        <v>570</v>
      </c>
      <c r="H528" s="111"/>
    </row>
    <row r="529" spans="1:8" ht="14.25" customHeight="1" x14ac:dyDescent="0.25">
      <c r="A529" t="str">
        <f t="shared" si="8"/>
        <v>HENDERSON LAKE_Sockeye</v>
      </c>
      <c r="B529" t="s">
        <v>91</v>
      </c>
      <c r="C529" s="113" t="s">
        <v>107</v>
      </c>
      <c r="D529" s="114">
        <v>23</v>
      </c>
      <c r="E529" s="115" t="s">
        <v>571</v>
      </c>
      <c r="F529" s="115" t="str">
        <f t="shared" si="9"/>
        <v>SK-L-13-11</v>
      </c>
      <c r="G529" s="115" t="s">
        <v>572</v>
      </c>
      <c r="H529" s="111"/>
    </row>
    <row r="530" spans="1:8" ht="14.25" customHeight="1" x14ac:dyDescent="0.25">
      <c r="A530" t="str">
        <f t="shared" si="8"/>
        <v>CLEMENS CREEK_Sockeye</v>
      </c>
      <c r="B530" t="s">
        <v>91</v>
      </c>
      <c r="C530" s="113" t="s">
        <v>128</v>
      </c>
      <c r="D530" s="114">
        <v>23</v>
      </c>
      <c r="E530" s="115" t="s">
        <v>571</v>
      </c>
      <c r="F530" s="115" t="str">
        <f t="shared" si="9"/>
        <v>SK-L-13-11</v>
      </c>
      <c r="G530" s="115" t="s">
        <v>572</v>
      </c>
      <c r="H530" s="111"/>
    </row>
    <row r="531" spans="1:8" ht="14.25" customHeight="1" x14ac:dyDescent="0.25">
      <c r="A531" t="str">
        <f t="shared" si="8"/>
        <v>SOMASS SYSTEM_Sockeye</v>
      </c>
      <c r="B531" t="s">
        <v>91</v>
      </c>
      <c r="C531" s="113" t="s">
        <v>40</v>
      </c>
      <c r="D531" s="114">
        <v>23</v>
      </c>
      <c r="E531" s="115" t="s">
        <v>573</v>
      </c>
      <c r="F531" s="115" t="str">
        <f t="shared" si="9"/>
        <v>SK-L-13-10</v>
      </c>
      <c r="G531" s="115" t="s">
        <v>574</v>
      </c>
      <c r="H531" s="111"/>
    </row>
    <row r="532" spans="1:8" ht="14.25" customHeight="1" x14ac:dyDescent="0.25">
      <c r="A532" t="str">
        <f t="shared" si="8"/>
        <v>MEGIN RIVER_Sockeye</v>
      </c>
      <c r="B532" t="s">
        <v>91</v>
      </c>
      <c r="C532" s="113" t="s">
        <v>200</v>
      </c>
      <c r="D532" s="114">
        <v>24</v>
      </c>
      <c r="E532" s="115" t="s">
        <v>575</v>
      </c>
      <c r="F532" s="115" t="str">
        <f t="shared" si="9"/>
        <v>SK-L-13-18</v>
      </c>
      <c r="G532" s="115" t="s">
        <v>576</v>
      </c>
      <c r="H532" s="111"/>
    </row>
    <row r="533" spans="1:8" ht="14.25" customHeight="1" x14ac:dyDescent="0.25">
      <c r="A533" t="str">
        <f t="shared" si="8"/>
        <v>CLAYOQUOT RIVER_Sockeye</v>
      </c>
      <c r="B533" t="s">
        <v>91</v>
      </c>
      <c r="C533" s="113" t="s">
        <v>176</v>
      </c>
      <c r="D533" s="114">
        <v>24</v>
      </c>
      <c r="E533" s="115" t="s">
        <v>577</v>
      </c>
      <c r="F533" s="115" t="str">
        <f t="shared" si="9"/>
        <v>SK-L-13-7</v>
      </c>
      <c r="G533" s="115" t="s">
        <v>531</v>
      </c>
      <c r="H533" s="111"/>
    </row>
    <row r="534" spans="1:8" ht="14.25" customHeight="1" x14ac:dyDescent="0.25">
      <c r="A534" t="str">
        <f t="shared" si="8"/>
        <v>KENNEDY RIVER (UPPER)_Sockeye</v>
      </c>
      <c r="B534" t="s">
        <v>91</v>
      </c>
      <c r="C534" s="113" t="s">
        <v>358</v>
      </c>
      <c r="D534" s="114">
        <v>24</v>
      </c>
      <c r="E534" s="115" t="s">
        <v>578</v>
      </c>
      <c r="F534" s="115" t="str">
        <f t="shared" si="9"/>
        <v>SK-L-13-16</v>
      </c>
      <c r="G534" s="115" t="s">
        <v>579</v>
      </c>
      <c r="H534" s="111"/>
    </row>
    <row r="535" spans="1:8" ht="14.25" customHeight="1" x14ac:dyDescent="0.25">
      <c r="A535" t="str">
        <f t="shared" si="8"/>
        <v>KENNEDY RIVER (LOWER)_Sockeye</v>
      </c>
      <c r="B535" t="s">
        <v>91</v>
      </c>
      <c r="C535" s="113" t="s">
        <v>359</v>
      </c>
      <c r="D535" s="114">
        <v>24</v>
      </c>
      <c r="E535" s="115" t="s">
        <v>578</v>
      </c>
      <c r="F535" s="115" t="str">
        <f t="shared" si="9"/>
        <v>SK-L-13-16</v>
      </c>
      <c r="G535" s="115" t="s">
        <v>579</v>
      </c>
      <c r="H535" s="111"/>
    </row>
    <row r="536" spans="1:8" ht="14.25" customHeight="1" x14ac:dyDescent="0.25">
      <c r="A536" t="str">
        <f t="shared" si="8"/>
        <v>KENNEDY LAKE FEEDER STREAMS_Sockeye</v>
      </c>
      <c r="B536" t="s">
        <v>91</v>
      </c>
      <c r="C536" s="99" t="s">
        <v>181</v>
      </c>
      <c r="D536" s="102">
        <v>24</v>
      </c>
      <c r="E536" s="115" t="s">
        <v>578</v>
      </c>
      <c r="F536" s="115" t="str">
        <f t="shared" si="9"/>
        <v>SK-L-13-16</v>
      </c>
      <c r="G536" s="115" t="s">
        <v>579</v>
      </c>
      <c r="H536" s="111"/>
    </row>
    <row r="537" spans="1:8" ht="14.25" customHeight="1" x14ac:dyDescent="0.25">
      <c r="A537" t="str">
        <f t="shared" si="8"/>
        <v>KENNEDY LAKE BEACHES_Sockeye</v>
      </c>
      <c r="B537" t="s">
        <v>91</v>
      </c>
      <c r="C537" s="113" t="s">
        <v>180</v>
      </c>
      <c r="D537" s="114">
        <v>24</v>
      </c>
      <c r="E537" s="115" t="s">
        <v>578</v>
      </c>
      <c r="F537" s="115" t="str">
        <f t="shared" si="9"/>
        <v>SK-L-13-16</v>
      </c>
      <c r="G537" s="115" t="s">
        <v>579</v>
      </c>
      <c r="H537" s="111"/>
    </row>
    <row r="538" spans="1:8" ht="14.25" customHeight="1" x14ac:dyDescent="0.25">
      <c r="A538" t="str">
        <f t="shared" si="8"/>
        <v>PARK RIVER_Sockeye</v>
      </c>
      <c r="B538" t="s">
        <v>91</v>
      </c>
      <c r="C538" s="113" t="s">
        <v>245</v>
      </c>
      <c r="D538" s="114">
        <v>25</v>
      </c>
      <c r="E538" s="115" t="s">
        <v>580</v>
      </c>
      <c r="F538" s="115" t="str">
        <f t="shared" si="9"/>
        <v>SK-L-13-23</v>
      </c>
      <c r="G538" s="115" t="s">
        <v>581</v>
      </c>
      <c r="H538" s="111"/>
    </row>
    <row r="539" spans="1:8" ht="14.25" customHeight="1" x14ac:dyDescent="0.25">
      <c r="A539" t="str">
        <f t="shared" si="8"/>
        <v>OWOSSITSA CREEK_Sockeye</v>
      </c>
      <c r="B539" t="s">
        <v>91</v>
      </c>
      <c r="C539" s="113" t="s">
        <v>237</v>
      </c>
      <c r="D539" s="114">
        <v>25</v>
      </c>
      <c r="E539" s="115" t="s">
        <v>582</v>
      </c>
      <c r="F539" s="115" t="str">
        <f t="shared" si="9"/>
        <v>SK-L-13-22</v>
      </c>
      <c r="G539" s="115" t="s">
        <v>583</v>
      </c>
      <c r="H539" s="111"/>
    </row>
    <row r="540" spans="1:8" ht="14.25" customHeight="1" x14ac:dyDescent="0.25">
      <c r="A540" t="str">
        <f t="shared" si="8"/>
        <v>DESERTED CREEK_Sockeye</v>
      </c>
      <c r="B540" t="s">
        <v>91</v>
      </c>
      <c r="C540" s="113" t="s">
        <v>227</v>
      </c>
      <c r="D540" s="114">
        <v>25</v>
      </c>
      <c r="E540" s="115" t="s">
        <v>584</v>
      </c>
      <c r="F540" s="115" t="str">
        <f t="shared" si="9"/>
        <v>SK-L-13-8</v>
      </c>
      <c r="G540" s="115" t="s">
        <v>585</v>
      </c>
      <c r="H540" s="111"/>
    </row>
    <row r="541" spans="1:8" ht="14.25" customHeight="1" x14ac:dyDescent="0.25">
      <c r="A541" t="str">
        <f t="shared" si="8"/>
        <v>MUCHALAT RIVER_Sockeye</v>
      </c>
      <c r="B541" t="s">
        <v>91</v>
      </c>
      <c r="C541" s="113" t="s">
        <v>218</v>
      </c>
      <c r="D541" s="114">
        <v>25</v>
      </c>
      <c r="E541" s="115" t="s">
        <v>586</v>
      </c>
      <c r="F541" s="115" t="str">
        <f t="shared" si="9"/>
        <v>SK-L-13-19</v>
      </c>
      <c r="G541" s="115" t="s">
        <v>587</v>
      </c>
      <c r="H541" s="111"/>
    </row>
    <row r="542" spans="1:8" ht="14.25" customHeight="1" x14ac:dyDescent="0.25">
      <c r="A542" t="str">
        <f t="shared" si="8"/>
        <v>GOLD RIVER_Sockeye</v>
      </c>
      <c r="B542" t="s">
        <v>91</v>
      </c>
      <c r="C542" s="113" t="s">
        <v>217</v>
      </c>
      <c r="D542" s="114">
        <v>25</v>
      </c>
      <c r="E542" s="115" t="s">
        <v>586</v>
      </c>
      <c r="F542" s="115" t="str">
        <f t="shared" si="9"/>
        <v>SK-L-13-19</v>
      </c>
      <c r="G542" s="115" t="s">
        <v>587</v>
      </c>
      <c r="H542" s="111"/>
    </row>
    <row r="543" spans="1:8" ht="14.25" customHeight="1" x14ac:dyDescent="0.25">
      <c r="A543" t="str">
        <f t="shared" si="8"/>
        <v>JANSEN LAKE CREEK_Sockeye</v>
      </c>
      <c r="B543" t="s">
        <v>91</v>
      </c>
      <c r="C543" s="113" t="s">
        <v>259</v>
      </c>
      <c r="D543" s="114">
        <v>26</v>
      </c>
      <c r="E543" s="115" t="s">
        <v>588</v>
      </c>
      <c r="F543" s="115" t="str">
        <f t="shared" si="9"/>
        <v>SK-L-13-14</v>
      </c>
      <c r="G543" s="115" t="s">
        <v>589</v>
      </c>
      <c r="H543" s="111"/>
    </row>
    <row r="544" spans="1:8" ht="14.25" customHeight="1" x14ac:dyDescent="0.25">
      <c r="A544" t="str">
        <f t="shared" si="8"/>
        <v>MARBLE RIVER_Sockeye</v>
      </c>
      <c r="B544" t="s">
        <v>91</v>
      </c>
      <c r="C544" s="113" t="s">
        <v>17</v>
      </c>
      <c r="D544" s="114">
        <v>27</v>
      </c>
      <c r="E544" s="115" t="s">
        <v>590</v>
      </c>
      <c r="F544" s="115" t="str">
        <f t="shared" si="9"/>
        <v>SK-L-13-1</v>
      </c>
      <c r="G544" s="115" t="s">
        <v>591</v>
      </c>
      <c r="H544" s="111"/>
    </row>
  </sheetData>
  <autoFilter ref="A2:H544" xr:uid="{00000000-0009-0000-0000-000003000000}"/>
  <phoneticPr fontId="1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49" sqref="C49"/>
    </sheetView>
  </sheetViews>
  <sheetFormatPr defaultRowHeight="13.2" x14ac:dyDescent="0.25"/>
  <sheetData/>
  <phoneticPr fontId="1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3" sqref="I23"/>
    </sheetView>
  </sheetViews>
  <sheetFormatPr defaultRowHeight="13.2" x14ac:dyDescent="0.25"/>
  <sheetData/>
  <phoneticPr fontId="1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6"/>
  <sheetViews>
    <sheetView workbookViewId="0">
      <selection activeCell="E31" sqref="E31"/>
    </sheetView>
  </sheetViews>
  <sheetFormatPr defaultRowHeight="13.2" x14ac:dyDescent="0.25"/>
  <cols>
    <col min="1" max="1" width="34" bestFit="1" customWidth="1"/>
    <col min="2" max="2" width="6.6640625" customWidth="1"/>
    <col min="3" max="4" width="5" customWidth="1"/>
    <col min="7" max="7" width="15.33203125" customWidth="1"/>
    <col min="8" max="8" width="5" customWidth="1"/>
    <col min="9" max="9" width="9.6640625" customWidth="1"/>
    <col min="10" max="10" width="10.5546875" customWidth="1"/>
    <col min="11" max="11" width="29.88671875" customWidth="1"/>
    <col min="12" max="12" width="5" customWidth="1"/>
  </cols>
  <sheetData>
    <row r="3" spans="1:12" x14ac:dyDescent="0.25">
      <c r="F3" s="138" t="s">
        <v>596</v>
      </c>
      <c r="G3" s="139" t="s">
        <v>599</v>
      </c>
      <c r="J3" s="138" t="s">
        <v>597</v>
      </c>
      <c r="K3" s="139" t="s">
        <v>599</v>
      </c>
    </row>
    <row r="5" spans="1:12" x14ac:dyDescent="0.25">
      <c r="A5" s="129" t="s">
        <v>600</v>
      </c>
      <c r="B5" s="130"/>
      <c r="C5" s="127"/>
      <c r="D5" s="101"/>
      <c r="F5" s="129" t="s">
        <v>600</v>
      </c>
      <c r="G5" s="130"/>
      <c r="H5" s="127"/>
      <c r="J5" s="129" t="s">
        <v>600</v>
      </c>
      <c r="K5" s="130"/>
      <c r="L5" s="127"/>
    </row>
    <row r="6" spans="1:12" x14ac:dyDescent="0.25">
      <c r="A6" s="129" t="s">
        <v>41</v>
      </c>
      <c r="B6" s="129" t="s">
        <v>37</v>
      </c>
      <c r="C6" s="127" t="s">
        <v>468</v>
      </c>
      <c r="D6" s="101"/>
      <c r="F6" s="129" t="s">
        <v>37</v>
      </c>
      <c r="G6" s="129" t="s">
        <v>41</v>
      </c>
      <c r="H6" s="127" t="s">
        <v>468</v>
      </c>
      <c r="J6" s="129" t="s">
        <v>37</v>
      </c>
      <c r="K6" s="129" t="s">
        <v>41</v>
      </c>
      <c r="L6" s="127" t="s">
        <v>468</v>
      </c>
    </row>
    <row r="7" spans="1:12" x14ac:dyDescent="0.25">
      <c r="A7" s="126" t="s">
        <v>250</v>
      </c>
      <c r="B7" s="126">
        <v>26</v>
      </c>
      <c r="C7" s="132">
        <v>4</v>
      </c>
      <c r="D7" s="140"/>
      <c r="F7" s="126">
        <v>25</v>
      </c>
      <c r="G7" s="126" t="s">
        <v>216</v>
      </c>
      <c r="H7" s="132">
        <v>1</v>
      </c>
      <c r="J7" s="126">
        <v>20</v>
      </c>
      <c r="K7" s="126" t="s">
        <v>27</v>
      </c>
      <c r="L7" s="132">
        <v>1</v>
      </c>
    </row>
    <row r="8" spans="1:12" x14ac:dyDescent="0.25">
      <c r="A8" s="126" t="s">
        <v>178</v>
      </c>
      <c r="B8" s="126">
        <v>24</v>
      </c>
      <c r="C8" s="132">
        <v>2</v>
      </c>
      <c r="D8" s="140"/>
      <c r="F8" s="131"/>
      <c r="G8" s="133" t="s">
        <v>231</v>
      </c>
      <c r="H8" s="134">
        <v>1</v>
      </c>
      <c r="J8" s="126">
        <v>23</v>
      </c>
      <c r="K8" s="126" t="s">
        <v>125</v>
      </c>
      <c r="L8" s="132">
        <v>1</v>
      </c>
    </row>
    <row r="9" spans="1:12" x14ac:dyDescent="0.25">
      <c r="A9" s="126" t="s">
        <v>252</v>
      </c>
      <c r="B9" s="126">
        <v>26</v>
      </c>
      <c r="C9" s="132">
        <v>4</v>
      </c>
      <c r="D9" s="140"/>
      <c r="F9" s="126">
        <v>26</v>
      </c>
      <c r="G9" s="126" t="s">
        <v>252</v>
      </c>
      <c r="H9" s="132">
        <v>1</v>
      </c>
      <c r="J9" s="131"/>
      <c r="K9" s="133" t="s">
        <v>112</v>
      </c>
      <c r="L9" s="134">
        <v>1</v>
      </c>
    </row>
    <row r="10" spans="1:12" x14ac:dyDescent="0.25">
      <c r="A10" s="126" t="s">
        <v>195</v>
      </c>
      <c r="B10" s="126">
        <v>24</v>
      </c>
      <c r="C10" s="132">
        <v>2</v>
      </c>
      <c r="D10" s="140"/>
      <c r="F10" s="131"/>
      <c r="G10" s="133" t="s">
        <v>251</v>
      </c>
      <c r="H10" s="134">
        <v>1</v>
      </c>
      <c r="J10" s="126">
        <v>24</v>
      </c>
      <c r="K10" s="126" t="s">
        <v>274</v>
      </c>
      <c r="L10" s="132">
        <v>1</v>
      </c>
    </row>
    <row r="11" spans="1:12" x14ac:dyDescent="0.25">
      <c r="A11" s="126" t="s">
        <v>22</v>
      </c>
      <c r="B11" s="126">
        <v>20</v>
      </c>
      <c r="C11" s="132">
        <v>2</v>
      </c>
      <c r="D11" s="140"/>
      <c r="F11" s="131"/>
      <c r="G11" s="133" t="s">
        <v>253</v>
      </c>
      <c r="H11" s="134">
        <v>1</v>
      </c>
      <c r="J11" s="131"/>
      <c r="K11" s="133" t="s">
        <v>200</v>
      </c>
      <c r="L11" s="134">
        <v>1</v>
      </c>
    </row>
    <row r="12" spans="1:12" x14ac:dyDescent="0.25">
      <c r="A12" s="126" t="s">
        <v>18</v>
      </c>
      <c r="B12" s="126">
        <v>20</v>
      </c>
      <c r="C12" s="132">
        <v>2</v>
      </c>
      <c r="D12" s="140"/>
      <c r="F12" s="126">
        <v>27</v>
      </c>
      <c r="G12" s="126" t="s">
        <v>17</v>
      </c>
      <c r="H12" s="132">
        <v>1</v>
      </c>
      <c r="J12" s="131"/>
      <c r="K12" s="133" t="s">
        <v>194</v>
      </c>
      <c r="L12" s="134">
        <v>1</v>
      </c>
    </row>
    <row r="13" spans="1:12" x14ac:dyDescent="0.25">
      <c r="A13" s="126" t="s">
        <v>191</v>
      </c>
      <c r="B13" s="126">
        <v>24</v>
      </c>
      <c r="C13" s="132">
        <v>2</v>
      </c>
      <c r="D13" s="140"/>
      <c r="F13" s="135" t="s">
        <v>601</v>
      </c>
      <c r="G13" s="136"/>
      <c r="H13" s="137">
        <v>6</v>
      </c>
      <c r="J13" s="126">
        <v>25</v>
      </c>
      <c r="K13" s="126" t="s">
        <v>216</v>
      </c>
      <c r="L13" s="132">
        <v>1</v>
      </c>
    </row>
    <row r="14" spans="1:12" x14ac:dyDescent="0.25">
      <c r="A14" s="126" t="s">
        <v>234</v>
      </c>
      <c r="B14" s="126">
        <v>25</v>
      </c>
      <c r="C14" s="132">
        <v>3</v>
      </c>
      <c r="D14" s="140"/>
      <c r="J14" s="131"/>
      <c r="K14" s="133" t="s">
        <v>230</v>
      </c>
      <c r="L14" s="134">
        <v>1</v>
      </c>
    </row>
    <row r="15" spans="1:12" x14ac:dyDescent="0.25">
      <c r="A15" s="126" t="s">
        <v>121</v>
      </c>
      <c r="B15" s="126">
        <v>23</v>
      </c>
      <c r="C15" s="132">
        <v>2</v>
      </c>
      <c r="D15" s="140"/>
      <c r="J15" s="131"/>
      <c r="K15" s="133" t="s">
        <v>231</v>
      </c>
      <c r="L15" s="134">
        <v>1</v>
      </c>
    </row>
    <row r="16" spans="1:12" x14ac:dyDescent="0.25">
      <c r="A16" s="126" t="s">
        <v>154</v>
      </c>
      <c r="B16" s="126">
        <v>24</v>
      </c>
      <c r="C16" s="132">
        <v>2</v>
      </c>
      <c r="D16" s="140"/>
      <c r="J16" s="126">
        <v>26</v>
      </c>
      <c r="K16" s="126" t="s">
        <v>252</v>
      </c>
      <c r="L16" s="132">
        <v>1</v>
      </c>
    </row>
    <row r="17" spans="1:12" x14ac:dyDescent="0.25">
      <c r="A17" s="126" t="s">
        <v>274</v>
      </c>
      <c r="B17" s="126">
        <v>24</v>
      </c>
      <c r="C17" s="132">
        <v>5</v>
      </c>
      <c r="D17" s="140"/>
      <c r="J17" s="131"/>
      <c r="K17" s="133" t="s">
        <v>251</v>
      </c>
      <c r="L17" s="134">
        <v>1</v>
      </c>
    </row>
    <row r="18" spans="1:12" x14ac:dyDescent="0.25">
      <c r="A18" s="126" t="s">
        <v>16</v>
      </c>
      <c r="B18" s="126">
        <v>27</v>
      </c>
      <c r="C18" s="132">
        <v>2</v>
      </c>
      <c r="D18" s="140"/>
      <c r="J18" s="131"/>
      <c r="K18" s="133" t="s">
        <v>253</v>
      </c>
      <c r="L18" s="134">
        <v>1</v>
      </c>
    </row>
    <row r="19" spans="1:12" x14ac:dyDescent="0.25">
      <c r="A19" s="126" t="s">
        <v>213</v>
      </c>
      <c r="B19" s="126">
        <v>25</v>
      </c>
      <c r="C19" s="132">
        <v>2</v>
      </c>
      <c r="D19" s="140"/>
      <c r="J19" s="126">
        <v>27</v>
      </c>
      <c r="K19" s="126" t="s">
        <v>275</v>
      </c>
      <c r="L19" s="132">
        <v>1</v>
      </c>
    </row>
    <row r="20" spans="1:12" x14ac:dyDescent="0.25">
      <c r="A20" s="126" t="s">
        <v>238</v>
      </c>
      <c r="B20" s="126">
        <v>25</v>
      </c>
      <c r="C20" s="132">
        <v>3</v>
      </c>
      <c r="D20" s="140"/>
      <c r="J20" s="131"/>
      <c r="K20" s="133" t="s">
        <v>17</v>
      </c>
      <c r="L20" s="134">
        <v>1</v>
      </c>
    </row>
    <row r="21" spans="1:12" x14ac:dyDescent="0.25">
      <c r="A21" s="126" t="s">
        <v>185</v>
      </c>
      <c r="B21" s="126">
        <v>24</v>
      </c>
      <c r="C21" s="132">
        <v>2</v>
      </c>
      <c r="D21" s="140"/>
      <c r="J21" s="135" t="s">
        <v>601</v>
      </c>
      <c r="K21" s="136"/>
      <c r="L21" s="137">
        <v>14</v>
      </c>
    </row>
    <row r="22" spans="1:12" x14ac:dyDescent="0.25">
      <c r="A22" s="126" t="s">
        <v>216</v>
      </c>
      <c r="B22" s="126">
        <v>25</v>
      </c>
      <c r="C22" s="132">
        <v>5</v>
      </c>
      <c r="D22" s="140"/>
      <c r="G22" s="126" t="s">
        <v>27</v>
      </c>
      <c r="H22" s="126">
        <v>20</v>
      </c>
    </row>
    <row r="23" spans="1:12" x14ac:dyDescent="0.25">
      <c r="A23" s="126" t="s">
        <v>248</v>
      </c>
      <c r="B23" s="126">
        <v>26</v>
      </c>
      <c r="C23" s="132">
        <v>2</v>
      </c>
      <c r="D23" s="140"/>
      <c r="G23" s="126" t="s">
        <v>606</v>
      </c>
      <c r="H23" s="126">
        <v>22</v>
      </c>
    </row>
    <row r="24" spans="1:12" x14ac:dyDescent="0.25">
      <c r="A24" s="126" t="s">
        <v>108</v>
      </c>
      <c r="B24" s="126">
        <v>23</v>
      </c>
      <c r="C24" s="132">
        <v>2</v>
      </c>
      <c r="D24" s="140"/>
      <c r="G24" s="126" t="s">
        <v>101</v>
      </c>
      <c r="H24" s="126">
        <v>22</v>
      </c>
    </row>
    <row r="25" spans="1:12" x14ac:dyDescent="0.25">
      <c r="A25" s="126" t="s">
        <v>106</v>
      </c>
      <c r="B25" s="126">
        <v>22</v>
      </c>
      <c r="C25" s="132">
        <v>3</v>
      </c>
      <c r="D25" s="140"/>
      <c r="G25" s="126" t="s">
        <v>125</v>
      </c>
      <c r="H25" s="126">
        <v>23</v>
      </c>
    </row>
    <row r="26" spans="1:12" x14ac:dyDescent="0.25">
      <c r="A26" s="126" t="s">
        <v>136</v>
      </c>
      <c r="B26" s="126">
        <v>23</v>
      </c>
      <c r="C26" s="132">
        <v>2</v>
      </c>
      <c r="D26" s="140"/>
      <c r="G26" s="126" t="s">
        <v>112</v>
      </c>
      <c r="H26" s="126">
        <v>23</v>
      </c>
    </row>
    <row r="27" spans="1:12" x14ac:dyDescent="0.25">
      <c r="A27" s="126" t="s">
        <v>225</v>
      </c>
      <c r="B27" s="126">
        <v>25</v>
      </c>
      <c r="C27" s="132">
        <v>4</v>
      </c>
      <c r="D27" s="140"/>
      <c r="G27" s="126" t="s">
        <v>274</v>
      </c>
      <c r="H27" s="126">
        <v>24</v>
      </c>
    </row>
    <row r="28" spans="1:12" x14ac:dyDescent="0.25">
      <c r="A28" s="126" t="s">
        <v>90</v>
      </c>
      <c r="B28" s="126">
        <v>21</v>
      </c>
      <c r="C28" s="132">
        <v>3</v>
      </c>
      <c r="D28" s="140"/>
      <c r="G28" s="126" t="s">
        <v>200</v>
      </c>
      <c r="H28" s="126">
        <v>24</v>
      </c>
    </row>
    <row r="29" spans="1:12" x14ac:dyDescent="0.25">
      <c r="A29" s="126" t="s">
        <v>114</v>
      </c>
      <c r="B29" s="126">
        <v>23</v>
      </c>
      <c r="C29" s="132">
        <v>2</v>
      </c>
      <c r="D29" s="140"/>
      <c r="G29" s="126" t="s">
        <v>194</v>
      </c>
      <c r="H29" s="126">
        <v>24</v>
      </c>
    </row>
    <row r="30" spans="1:12" x14ac:dyDescent="0.25">
      <c r="A30" s="126" t="s">
        <v>126</v>
      </c>
      <c r="B30" s="126">
        <v>23</v>
      </c>
      <c r="C30" s="132">
        <v>2</v>
      </c>
      <c r="D30" s="140"/>
      <c r="G30" t="s">
        <v>216</v>
      </c>
      <c r="H30">
        <v>25</v>
      </c>
    </row>
    <row r="31" spans="1:12" x14ac:dyDescent="0.25">
      <c r="A31" s="126" t="s">
        <v>140</v>
      </c>
      <c r="B31" s="126">
        <v>23</v>
      </c>
      <c r="C31" s="132">
        <v>2</v>
      </c>
      <c r="D31" s="140"/>
      <c r="G31" s="126" t="s">
        <v>225</v>
      </c>
      <c r="H31" s="126">
        <v>25</v>
      </c>
    </row>
    <row r="32" spans="1:12" x14ac:dyDescent="0.25">
      <c r="A32" s="126" t="s">
        <v>105</v>
      </c>
      <c r="B32" s="126">
        <v>22</v>
      </c>
      <c r="C32" s="132">
        <v>4</v>
      </c>
      <c r="D32" s="140"/>
      <c r="G32" s="126" t="s">
        <v>224</v>
      </c>
      <c r="H32" s="126">
        <v>25</v>
      </c>
    </row>
    <row r="33" spans="1:8" x14ac:dyDescent="0.25">
      <c r="A33" s="126" t="s">
        <v>201</v>
      </c>
      <c r="B33" s="126">
        <v>24</v>
      </c>
      <c r="C33" s="132">
        <v>2</v>
      </c>
      <c r="D33" s="140"/>
      <c r="G33" s="126" t="s">
        <v>230</v>
      </c>
      <c r="H33" s="126">
        <v>25</v>
      </c>
    </row>
    <row r="34" spans="1:8" x14ac:dyDescent="0.25">
      <c r="A34" s="126" t="s">
        <v>260</v>
      </c>
      <c r="B34" s="126">
        <v>26</v>
      </c>
      <c r="C34" s="132">
        <v>2</v>
      </c>
      <c r="D34" s="140"/>
      <c r="G34" s="126" t="s">
        <v>226</v>
      </c>
      <c r="H34" s="126">
        <v>25</v>
      </c>
    </row>
    <row r="35" spans="1:8" x14ac:dyDescent="0.25">
      <c r="A35" s="126" t="s">
        <v>25</v>
      </c>
      <c r="B35" s="126">
        <v>20</v>
      </c>
      <c r="C35" s="132">
        <v>3</v>
      </c>
      <c r="D35" s="140"/>
      <c r="G35" s="126" t="s">
        <v>231</v>
      </c>
      <c r="H35" s="126">
        <v>25</v>
      </c>
    </row>
    <row r="36" spans="1:8" x14ac:dyDescent="0.25">
      <c r="A36" s="126" t="s">
        <v>98</v>
      </c>
      <c r="B36" s="126">
        <v>21</v>
      </c>
      <c r="C36" s="132">
        <v>3</v>
      </c>
      <c r="D36" s="140"/>
      <c r="G36" s="126" t="s">
        <v>223</v>
      </c>
      <c r="H36" s="126">
        <v>25</v>
      </c>
    </row>
    <row r="37" spans="1:8" x14ac:dyDescent="0.25">
      <c r="A37" s="126" t="s">
        <v>38</v>
      </c>
      <c r="B37" s="126">
        <v>23</v>
      </c>
      <c r="C37" s="132">
        <v>2</v>
      </c>
      <c r="D37" s="140"/>
      <c r="G37" s="126" t="s">
        <v>229</v>
      </c>
      <c r="H37" s="126">
        <v>25</v>
      </c>
    </row>
    <row r="38" spans="1:8" x14ac:dyDescent="0.25">
      <c r="A38" s="126" t="s">
        <v>119</v>
      </c>
      <c r="B38" s="126">
        <v>23</v>
      </c>
      <c r="C38" s="132">
        <v>2</v>
      </c>
      <c r="D38" s="140"/>
      <c r="G38" s="126" t="s">
        <v>241</v>
      </c>
      <c r="H38" s="126">
        <v>25</v>
      </c>
    </row>
    <row r="39" spans="1:8" x14ac:dyDescent="0.25">
      <c r="A39" s="126" t="s">
        <v>244</v>
      </c>
      <c r="B39" s="126">
        <v>25</v>
      </c>
      <c r="C39" s="132">
        <v>4</v>
      </c>
      <c r="D39" s="140"/>
      <c r="G39" s="126" t="s">
        <v>251</v>
      </c>
      <c r="H39" s="126">
        <v>26</v>
      </c>
    </row>
    <row r="40" spans="1:8" x14ac:dyDescent="0.25">
      <c r="A40" s="126" t="s">
        <v>261</v>
      </c>
      <c r="B40" s="126">
        <v>26</v>
      </c>
      <c r="C40" s="132">
        <v>2</v>
      </c>
      <c r="D40" s="140"/>
      <c r="G40" s="126" t="s">
        <v>253</v>
      </c>
      <c r="H40" s="126">
        <v>26</v>
      </c>
    </row>
    <row r="41" spans="1:8" x14ac:dyDescent="0.25">
      <c r="A41" s="126" t="s">
        <v>176</v>
      </c>
      <c r="B41" s="126">
        <v>24</v>
      </c>
      <c r="C41" s="132">
        <v>4</v>
      </c>
      <c r="D41" s="140"/>
      <c r="G41" s="126" t="s">
        <v>16</v>
      </c>
      <c r="H41" s="126">
        <v>27</v>
      </c>
    </row>
    <row r="42" spans="1:8" x14ac:dyDescent="0.25">
      <c r="A42" s="126" t="s">
        <v>128</v>
      </c>
      <c r="B42" s="126">
        <v>23</v>
      </c>
      <c r="C42" s="132">
        <v>4</v>
      </c>
      <c r="D42" s="140"/>
      <c r="G42" s="126" t="s">
        <v>603</v>
      </c>
      <c r="H42" s="126">
        <v>27</v>
      </c>
    </row>
    <row r="43" spans="1:8" x14ac:dyDescent="0.25">
      <c r="A43" s="126" t="s">
        <v>186</v>
      </c>
      <c r="B43" s="126">
        <v>24</v>
      </c>
      <c r="C43" s="132">
        <v>2</v>
      </c>
      <c r="D43" s="140"/>
      <c r="G43" s="126" t="s">
        <v>602</v>
      </c>
      <c r="H43" s="126">
        <v>27</v>
      </c>
    </row>
    <row r="44" spans="1:8" x14ac:dyDescent="0.25">
      <c r="A44" s="126" t="s">
        <v>133</v>
      </c>
      <c r="B44" s="126">
        <v>23</v>
      </c>
      <c r="C44" s="132">
        <v>3</v>
      </c>
      <c r="D44" s="140"/>
      <c r="G44" s="126" t="s">
        <v>604</v>
      </c>
      <c r="H44" s="126">
        <v>27</v>
      </c>
    </row>
    <row r="45" spans="1:8" x14ac:dyDescent="0.25">
      <c r="A45" s="126" t="s">
        <v>177</v>
      </c>
      <c r="B45" s="126">
        <v>24</v>
      </c>
      <c r="C45" s="132">
        <v>3</v>
      </c>
      <c r="D45" s="140"/>
      <c r="G45" s="126" t="s">
        <v>605</v>
      </c>
      <c r="H45" s="126">
        <v>27</v>
      </c>
    </row>
    <row r="46" spans="1:8" x14ac:dyDescent="0.25">
      <c r="A46" s="126" t="s">
        <v>117</v>
      </c>
      <c r="B46" s="126">
        <v>23</v>
      </c>
      <c r="C46" s="132">
        <v>2</v>
      </c>
      <c r="D46" s="140"/>
      <c r="G46" s="126" t="s">
        <v>17</v>
      </c>
      <c r="H46" s="126">
        <v>27</v>
      </c>
    </row>
    <row r="47" spans="1:8" x14ac:dyDescent="0.25">
      <c r="A47" s="126" t="s">
        <v>275</v>
      </c>
      <c r="B47" s="126">
        <v>27</v>
      </c>
      <c r="C47" s="132">
        <v>5</v>
      </c>
      <c r="D47" s="140"/>
    </row>
    <row r="48" spans="1:8" x14ac:dyDescent="0.25">
      <c r="A48" s="126" t="s">
        <v>187</v>
      </c>
      <c r="B48" s="126">
        <v>24</v>
      </c>
      <c r="C48" s="132">
        <v>2</v>
      </c>
      <c r="D48" s="140"/>
    </row>
    <row r="49" spans="1:4" x14ac:dyDescent="0.25">
      <c r="A49" s="126" t="s">
        <v>115</v>
      </c>
      <c r="B49" s="126">
        <v>23</v>
      </c>
      <c r="C49" s="132">
        <v>3</v>
      </c>
      <c r="D49" s="140"/>
    </row>
    <row r="50" spans="1:4" x14ac:dyDescent="0.25">
      <c r="A50" s="126" t="s">
        <v>224</v>
      </c>
      <c r="B50" s="126">
        <v>25</v>
      </c>
      <c r="C50" s="132">
        <v>5</v>
      </c>
      <c r="D50" s="140"/>
    </row>
    <row r="51" spans="1:4" x14ac:dyDescent="0.25">
      <c r="A51" s="126" t="s">
        <v>222</v>
      </c>
      <c r="B51" s="126">
        <v>25</v>
      </c>
      <c r="C51" s="132">
        <v>2</v>
      </c>
      <c r="D51" s="140"/>
    </row>
    <row r="52" spans="1:4" x14ac:dyDescent="0.25">
      <c r="A52" s="126" t="s">
        <v>123</v>
      </c>
      <c r="B52" s="126">
        <v>23</v>
      </c>
      <c r="C52" s="132">
        <v>3</v>
      </c>
      <c r="D52" s="140"/>
    </row>
    <row r="53" spans="1:4" x14ac:dyDescent="0.25">
      <c r="A53" s="126" t="s">
        <v>196</v>
      </c>
      <c r="B53" s="126">
        <v>24</v>
      </c>
      <c r="C53" s="132">
        <v>2</v>
      </c>
      <c r="D53" s="140"/>
    </row>
    <row r="54" spans="1:4" x14ac:dyDescent="0.25">
      <c r="A54" s="126" t="s">
        <v>190</v>
      </c>
      <c r="B54" s="126">
        <v>24</v>
      </c>
      <c r="C54" s="132">
        <v>5</v>
      </c>
      <c r="D54" s="140"/>
    </row>
    <row r="55" spans="1:4" x14ac:dyDescent="0.25">
      <c r="A55" s="126" t="s">
        <v>24</v>
      </c>
      <c r="B55" s="126">
        <v>20</v>
      </c>
      <c r="C55" s="132">
        <v>3</v>
      </c>
      <c r="D55" s="140"/>
    </row>
    <row r="56" spans="1:4" x14ac:dyDescent="0.25">
      <c r="A56" s="126" t="s">
        <v>122</v>
      </c>
      <c r="B56" s="126">
        <v>23</v>
      </c>
      <c r="C56" s="132">
        <v>2</v>
      </c>
      <c r="D56" s="140"/>
    </row>
    <row r="57" spans="1:4" x14ac:dyDescent="0.25">
      <c r="A57" s="126" t="s">
        <v>227</v>
      </c>
      <c r="B57" s="126">
        <v>25</v>
      </c>
      <c r="C57" s="132">
        <v>4</v>
      </c>
      <c r="D57" s="140"/>
    </row>
    <row r="58" spans="1:4" x14ac:dyDescent="0.25">
      <c r="A58" s="126" t="s">
        <v>103</v>
      </c>
      <c r="B58" s="126">
        <v>22</v>
      </c>
      <c r="C58" s="132">
        <v>3</v>
      </c>
      <c r="D58" s="140"/>
    </row>
    <row r="59" spans="1:4" x14ac:dyDescent="0.25">
      <c r="A59" s="126" t="s">
        <v>138</v>
      </c>
      <c r="B59" s="126">
        <v>23</v>
      </c>
      <c r="C59" s="132">
        <v>2</v>
      </c>
      <c r="D59" s="140"/>
    </row>
    <row r="60" spans="1:4" x14ac:dyDescent="0.25">
      <c r="A60" s="126" t="s">
        <v>139</v>
      </c>
      <c r="B60" s="126">
        <v>23</v>
      </c>
      <c r="C60" s="132">
        <v>2</v>
      </c>
      <c r="D60" s="140"/>
    </row>
    <row r="61" spans="1:4" x14ac:dyDescent="0.25">
      <c r="A61" s="126" t="s">
        <v>257</v>
      </c>
      <c r="B61" s="126">
        <v>26</v>
      </c>
      <c r="C61" s="132">
        <v>3</v>
      </c>
      <c r="D61" s="140"/>
    </row>
    <row r="62" spans="1:4" x14ac:dyDescent="0.25">
      <c r="A62" s="126" t="s">
        <v>134</v>
      </c>
      <c r="B62" s="126">
        <v>23</v>
      </c>
      <c r="C62" s="132">
        <v>3</v>
      </c>
      <c r="D62" s="140"/>
    </row>
    <row r="63" spans="1:4" x14ac:dyDescent="0.25">
      <c r="A63" s="126" t="s">
        <v>258</v>
      </c>
      <c r="B63" s="126">
        <v>26</v>
      </c>
      <c r="C63" s="132">
        <v>2</v>
      </c>
      <c r="D63" s="140"/>
    </row>
    <row r="64" spans="1:4" x14ac:dyDescent="0.25">
      <c r="A64" s="126" t="s">
        <v>246</v>
      </c>
      <c r="B64" s="126">
        <v>25</v>
      </c>
      <c r="C64" s="132">
        <v>2</v>
      </c>
      <c r="D64" s="140"/>
    </row>
    <row r="65" spans="1:4" x14ac:dyDescent="0.25">
      <c r="A65" s="126" t="s">
        <v>243</v>
      </c>
      <c r="B65" s="126">
        <v>25</v>
      </c>
      <c r="C65" s="132">
        <v>5</v>
      </c>
      <c r="D65" s="140"/>
    </row>
    <row r="66" spans="1:4" x14ac:dyDescent="0.25">
      <c r="A66" s="126" t="s">
        <v>29</v>
      </c>
      <c r="B66" s="126">
        <v>20</v>
      </c>
      <c r="C66" s="132">
        <v>1</v>
      </c>
      <c r="D66" s="140"/>
    </row>
    <row r="67" spans="1:4" x14ac:dyDescent="0.25">
      <c r="A67" s="126" t="s">
        <v>118</v>
      </c>
      <c r="B67" s="126">
        <v>23</v>
      </c>
      <c r="C67" s="132">
        <v>3</v>
      </c>
      <c r="D67" s="140"/>
    </row>
    <row r="68" spans="1:4" x14ac:dyDescent="0.25">
      <c r="A68" s="126" t="s">
        <v>113</v>
      </c>
      <c r="B68" s="126">
        <v>23</v>
      </c>
      <c r="C68" s="132">
        <v>2</v>
      </c>
      <c r="D68" s="140"/>
    </row>
    <row r="69" spans="1:4" x14ac:dyDescent="0.25">
      <c r="A69" s="126" t="s">
        <v>189</v>
      </c>
      <c r="B69" s="126">
        <v>24</v>
      </c>
      <c r="C69" s="132">
        <v>2</v>
      </c>
      <c r="D69" s="140"/>
    </row>
    <row r="70" spans="1:4" x14ac:dyDescent="0.25">
      <c r="A70" s="126" t="s">
        <v>217</v>
      </c>
      <c r="B70" s="126">
        <v>25</v>
      </c>
      <c r="C70" s="132">
        <v>4</v>
      </c>
      <c r="D70" s="140"/>
    </row>
    <row r="71" spans="1:4" x14ac:dyDescent="0.25">
      <c r="A71" s="126" t="s">
        <v>36</v>
      </c>
      <c r="B71" s="126">
        <v>20</v>
      </c>
      <c r="C71" s="132">
        <v>5</v>
      </c>
      <c r="D71" s="140"/>
    </row>
    <row r="72" spans="1:4" x14ac:dyDescent="0.25">
      <c r="A72" s="126" t="s">
        <v>236</v>
      </c>
      <c r="B72" s="126">
        <v>25</v>
      </c>
      <c r="C72" s="132">
        <v>2</v>
      </c>
      <c r="D72" s="140"/>
    </row>
    <row r="73" spans="1:4" x14ac:dyDescent="0.25">
      <c r="A73" s="126" t="s">
        <v>214</v>
      </c>
      <c r="B73" s="126">
        <v>25</v>
      </c>
      <c r="C73" s="132">
        <v>4</v>
      </c>
      <c r="D73" s="140"/>
    </row>
    <row r="74" spans="1:4" x14ac:dyDescent="0.25">
      <c r="A74" s="126" t="s">
        <v>33</v>
      </c>
      <c r="B74" s="126">
        <v>20</v>
      </c>
      <c r="C74" s="132">
        <v>3</v>
      </c>
      <c r="D74" s="140"/>
    </row>
    <row r="75" spans="1:4" x14ac:dyDescent="0.25">
      <c r="A75" s="126" t="s">
        <v>34</v>
      </c>
      <c r="B75" s="126">
        <v>20</v>
      </c>
      <c r="C75" s="132">
        <v>2</v>
      </c>
      <c r="D75" s="140"/>
    </row>
    <row r="76" spans="1:4" x14ac:dyDescent="0.25">
      <c r="A76" s="126" t="s">
        <v>107</v>
      </c>
      <c r="B76" s="126">
        <v>23</v>
      </c>
      <c r="C76" s="132">
        <v>4</v>
      </c>
      <c r="D76" s="140"/>
    </row>
    <row r="77" spans="1:4" x14ac:dyDescent="0.25">
      <c r="A77" s="126" t="s">
        <v>208</v>
      </c>
      <c r="B77" s="126">
        <v>24</v>
      </c>
      <c r="C77" s="132">
        <v>2</v>
      </c>
      <c r="D77" s="140"/>
    </row>
    <row r="78" spans="1:4" x14ac:dyDescent="0.25">
      <c r="A78" s="126" t="s">
        <v>209</v>
      </c>
      <c r="B78" s="126">
        <v>24</v>
      </c>
      <c r="C78" s="132">
        <v>2</v>
      </c>
      <c r="D78" s="140"/>
    </row>
    <row r="79" spans="1:4" x14ac:dyDescent="0.25">
      <c r="A79" s="126" t="s">
        <v>211</v>
      </c>
      <c r="B79" s="126">
        <v>24</v>
      </c>
      <c r="C79" s="132">
        <v>2</v>
      </c>
      <c r="D79" s="140"/>
    </row>
    <row r="80" spans="1:4" x14ac:dyDescent="0.25">
      <c r="A80" s="126" t="s">
        <v>212</v>
      </c>
      <c r="B80" s="126">
        <v>24</v>
      </c>
      <c r="C80" s="132">
        <v>2</v>
      </c>
      <c r="D80" s="140"/>
    </row>
    <row r="81" spans="1:4" x14ac:dyDescent="0.25">
      <c r="A81" s="126" t="s">
        <v>210</v>
      </c>
      <c r="B81" s="126">
        <v>24</v>
      </c>
      <c r="C81" s="132">
        <v>2</v>
      </c>
      <c r="D81" s="140"/>
    </row>
    <row r="82" spans="1:4" x14ac:dyDescent="0.25">
      <c r="A82" s="126" t="s">
        <v>205</v>
      </c>
      <c r="B82" s="126">
        <v>24</v>
      </c>
      <c r="C82" s="132">
        <v>2</v>
      </c>
      <c r="D82" s="140"/>
    </row>
    <row r="83" spans="1:4" x14ac:dyDescent="0.25">
      <c r="A83" s="126" t="s">
        <v>150</v>
      </c>
      <c r="B83" s="126">
        <v>23</v>
      </c>
      <c r="C83" s="132">
        <v>2</v>
      </c>
      <c r="D83" s="140"/>
    </row>
    <row r="84" spans="1:4" x14ac:dyDescent="0.25">
      <c r="A84" s="126" t="s">
        <v>104</v>
      </c>
      <c r="B84" s="126">
        <v>22</v>
      </c>
      <c r="C84" s="132">
        <v>3</v>
      </c>
      <c r="D84" s="140"/>
    </row>
    <row r="85" spans="1:4" x14ac:dyDescent="0.25">
      <c r="A85" s="126" t="s">
        <v>228</v>
      </c>
      <c r="B85" s="126">
        <v>25</v>
      </c>
      <c r="C85" s="132">
        <v>4</v>
      </c>
      <c r="D85" s="140"/>
    </row>
    <row r="86" spans="1:4" x14ac:dyDescent="0.25">
      <c r="A86" s="126" t="s">
        <v>130</v>
      </c>
      <c r="B86" s="126">
        <v>23</v>
      </c>
      <c r="C86" s="132">
        <v>2</v>
      </c>
      <c r="D86" s="140"/>
    </row>
    <row r="87" spans="1:4" x14ac:dyDescent="0.25">
      <c r="A87" s="126" t="s">
        <v>197</v>
      </c>
      <c r="B87" s="126">
        <v>24</v>
      </c>
      <c r="C87" s="132">
        <v>2</v>
      </c>
      <c r="D87" s="140"/>
    </row>
    <row r="88" spans="1:4" x14ac:dyDescent="0.25">
      <c r="A88" s="126" t="s">
        <v>204</v>
      </c>
      <c r="B88" s="126">
        <v>24</v>
      </c>
      <c r="C88" s="132">
        <v>2</v>
      </c>
      <c r="D88" s="140"/>
    </row>
    <row r="89" spans="1:4" x14ac:dyDescent="0.25">
      <c r="A89" s="126" t="s">
        <v>202</v>
      </c>
      <c r="B89" s="126">
        <v>24</v>
      </c>
      <c r="C89" s="132">
        <v>4</v>
      </c>
      <c r="D89" s="140"/>
    </row>
    <row r="90" spans="1:4" x14ac:dyDescent="0.25">
      <c r="A90" s="126" t="s">
        <v>149</v>
      </c>
      <c r="B90" s="126">
        <v>23</v>
      </c>
      <c r="C90" s="132">
        <v>3</v>
      </c>
      <c r="D90" s="140"/>
    </row>
    <row r="91" spans="1:4" x14ac:dyDescent="0.25">
      <c r="A91" s="126" t="s">
        <v>259</v>
      </c>
      <c r="B91" s="126">
        <v>26</v>
      </c>
      <c r="C91" s="132">
        <v>3</v>
      </c>
      <c r="D91" s="140"/>
    </row>
    <row r="92" spans="1:4" x14ac:dyDescent="0.25">
      <c r="A92" s="126" t="s">
        <v>251</v>
      </c>
      <c r="B92" s="126">
        <v>26</v>
      </c>
      <c r="C92" s="132">
        <v>5</v>
      </c>
      <c r="D92" s="140"/>
    </row>
    <row r="93" spans="1:4" x14ac:dyDescent="0.25">
      <c r="A93" s="126" t="s">
        <v>256</v>
      </c>
      <c r="B93" s="126">
        <v>26</v>
      </c>
      <c r="C93" s="132">
        <v>4</v>
      </c>
      <c r="D93" s="140"/>
    </row>
    <row r="94" spans="1:4" x14ac:dyDescent="0.25">
      <c r="A94" s="126" t="s">
        <v>255</v>
      </c>
      <c r="B94" s="126">
        <v>26</v>
      </c>
      <c r="C94" s="132">
        <v>4</v>
      </c>
      <c r="D94" s="140"/>
    </row>
    <row r="95" spans="1:4" x14ac:dyDescent="0.25">
      <c r="A95" s="126" t="s">
        <v>232</v>
      </c>
      <c r="B95" s="126">
        <v>25</v>
      </c>
      <c r="C95" s="132">
        <v>2</v>
      </c>
      <c r="D95" s="140"/>
    </row>
    <row r="96" spans="1:4" x14ac:dyDescent="0.25">
      <c r="A96" s="126" t="s">
        <v>180</v>
      </c>
      <c r="B96" s="126">
        <v>24</v>
      </c>
      <c r="C96" s="132">
        <v>3</v>
      </c>
      <c r="D96" s="140"/>
    </row>
    <row r="97" spans="1:4" x14ac:dyDescent="0.25">
      <c r="A97" s="126" t="s">
        <v>181</v>
      </c>
      <c r="B97" s="126">
        <v>24</v>
      </c>
      <c r="C97" s="132">
        <v>3</v>
      </c>
      <c r="D97" s="140"/>
    </row>
    <row r="98" spans="1:4" x14ac:dyDescent="0.25">
      <c r="A98" s="126" t="s">
        <v>359</v>
      </c>
      <c r="B98" s="126">
        <v>24</v>
      </c>
      <c r="C98" s="132">
        <v>4</v>
      </c>
      <c r="D98" s="140"/>
    </row>
    <row r="99" spans="1:4" x14ac:dyDescent="0.25">
      <c r="A99" s="126" t="s">
        <v>358</v>
      </c>
      <c r="B99" s="126">
        <v>24</v>
      </c>
      <c r="C99" s="132">
        <v>4</v>
      </c>
      <c r="D99" s="140"/>
    </row>
    <row r="100" spans="1:4" x14ac:dyDescent="0.25">
      <c r="A100" s="126" t="s">
        <v>39</v>
      </c>
      <c r="B100" s="126">
        <v>23</v>
      </c>
      <c r="C100" s="132">
        <v>2</v>
      </c>
      <c r="D100" s="140"/>
    </row>
    <row r="101" spans="1:4" x14ac:dyDescent="0.25">
      <c r="A101" s="126" t="s">
        <v>100</v>
      </c>
      <c r="B101" s="126">
        <v>21</v>
      </c>
      <c r="C101" s="132">
        <v>4</v>
      </c>
      <c r="D101" s="140"/>
    </row>
    <row r="102" spans="1:4" x14ac:dyDescent="0.25">
      <c r="A102" s="126" t="s">
        <v>221</v>
      </c>
      <c r="B102" s="126">
        <v>25</v>
      </c>
      <c r="C102" s="132">
        <v>4</v>
      </c>
      <c r="D102" s="140"/>
    </row>
    <row r="103" spans="1:4" x14ac:dyDescent="0.25">
      <c r="A103" s="126" t="s">
        <v>175</v>
      </c>
      <c r="B103" s="126">
        <v>24</v>
      </c>
      <c r="C103" s="132">
        <v>2</v>
      </c>
      <c r="D103" s="140"/>
    </row>
    <row r="104" spans="1:4" x14ac:dyDescent="0.25">
      <c r="A104" s="126" t="s">
        <v>230</v>
      </c>
      <c r="B104" s="126">
        <v>25</v>
      </c>
      <c r="C104" s="132">
        <v>5</v>
      </c>
      <c r="D104" s="140"/>
    </row>
    <row r="105" spans="1:4" x14ac:dyDescent="0.25">
      <c r="A105" s="126" t="s">
        <v>35</v>
      </c>
      <c r="B105" s="126">
        <v>20</v>
      </c>
      <c r="C105" s="132">
        <v>2</v>
      </c>
      <c r="D105" s="140"/>
    </row>
    <row r="106" spans="1:4" x14ac:dyDescent="0.25">
      <c r="A106" s="126" t="s">
        <v>146</v>
      </c>
      <c r="B106" s="126">
        <v>23</v>
      </c>
      <c r="C106" s="132">
        <v>2</v>
      </c>
      <c r="D106" s="140"/>
    </row>
    <row r="107" spans="1:4" x14ac:dyDescent="0.25">
      <c r="A107" s="126" t="s">
        <v>144</v>
      </c>
      <c r="B107" s="126">
        <v>23</v>
      </c>
      <c r="C107" s="132">
        <v>2</v>
      </c>
      <c r="D107" s="140"/>
    </row>
    <row r="108" spans="1:4" x14ac:dyDescent="0.25">
      <c r="A108" s="126" t="s">
        <v>192</v>
      </c>
      <c r="B108" s="126">
        <v>24</v>
      </c>
      <c r="C108" s="132">
        <v>2</v>
      </c>
      <c r="D108" s="140"/>
    </row>
    <row r="109" spans="1:4" x14ac:dyDescent="0.25">
      <c r="A109" s="126" t="s">
        <v>240</v>
      </c>
      <c r="B109" s="126">
        <v>25</v>
      </c>
      <c r="C109" s="132">
        <v>4</v>
      </c>
      <c r="D109" s="140"/>
    </row>
    <row r="110" spans="1:4" x14ac:dyDescent="0.25">
      <c r="A110" s="126" t="s">
        <v>239</v>
      </c>
      <c r="B110" s="126">
        <v>25</v>
      </c>
      <c r="C110" s="132">
        <v>3</v>
      </c>
      <c r="D110" s="140"/>
    </row>
    <row r="111" spans="1:4" x14ac:dyDescent="0.25">
      <c r="A111" s="126" t="s">
        <v>155</v>
      </c>
      <c r="B111" s="126">
        <v>24</v>
      </c>
      <c r="C111" s="132">
        <v>2</v>
      </c>
      <c r="D111" s="140"/>
    </row>
    <row r="112" spans="1:4" x14ac:dyDescent="0.25">
      <c r="A112" s="126" t="s">
        <v>142</v>
      </c>
      <c r="B112" s="126">
        <v>23</v>
      </c>
      <c r="C112" s="132">
        <v>2</v>
      </c>
      <c r="D112" s="140"/>
    </row>
    <row r="113" spans="1:4" x14ac:dyDescent="0.25">
      <c r="A113" s="126" t="s">
        <v>124</v>
      </c>
      <c r="B113" s="126">
        <v>23</v>
      </c>
      <c r="C113" s="132">
        <v>3</v>
      </c>
      <c r="D113" s="140"/>
    </row>
    <row r="114" spans="1:4" x14ac:dyDescent="0.25">
      <c r="A114" s="126" t="s">
        <v>145</v>
      </c>
      <c r="B114" s="126">
        <v>23</v>
      </c>
      <c r="C114" s="132">
        <v>2</v>
      </c>
      <c r="D114" s="140"/>
    </row>
    <row r="115" spans="1:4" x14ac:dyDescent="0.25">
      <c r="A115" s="126" t="s">
        <v>265</v>
      </c>
      <c r="B115" s="126">
        <v>26</v>
      </c>
      <c r="C115" s="132">
        <v>3</v>
      </c>
      <c r="D115" s="140"/>
    </row>
    <row r="116" spans="1:4" x14ac:dyDescent="0.25">
      <c r="A116" s="126" t="s">
        <v>242</v>
      </c>
      <c r="B116" s="126">
        <v>25</v>
      </c>
      <c r="C116" s="132">
        <v>3</v>
      </c>
      <c r="D116" s="140"/>
    </row>
    <row r="117" spans="1:4" x14ac:dyDescent="0.25">
      <c r="A117" s="126" t="s">
        <v>17</v>
      </c>
      <c r="B117" s="126">
        <v>27</v>
      </c>
      <c r="C117" s="132">
        <v>5</v>
      </c>
      <c r="D117" s="140"/>
    </row>
    <row r="118" spans="1:4" x14ac:dyDescent="0.25">
      <c r="A118" s="126" t="s">
        <v>233</v>
      </c>
      <c r="B118" s="126">
        <v>25</v>
      </c>
      <c r="C118" s="132">
        <v>4</v>
      </c>
      <c r="D118" s="140"/>
    </row>
    <row r="119" spans="1:4" x14ac:dyDescent="0.25">
      <c r="A119" s="126" t="s">
        <v>220</v>
      </c>
      <c r="B119" s="126">
        <v>25</v>
      </c>
      <c r="C119" s="132">
        <v>2</v>
      </c>
      <c r="D119" s="140"/>
    </row>
    <row r="120" spans="1:4" x14ac:dyDescent="0.25">
      <c r="A120" s="126" t="s">
        <v>200</v>
      </c>
      <c r="B120" s="126">
        <v>24</v>
      </c>
      <c r="C120" s="132">
        <v>5</v>
      </c>
      <c r="D120" s="140"/>
    </row>
    <row r="121" spans="1:4" x14ac:dyDescent="0.25">
      <c r="A121" s="126" t="s">
        <v>151</v>
      </c>
      <c r="B121" s="126">
        <v>23</v>
      </c>
      <c r="C121" s="132">
        <v>3</v>
      </c>
      <c r="D121" s="140"/>
    </row>
    <row r="122" spans="1:4" x14ac:dyDescent="0.25">
      <c r="A122" s="126" t="s">
        <v>247</v>
      </c>
      <c r="B122" s="126">
        <v>25</v>
      </c>
      <c r="C122" s="132">
        <v>2</v>
      </c>
      <c r="D122" s="140"/>
    </row>
    <row r="123" spans="1:4" x14ac:dyDescent="0.25">
      <c r="A123" s="126" t="s">
        <v>215</v>
      </c>
      <c r="B123" s="126">
        <v>25</v>
      </c>
      <c r="C123" s="132">
        <v>4</v>
      </c>
      <c r="D123" s="140"/>
    </row>
    <row r="124" spans="1:4" x14ac:dyDescent="0.25">
      <c r="A124" s="126" t="s">
        <v>30</v>
      </c>
      <c r="B124" s="126">
        <v>20</v>
      </c>
      <c r="C124" s="132">
        <v>2</v>
      </c>
      <c r="D124" s="140"/>
    </row>
    <row r="125" spans="1:4" x14ac:dyDescent="0.25">
      <c r="A125" s="126" t="s">
        <v>194</v>
      </c>
      <c r="B125" s="126">
        <v>24</v>
      </c>
      <c r="C125" s="132">
        <v>5</v>
      </c>
      <c r="D125" s="140"/>
    </row>
    <row r="126" spans="1:4" x14ac:dyDescent="0.25">
      <c r="A126" s="126" t="s">
        <v>218</v>
      </c>
      <c r="B126" s="126">
        <v>25</v>
      </c>
      <c r="C126" s="132">
        <v>4</v>
      </c>
      <c r="D126" s="140"/>
    </row>
    <row r="127" spans="1:4" x14ac:dyDescent="0.25">
      <c r="A127" s="126" t="s">
        <v>26</v>
      </c>
      <c r="B127" s="126">
        <v>20</v>
      </c>
      <c r="C127" s="132">
        <v>2</v>
      </c>
      <c r="D127" s="140"/>
    </row>
    <row r="128" spans="1:4" x14ac:dyDescent="0.25">
      <c r="A128" s="126" t="s">
        <v>125</v>
      </c>
      <c r="B128" s="126">
        <v>23</v>
      </c>
      <c r="C128" s="132">
        <v>5</v>
      </c>
      <c r="D128" s="140"/>
    </row>
    <row r="129" spans="1:4" x14ac:dyDescent="0.25">
      <c r="A129" s="126" t="s">
        <v>249</v>
      </c>
      <c r="B129" s="126">
        <v>26</v>
      </c>
      <c r="C129" s="132">
        <v>4</v>
      </c>
      <c r="D129" s="140"/>
    </row>
    <row r="130" spans="1:4" x14ac:dyDescent="0.25">
      <c r="A130" s="126" t="s">
        <v>101</v>
      </c>
      <c r="B130" s="126">
        <v>22</v>
      </c>
      <c r="C130" s="132">
        <v>5</v>
      </c>
      <c r="D130" s="140"/>
    </row>
    <row r="131" spans="1:4" x14ac:dyDescent="0.25">
      <c r="A131" s="126" t="s">
        <v>219</v>
      </c>
      <c r="B131" s="126">
        <v>25</v>
      </c>
      <c r="C131" s="132">
        <v>4</v>
      </c>
      <c r="D131" s="140"/>
    </row>
    <row r="132" spans="1:4" x14ac:dyDescent="0.25">
      <c r="A132" s="126" t="s">
        <v>266</v>
      </c>
      <c r="B132" s="126">
        <v>26</v>
      </c>
      <c r="C132" s="132">
        <v>3</v>
      </c>
      <c r="D132" s="140"/>
    </row>
    <row r="133" spans="1:4" x14ac:dyDescent="0.25">
      <c r="A133" s="126" t="s">
        <v>120</v>
      </c>
      <c r="B133" s="126">
        <v>23</v>
      </c>
      <c r="C133" s="132">
        <v>2</v>
      </c>
      <c r="D133" s="140"/>
    </row>
    <row r="134" spans="1:4" x14ac:dyDescent="0.25">
      <c r="A134" s="126" t="s">
        <v>237</v>
      </c>
      <c r="B134" s="126">
        <v>25</v>
      </c>
      <c r="C134" s="132">
        <v>4</v>
      </c>
      <c r="D134" s="140"/>
    </row>
    <row r="135" spans="1:4" x14ac:dyDescent="0.25">
      <c r="A135" s="126" t="s">
        <v>109</v>
      </c>
      <c r="B135" s="126">
        <v>23</v>
      </c>
      <c r="C135" s="132">
        <v>2</v>
      </c>
      <c r="D135" s="140"/>
    </row>
    <row r="136" spans="1:4" x14ac:dyDescent="0.25">
      <c r="A136" s="126" t="s">
        <v>245</v>
      </c>
      <c r="B136" s="126">
        <v>25</v>
      </c>
      <c r="C136" s="132">
        <v>4</v>
      </c>
      <c r="D136" s="140"/>
    </row>
    <row r="137" spans="1:4" x14ac:dyDescent="0.25">
      <c r="A137" s="126" t="s">
        <v>141</v>
      </c>
      <c r="B137" s="126">
        <v>23</v>
      </c>
      <c r="C137" s="132">
        <v>2</v>
      </c>
      <c r="D137" s="140"/>
    </row>
    <row r="138" spans="1:4" x14ac:dyDescent="0.25">
      <c r="A138" s="126" t="s">
        <v>111</v>
      </c>
      <c r="B138" s="126">
        <v>23</v>
      </c>
      <c r="C138" s="132">
        <v>2</v>
      </c>
      <c r="D138" s="140"/>
    </row>
    <row r="139" spans="1:4" x14ac:dyDescent="0.25">
      <c r="A139" s="126" t="s">
        <v>32</v>
      </c>
      <c r="B139" s="126">
        <v>20</v>
      </c>
      <c r="C139" s="132">
        <v>4</v>
      </c>
      <c r="D139" s="140"/>
    </row>
    <row r="140" spans="1:4" x14ac:dyDescent="0.25">
      <c r="A140" s="126" t="s">
        <v>198</v>
      </c>
      <c r="B140" s="126">
        <v>24</v>
      </c>
      <c r="C140" s="132">
        <v>2</v>
      </c>
      <c r="D140" s="140"/>
    </row>
    <row r="141" spans="1:4" x14ac:dyDescent="0.25">
      <c r="A141" s="126" t="s">
        <v>116</v>
      </c>
      <c r="B141" s="126">
        <v>23</v>
      </c>
      <c r="C141" s="132">
        <v>2</v>
      </c>
      <c r="D141" s="140"/>
    </row>
    <row r="142" spans="1:4" x14ac:dyDescent="0.25">
      <c r="A142" s="126" t="s">
        <v>27</v>
      </c>
      <c r="B142" s="126">
        <v>20</v>
      </c>
      <c r="C142" s="132">
        <v>5</v>
      </c>
      <c r="D142" s="140"/>
    </row>
    <row r="143" spans="1:4" x14ac:dyDescent="0.25">
      <c r="A143" s="126" t="s">
        <v>179</v>
      </c>
      <c r="B143" s="126">
        <v>24</v>
      </c>
      <c r="C143" s="132">
        <v>4</v>
      </c>
      <c r="D143" s="140"/>
    </row>
    <row r="144" spans="1:4" x14ac:dyDescent="0.25">
      <c r="A144" s="126" t="s">
        <v>174</v>
      </c>
      <c r="B144" s="126">
        <v>24</v>
      </c>
      <c r="C144" s="132">
        <v>2</v>
      </c>
      <c r="D144" s="140"/>
    </row>
    <row r="145" spans="1:4" x14ac:dyDescent="0.25">
      <c r="A145" s="126" t="s">
        <v>112</v>
      </c>
      <c r="B145" s="126">
        <v>23</v>
      </c>
      <c r="C145" s="132">
        <v>5</v>
      </c>
      <c r="D145" s="140"/>
    </row>
    <row r="146" spans="1:4" x14ac:dyDescent="0.25">
      <c r="A146" s="126" t="s">
        <v>137</v>
      </c>
      <c r="B146" s="126">
        <v>23</v>
      </c>
      <c r="C146" s="132">
        <v>2</v>
      </c>
      <c r="D146" s="140"/>
    </row>
    <row r="147" spans="1:4" x14ac:dyDescent="0.25">
      <c r="A147" s="126" t="s">
        <v>153</v>
      </c>
      <c r="B147" s="126">
        <v>23</v>
      </c>
      <c r="C147" s="132">
        <v>3</v>
      </c>
      <c r="D147" s="140"/>
    </row>
    <row r="148" spans="1:4" x14ac:dyDescent="0.25">
      <c r="A148" s="126" t="s">
        <v>127</v>
      </c>
      <c r="B148" s="126">
        <v>23</v>
      </c>
      <c r="C148" s="132">
        <v>2</v>
      </c>
      <c r="D148" s="140"/>
    </row>
    <row r="149" spans="1:4" x14ac:dyDescent="0.25">
      <c r="A149" s="126" t="s">
        <v>40</v>
      </c>
      <c r="B149" s="126">
        <v>23</v>
      </c>
      <c r="C149" s="132">
        <v>5</v>
      </c>
      <c r="D149" s="140"/>
    </row>
    <row r="150" spans="1:4" x14ac:dyDescent="0.25">
      <c r="A150" s="126" t="s">
        <v>226</v>
      </c>
      <c r="B150" s="126">
        <v>25</v>
      </c>
      <c r="C150" s="132">
        <v>5</v>
      </c>
      <c r="D150" s="140"/>
    </row>
    <row r="151" spans="1:4" x14ac:dyDescent="0.25">
      <c r="A151" s="126" t="s">
        <v>110</v>
      </c>
      <c r="B151" s="126">
        <v>23</v>
      </c>
      <c r="C151" s="132">
        <v>3</v>
      </c>
      <c r="D151" s="140"/>
    </row>
    <row r="152" spans="1:4" x14ac:dyDescent="0.25">
      <c r="A152" s="126" t="s">
        <v>188</v>
      </c>
      <c r="B152" s="126">
        <v>24</v>
      </c>
      <c r="C152" s="132">
        <v>2</v>
      </c>
      <c r="D152" s="140"/>
    </row>
    <row r="153" spans="1:4" x14ac:dyDescent="0.25">
      <c r="A153" s="126" t="s">
        <v>203</v>
      </c>
      <c r="B153" s="126">
        <v>24</v>
      </c>
      <c r="C153" s="132">
        <v>4</v>
      </c>
      <c r="D153" s="140"/>
    </row>
    <row r="154" spans="1:4" x14ac:dyDescent="0.25">
      <c r="A154" s="126" t="s">
        <v>231</v>
      </c>
      <c r="B154" s="126">
        <v>25</v>
      </c>
      <c r="C154" s="132">
        <v>5</v>
      </c>
      <c r="D154" s="140"/>
    </row>
    <row r="155" spans="1:4" x14ac:dyDescent="0.25">
      <c r="A155" s="126" t="s">
        <v>253</v>
      </c>
      <c r="B155" s="126">
        <v>26</v>
      </c>
      <c r="C155" s="132">
        <v>5</v>
      </c>
      <c r="D155" s="140"/>
    </row>
    <row r="156" spans="1:4" x14ac:dyDescent="0.25">
      <c r="A156" s="126" t="s">
        <v>152</v>
      </c>
      <c r="B156" s="126">
        <v>23</v>
      </c>
      <c r="C156" s="132">
        <v>4</v>
      </c>
      <c r="D156" s="140"/>
    </row>
    <row r="157" spans="1:4" x14ac:dyDescent="0.25">
      <c r="A157" s="126" t="s">
        <v>223</v>
      </c>
      <c r="B157" s="126">
        <v>25</v>
      </c>
      <c r="C157" s="132">
        <v>5</v>
      </c>
      <c r="D157" s="140"/>
    </row>
    <row r="158" spans="1:4" x14ac:dyDescent="0.25">
      <c r="A158" s="126" t="s">
        <v>182</v>
      </c>
      <c r="B158" s="126">
        <v>24</v>
      </c>
      <c r="C158" s="132">
        <v>3</v>
      </c>
      <c r="D158" s="140"/>
    </row>
    <row r="159" spans="1:4" x14ac:dyDescent="0.25">
      <c r="A159" s="126" t="s">
        <v>143</v>
      </c>
      <c r="B159" s="126">
        <v>23</v>
      </c>
      <c r="C159" s="132">
        <v>5</v>
      </c>
      <c r="D159" s="140"/>
    </row>
    <row r="160" spans="1:4" x14ac:dyDescent="0.25">
      <c r="A160" s="126" t="s">
        <v>183</v>
      </c>
      <c r="B160" s="126">
        <v>24</v>
      </c>
      <c r="C160" s="132">
        <v>4</v>
      </c>
      <c r="D160" s="140"/>
    </row>
    <row r="161" spans="1:4" x14ac:dyDescent="0.25">
      <c r="A161" s="126" t="s">
        <v>229</v>
      </c>
      <c r="B161" s="126">
        <v>25</v>
      </c>
      <c r="C161" s="132">
        <v>4</v>
      </c>
      <c r="D161" s="140"/>
    </row>
    <row r="162" spans="1:4" x14ac:dyDescent="0.25">
      <c r="A162" s="126" t="s">
        <v>147</v>
      </c>
      <c r="B162" s="126">
        <v>23</v>
      </c>
      <c r="C162" s="132">
        <v>2</v>
      </c>
      <c r="D162" s="140"/>
    </row>
    <row r="163" spans="1:4" x14ac:dyDescent="0.25">
      <c r="A163" s="126" t="s">
        <v>148</v>
      </c>
      <c r="B163" s="126">
        <v>23</v>
      </c>
      <c r="C163" s="132">
        <v>2</v>
      </c>
      <c r="D163" s="140"/>
    </row>
    <row r="164" spans="1:4" x14ac:dyDescent="0.25">
      <c r="A164" s="126" t="s">
        <v>129</v>
      </c>
      <c r="B164" s="126">
        <v>23</v>
      </c>
      <c r="C164" s="132">
        <v>3</v>
      </c>
      <c r="D164" s="140"/>
    </row>
    <row r="165" spans="1:4" x14ac:dyDescent="0.25">
      <c r="A165" s="126" t="s">
        <v>131</v>
      </c>
      <c r="B165" s="126">
        <v>23</v>
      </c>
      <c r="C165" s="132">
        <v>2</v>
      </c>
      <c r="D165" s="140"/>
    </row>
    <row r="166" spans="1:4" x14ac:dyDescent="0.25">
      <c r="A166" s="126" t="s">
        <v>132</v>
      </c>
      <c r="B166" s="126">
        <v>23</v>
      </c>
      <c r="C166" s="132">
        <v>2</v>
      </c>
      <c r="D166" s="140"/>
    </row>
    <row r="167" spans="1:4" x14ac:dyDescent="0.25">
      <c r="A167" s="126" t="s">
        <v>135</v>
      </c>
      <c r="B167" s="126">
        <v>23</v>
      </c>
      <c r="C167" s="132">
        <v>3</v>
      </c>
      <c r="D167" s="140"/>
    </row>
    <row r="168" spans="1:4" x14ac:dyDescent="0.25">
      <c r="A168" s="126" t="s">
        <v>184</v>
      </c>
      <c r="B168" s="126">
        <v>24</v>
      </c>
      <c r="C168" s="132">
        <v>3</v>
      </c>
      <c r="D168" s="140"/>
    </row>
    <row r="169" spans="1:4" x14ac:dyDescent="0.25">
      <c r="A169" s="126" t="s">
        <v>199</v>
      </c>
      <c r="B169" s="126">
        <v>24</v>
      </c>
      <c r="C169" s="132">
        <v>3</v>
      </c>
      <c r="D169" s="140"/>
    </row>
    <row r="170" spans="1:4" x14ac:dyDescent="0.25">
      <c r="A170" s="126" t="s">
        <v>193</v>
      </c>
      <c r="B170" s="126">
        <v>24</v>
      </c>
      <c r="C170" s="132">
        <v>3</v>
      </c>
      <c r="D170" s="140"/>
    </row>
    <row r="171" spans="1:4" x14ac:dyDescent="0.25">
      <c r="A171" s="126" t="s">
        <v>254</v>
      </c>
      <c r="B171" s="126">
        <v>26</v>
      </c>
      <c r="C171" s="132">
        <v>2</v>
      </c>
      <c r="D171" s="140"/>
    </row>
    <row r="172" spans="1:4" x14ac:dyDescent="0.25">
      <c r="A172" s="126" t="s">
        <v>241</v>
      </c>
      <c r="B172" s="126">
        <v>25</v>
      </c>
      <c r="C172" s="132">
        <v>5</v>
      </c>
      <c r="D172" s="140"/>
    </row>
    <row r="173" spans="1:4" x14ac:dyDescent="0.25">
      <c r="A173" s="126" t="s">
        <v>607</v>
      </c>
      <c r="B173" s="126">
        <v>25</v>
      </c>
      <c r="C173" s="132">
        <v>3</v>
      </c>
      <c r="D173" s="140"/>
    </row>
    <row r="174" spans="1:4" x14ac:dyDescent="0.25">
      <c r="A174" s="126" t="s">
        <v>608</v>
      </c>
      <c r="B174" s="126">
        <v>25</v>
      </c>
      <c r="C174" s="132">
        <v>4</v>
      </c>
      <c r="D174" s="140"/>
    </row>
    <row r="175" spans="1:4" x14ac:dyDescent="0.25">
      <c r="A175" s="135" t="s">
        <v>601</v>
      </c>
      <c r="B175" s="136"/>
      <c r="C175" s="137">
        <v>508</v>
      </c>
      <c r="D175" s="140"/>
    </row>
    <row r="176" spans="1:4" x14ac:dyDescent="0.25">
      <c r="D176" s="140"/>
    </row>
  </sheetData>
  <phoneticPr fontId="11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readme</vt:lpstr>
      <vt:lpstr>Sheet2</vt:lpstr>
      <vt:lpstr>chinook junk</vt:lpstr>
      <vt:lpstr>WCVI Esc</vt:lpstr>
      <vt:lpstr>Sheet1</vt:lpstr>
      <vt:lpstr>CU_lookup</vt:lpstr>
      <vt:lpstr>Assess_LU</vt:lpstr>
      <vt:lpstr>Enhancement_LU</vt:lpstr>
      <vt:lpstr>PSC Indicators</vt:lpstr>
      <vt:lpstr>Area 20</vt:lpstr>
      <vt:lpstr>Area 21</vt:lpstr>
      <vt:lpstr>Area 22</vt:lpstr>
      <vt:lpstr>Area 23</vt:lpstr>
      <vt:lpstr>Area 24</vt:lpstr>
      <vt:lpstr>Area 25</vt:lpstr>
      <vt:lpstr>Area 26</vt:lpstr>
      <vt:lpstr>Area 27</vt:lpstr>
      <vt:lpstr>CH</vt:lpstr>
      <vt:lpstr>Escapement Codes</vt:lpstr>
      <vt:lpstr>CU</vt:lpstr>
      <vt:lpstr>'Area 25'!Print_Area</vt:lpstr>
      <vt:lpstr>CH!Print_Area</vt:lpstr>
      <vt:lpstr>'chinook junk'!Print_Area</vt:lpstr>
      <vt:lpstr>'WCVI Esc'!Print_Area</vt:lpstr>
      <vt:lpstr>'Area 20'!Print_Titles</vt:lpstr>
      <vt:lpstr>'Area 21'!Print_Titles</vt:lpstr>
      <vt:lpstr>'Area 22'!Print_Titles</vt:lpstr>
      <vt:lpstr>'Area 23'!Print_Titles</vt:lpstr>
      <vt:lpstr>'Area 24'!Print_Titles</vt:lpstr>
      <vt:lpstr>'Area 25'!Print_Titles</vt:lpstr>
      <vt:lpstr>'Area 26'!Print_Titles</vt:lpstr>
      <vt:lpstr>'Area 27'!Print_Titles</vt:lpstr>
      <vt:lpstr>'chinook junk'!Print_Titles</vt:lpstr>
      <vt:lpstr>'WCVI Esc'!Print_Titles</vt:lpstr>
    </vt:vector>
  </TitlesOfParts>
  <Company>DFO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Wright</dc:creator>
  <cp:lastModifiedBy>Freshwater, Cameron</cp:lastModifiedBy>
  <cp:lastPrinted>2019-07-23T22:11:36Z</cp:lastPrinted>
  <dcterms:created xsi:type="dcterms:W3CDTF">2001-08-28T20:40:24Z</dcterms:created>
  <dcterms:modified xsi:type="dcterms:W3CDTF">2023-12-15T21:52:59Z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2020-06-12T22:13:10Z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3ed30ff5-2b05-4484-b8b9-0000c445156a</vt:lpwstr>
  </property>
</Properties>
</file>