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b699ad2255b1c8/Documents/Practical Data Quality/"/>
    </mc:Choice>
  </mc:AlternateContent>
  <xr:revisionPtr revIDLastSave="746" documentId="8_{81E2536A-B2BE-42EC-B831-9EDD0D76DB6E}" xr6:coauthVersionLast="47" xr6:coauthVersionMax="47" xr10:uidLastSave="{06495E34-C1C0-41DF-91EA-1785E1A70047}"/>
  <bookViews>
    <workbookView xWindow="-120" yWindow="-120" windowWidth="51840" windowHeight="21120" activeTab="5" xr2:uid="{B7A057B8-96AF-460D-B4E9-F2776D01200C}"/>
  </bookViews>
  <sheets>
    <sheet name="Effort Assessment" sheetId="2" r:id="rId1"/>
    <sheet name="Phases" sheetId="3" r:id="rId2"/>
    <sheet name="Role Details" sheetId="1" r:id="rId3"/>
    <sheet name="Assumptions" sheetId="4" r:id="rId4"/>
    <sheet name="Development Deliverables Calc" sheetId="5" r:id="rId5"/>
    <sheet name="Benefits Calculation Worked E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6" l="1"/>
  <c r="H18" i="6"/>
  <c r="G18" i="6"/>
  <c r="G17" i="6"/>
  <c r="C18" i="6"/>
  <c r="C19" i="6" s="1"/>
  <c r="C20" i="6" s="1"/>
  <c r="C17" i="6"/>
  <c r="D3" i="6"/>
  <c r="C10" i="6"/>
  <c r="C11" i="6" s="1"/>
  <c r="C9" i="6"/>
  <c r="C8" i="6"/>
  <c r="C7" i="6"/>
  <c r="E10" i="5"/>
  <c r="E13" i="5"/>
  <c r="E5" i="5"/>
  <c r="E6" i="5"/>
  <c r="E4" i="5"/>
  <c r="F5" i="1"/>
  <c r="F6" i="1"/>
  <c r="F7" i="1"/>
  <c r="F8" i="1"/>
  <c r="F4" i="1"/>
  <c r="G5" i="2"/>
  <c r="G6" i="2"/>
  <c r="G19" i="2"/>
  <c r="G25" i="2"/>
  <c r="G26" i="2"/>
  <c r="G32" i="2"/>
  <c r="D4" i="3"/>
  <c r="G12" i="2" s="1"/>
  <c r="D5" i="3"/>
  <c r="G27" i="2" s="1"/>
  <c r="D6" i="3"/>
  <c r="G21" i="2" s="1"/>
  <c r="D7" i="3"/>
  <c r="G36" i="2" s="1"/>
  <c r="D8" i="3"/>
  <c r="G16" i="2" s="1"/>
  <c r="D9" i="3"/>
  <c r="G17" i="2" s="1"/>
  <c r="D3" i="3"/>
  <c r="G18" i="2" s="1"/>
  <c r="G23" i="2" l="1"/>
  <c r="G24" i="2"/>
  <c r="G14" i="2"/>
  <c r="G35" i="2"/>
  <c r="G15" i="2"/>
  <c r="G34" i="2"/>
  <c r="G33" i="2"/>
  <c r="E8" i="1" s="1"/>
  <c r="G8" i="1" s="1"/>
  <c r="G13" i="2"/>
  <c r="E5" i="3" s="1"/>
  <c r="G22" i="2"/>
  <c r="E7" i="3" s="1"/>
  <c r="G11" i="2"/>
  <c r="E3" i="3" s="1"/>
  <c r="G10" i="2"/>
  <c r="E4" i="1" s="1"/>
  <c r="G4" i="1" s="1"/>
  <c r="G28" i="2"/>
  <c r="G8" i="2"/>
  <c r="G20" i="2"/>
  <c r="G31" i="2"/>
  <c r="G30" i="2"/>
  <c r="G29" i="2"/>
  <c r="E7" i="1" s="1"/>
  <c r="G7" i="1" s="1"/>
  <c r="E19" i="5" s="1"/>
  <c r="G9" i="2"/>
  <c r="E8" i="3" s="1"/>
  <c r="G7" i="2"/>
  <c r="G4" i="2"/>
  <c r="G38" i="2"/>
  <c r="G37" i="2"/>
  <c r="E7" i="5"/>
  <c r="E15" i="5" s="1"/>
  <c r="E6" i="3"/>
  <c r="E4" i="3"/>
  <c r="E9" i="3"/>
  <c r="G39" i="2" l="1"/>
  <c r="E6" i="1"/>
  <c r="G6" i="1" s="1"/>
  <c r="E18" i="5" s="1"/>
  <c r="E20" i="5" s="1"/>
  <c r="E5" i="1"/>
  <c r="G5" i="1" s="1"/>
  <c r="E10" i="3"/>
  <c r="E9" i="1" l="1"/>
</calcChain>
</file>

<file path=xl/sharedStrings.xml><?xml version="1.0" encoding="utf-8"?>
<sst xmlns="http://schemas.openxmlformats.org/spreadsheetml/2006/main" count="183" uniqueCount="85">
  <si>
    <t>Resource</t>
  </si>
  <si>
    <t>Phase</t>
  </si>
  <si>
    <t>FTE Cost</t>
  </si>
  <si>
    <t>FTE Effort Requirement</t>
  </si>
  <si>
    <t>Project Manager</t>
  </si>
  <si>
    <t>Role Definition</t>
  </si>
  <si>
    <t>Status reporting, team co-ordination, plan management, issue and risk management</t>
  </si>
  <si>
    <t>Discovery Phase</t>
  </si>
  <si>
    <t>Design Phase</t>
  </si>
  <si>
    <t>Delivery Phase</t>
  </si>
  <si>
    <t>Testing Phase</t>
  </si>
  <si>
    <t>Go Live</t>
  </si>
  <si>
    <t>Embedding and Remediation Phase</t>
  </si>
  <si>
    <t>Planning and Business Case Phase</t>
  </si>
  <si>
    <t>Data Quality Architect</t>
  </si>
  <si>
    <t>Data Quality Developer(s)</t>
  </si>
  <si>
    <t>Data Quality Tester(s)</t>
  </si>
  <si>
    <t>Business Users</t>
  </si>
  <si>
    <t>Estimated FTE Cost</t>
  </si>
  <si>
    <t>Phase Length (months)</t>
  </si>
  <si>
    <t>FTE proportion</t>
  </si>
  <si>
    <t>Total Resource Costs</t>
  </si>
  <si>
    <t>Role</t>
  </si>
  <si>
    <t>Assumptions</t>
  </si>
  <si>
    <t>Data Quality Developers</t>
  </si>
  <si>
    <t>Data Quality Tester</t>
  </si>
  <si>
    <t>Business User</t>
  </si>
  <si>
    <r>
      <t>Discovery / Planning and business case phases: This role is providing guidance and advice on data quality tools, required team and high level design in these phases - 1 day per week is sufficient (</t>
    </r>
    <r>
      <rPr>
        <b/>
        <sz val="11"/>
        <color theme="1"/>
        <rFont val="Calibri"/>
        <family val="2"/>
        <scheme val="minor"/>
      </rPr>
      <t>0.2 FTE</t>
    </r>
    <r>
      <rPr>
        <sz val="11"/>
        <color theme="1"/>
        <rFont val="Calibri"/>
        <family val="2"/>
        <scheme val="minor"/>
      </rPr>
      <t>).
Design, Development and Test phases: This role is primarily responsible for the design and development phases and therefore is full time. The test phase is a busy period for this role as it manages resolution of all defects (</t>
    </r>
    <r>
      <rPr>
        <b/>
        <sz val="11"/>
        <color theme="1"/>
        <rFont val="Calibri"/>
        <family val="2"/>
        <scheme val="minor"/>
      </rPr>
      <t>1 FTE</t>
    </r>
    <r>
      <rPr>
        <sz val="11"/>
        <color theme="1"/>
        <rFont val="Calibri"/>
        <family val="2"/>
        <scheme val="minor"/>
      </rPr>
      <t>).
Other phases: As the go live occurs, the role starts to ramp down - providing intensive support whilst the business gets used to using the data quality rules. (</t>
    </r>
    <r>
      <rPr>
        <b/>
        <sz val="11"/>
        <color theme="1"/>
        <rFont val="Calibri"/>
        <family val="2"/>
        <scheme val="minor"/>
      </rPr>
      <t>0.6 FTE</t>
    </r>
    <r>
      <rPr>
        <sz val="11"/>
        <color theme="1"/>
        <rFont val="Calibri"/>
        <family val="2"/>
        <scheme val="minor"/>
      </rPr>
      <t xml:space="preserve"> in Go Live, </t>
    </r>
    <r>
      <rPr>
        <b/>
        <sz val="11"/>
        <color theme="1"/>
        <rFont val="Calibri"/>
        <family val="2"/>
        <scheme val="minor"/>
      </rPr>
      <t>0.2 FTE</t>
    </r>
    <r>
      <rPr>
        <sz val="11"/>
        <color theme="1"/>
        <rFont val="Calibri"/>
        <family val="2"/>
        <scheme val="minor"/>
      </rPr>
      <t xml:space="preserve"> during remediation phase)</t>
    </r>
  </si>
  <si>
    <r>
      <t>Discovery phase: The discovery work is led by the data quality lead for the company and the PM is only needed 1 day per week (</t>
    </r>
    <r>
      <rPr>
        <b/>
        <sz val="11"/>
        <color theme="1"/>
        <rFont val="Calibri"/>
        <family val="2"/>
        <scheme val="minor"/>
      </rPr>
      <t>0.2 FTE</t>
    </r>
    <r>
      <rPr>
        <sz val="11"/>
        <color theme="1"/>
        <rFont val="Calibri"/>
        <family val="2"/>
        <scheme val="minor"/>
      </rPr>
      <t>) to create the high level plan and start preparing for the planning phase.
Planning and business case phase / Design phase: These phases require preparation of a detailed plan and co-ordination of business resources and developers/architects so will require a full time project manager (</t>
    </r>
    <r>
      <rPr>
        <b/>
        <sz val="11"/>
        <color theme="1"/>
        <rFont val="Calibri"/>
        <family val="2"/>
        <scheme val="minor"/>
      </rPr>
      <t>1 FTE</t>
    </r>
    <r>
      <rPr>
        <sz val="11"/>
        <color theme="1"/>
        <rFont val="Calibri"/>
        <family val="2"/>
        <scheme val="minor"/>
      </rPr>
      <t>)
Development/Test Phases: The development phase requires less business and data quality team interaction and therefore less co-ordination work for the project manager, hence a reduction to 3 days per week (</t>
    </r>
    <r>
      <rPr>
        <b/>
        <sz val="11"/>
        <color theme="1"/>
        <rFont val="Calibri"/>
        <family val="2"/>
        <scheme val="minor"/>
      </rPr>
      <t>0.6 FTE</t>
    </r>
    <r>
      <rPr>
        <sz val="11"/>
        <color theme="1"/>
        <rFont val="Calibri"/>
        <family val="2"/>
        <scheme val="minor"/>
      </rPr>
      <t>).  The test phases are overseen by the project manager, with support from the tester(s) and again 3 days per week is sufficient (</t>
    </r>
    <r>
      <rPr>
        <b/>
        <sz val="11"/>
        <color theme="1"/>
        <rFont val="Calibri"/>
        <family val="2"/>
        <scheme val="minor"/>
      </rPr>
      <t>0.6 FTE</t>
    </r>
    <r>
      <rPr>
        <sz val="11"/>
        <color theme="1"/>
        <rFont val="Calibri"/>
        <family val="2"/>
        <scheme val="minor"/>
      </rPr>
      <t>).
Go Live / Embedding and Remediation Phases: These phases represent a hand off of the project to business as usual resources and the project management role is gradually ramped down to 2 (</t>
    </r>
    <r>
      <rPr>
        <b/>
        <sz val="11"/>
        <color theme="1"/>
        <rFont val="Calibri"/>
        <family val="2"/>
        <scheme val="minor"/>
      </rPr>
      <t>0.4 FTE</t>
    </r>
    <r>
      <rPr>
        <sz val="11"/>
        <color theme="1"/>
        <rFont val="Calibri"/>
        <family val="2"/>
        <scheme val="minor"/>
      </rPr>
      <t>) and then 1 day per week (</t>
    </r>
    <r>
      <rPr>
        <b/>
        <sz val="11"/>
        <color theme="1"/>
        <rFont val="Calibri"/>
        <family val="2"/>
        <scheme val="minor"/>
      </rPr>
      <t>0.2 FTE</t>
    </r>
    <r>
      <rPr>
        <sz val="11"/>
        <color theme="1"/>
        <rFont val="Calibri"/>
        <family val="2"/>
        <scheme val="minor"/>
      </rPr>
      <t>).</t>
    </r>
  </si>
  <si>
    <t>Total Phase Cost</t>
  </si>
  <si>
    <t>Project Cost</t>
  </si>
  <si>
    <t>Requirements gathering and definition, design of solution, management of developers and testers</t>
  </si>
  <si>
    <t>Testing of the data quality rules and management of defects from business users.</t>
  </si>
  <si>
    <t>Active contribution to requirements, review of design, testing of data quality rules, sign offs.</t>
  </si>
  <si>
    <t>Day Rate</t>
  </si>
  <si>
    <t>Effort (Days)</t>
  </si>
  <si>
    <t>Low</t>
  </si>
  <si>
    <t>Medium</t>
  </si>
  <si>
    <t>High</t>
  </si>
  <si>
    <t>ETL Effort</t>
  </si>
  <si>
    <t>Tool Set Up Activities</t>
  </si>
  <si>
    <t>Number of rules</t>
  </si>
  <si>
    <t>Report Development</t>
  </si>
  <si>
    <t>Total Estimated Effort</t>
  </si>
  <si>
    <t>Effort Per Rule (Days)</t>
  </si>
  <si>
    <t>Effort in Total (Days)</t>
  </si>
  <si>
    <t>Rule Development Effort</t>
  </si>
  <si>
    <t>Other Cost Estimates</t>
  </si>
  <si>
    <t>Total Rule Development and Testing Effort</t>
  </si>
  <si>
    <t>Developer Effort in Plan</t>
  </si>
  <si>
    <t>Tester Effort in Plan</t>
  </si>
  <si>
    <t>Total "Other Cost" Effort</t>
  </si>
  <si>
    <t>Total Effort Per Plan</t>
  </si>
  <si>
    <t>Phase Name</t>
  </si>
  <si>
    <r>
      <t>A variety of business users will need to be involved in the initiative at different phases. The FTE count is an amalgamation of the expected effort.
Discovery phase: 3 different team members (each representing a department) for 2.5 days per week each (</t>
    </r>
    <r>
      <rPr>
        <b/>
        <sz val="11"/>
        <color theme="1"/>
        <rFont val="Calibri"/>
        <family val="2"/>
        <scheme val="minor"/>
      </rPr>
      <t>1.5 FTE</t>
    </r>
    <r>
      <rPr>
        <sz val="11"/>
        <color theme="1"/>
        <rFont val="Calibri"/>
        <family val="2"/>
        <scheme val="minor"/>
      </rPr>
      <t>).
Planning and business case phase: 3 team members for ~1.5 days per week to help determine business benefits for the business case (</t>
    </r>
    <r>
      <rPr>
        <b/>
        <sz val="11"/>
        <color theme="1"/>
        <rFont val="Calibri"/>
        <family val="2"/>
        <scheme val="minor"/>
      </rPr>
      <t>1 FTE</t>
    </r>
    <r>
      <rPr>
        <sz val="11"/>
        <color theme="1"/>
        <rFont val="Calibri"/>
        <family val="2"/>
        <scheme val="minor"/>
      </rPr>
      <t>)
Design phase: 3 team members totalling 2.5 days per week of effort to review and sign off the design (</t>
    </r>
    <r>
      <rPr>
        <b/>
        <sz val="11"/>
        <color theme="1"/>
        <rFont val="Calibri"/>
        <family val="2"/>
        <scheme val="minor"/>
      </rPr>
      <t>0.5 FTE</t>
    </r>
    <r>
      <rPr>
        <sz val="11"/>
        <color theme="1"/>
        <rFont val="Calibri"/>
        <family val="2"/>
        <scheme val="minor"/>
      </rPr>
      <t>).
Delivery phase: Business users are not required in this phase except for small points of clarification (</t>
    </r>
    <r>
      <rPr>
        <b/>
        <sz val="11"/>
        <color theme="1"/>
        <rFont val="Calibri"/>
        <family val="2"/>
        <scheme val="minor"/>
      </rPr>
      <t>0 FTE</t>
    </r>
    <r>
      <rPr>
        <sz val="11"/>
        <color theme="1"/>
        <rFont val="Calibri"/>
        <family val="2"/>
        <scheme val="minor"/>
      </rPr>
      <t>).
Test phase: Business users required to test in the second half of the phase.  Each tester may need up to 3 days per week for 2, but are not required in the first half of the test phase which is conducted internally by the team. (</t>
    </r>
    <r>
      <rPr>
        <b/>
        <sz val="11"/>
        <color theme="1"/>
        <rFont val="Calibri"/>
        <family val="2"/>
        <scheme val="minor"/>
      </rPr>
      <t>1.5 FTE</t>
    </r>
    <r>
      <rPr>
        <sz val="11"/>
        <color theme="1"/>
        <rFont val="Calibri"/>
        <family val="2"/>
        <scheme val="minor"/>
      </rPr>
      <t>)
Other phases: During the go live and embeddnig and remedition phases, there is a significant effort required from business users to use the results of the data quality rules to make improvements to the data.  This is a significant effort which should decrease over time as data reaches a higher standard and is maintained at this level. (</t>
    </r>
    <r>
      <rPr>
        <b/>
        <sz val="11"/>
        <color theme="1"/>
        <rFont val="Calibri"/>
        <family val="2"/>
        <scheme val="minor"/>
      </rPr>
      <t>1.5 FTE</t>
    </r>
    <r>
      <rPr>
        <sz val="11"/>
        <color theme="1"/>
        <rFont val="Calibri"/>
        <family val="2"/>
        <scheme val="minor"/>
      </rPr>
      <t>)</t>
    </r>
  </si>
  <si>
    <r>
      <t xml:space="preserve">Managed by the data quality architect, these roles exist to find issues with the data quality rules </t>
    </r>
    <r>
      <rPr>
        <i/>
        <sz val="11"/>
        <color theme="1"/>
        <rFont val="Calibri"/>
        <family val="2"/>
        <scheme val="minor"/>
      </rPr>
      <t xml:space="preserve">prior </t>
    </r>
    <r>
      <rPr>
        <sz val="11"/>
        <color theme="1"/>
        <rFont val="Calibri"/>
        <family val="2"/>
        <scheme val="minor"/>
      </rPr>
      <t>to business users being asked to test.  As such they are critical towards the end of the development phase (</t>
    </r>
    <r>
      <rPr>
        <b/>
        <sz val="11"/>
        <color theme="1"/>
        <rFont val="Calibri"/>
        <family val="2"/>
        <scheme val="minor"/>
      </rPr>
      <t>0.5 FTE</t>
    </r>
    <r>
      <rPr>
        <sz val="11"/>
        <color theme="1"/>
        <rFont val="Calibri"/>
        <family val="2"/>
        <scheme val="minor"/>
      </rPr>
      <t>) and ramp up significantly through the test phase (</t>
    </r>
    <r>
      <rPr>
        <b/>
        <sz val="11"/>
        <color theme="1"/>
        <rFont val="Calibri"/>
        <family val="2"/>
        <scheme val="minor"/>
      </rPr>
      <t>1.5 FTE</t>
    </r>
    <r>
      <rPr>
        <sz val="11"/>
        <color theme="1"/>
        <rFont val="Calibri"/>
        <family val="2"/>
        <scheme val="minor"/>
      </rPr>
      <t>).  
In the test phase, they will also train and support business users on how to use the data quality tool and how to test rules.</t>
    </r>
  </si>
  <si>
    <t>Effort (Man Days)</t>
  </si>
  <si>
    <t>Reconcile to Resource Estimates</t>
  </si>
  <si>
    <t>Data Quality Rule</t>
  </si>
  <si>
    <t>Missing supplier email addresses for remittance advices</t>
  </si>
  <si>
    <t>Business Impact</t>
  </si>
  <si>
    <t>Suppliers contact finance to chase payment despite remittance having been sent</t>
  </si>
  <si>
    <t>Quantification of Benefit</t>
  </si>
  <si>
    <t>Typical Rate of Remittance Queries Per Invoice</t>
  </si>
  <si>
    <t>Calculation</t>
  </si>
  <si>
    <t>Result</t>
  </si>
  <si>
    <t>Expected Number of Remittance Queries Next Quarter</t>
  </si>
  <si>
    <t>5% * 150,000</t>
  </si>
  <si>
    <t>Effort to Resolve Remittance Queries Next Quarter (Days)</t>
  </si>
  <si>
    <t>7500*10 / (60*7.5)</t>
  </si>
  <si>
    <t>Supporting Information</t>
  </si>
  <si>
    <t>- The number of invoices for the next quarter is expected to  be 150,000.</t>
  </si>
  <si>
    <t>- 6,000 remittance queries were raised in the last quarter against 120,000 supplier invoices (5%)</t>
  </si>
  <si>
    <t>Annual Effort to Resolve Remittance Queries (Days)</t>
  </si>
  <si>
    <t>167*4</t>
  </si>
  <si>
    <t>-Number of invoices and query percentage remains flat across the year if no action is taken.</t>
  </si>
  <si>
    <t>Cost of this Effort Annually</t>
  </si>
  <si>
    <t>-Annual cost of FTE in this role is 45,000, assume 240 working days per year.</t>
  </si>
  <si>
    <t>45000/240 * 667</t>
  </si>
  <si>
    <t>Detailed Calculation</t>
  </si>
  <si>
    <t>Sub Calculation</t>
  </si>
  <si>
    <t>6,000/120,000</t>
  </si>
  <si>
    <t>Build of data quality rules, ETL processes and reports in chosen tool, testing, support of testing</t>
  </si>
  <si>
    <r>
      <t>Managed by the Data Quality Architect, these roles (2 developers) are required to support the design process (</t>
    </r>
    <r>
      <rPr>
        <b/>
        <sz val="11"/>
        <color theme="1"/>
        <rFont val="Calibri"/>
        <family val="2"/>
        <scheme val="minor"/>
      </rPr>
      <t>0.4 FTE</t>
    </r>
    <r>
      <rPr>
        <sz val="11"/>
        <color theme="1"/>
        <rFont val="Calibri"/>
        <family val="2"/>
        <scheme val="minor"/>
      </rPr>
      <t>). 
After design, they ramp up to full time in the Development and Test phases (</t>
    </r>
    <r>
      <rPr>
        <b/>
        <sz val="11"/>
        <color theme="1"/>
        <rFont val="Calibri"/>
        <family val="2"/>
        <scheme val="minor"/>
      </rPr>
      <t>2 FTE</t>
    </r>
    <r>
      <rPr>
        <sz val="11"/>
        <color theme="1"/>
        <rFont val="Calibri"/>
        <family val="2"/>
        <scheme val="minor"/>
      </rPr>
      <t>). They will build data quality rules, ETL and reports and resolve defects identified. 
A reduced version of the team will need to be present to manage support issues after go live (</t>
    </r>
    <r>
      <rPr>
        <b/>
        <sz val="11"/>
        <color theme="1"/>
        <rFont val="Calibri"/>
        <family val="2"/>
        <scheme val="minor"/>
      </rPr>
      <t>1 FTE</t>
    </r>
    <r>
      <rPr>
        <sz val="11"/>
        <color theme="1"/>
        <rFont val="Calibri"/>
        <family val="2"/>
        <scheme val="minor"/>
      </rPr>
      <t>).</t>
    </r>
  </si>
  <si>
    <t>- Each query takes 10 minutes to resolve on average. Each working day is 7.5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</si>
</sst>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2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0" fontId="0" fillId="4" borderId="1" xfId="0" applyFill="1" applyBorder="1"/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/>
    <xf numFmtId="164" fontId="0" fillId="5" borderId="1" xfId="0" applyNumberFormat="1" applyFill="1" applyBorder="1" applyAlignment="1">
      <alignment horizontal="center"/>
    </xf>
    <xf numFmtId="0" fontId="0" fillId="3" borderId="12" xfId="0" applyFill="1" applyBorder="1"/>
    <xf numFmtId="0" fontId="0" fillId="3" borderId="12" xfId="0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16" xfId="0" applyFont="1" applyFill="1" applyBorder="1" applyAlignment="1">
      <alignment horizontal="left"/>
    </xf>
    <xf numFmtId="0" fontId="0" fillId="6" borderId="1" xfId="0" applyFill="1" applyBorder="1"/>
    <xf numFmtId="164" fontId="0" fillId="6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7" borderId="1" xfId="0" applyNumberFormat="1" applyFill="1" applyBorder="1" applyAlignment="1">
      <alignment horizontal="center"/>
    </xf>
    <xf numFmtId="0" fontId="0" fillId="7" borderId="18" xfId="0" applyFill="1" applyBorder="1"/>
    <xf numFmtId="164" fontId="0" fillId="7" borderId="18" xfId="0" applyNumberFormat="1" applyFill="1" applyBorder="1" applyAlignment="1">
      <alignment horizontal="center"/>
    </xf>
    <xf numFmtId="0" fontId="2" fillId="9" borderId="14" xfId="0" applyFont="1" applyFill="1" applyBorder="1"/>
    <xf numFmtId="0" fontId="2" fillId="9" borderId="15" xfId="0" applyFont="1" applyFill="1" applyBorder="1" applyAlignment="1">
      <alignment wrapText="1"/>
    </xf>
    <xf numFmtId="0" fontId="2" fillId="9" borderId="15" xfId="0" applyFont="1" applyFill="1" applyBorder="1"/>
    <xf numFmtId="0" fontId="2" fillId="9" borderId="16" xfId="0" applyFont="1" applyFill="1" applyBorder="1"/>
    <xf numFmtId="0" fontId="0" fillId="3" borderId="11" xfId="0" applyFill="1" applyBorder="1" applyAlignment="1">
      <alignment horizontal="left"/>
    </xf>
    <xf numFmtId="0" fontId="0" fillId="11" borderId="6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0" fillId="9" borderId="9" xfId="0" applyFill="1" applyBorder="1" applyAlignment="1">
      <alignment horizontal="left" wrapText="1"/>
    </xf>
    <xf numFmtId="1" fontId="0" fillId="9" borderId="9" xfId="0" applyNumberFormat="1" applyFill="1" applyBorder="1" applyAlignment="1">
      <alignment horizontal="center"/>
    </xf>
    <xf numFmtId="1" fontId="0" fillId="9" borderId="10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1" fontId="0" fillId="6" borderId="1" xfId="0" applyNumberFormat="1" applyFill="1" applyBorder="1" applyAlignment="1">
      <alignment horizontal="center"/>
    </xf>
    <xf numFmtId="1" fontId="0" fillId="6" borderId="7" xfId="0" applyNumberFormat="1" applyFill="1" applyBorder="1" applyAlignment="1">
      <alignment horizontal="center"/>
    </xf>
    <xf numFmtId="0" fontId="0" fillId="12" borderId="6" xfId="0" applyFill="1" applyBorder="1" applyAlignment="1">
      <alignment horizontal="left"/>
    </xf>
    <xf numFmtId="0" fontId="0" fillId="12" borderId="1" xfId="0" applyFill="1" applyBorder="1" applyAlignment="1">
      <alignment horizontal="left" wrapText="1"/>
    </xf>
    <xf numFmtId="1" fontId="0" fillId="12" borderId="1" xfId="0" applyNumberFormat="1" applyFill="1" applyBorder="1" applyAlignment="1">
      <alignment horizontal="center"/>
    </xf>
    <xf numFmtId="1" fontId="0" fillId="12" borderId="7" xfId="0" applyNumberFormat="1" applyFill="1" applyBorder="1" applyAlignment="1">
      <alignment horizontal="center"/>
    </xf>
    <xf numFmtId="0" fontId="0" fillId="11" borderId="1" xfId="0" applyFill="1" applyBorder="1" applyAlignment="1">
      <alignment horizontal="left" wrapText="1"/>
    </xf>
    <xf numFmtId="1" fontId="0" fillId="11" borderId="1" xfId="0" applyNumberFormat="1" applyFill="1" applyBorder="1" applyAlignment="1">
      <alignment horizontal="center"/>
    </xf>
    <xf numFmtId="1" fontId="0" fillId="11" borderId="7" xfId="0" applyNumberFormat="1" applyFill="1" applyBorder="1" applyAlignment="1">
      <alignment horizontal="center"/>
    </xf>
    <xf numFmtId="3" fontId="0" fillId="11" borderId="1" xfId="1" applyNumberFormat="1" applyFont="1" applyFill="1" applyBorder="1" applyAlignment="1">
      <alignment horizontal="center"/>
    </xf>
    <xf numFmtId="3" fontId="0" fillId="12" borderId="1" xfId="1" applyNumberFormat="1" applyFont="1" applyFill="1" applyBorder="1" applyAlignment="1">
      <alignment horizontal="center"/>
    </xf>
    <xf numFmtId="3" fontId="0" fillId="6" borderId="1" xfId="1" applyNumberFormat="1" applyFont="1" applyFill="1" applyBorder="1" applyAlignment="1">
      <alignment horizontal="center"/>
    </xf>
    <xf numFmtId="3" fontId="0" fillId="9" borderId="9" xfId="1" applyNumberFormat="1" applyFont="1" applyFill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3" fontId="0" fillId="3" borderId="13" xfId="1" applyNumberFormat="1" applyFont="1" applyFill="1" applyBorder="1" applyAlignment="1">
      <alignment horizontal="center"/>
    </xf>
    <xf numFmtId="3" fontId="0" fillId="3" borderId="7" xfId="1" applyNumberFormat="1" applyFont="1" applyFill="1" applyBorder="1" applyAlignment="1">
      <alignment horizontal="center"/>
    </xf>
    <xf numFmtId="3" fontId="0" fillId="4" borderId="7" xfId="1" applyNumberFormat="1" applyFont="1" applyFill="1" applyBorder="1" applyAlignment="1">
      <alignment horizontal="center"/>
    </xf>
    <xf numFmtId="3" fontId="0" fillId="5" borderId="7" xfId="1" applyNumberFormat="1" applyFont="1" applyFill="1" applyBorder="1" applyAlignment="1">
      <alignment horizontal="center"/>
    </xf>
    <xf numFmtId="3" fontId="0" fillId="6" borderId="7" xfId="1" applyNumberFormat="1" applyFont="1" applyFill="1" applyBorder="1" applyAlignment="1">
      <alignment horizontal="center"/>
    </xf>
    <xf numFmtId="3" fontId="0" fillId="7" borderId="7" xfId="1" applyNumberFormat="1" applyFont="1" applyFill="1" applyBorder="1" applyAlignment="1">
      <alignment horizontal="center"/>
    </xf>
    <xf numFmtId="3" fontId="0" fillId="7" borderId="19" xfId="1" applyNumberFormat="1" applyFont="1" applyFill="1" applyBorder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0" borderId="7" xfId="1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3" fontId="0" fillId="0" borderId="10" xfId="1" applyNumberFormat="1" applyFont="1" applyBorder="1" applyAlignment="1">
      <alignment horizontal="center"/>
    </xf>
    <xf numFmtId="0" fontId="2" fillId="9" borderId="3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0" fillId="9" borderId="6" xfId="0" applyFill="1" applyBorder="1" applyAlignment="1">
      <alignment horizontal="left"/>
    </xf>
    <xf numFmtId="0" fontId="0" fillId="0" borderId="7" xfId="0" applyBorder="1" applyAlignment="1">
      <alignment wrapText="1"/>
    </xf>
    <xf numFmtId="0" fontId="0" fillId="11" borderId="6" xfId="0" applyFill="1" applyBorder="1"/>
    <xf numFmtId="0" fontId="0" fillId="4" borderId="6" xfId="0" applyFill="1" applyBorder="1"/>
    <xf numFmtId="0" fontId="0" fillId="13" borderId="6" xfId="0" applyFill="1" applyBorder="1"/>
    <xf numFmtId="0" fontId="0" fillId="9" borderId="8" xfId="0" applyFill="1" applyBorder="1"/>
    <xf numFmtId="0" fontId="0" fillId="0" borderId="10" xfId="0" applyBorder="1" applyAlignment="1">
      <alignment wrapText="1"/>
    </xf>
    <xf numFmtId="0" fontId="0" fillId="3" borderId="11" xfId="0" applyFill="1" applyBorder="1"/>
    <xf numFmtId="0" fontId="0" fillId="0" borderId="13" xfId="0" applyBorder="1" applyAlignment="1">
      <alignment wrapText="1"/>
    </xf>
    <xf numFmtId="3" fontId="0" fillId="0" borderId="0" xfId="0" applyNumberFormat="1" applyAlignment="1">
      <alignment horizontal="center"/>
    </xf>
    <xf numFmtId="0" fontId="2" fillId="9" borderId="23" xfId="0" applyFont="1" applyFill="1" applyBorder="1"/>
    <xf numFmtId="0" fontId="2" fillId="9" borderId="24" xfId="0" applyFont="1" applyFill="1" applyBorder="1"/>
    <xf numFmtId="0" fontId="2" fillId="9" borderId="25" xfId="0" applyFont="1" applyFill="1" applyBorder="1"/>
    <xf numFmtId="0" fontId="0" fillId="0" borderId="4" xfId="0" applyBorder="1" applyAlignment="1">
      <alignment horizontal="center"/>
    </xf>
    <xf numFmtId="3" fontId="0" fillId="0" borderId="5" xfId="1" applyNumberFormat="1" applyFont="1" applyBorder="1" applyAlignment="1">
      <alignment horizontal="center"/>
    </xf>
    <xf numFmtId="0" fontId="0" fillId="13" borderId="3" xfId="0" applyFill="1" applyBorder="1"/>
    <xf numFmtId="0" fontId="0" fillId="10" borderId="6" xfId="0" applyFill="1" applyBorder="1"/>
    <xf numFmtId="0" fontId="0" fillId="14" borderId="6" xfId="0" applyFill="1" applyBorder="1"/>
    <xf numFmtId="0" fontId="0" fillId="13" borderId="3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3" fontId="0" fillId="0" borderId="13" xfId="1" applyNumberFormat="1" applyFont="1" applyBorder="1" applyAlignment="1">
      <alignment horizontal="center"/>
    </xf>
    <xf numFmtId="3" fontId="0" fillId="9" borderId="16" xfId="1" applyNumberFormat="1" applyFont="1" applyFill="1" applyBorder="1" applyAlignment="1">
      <alignment horizontal="center"/>
    </xf>
    <xf numFmtId="3" fontId="1" fillId="0" borderId="5" xfId="1" applyNumberFormat="1" applyFont="1" applyBorder="1" applyAlignment="1">
      <alignment horizontal="center"/>
    </xf>
    <xf numFmtId="0" fontId="2" fillId="16" borderId="2" xfId="0" applyFont="1" applyFill="1" applyBorder="1"/>
    <xf numFmtId="3" fontId="4" fillId="8" borderId="10" xfId="1" applyNumberFormat="1" applyFont="1" applyFill="1" applyBorder="1" applyAlignment="1">
      <alignment horizontal="center"/>
    </xf>
    <xf numFmtId="3" fontId="4" fillId="15" borderId="10" xfId="1" applyNumberFormat="1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0" fillId="3" borderId="12" xfId="0" applyFill="1" applyBorder="1" applyAlignment="1">
      <alignment horizontal="left" wrapText="1"/>
    </xf>
    <xf numFmtId="3" fontId="0" fillId="3" borderId="12" xfId="1" applyNumberFormat="1" applyFon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9" borderId="3" xfId="0" applyFont="1" applyFill="1" applyBorder="1"/>
    <xf numFmtId="9" fontId="0" fillId="0" borderId="12" xfId="2" applyFont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3" xfId="0" quotePrefix="1" applyBorder="1" applyAlignment="1">
      <alignment wrapText="1"/>
    </xf>
    <xf numFmtId="0" fontId="0" fillId="0" borderId="7" xfId="0" quotePrefix="1" applyBorder="1" applyAlignment="1">
      <alignment wrapText="1"/>
    </xf>
    <xf numFmtId="0" fontId="0" fillId="0" borderId="10" xfId="0" quotePrefix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2" fillId="9" borderId="8" xfId="0" applyFont="1" applyFill="1" applyBorder="1" applyAlignment="1">
      <alignment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0" fillId="9" borderId="3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0" fillId="9" borderId="9" xfId="0" applyFill="1" applyBorder="1" applyAlignment="1">
      <alignment horizontal="left"/>
    </xf>
    <xf numFmtId="0" fontId="2" fillId="9" borderId="33" xfId="0" applyFont="1" applyFill="1" applyBorder="1" applyAlignment="1">
      <alignment horizontal="center"/>
    </xf>
    <xf numFmtId="0" fontId="2" fillId="9" borderId="34" xfId="0" applyFont="1" applyFill="1" applyBorder="1" applyAlignment="1">
      <alignment horizontal="center"/>
    </xf>
    <xf numFmtId="0" fontId="2" fillId="9" borderId="35" xfId="0" applyFont="1" applyFill="1" applyBorder="1" applyAlignment="1">
      <alignment horizontal="center"/>
    </xf>
    <xf numFmtId="0" fontId="2" fillId="9" borderId="21" xfId="0" applyFont="1" applyFill="1" applyBorder="1" applyAlignment="1">
      <alignment horizontal="left"/>
    </xf>
    <xf numFmtId="0" fontId="2" fillId="9" borderId="22" xfId="0" applyFont="1" applyFill="1" applyBorder="1" applyAlignment="1">
      <alignment horizontal="left"/>
    </xf>
    <xf numFmtId="0" fontId="2" fillId="9" borderId="20" xfId="0" applyFont="1" applyFill="1" applyBorder="1" applyAlignment="1">
      <alignment horizontal="left"/>
    </xf>
    <xf numFmtId="0" fontId="0" fillId="9" borderId="27" xfId="0" applyFill="1" applyBorder="1" applyAlignment="1">
      <alignment horizontal="left"/>
    </xf>
    <xf numFmtId="0" fontId="0" fillId="9" borderId="28" xfId="0" applyFill="1" applyBorder="1" applyAlignment="1">
      <alignment horizontal="left"/>
    </xf>
    <xf numFmtId="0" fontId="0" fillId="9" borderId="29" xfId="0" applyFill="1" applyBorder="1" applyAlignment="1">
      <alignment horizontal="left"/>
    </xf>
    <xf numFmtId="0" fontId="0" fillId="9" borderId="30" xfId="0" applyFill="1" applyBorder="1" applyAlignment="1">
      <alignment horizontal="left"/>
    </xf>
    <xf numFmtId="0" fontId="0" fillId="9" borderId="31" xfId="0" applyFill="1" applyBorder="1" applyAlignment="1">
      <alignment horizontal="left"/>
    </xf>
    <xf numFmtId="0" fontId="0" fillId="9" borderId="32" xfId="0" applyFill="1" applyBorder="1" applyAlignment="1">
      <alignment horizontal="left"/>
    </xf>
    <xf numFmtId="0" fontId="2" fillId="9" borderId="33" xfId="0" applyFont="1" applyFill="1" applyBorder="1" applyAlignment="1">
      <alignment horizontal="left"/>
    </xf>
    <xf numFmtId="0" fontId="2" fillId="9" borderId="34" xfId="0" applyFont="1" applyFill="1" applyBorder="1" applyAlignment="1">
      <alignment horizontal="left"/>
    </xf>
    <xf numFmtId="0" fontId="2" fillId="9" borderId="35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DE17-4965-4F82-B0FD-849E2772C54F}">
  <dimension ref="A2:H39"/>
  <sheetViews>
    <sheetView topLeftCell="B1" zoomScale="130" zoomScaleNormal="130" workbookViewId="0">
      <selection activeCell="G4" sqref="G4"/>
    </sheetView>
  </sheetViews>
  <sheetFormatPr defaultColWidth="22.85546875" defaultRowHeight="15" x14ac:dyDescent="0.25"/>
  <cols>
    <col min="1" max="1" width="22.5703125" hidden="1" customWidth="1"/>
    <col min="2" max="3" width="1.28515625" customWidth="1"/>
    <col min="4" max="4" width="25.7109375" bestFit="1" customWidth="1"/>
    <col min="5" max="5" width="35.42578125" bestFit="1" customWidth="1"/>
    <col min="7" max="7" width="8.28515625" style="6" bestFit="1" customWidth="1"/>
  </cols>
  <sheetData>
    <row r="2" spans="1:8" ht="15.75" thickBot="1" x14ac:dyDescent="0.3"/>
    <row r="3" spans="1:8" ht="15.75" thickBot="1" x14ac:dyDescent="0.3">
      <c r="D3" s="15" t="s">
        <v>0</v>
      </c>
      <c r="E3" s="16" t="s">
        <v>1</v>
      </c>
      <c r="F3" s="16" t="s">
        <v>3</v>
      </c>
      <c r="G3" s="17" t="s">
        <v>2</v>
      </c>
      <c r="H3" s="1"/>
    </row>
    <row r="4" spans="1:8" x14ac:dyDescent="0.25">
      <c r="A4" t="s">
        <v>4</v>
      </c>
      <c r="D4" s="119" t="s">
        <v>4</v>
      </c>
      <c r="E4" s="13" t="s">
        <v>7</v>
      </c>
      <c r="F4" s="14">
        <v>0.2</v>
      </c>
      <c r="G4" s="50">
        <f>(VLOOKUP($D$4,'Role Details'!$B$4:$D$8,3,FALSE))*F4*VLOOKUP(E4,Phases!$B$3:$D$9,3,FALSE)</f>
        <v>1333.3333333333333</v>
      </c>
    </row>
    <row r="5" spans="1:8" x14ac:dyDescent="0.25">
      <c r="A5" t="s">
        <v>4</v>
      </c>
      <c r="D5" s="120"/>
      <c r="E5" s="7" t="s">
        <v>13</v>
      </c>
      <c r="F5" s="8">
        <v>1</v>
      </c>
      <c r="G5" s="51">
        <f>(VLOOKUP($D$4,'Role Details'!$B$4:$D$8,3,FALSE))*F5*VLOOKUP(E5,Phases!$B$3:$D$9,3,FALSE)</f>
        <v>13333.333333333332</v>
      </c>
    </row>
    <row r="6" spans="1:8" x14ac:dyDescent="0.25">
      <c r="A6" t="s">
        <v>4</v>
      </c>
      <c r="D6" s="120"/>
      <c r="E6" s="7" t="s">
        <v>8</v>
      </c>
      <c r="F6" s="8">
        <v>1</v>
      </c>
      <c r="G6" s="51">
        <f>(VLOOKUP($D$4,'Role Details'!$B$4:$D$8,3,FALSE))*F6*VLOOKUP(E6,Phases!$B$3:$D$9,3,FALSE)</f>
        <v>26666.666666666664</v>
      </c>
    </row>
    <row r="7" spans="1:8" x14ac:dyDescent="0.25">
      <c r="A7" t="s">
        <v>4</v>
      </c>
      <c r="D7" s="120"/>
      <c r="E7" s="7" t="s">
        <v>9</v>
      </c>
      <c r="F7" s="8">
        <v>0.6</v>
      </c>
      <c r="G7" s="51">
        <f>(VLOOKUP($D$4,'Role Details'!$B$4:$D$8,3,FALSE))*F7*VLOOKUP(E7,Phases!$B$3:$D$9,3,FALSE)</f>
        <v>12000</v>
      </c>
    </row>
    <row r="8" spans="1:8" x14ac:dyDescent="0.25">
      <c r="A8" t="s">
        <v>4</v>
      </c>
      <c r="D8" s="120"/>
      <c r="E8" s="7" t="s">
        <v>10</v>
      </c>
      <c r="F8" s="8">
        <v>0.6</v>
      </c>
      <c r="G8" s="51">
        <f>(VLOOKUP($D$4,'Role Details'!$B$4:$D$8,3,FALSE))*F8*VLOOKUP(E8,Phases!$B$3:$D$9,3,FALSE)</f>
        <v>20000</v>
      </c>
    </row>
    <row r="9" spans="1:8" x14ac:dyDescent="0.25">
      <c r="A9" t="s">
        <v>4</v>
      </c>
      <c r="D9" s="120"/>
      <c r="E9" s="7" t="s">
        <v>11</v>
      </c>
      <c r="F9" s="8">
        <v>0.4</v>
      </c>
      <c r="G9" s="51">
        <f>(VLOOKUP($D$4,'Role Details'!$B$4:$D$8,3,FALSE))*F9*VLOOKUP(E9,Phases!$B$3:$D$9,3,FALSE)</f>
        <v>5333.333333333333</v>
      </c>
    </row>
    <row r="10" spans="1:8" x14ac:dyDescent="0.25">
      <c r="A10" t="s">
        <v>4</v>
      </c>
      <c r="D10" s="120"/>
      <c r="E10" s="7" t="s">
        <v>12</v>
      </c>
      <c r="F10" s="8">
        <v>0.2</v>
      </c>
      <c r="G10" s="51">
        <f>(VLOOKUP($D$4,'Role Details'!$B$4:$D$8,3,FALSE))*F10*VLOOKUP(E10,Phases!$B$3:$D$9,3,FALSE)</f>
        <v>1333.3333333333333</v>
      </c>
    </row>
    <row r="11" spans="1:8" x14ac:dyDescent="0.25">
      <c r="A11" t="s">
        <v>14</v>
      </c>
      <c r="D11" s="121" t="s">
        <v>14</v>
      </c>
      <c r="E11" s="9" t="s">
        <v>7</v>
      </c>
      <c r="F11" s="10">
        <v>0.2</v>
      </c>
      <c r="G11" s="52">
        <f>(VLOOKUP($D$4,'Role Details'!$B$4:$D$8,3,FALSE))*F11*VLOOKUP(E11,Phases!$B$3:$D$9,3,FALSE)</f>
        <v>1333.3333333333333</v>
      </c>
    </row>
    <row r="12" spans="1:8" x14ac:dyDescent="0.25">
      <c r="A12" t="s">
        <v>14</v>
      </c>
      <c r="D12" s="121"/>
      <c r="E12" s="9" t="s">
        <v>13</v>
      </c>
      <c r="F12" s="10">
        <v>0.2</v>
      </c>
      <c r="G12" s="52">
        <f>(VLOOKUP($D$4,'Role Details'!$B$4:$D$8,3,FALSE))*F12*VLOOKUP(E12,Phases!$B$3:$D$9,3,FALSE)</f>
        <v>2666.6666666666665</v>
      </c>
    </row>
    <row r="13" spans="1:8" x14ac:dyDescent="0.25">
      <c r="A13" t="s">
        <v>14</v>
      </c>
      <c r="D13" s="121"/>
      <c r="E13" s="9" t="s">
        <v>8</v>
      </c>
      <c r="F13" s="10">
        <v>1</v>
      </c>
      <c r="G13" s="52">
        <f>(VLOOKUP($D$4,'Role Details'!$B$4:$D$8,3,FALSE))*F13*VLOOKUP(E13,Phases!$B$3:$D$9,3,FALSE)</f>
        <v>26666.666666666664</v>
      </c>
    </row>
    <row r="14" spans="1:8" x14ac:dyDescent="0.25">
      <c r="A14" t="s">
        <v>14</v>
      </c>
      <c r="D14" s="121"/>
      <c r="E14" s="9" t="s">
        <v>9</v>
      </c>
      <c r="F14" s="10">
        <v>1</v>
      </c>
      <c r="G14" s="52">
        <f>(VLOOKUP($D$4,'Role Details'!$B$4:$D$8,3,FALSE))*F14*VLOOKUP(E14,Phases!$B$3:$D$9,3,FALSE)</f>
        <v>20000</v>
      </c>
    </row>
    <row r="15" spans="1:8" x14ac:dyDescent="0.25">
      <c r="A15" t="s">
        <v>14</v>
      </c>
      <c r="D15" s="121"/>
      <c r="E15" s="9" t="s">
        <v>10</v>
      </c>
      <c r="F15" s="10">
        <v>1</v>
      </c>
      <c r="G15" s="52">
        <f>(VLOOKUP($D$4,'Role Details'!$B$4:$D$8,3,FALSE))*F15*VLOOKUP(E15,Phases!$B$3:$D$9,3,FALSE)</f>
        <v>33333.333333333336</v>
      </c>
    </row>
    <row r="16" spans="1:8" x14ac:dyDescent="0.25">
      <c r="A16" t="s">
        <v>14</v>
      </c>
      <c r="D16" s="121"/>
      <c r="E16" s="9" t="s">
        <v>11</v>
      </c>
      <c r="F16" s="10">
        <v>0.6</v>
      </c>
      <c r="G16" s="52">
        <f>(VLOOKUP($D$4,'Role Details'!$B$4:$D$8,3,FALSE))*F16*VLOOKUP(E16,Phases!$B$3:$D$9,3,FALSE)</f>
        <v>8000</v>
      </c>
    </row>
    <row r="17" spans="1:7" x14ac:dyDescent="0.25">
      <c r="A17" t="s">
        <v>14</v>
      </c>
      <c r="D17" s="121"/>
      <c r="E17" s="9" t="s">
        <v>12</v>
      </c>
      <c r="F17" s="10">
        <v>0.2</v>
      </c>
      <c r="G17" s="52">
        <f>(VLOOKUP($D$4,'Role Details'!$B$4:$D$8,3,FALSE))*F17*VLOOKUP(E17,Phases!$B$3:$D$9,3,FALSE)</f>
        <v>1333.3333333333333</v>
      </c>
    </row>
    <row r="18" spans="1:7" x14ac:dyDescent="0.25">
      <c r="A18" t="s">
        <v>15</v>
      </c>
      <c r="D18" s="122" t="s">
        <v>15</v>
      </c>
      <c r="E18" s="11" t="s">
        <v>7</v>
      </c>
      <c r="F18" s="12">
        <v>0</v>
      </c>
      <c r="G18" s="53">
        <f>(VLOOKUP($D$4,'Role Details'!$B$4:$D$8,3,FALSE))*F18*VLOOKUP(E18,Phases!$B$3:$D$9,3,FALSE)</f>
        <v>0</v>
      </c>
    </row>
    <row r="19" spans="1:7" x14ac:dyDescent="0.25">
      <c r="A19" t="s">
        <v>15</v>
      </c>
      <c r="D19" s="122"/>
      <c r="E19" s="11" t="s">
        <v>13</v>
      </c>
      <c r="F19" s="12">
        <v>0</v>
      </c>
      <c r="G19" s="53">
        <f>(VLOOKUP($D$4,'Role Details'!$B$4:$D$8,3,FALSE))*F19*VLOOKUP(E19,Phases!$B$3:$D$9,3,FALSE)</f>
        <v>0</v>
      </c>
    </row>
    <row r="20" spans="1:7" x14ac:dyDescent="0.25">
      <c r="A20" t="s">
        <v>15</v>
      </c>
      <c r="D20" s="122"/>
      <c r="E20" s="11" t="s">
        <v>8</v>
      </c>
      <c r="F20" s="12">
        <v>0.4</v>
      </c>
      <c r="G20" s="53">
        <f>(VLOOKUP($D$4,'Role Details'!$B$4:$D$8,3,FALSE))*F20*VLOOKUP(E20,Phases!$B$3:$D$9,3,FALSE)</f>
        <v>10666.666666666666</v>
      </c>
    </row>
    <row r="21" spans="1:7" x14ac:dyDescent="0.25">
      <c r="A21" t="s">
        <v>15</v>
      </c>
      <c r="D21" s="122"/>
      <c r="E21" s="11" t="s">
        <v>9</v>
      </c>
      <c r="F21" s="12">
        <v>2</v>
      </c>
      <c r="G21" s="53">
        <f>(VLOOKUP($D$4,'Role Details'!$B$4:$D$8,3,FALSE))*F21*VLOOKUP(E21,Phases!$B$3:$D$9,3,FALSE)</f>
        <v>40000</v>
      </c>
    </row>
    <row r="22" spans="1:7" x14ac:dyDescent="0.25">
      <c r="A22" t="s">
        <v>15</v>
      </c>
      <c r="D22" s="122"/>
      <c r="E22" s="11" t="s">
        <v>10</v>
      </c>
      <c r="F22" s="12">
        <v>2</v>
      </c>
      <c r="G22" s="53">
        <f>(VLOOKUP($D$4,'Role Details'!$B$4:$D$8,3,FALSE))*F22*VLOOKUP(E22,Phases!$B$3:$D$9,3,FALSE)</f>
        <v>66666.666666666672</v>
      </c>
    </row>
    <row r="23" spans="1:7" x14ac:dyDescent="0.25">
      <c r="A23" t="s">
        <v>15</v>
      </c>
      <c r="D23" s="122"/>
      <c r="E23" s="11" t="s">
        <v>11</v>
      </c>
      <c r="F23" s="12">
        <v>1</v>
      </c>
      <c r="G23" s="53">
        <f>(VLOOKUP($D$4,'Role Details'!$B$4:$D$8,3,FALSE))*F23*VLOOKUP(E23,Phases!$B$3:$D$9,3,FALSE)</f>
        <v>13333.333333333332</v>
      </c>
    </row>
    <row r="24" spans="1:7" x14ac:dyDescent="0.25">
      <c r="A24" t="s">
        <v>15</v>
      </c>
      <c r="D24" s="122"/>
      <c r="E24" s="11" t="s">
        <v>12</v>
      </c>
      <c r="F24" s="12">
        <v>1</v>
      </c>
      <c r="G24" s="53">
        <f>(VLOOKUP($D$4,'Role Details'!$B$4:$D$8,3,FALSE))*F24*VLOOKUP(E24,Phases!$B$3:$D$9,3,FALSE)</f>
        <v>6666.6666666666661</v>
      </c>
    </row>
    <row r="25" spans="1:7" x14ac:dyDescent="0.25">
      <c r="A25" t="s">
        <v>16</v>
      </c>
      <c r="D25" s="123" t="s">
        <v>16</v>
      </c>
      <c r="E25" s="18" t="s">
        <v>7</v>
      </c>
      <c r="F25" s="19">
        <v>0</v>
      </c>
      <c r="G25" s="54">
        <f>(VLOOKUP($D$4,'Role Details'!$B$4:$D$8,3,FALSE))*F25*VLOOKUP(E25,Phases!$B$3:$D$9,3,FALSE)</f>
        <v>0</v>
      </c>
    </row>
    <row r="26" spans="1:7" x14ac:dyDescent="0.25">
      <c r="A26" t="s">
        <v>16</v>
      </c>
      <c r="D26" s="123"/>
      <c r="E26" s="18" t="s">
        <v>13</v>
      </c>
      <c r="F26" s="19">
        <v>0</v>
      </c>
      <c r="G26" s="54">
        <f>(VLOOKUP($D$4,'Role Details'!$B$4:$D$8,3,FALSE))*F26*VLOOKUP(E26,Phases!$B$3:$D$9,3,FALSE)</f>
        <v>0</v>
      </c>
    </row>
    <row r="27" spans="1:7" x14ac:dyDescent="0.25">
      <c r="A27" t="s">
        <v>16</v>
      </c>
      <c r="D27" s="123"/>
      <c r="E27" s="18" t="s">
        <v>8</v>
      </c>
      <c r="F27" s="19">
        <v>0</v>
      </c>
      <c r="G27" s="54">
        <f>(VLOOKUP($D$4,'Role Details'!$B$4:$D$8,3,FALSE))*F27*VLOOKUP(E27,Phases!$B$3:$D$9,3,FALSE)</f>
        <v>0</v>
      </c>
    </row>
    <row r="28" spans="1:7" x14ac:dyDescent="0.25">
      <c r="A28" t="s">
        <v>16</v>
      </c>
      <c r="D28" s="123"/>
      <c r="E28" s="18" t="s">
        <v>9</v>
      </c>
      <c r="F28" s="19">
        <v>0.5</v>
      </c>
      <c r="G28" s="54">
        <f>(VLOOKUP($D$4,'Role Details'!$B$4:$D$8,3,FALSE))*F28*VLOOKUP(E28,Phases!$B$3:$D$9,3,FALSE)</f>
        <v>10000</v>
      </c>
    </row>
    <row r="29" spans="1:7" x14ac:dyDescent="0.25">
      <c r="A29" t="s">
        <v>16</v>
      </c>
      <c r="D29" s="123"/>
      <c r="E29" s="18" t="s">
        <v>10</v>
      </c>
      <c r="F29" s="19">
        <v>1.5</v>
      </c>
      <c r="G29" s="54">
        <f>(VLOOKUP($D$4,'Role Details'!$B$4:$D$8,3,FALSE))*F29*VLOOKUP(E29,Phases!$B$3:$D$9,3,FALSE)</f>
        <v>50000</v>
      </c>
    </row>
    <row r="30" spans="1:7" x14ac:dyDescent="0.25">
      <c r="A30" t="s">
        <v>16</v>
      </c>
      <c r="D30" s="123"/>
      <c r="E30" s="18" t="s">
        <v>11</v>
      </c>
      <c r="F30" s="19">
        <v>0</v>
      </c>
      <c r="G30" s="54">
        <f>(VLOOKUP($D$4,'Role Details'!$B$4:$D$8,3,FALSE))*F30*VLOOKUP(E30,Phases!$B$3:$D$9,3,FALSE)</f>
        <v>0</v>
      </c>
    </row>
    <row r="31" spans="1:7" x14ac:dyDescent="0.25">
      <c r="A31" t="s">
        <v>16</v>
      </c>
      <c r="D31" s="123"/>
      <c r="E31" s="18" t="s">
        <v>12</v>
      </c>
      <c r="F31" s="19">
        <v>0</v>
      </c>
      <c r="G31" s="54">
        <f>(VLOOKUP($D$4,'Role Details'!$B$4:$D$8,3,FALSE))*F31*VLOOKUP(E31,Phases!$B$3:$D$9,3,FALSE)</f>
        <v>0</v>
      </c>
    </row>
    <row r="32" spans="1:7" x14ac:dyDescent="0.25">
      <c r="A32" t="s">
        <v>17</v>
      </c>
      <c r="D32" s="124" t="s">
        <v>17</v>
      </c>
      <c r="E32" s="20" t="s">
        <v>7</v>
      </c>
      <c r="F32" s="21">
        <v>1.5</v>
      </c>
      <c r="G32" s="55">
        <f>(VLOOKUP($D$4,'Role Details'!$B$4:$D$8,3,FALSE))*F32*VLOOKUP(E32,Phases!$B$3:$D$9,3,FALSE)</f>
        <v>10000</v>
      </c>
    </row>
    <row r="33" spans="1:7" x14ac:dyDescent="0.25">
      <c r="A33" t="s">
        <v>17</v>
      </c>
      <c r="D33" s="124"/>
      <c r="E33" s="20" t="s">
        <v>13</v>
      </c>
      <c r="F33" s="21">
        <v>1</v>
      </c>
      <c r="G33" s="55">
        <f>(VLOOKUP($D$4,'Role Details'!$B$4:$D$8,3,FALSE))*F33*VLOOKUP(E33,Phases!$B$3:$D$9,3,FALSE)</f>
        <v>13333.333333333332</v>
      </c>
    </row>
    <row r="34" spans="1:7" x14ac:dyDescent="0.25">
      <c r="A34" t="s">
        <v>17</v>
      </c>
      <c r="D34" s="124"/>
      <c r="E34" s="20" t="s">
        <v>8</v>
      </c>
      <c r="F34" s="21">
        <v>0.5</v>
      </c>
      <c r="G34" s="55">
        <f>(VLOOKUP($D$4,'Role Details'!$B$4:$D$8,3,FALSE))*F34*VLOOKUP(E34,Phases!$B$3:$D$9,3,FALSE)</f>
        <v>13333.333333333332</v>
      </c>
    </row>
    <row r="35" spans="1:7" x14ac:dyDescent="0.25">
      <c r="A35" t="s">
        <v>17</v>
      </c>
      <c r="D35" s="124"/>
      <c r="E35" s="20" t="s">
        <v>9</v>
      </c>
      <c r="F35" s="21">
        <v>0</v>
      </c>
      <c r="G35" s="55">
        <f>(VLOOKUP($D$4,'Role Details'!$B$4:$D$8,3,FALSE))*F35*VLOOKUP(E35,Phases!$B$3:$D$9,3,FALSE)</f>
        <v>0</v>
      </c>
    </row>
    <row r="36" spans="1:7" x14ac:dyDescent="0.25">
      <c r="A36" t="s">
        <v>17</v>
      </c>
      <c r="D36" s="124"/>
      <c r="E36" s="20" t="s">
        <v>10</v>
      </c>
      <c r="F36" s="21">
        <v>1.5</v>
      </c>
      <c r="G36" s="55">
        <f>(VLOOKUP($D$4,'Role Details'!$B$4:$D$8,3,FALSE))*F36*VLOOKUP(E36,Phases!$B$3:$D$9,3,FALSE)</f>
        <v>50000</v>
      </c>
    </row>
    <row r="37" spans="1:7" x14ac:dyDescent="0.25">
      <c r="A37" t="s">
        <v>17</v>
      </c>
      <c r="D37" s="124"/>
      <c r="E37" s="20" t="s">
        <v>11</v>
      </c>
      <c r="F37" s="21">
        <v>1.5</v>
      </c>
      <c r="G37" s="55">
        <f>(VLOOKUP($D$4,'Role Details'!$B$4:$D$8,3,FALSE))*F37*VLOOKUP(E37,Phases!$B$3:$D$9,3,FALSE)</f>
        <v>20000</v>
      </c>
    </row>
    <row r="38" spans="1:7" ht="15.75" thickBot="1" x14ac:dyDescent="0.3">
      <c r="A38" t="s">
        <v>17</v>
      </c>
      <c r="D38" s="125"/>
      <c r="E38" s="22" t="s">
        <v>12</v>
      </c>
      <c r="F38" s="23">
        <v>1.5</v>
      </c>
      <c r="G38" s="56">
        <f>(VLOOKUP($D$4,'Role Details'!$B$4:$D$8,3,FALSE))*F38*VLOOKUP(E38,Phases!$B$3:$D$9,3,FALSE)</f>
        <v>10000</v>
      </c>
    </row>
    <row r="39" spans="1:7" ht="15.75" thickBot="1" x14ac:dyDescent="0.3">
      <c r="D39" s="116" t="s">
        <v>21</v>
      </c>
      <c r="E39" s="117"/>
      <c r="F39" s="118"/>
      <c r="G39" s="49">
        <f>SUM(G4:G38)</f>
        <v>487333.33333333331</v>
      </c>
    </row>
  </sheetData>
  <mergeCells count="6">
    <mergeCell ref="D39:F39"/>
    <mergeCell ref="D4:D10"/>
    <mergeCell ref="D11:D17"/>
    <mergeCell ref="D18:D24"/>
    <mergeCell ref="D25:D31"/>
    <mergeCell ref="D32:D3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0BAF-DAB4-4683-B5ED-3FD5648A2E0A}">
  <dimension ref="B1:E10"/>
  <sheetViews>
    <sheetView workbookViewId="0">
      <selection activeCell="D3" sqref="D3"/>
    </sheetView>
  </sheetViews>
  <sheetFormatPr defaultRowHeight="15" x14ac:dyDescent="0.25"/>
  <cols>
    <col min="2" max="2" width="31.42578125" bestFit="1" customWidth="1"/>
    <col min="3" max="3" width="20.7109375" bestFit="1" customWidth="1"/>
    <col min="4" max="4" width="13.42578125" bestFit="1" customWidth="1"/>
    <col min="5" max="5" width="14.85546875" bestFit="1" customWidth="1"/>
  </cols>
  <sheetData>
    <row r="1" spans="2:5" ht="15.75" thickBot="1" x14ac:dyDescent="0.3"/>
    <row r="2" spans="2:5" x14ac:dyDescent="0.25">
      <c r="B2" s="64" t="s">
        <v>53</v>
      </c>
      <c r="C2" s="65" t="s">
        <v>19</v>
      </c>
      <c r="D2" s="65" t="s">
        <v>20</v>
      </c>
      <c r="E2" s="66" t="s">
        <v>29</v>
      </c>
    </row>
    <row r="3" spans="2:5" x14ac:dyDescent="0.25">
      <c r="B3" s="67" t="s">
        <v>7</v>
      </c>
      <c r="C3" s="5">
        <v>1</v>
      </c>
      <c r="D3" s="59">
        <f>C3/12</f>
        <v>8.3333333333333329E-2</v>
      </c>
      <c r="E3" s="60">
        <f>SUMIF('Effort Assessment'!$E$4:$E$38,B3,'Effort Assessment'!$G$4:$G$38)</f>
        <v>12666.666666666666</v>
      </c>
    </row>
    <row r="4" spans="2:5" x14ac:dyDescent="0.25">
      <c r="B4" s="67" t="s">
        <v>13</v>
      </c>
      <c r="C4" s="5">
        <v>2</v>
      </c>
      <c r="D4" s="59">
        <f t="shared" ref="D4:D9" si="0">C4/12</f>
        <v>0.16666666666666666</v>
      </c>
      <c r="E4" s="60">
        <f>SUMIF('Effort Assessment'!$E$4:$E$38,B4,'Effort Assessment'!$G$4:$G$38)</f>
        <v>29333.333333333328</v>
      </c>
    </row>
    <row r="5" spans="2:5" x14ac:dyDescent="0.25">
      <c r="B5" s="67" t="s">
        <v>8</v>
      </c>
      <c r="C5" s="5">
        <v>4</v>
      </c>
      <c r="D5" s="59">
        <f t="shared" si="0"/>
        <v>0.33333333333333331</v>
      </c>
      <c r="E5" s="60">
        <f>SUMIF('Effort Assessment'!$E$4:$E$38,B5,'Effort Assessment'!$G$4:$G$38)</f>
        <v>77333.333333333328</v>
      </c>
    </row>
    <row r="6" spans="2:5" x14ac:dyDescent="0.25">
      <c r="B6" s="67" t="s">
        <v>9</v>
      </c>
      <c r="C6" s="5">
        <v>3</v>
      </c>
      <c r="D6" s="59">
        <f t="shared" si="0"/>
        <v>0.25</v>
      </c>
      <c r="E6" s="60">
        <f>SUMIF('Effort Assessment'!$E$4:$E$38,B6,'Effort Assessment'!$G$4:$G$38)</f>
        <v>82000</v>
      </c>
    </row>
    <row r="7" spans="2:5" x14ac:dyDescent="0.25">
      <c r="B7" s="67" t="s">
        <v>10</v>
      </c>
      <c r="C7" s="5">
        <v>5</v>
      </c>
      <c r="D7" s="59">
        <f t="shared" si="0"/>
        <v>0.41666666666666669</v>
      </c>
      <c r="E7" s="60">
        <f>SUMIF('Effort Assessment'!$E$4:$E$38,B7,'Effort Assessment'!$G$4:$G$38)</f>
        <v>220000</v>
      </c>
    </row>
    <row r="8" spans="2:5" x14ac:dyDescent="0.25">
      <c r="B8" s="67" t="s">
        <v>11</v>
      </c>
      <c r="C8" s="5">
        <v>2</v>
      </c>
      <c r="D8" s="59">
        <f t="shared" si="0"/>
        <v>0.16666666666666666</v>
      </c>
      <c r="E8" s="60">
        <f>SUMIF('Effort Assessment'!$E$4:$E$38,B8,'Effort Assessment'!$G$4:$G$38)</f>
        <v>46666.666666666664</v>
      </c>
    </row>
    <row r="9" spans="2:5" ht="15.75" thickBot="1" x14ac:dyDescent="0.3">
      <c r="B9" s="31" t="s">
        <v>12</v>
      </c>
      <c r="C9" s="61">
        <v>1</v>
      </c>
      <c r="D9" s="62">
        <f t="shared" si="0"/>
        <v>8.3333333333333329E-2</v>
      </c>
      <c r="E9" s="63">
        <f>SUMIF('Effort Assessment'!$E$4:$E$38,B9,'Effort Assessment'!$G$4:$G$38)</f>
        <v>19333.333333333332</v>
      </c>
    </row>
    <row r="10" spans="2:5" x14ac:dyDescent="0.25">
      <c r="B10" s="3"/>
      <c r="C10" s="3"/>
      <c r="D10" s="3"/>
      <c r="E10" s="58">
        <f>SUM(E3:E9)</f>
        <v>487333.33333333331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C0CA-5C59-4038-ACF6-9879F89A5BB3}">
  <dimension ref="B2:G9"/>
  <sheetViews>
    <sheetView workbookViewId="0">
      <selection activeCell="C7" sqref="C7"/>
    </sheetView>
  </sheetViews>
  <sheetFormatPr defaultColWidth="22.85546875" defaultRowHeight="15" x14ac:dyDescent="0.25"/>
  <cols>
    <col min="1" max="1" width="2.85546875" customWidth="1"/>
    <col min="2" max="2" width="23.140625" bestFit="1" customWidth="1"/>
    <col min="3" max="3" width="31.140625" style="2" customWidth="1"/>
    <col min="4" max="4" width="17" customWidth="1"/>
    <col min="5" max="5" width="11" bestFit="1" customWidth="1"/>
  </cols>
  <sheetData>
    <row r="2" spans="2:7" ht="15.75" thickBot="1" x14ac:dyDescent="0.3"/>
    <row r="3" spans="2:7" ht="15.75" thickBot="1" x14ac:dyDescent="0.3">
      <c r="B3" s="24" t="s">
        <v>0</v>
      </c>
      <c r="C3" s="25" t="s">
        <v>5</v>
      </c>
      <c r="D3" s="26" t="s">
        <v>18</v>
      </c>
      <c r="E3" s="26" t="s">
        <v>30</v>
      </c>
      <c r="F3" s="94" t="s">
        <v>34</v>
      </c>
      <c r="G3" s="95" t="s">
        <v>35</v>
      </c>
    </row>
    <row r="4" spans="2:7" ht="45" x14ac:dyDescent="0.25">
      <c r="B4" s="28" t="s">
        <v>4</v>
      </c>
      <c r="C4" s="96" t="s">
        <v>6</v>
      </c>
      <c r="D4" s="97">
        <v>80000</v>
      </c>
      <c r="E4" s="97">
        <f>SUMIF('Effort Assessment'!$A$4:$A$38,B4,'Effort Assessment'!$G$4:$G$38)</f>
        <v>79999.999999999985</v>
      </c>
      <c r="F4" s="98">
        <f>D4/250</f>
        <v>320</v>
      </c>
      <c r="G4" s="99">
        <f>E4/F4</f>
        <v>249.99999999999994</v>
      </c>
    </row>
    <row r="5" spans="2:7" ht="60" x14ac:dyDescent="0.25">
      <c r="B5" s="29" t="s">
        <v>14</v>
      </c>
      <c r="C5" s="42" t="s">
        <v>31</v>
      </c>
      <c r="D5" s="45">
        <v>80000</v>
      </c>
      <c r="E5" s="45">
        <f>SUMIF('Effort Assessment'!$A$4:$A$38,B5,'Effort Assessment'!$G$4:$G$38)</f>
        <v>93333.333333333328</v>
      </c>
      <c r="F5" s="43">
        <f t="shared" ref="F5:F8" si="0">D5/250</f>
        <v>320</v>
      </c>
      <c r="G5" s="44">
        <f t="shared" ref="G5:G8" si="1">E5/F5</f>
        <v>291.66666666666663</v>
      </c>
    </row>
    <row r="6" spans="2:7" ht="45" x14ac:dyDescent="0.25">
      <c r="B6" s="38" t="s">
        <v>15</v>
      </c>
      <c r="C6" s="39" t="s">
        <v>82</v>
      </c>
      <c r="D6" s="46">
        <v>50000</v>
      </c>
      <c r="E6" s="46">
        <f>SUMIF('Effort Assessment'!$A$4:$A$38,B6,'Effort Assessment'!$G$4:$G$38)</f>
        <v>137333.33333333334</v>
      </c>
      <c r="F6" s="40">
        <f t="shared" si="0"/>
        <v>200</v>
      </c>
      <c r="G6" s="41">
        <f t="shared" si="1"/>
        <v>686.66666666666674</v>
      </c>
    </row>
    <row r="7" spans="2:7" ht="45" x14ac:dyDescent="0.25">
      <c r="B7" s="30" t="s">
        <v>16</v>
      </c>
      <c r="C7" s="35" t="s">
        <v>32</v>
      </c>
      <c r="D7" s="47">
        <v>40000</v>
      </c>
      <c r="E7" s="47">
        <f>SUMIF('Effort Assessment'!$A$4:$A$38,B7,'Effort Assessment'!$G$4:$G$38)</f>
        <v>60000</v>
      </c>
      <c r="F7" s="36">
        <f t="shared" si="0"/>
        <v>160</v>
      </c>
      <c r="G7" s="37">
        <f t="shared" si="1"/>
        <v>375</v>
      </c>
    </row>
    <row r="8" spans="2:7" ht="60.75" thickBot="1" x14ac:dyDescent="0.3">
      <c r="B8" s="31" t="s">
        <v>17</v>
      </c>
      <c r="C8" s="32" t="s">
        <v>33</v>
      </c>
      <c r="D8" s="48">
        <v>65000</v>
      </c>
      <c r="E8" s="48">
        <f>SUMIF('Effort Assessment'!$A$4:$A$38,B8,'Effort Assessment'!$G$4:$G$38)</f>
        <v>116666.66666666666</v>
      </c>
      <c r="F8" s="33">
        <f t="shared" si="0"/>
        <v>260</v>
      </c>
      <c r="G8" s="34">
        <f t="shared" si="1"/>
        <v>448.71794871794867</v>
      </c>
    </row>
    <row r="9" spans="2:7" x14ac:dyDescent="0.25">
      <c r="E9" s="4">
        <f>SUM(E4:E8)</f>
        <v>487333.33333333326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7EF7-1FD3-4B0C-9639-C0E79A7F38DD}">
  <dimension ref="B2:C14"/>
  <sheetViews>
    <sheetView zoomScale="80" zoomScaleNormal="80" workbookViewId="0">
      <selection activeCell="C1" sqref="C1"/>
    </sheetView>
  </sheetViews>
  <sheetFormatPr defaultRowHeight="15" x14ac:dyDescent="0.25"/>
  <cols>
    <col min="1" max="1" width="1.85546875" customWidth="1"/>
    <col min="2" max="2" width="21.85546875" bestFit="1" customWidth="1"/>
    <col min="3" max="3" width="125.140625" customWidth="1"/>
  </cols>
  <sheetData>
    <row r="2" spans="2:3" ht="15.75" thickBot="1" x14ac:dyDescent="0.3"/>
    <row r="3" spans="2:3" ht="15.75" thickBot="1" x14ac:dyDescent="0.3">
      <c r="B3" s="24" t="s">
        <v>22</v>
      </c>
      <c r="C3" s="27" t="s">
        <v>23</v>
      </c>
    </row>
    <row r="4" spans="2:3" ht="180" x14ac:dyDescent="0.25">
      <c r="B4" s="74" t="s">
        <v>4</v>
      </c>
      <c r="C4" s="75" t="s">
        <v>28</v>
      </c>
    </row>
    <row r="5" spans="2:3" ht="120" x14ac:dyDescent="0.25">
      <c r="B5" s="69" t="s">
        <v>14</v>
      </c>
      <c r="C5" s="68" t="s">
        <v>27</v>
      </c>
    </row>
    <row r="6" spans="2:3" ht="90" x14ac:dyDescent="0.25">
      <c r="B6" s="70" t="s">
        <v>24</v>
      </c>
      <c r="C6" s="68" t="s">
        <v>83</v>
      </c>
    </row>
    <row r="7" spans="2:3" ht="75" x14ac:dyDescent="0.25">
      <c r="B7" s="71" t="s">
        <v>25</v>
      </c>
      <c r="C7" s="68" t="s">
        <v>55</v>
      </c>
    </row>
    <row r="8" spans="2:3" ht="270.75" thickBot="1" x14ac:dyDescent="0.3">
      <c r="B8" s="72" t="s">
        <v>26</v>
      </c>
      <c r="C8" s="73" t="s">
        <v>54</v>
      </c>
    </row>
    <row r="9" spans="2:3" x14ac:dyDescent="0.25">
      <c r="C9" s="2"/>
    </row>
    <row r="10" spans="2:3" x14ac:dyDescent="0.25">
      <c r="C10" s="2"/>
    </row>
    <row r="11" spans="2:3" x14ac:dyDescent="0.25">
      <c r="C11" s="2"/>
    </row>
    <row r="12" spans="2:3" x14ac:dyDescent="0.25">
      <c r="C12" s="2"/>
    </row>
    <row r="13" spans="2:3" x14ac:dyDescent="0.25">
      <c r="C13" s="2"/>
    </row>
    <row r="14" spans="2:3" x14ac:dyDescent="0.25">
      <c r="C1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EDA6-CD8A-4442-82DD-76F0B67AD484}">
  <dimension ref="B2:E20"/>
  <sheetViews>
    <sheetView workbookViewId="0">
      <selection activeCell="E22" sqref="E22"/>
    </sheetView>
  </sheetViews>
  <sheetFormatPr defaultRowHeight="15" x14ac:dyDescent="0.25"/>
  <cols>
    <col min="2" max="2" width="37.5703125" bestFit="1" customWidth="1"/>
    <col min="3" max="3" width="14.85546875" bestFit="1" customWidth="1"/>
    <col min="4" max="4" width="19.140625" bestFit="1" customWidth="1"/>
    <col min="5" max="5" width="18.42578125" customWidth="1"/>
  </cols>
  <sheetData>
    <row r="2" spans="2:5" ht="15.75" thickBot="1" x14ac:dyDescent="0.3"/>
    <row r="3" spans="2:5" ht="15.75" thickBot="1" x14ac:dyDescent="0.3">
      <c r="B3" s="77" t="s">
        <v>46</v>
      </c>
      <c r="C3" s="78" t="s">
        <v>41</v>
      </c>
      <c r="D3" s="78" t="s">
        <v>44</v>
      </c>
      <c r="E3" s="79" t="s">
        <v>45</v>
      </c>
    </row>
    <row r="4" spans="2:5" x14ac:dyDescent="0.25">
      <c r="B4" s="82" t="s">
        <v>36</v>
      </c>
      <c r="C4" s="85">
        <v>75</v>
      </c>
      <c r="D4" s="80">
        <v>2</v>
      </c>
      <c r="E4" s="81">
        <f>C4*D4</f>
        <v>150</v>
      </c>
    </row>
    <row r="5" spans="2:5" x14ac:dyDescent="0.25">
      <c r="B5" s="83" t="s">
        <v>37</v>
      </c>
      <c r="C5" s="86">
        <v>60</v>
      </c>
      <c r="D5" s="5">
        <v>3</v>
      </c>
      <c r="E5" s="60">
        <f t="shared" ref="E5:E6" si="0">C5*D5</f>
        <v>180</v>
      </c>
    </row>
    <row r="6" spans="2:5" x14ac:dyDescent="0.25">
      <c r="B6" s="84" t="s">
        <v>38</v>
      </c>
      <c r="C6" s="87">
        <v>25</v>
      </c>
      <c r="D6" s="5">
        <v>6</v>
      </c>
      <c r="E6" s="60">
        <f t="shared" si="0"/>
        <v>150</v>
      </c>
    </row>
    <row r="7" spans="2:5" ht="15.75" thickBot="1" x14ac:dyDescent="0.3">
      <c r="B7" s="133" t="s">
        <v>48</v>
      </c>
      <c r="C7" s="134"/>
      <c r="D7" s="135"/>
      <c r="E7" s="92">
        <f>SUM(E4:E6)</f>
        <v>480</v>
      </c>
    </row>
    <row r="8" spans="2:5" ht="15.75" thickBot="1" x14ac:dyDescent="0.3">
      <c r="E8" s="57"/>
    </row>
    <row r="9" spans="2:5" ht="15.75" thickBot="1" x14ac:dyDescent="0.3">
      <c r="B9" s="136" t="s">
        <v>47</v>
      </c>
      <c r="C9" s="137"/>
      <c r="D9" s="138"/>
      <c r="E9" s="89" t="s">
        <v>56</v>
      </c>
    </row>
    <row r="10" spans="2:5" x14ac:dyDescent="0.25">
      <c r="B10" s="139" t="s">
        <v>39</v>
      </c>
      <c r="C10" s="140"/>
      <c r="D10" s="141"/>
      <c r="E10" s="88">
        <f>0.5*E7</f>
        <v>240</v>
      </c>
    </row>
    <row r="11" spans="2:5" x14ac:dyDescent="0.25">
      <c r="B11" s="142" t="s">
        <v>40</v>
      </c>
      <c r="C11" s="143"/>
      <c r="D11" s="144"/>
      <c r="E11" s="60">
        <v>100</v>
      </c>
    </row>
    <row r="12" spans="2:5" x14ac:dyDescent="0.25">
      <c r="B12" s="142" t="s">
        <v>42</v>
      </c>
      <c r="C12" s="143"/>
      <c r="D12" s="144"/>
      <c r="E12" s="60">
        <v>250</v>
      </c>
    </row>
    <row r="13" spans="2:5" ht="15.75" thickBot="1" x14ac:dyDescent="0.3">
      <c r="B13" s="145" t="s">
        <v>51</v>
      </c>
      <c r="C13" s="146"/>
      <c r="D13" s="147"/>
      <c r="E13" s="92">
        <f>SUM(E10:E12)</f>
        <v>590</v>
      </c>
    </row>
    <row r="14" spans="2:5" ht="15.75" thickBot="1" x14ac:dyDescent="0.3">
      <c r="E14" s="76"/>
    </row>
    <row r="15" spans="2:5" ht="15.75" thickBot="1" x14ac:dyDescent="0.3">
      <c r="B15" s="126" t="s">
        <v>43</v>
      </c>
      <c r="C15" s="127"/>
      <c r="D15" s="128"/>
      <c r="E15" s="92">
        <f>E7+E13</f>
        <v>1070</v>
      </c>
    </row>
    <row r="16" spans="2:5" ht="15.75" thickBot="1" x14ac:dyDescent="0.3">
      <c r="E16" s="76"/>
    </row>
    <row r="17" spans="2:5" ht="15.75" thickBot="1" x14ac:dyDescent="0.3">
      <c r="B17" s="91" t="s">
        <v>57</v>
      </c>
      <c r="E17" s="76"/>
    </row>
    <row r="18" spans="2:5" x14ac:dyDescent="0.25">
      <c r="B18" s="129" t="s">
        <v>49</v>
      </c>
      <c r="C18" s="130"/>
      <c r="D18" s="130"/>
      <c r="E18" s="90">
        <f>'Role Details'!G6</f>
        <v>686.66666666666674</v>
      </c>
    </row>
    <row r="19" spans="2:5" ht="15.75" thickBot="1" x14ac:dyDescent="0.3">
      <c r="B19" s="131" t="s">
        <v>50</v>
      </c>
      <c r="C19" s="132"/>
      <c r="D19" s="132"/>
      <c r="E19" s="63">
        <f>'Role Details'!G7</f>
        <v>375</v>
      </c>
    </row>
    <row r="20" spans="2:5" ht="15.75" thickBot="1" x14ac:dyDescent="0.3">
      <c r="B20" s="126" t="s">
        <v>52</v>
      </c>
      <c r="C20" s="127"/>
      <c r="D20" s="128"/>
      <c r="E20" s="93">
        <f>E18+E19</f>
        <v>1061.6666666666667</v>
      </c>
    </row>
  </sheetData>
  <mergeCells count="10">
    <mergeCell ref="B15:D15"/>
    <mergeCell ref="B18:D18"/>
    <mergeCell ref="B19:D19"/>
    <mergeCell ref="B20:D20"/>
    <mergeCell ref="B7:D7"/>
    <mergeCell ref="B9:D9"/>
    <mergeCell ref="B10:D10"/>
    <mergeCell ref="B11:D11"/>
    <mergeCell ref="B12:D12"/>
    <mergeCell ref="B13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129C-5AAB-4EBA-AAA1-ABF523040F0E}">
  <dimension ref="B2:H25"/>
  <sheetViews>
    <sheetView tabSelected="1" workbookViewId="0">
      <selection activeCell="H19" sqref="H19"/>
    </sheetView>
  </sheetViews>
  <sheetFormatPr defaultRowHeight="15" x14ac:dyDescent="0.25"/>
  <cols>
    <col min="2" max="2" width="27.140625" customWidth="1"/>
    <col min="3" max="3" width="9.7109375" customWidth="1"/>
    <col min="4" max="4" width="23.42578125" bestFit="1" customWidth="1"/>
    <col min="5" max="5" width="44.28515625" customWidth="1"/>
    <col min="6" max="6" width="37.5703125" customWidth="1"/>
    <col min="7" max="7" width="16.85546875" bestFit="1" customWidth="1"/>
    <col min="8" max="8" width="87.7109375" bestFit="1" customWidth="1"/>
  </cols>
  <sheetData>
    <row r="2" spans="2:5" x14ac:dyDescent="0.25">
      <c r="B2" s="1" t="s">
        <v>58</v>
      </c>
      <c r="C2" s="1" t="s">
        <v>60</v>
      </c>
      <c r="D2" s="1" t="s">
        <v>62</v>
      </c>
      <c r="E2" s="1"/>
    </row>
    <row r="3" spans="2:5" ht="150" x14ac:dyDescent="0.25">
      <c r="B3" s="2" t="s">
        <v>59</v>
      </c>
      <c r="C3" s="2" t="s">
        <v>61</v>
      </c>
      <c r="D3" s="100">
        <f>C11</f>
        <v>120000</v>
      </c>
      <c r="E3" s="101"/>
    </row>
    <row r="4" spans="2:5" ht="15.75" thickBot="1" x14ac:dyDescent="0.3"/>
    <row r="5" spans="2:5" ht="15.75" thickBot="1" x14ac:dyDescent="0.3">
      <c r="B5" s="107" t="s">
        <v>79</v>
      </c>
    </row>
    <row r="6" spans="2:5" ht="15.75" thickBot="1" x14ac:dyDescent="0.3">
      <c r="B6" s="24" t="s">
        <v>80</v>
      </c>
      <c r="C6" s="94" t="s">
        <v>65</v>
      </c>
      <c r="D6" s="94" t="s">
        <v>64</v>
      </c>
      <c r="E6" s="27" t="s">
        <v>70</v>
      </c>
    </row>
    <row r="7" spans="2:5" ht="45" x14ac:dyDescent="0.25">
      <c r="B7" s="113" t="s">
        <v>63</v>
      </c>
      <c r="C7" s="108">
        <f>6000/120000</f>
        <v>0.05</v>
      </c>
      <c r="D7" s="109" t="s">
        <v>81</v>
      </c>
      <c r="E7" s="110" t="s">
        <v>72</v>
      </c>
    </row>
    <row r="8" spans="2:5" ht="45" x14ac:dyDescent="0.25">
      <c r="B8" s="114" t="s">
        <v>66</v>
      </c>
      <c r="C8" s="105">
        <f>0.05*150000</f>
        <v>7500</v>
      </c>
      <c r="D8" s="5" t="s">
        <v>67</v>
      </c>
      <c r="E8" s="111" t="s">
        <v>71</v>
      </c>
    </row>
    <row r="9" spans="2:5" ht="30" x14ac:dyDescent="0.25">
      <c r="B9" s="114" t="s">
        <v>68</v>
      </c>
      <c r="C9" s="105">
        <f>(7500*10)/(60*7.5)</f>
        <v>166.66666666666666</v>
      </c>
      <c r="D9" s="102" t="s">
        <v>69</v>
      </c>
      <c r="E9" s="111" t="s">
        <v>84</v>
      </c>
    </row>
    <row r="10" spans="2:5" ht="45" x14ac:dyDescent="0.25">
      <c r="B10" s="114" t="s">
        <v>73</v>
      </c>
      <c r="C10" s="106">
        <f>4*C9</f>
        <v>666.66666666666663</v>
      </c>
      <c r="D10" s="102" t="s">
        <v>74</v>
      </c>
      <c r="E10" s="111" t="s">
        <v>75</v>
      </c>
    </row>
    <row r="11" spans="2:5" ht="30.75" thickBot="1" x14ac:dyDescent="0.3">
      <c r="B11" s="115" t="s">
        <v>76</v>
      </c>
      <c r="C11" s="104">
        <f>(45000/250)*C10</f>
        <v>120000</v>
      </c>
      <c r="D11" s="103" t="s">
        <v>78</v>
      </c>
      <c r="E11" s="112" t="s">
        <v>77</v>
      </c>
    </row>
    <row r="13" spans="2:5" ht="15.75" thickBot="1" x14ac:dyDescent="0.3"/>
    <row r="14" spans="2:5" ht="15.75" thickBot="1" x14ac:dyDescent="0.3">
      <c r="B14" s="107" t="s">
        <v>79</v>
      </c>
    </row>
    <row r="15" spans="2:5" ht="15.75" thickBot="1" x14ac:dyDescent="0.3">
      <c r="B15" s="24" t="s">
        <v>80</v>
      </c>
      <c r="C15" s="94" t="s">
        <v>65</v>
      </c>
      <c r="D15" s="94" t="s">
        <v>64</v>
      </c>
      <c r="E15" s="27" t="s">
        <v>70</v>
      </c>
    </row>
    <row r="16" spans="2:5" ht="45" x14ac:dyDescent="0.25">
      <c r="B16" s="113" t="s">
        <v>63</v>
      </c>
      <c r="C16" s="108">
        <v>0.05</v>
      </c>
      <c r="D16" s="109" t="s">
        <v>81</v>
      </c>
      <c r="E16" s="110" t="s">
        <v>72</v>
      </c>
    </row>
    <row r="17" spans="2:8" ht="45" x14ac:dyDescent="0.25">
      <c r="B17" s="114" t="s">
        <v>66</v>
      </c>
      <c r="C17" s="105">
        <f>0.05*150000</f>
        <v>7500</v>
      </c>
      <c r="D17" s="5" t="s">
        <v>67</v>
      </c>
      <c r="E17" s="111" t="s">
        <v>71</v>
      </c>
      <c r="G17">
        <f>0.01*150000</f>
        <v>1500</v>
      </c>
    </row>
    <row r="18" spans="2:8" ht="30" x14ac:dyDescent="0.25">
      <c r="B18" s="114" t="s">
        <v>68</v>
      </c>
      <c r="C18" s="105">
        <f>(7500*10)/(60*7.5)</f>
        <v>166.66666666666666</v>
      </c>
      <c r="D18" s="102" t="s">
        <v>69</v>
      </c>
      <c r="E18" s="111" t="s">
        <v>84</v>
      </c>
      <c r="F18" s="1"/>
      <c r="G18">
        <f>(1500*10)/(60*7.5)</f>
        <v>33.333333333333336</v>
      </c>
      <c r="H18">
        <f>G18*4</f>
        <v>133.33333333333334</v>
      </c>
    </row>
    <row r="19" spans="2:8" ht="45" x14ac:dyDescent="0.25">
      <c r="B19" s="114" t="s">
        <v>73</v>
      </c>
      <c r="C19" s="106">
        <f>4*C18</f>
        <v>666.66666666666663</v>
      </c>
      <c r="D19" s="102" t="s">
        <v>74</v>
      </c>
      <c r="E19" s="111" t="s">
        <v>75</v>
      </c>
      <c r="H19">
        <f>(45000/240)*133.333333333333</f>
        <v>24999.999999999938</v>
      </c>
    </row>
    <row r="20" spans="2:8" ht="30.75" thickBot="1" x14ac:dyDescent="0.3">
      <c r="B20" s="115" t="s">
        <v>76</v>
      </c>
      <c r="C20" s="104">
        <f>(45000/250)*C19</f>
        <v>120000</v>
      </c>
      <c r="D20" s="103" t="s">
        <v>78</v>
      </c>
      <c r="E20" s="112" t="s">
        <v>77</v>
      </c>
    </row>
    <row r="25" spans="2:8" x14ac:dyDescent="0.25">
      <c r="D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Effort Assessment</vt:lpstr>
      <vt:lpstr>Phases</vt:lpstr>
      <vt:lpstr>Role Details</vt:lpstr>
      <vt:lpstr>Assumptions</vt:lpstr>
      <vt:lpstr>Development Deliverables Calc</vt:lpstr>
      <vt:lpstr>Benefits Calculation Worked 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Hawker</dc:creator>
  <cp:lastModifiedBy>Robert Hawker</cp:lastModifiedBy>
  <dcterms:created xsi:type="dcterms:W3CDTF">2023-01-05T15:15:13Z</dcterms:created>
  <dcterms:modified xsi:type="dcterms:W3CDTF">2023-04-06T15:48:46Z</dcterms:modified>
</cp:coreProperties>
</file>