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10\"/>
    </mc:Choice>
  </mc:AlternateContent>
  <xr:revisionPtr revIDLastSave="0" documentId="13_ncr:1_{0BE201D6-25E6-40E7-9FD6-142BA077F360}" xr6:coauthVersionLast="47" xr6:coauthVersionMax="48" xr10:uidLastSave="{00000000-0000-0000-0000-000000000000}"/>
  <bookViews>
    <workbookView xWindow="20370" yWindow="-4800" windowWidth="29040" windowHeight="16440" xr2:uid="{34308FCB-668B-4E5F-B915-B3DC17B557AA}"/>
  </bookViews>
  <sheets>
    <sheet name="VLOOKUP and IFNA" sheetId="1" r:id="rId1"/>
    <sheet name="MATCH and INDEX" sheetId="8" r:id="rId2"/>
    <sheet name="SUMIF and SUMIFS" sheetId="2" r:id="rId3"/>
    <sheet name="XLOOKUP Exact Match" sheetId="31" r:id="rId4"/>
    <sheet name="XLOOKUP Approximate Matches" sheetId="28" r:id="rId5"/>
    <sheet name="XLOOKUP Search Mode" sheetId="6" r:id="rId6"/>
    <sheet name="XLOOKUP Multi Column Criteria" sheetId="25" r:id="rId7"/>
    <sheet name="XLOOKUP Multi Column Results" sheetId="5" r:id="rId8"/>
    <sheet name="XMATCH" sheetId="32" r:id="rId9"/>
    <sheet name="UNIQUE" sheetId="9" r:id="rId10"/>
    <sheet name="SORT and SORTBY" sheetId="10" r:id="rId11"/>
    <sheet name="FILTER" sheetId="11" r:id="rId12"/>
    <sheet name="Spilled Range Operator" sheetId="16" r:id="rId13"/>
    <sheet name="Dynamic Amortization Table" sheetId="18" r:id="rId14"/>
    <sheet name="#SPILL! Errors" sheetId="27" r:id="rId15"/>
    <sheet name="RAND and RANDBETWEEN" sheetId="14" r:id="rId16"/>
    <sheet name="RANDARRAY" sheetId="30" r:id="rId17"/>
  </sheets>
  <definedNames>
    <definedName name="_xlnm._FilterDatabase" localSheetId="0" hidden="1">'VLOOKUP and IFNA'!$C$1:$C$11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8" l="1"/>
  <c r="H13" i="28" a="1"/>
  <c r="H13" i="28" s="1"/>
  <c r="H18" i="2"/>
  <c r="H13" i="2"/>
  <c r="H8" i="28"/>
  <c r="I13" i="31"/>
  <c r="H13" i="31"/>
  <c r="O9" i="8"/>
  <c r="I13" i="1"/>
  <c r="H13" i="1"/>
  <c r="H8" i="1"/>
  <c r="H3" i="1"/>
  <c r="H8" i="6" a="1"/>
  <c r="H8" i="6" s="1"/>
  <c r="H3" i="6" a="1"/>
  <c r="H3" i="6" s="1"/>
  <c r="Q13" i="11" a="1"/>
  <c r="Q13" i="11" s="1"/>
  <c r="Q6" i="11" a="1"/>
  <c r="Q6" i="11" s="1"/>
  <c r="L11" i="11" a="1"/>
  <c r="L11" i="11" s="1"/>
  <c r="L6" i="11" a="1"/>
  <c r="L6" i="11" s="1"/>
  <c r="V3" i="10" a="1"/>
  <c r="V3" i="10" s="1"/>
  <c r="G6" i="11" a="1"/>
  <c r="G6" i="11" s="1"/>
  <c r="H13" i="32"/>
  <c r="H8" i="32"/>
  <c r="H3" i="32"/>
  <c r="I8" i="31"/>
  <c r="H8" i="31"/>
  <c r="I3" i="31"/>
  <c r="H3" i="31"/>
  <c r="I18" i="2"/>
  <c r="I13" i="2"/>
  <c r="H8" i="8"/>
  <c r="I3" i="2"/>
  <c r="H3" i="2"/>
  <c r="L3" i="8"/>
  <c r="K3" i="8"/>
  <c r="L9" i="8"/>
  <c r="K9" i="8"/>
  <c r="H13" i="8"/>
  <c r="O3" i="8"/>
  <c r="P3" i="8"/>
  <c r="P9" i="8"/>
  <c r="I8" i="1"/>
  <c r="D9" i="18" a="1"/>
  <c r="D9" i="18" s="1"/>
  <c r="C9" i="18" a="1"/>
  <c r="C9" i="18" s="1"/>
  <c r="A9" i="18" a="1"/>
  <c r="A9" i="18" s="1"/>
  <c r="B9" i="18" s="1" a="1"/>
  <c r="B9" i="18" s="1"/>
  <c r="I2" i="30" a="1"/>
  <c r="I2" i="30" s="1"/>
  <c r="G2" i="30" a="1"/>
  <c r="G2" i="30" s="1"/>
  <c r="D2" i="30" a="1"/>
  <c r="D2" i="30" s="1"/>
  <c r="B2" i="30" a="1"/>
  <c r="B2" i="30" s="1"/>
  <c r="H3" i="28"/>
  <c r="H8" i="2"/>
  <c r="I8" i="2"/>
  <c r="K3" i="25"/>
  <c r="J3" i="25"/>
  <c r="B4" i="25"/>
  <c r="B5" i="25"/>
  <c r="B6" i="25"/>
  <c r="B7" i="25"/>
  <c r="B8" i="25"/>
  <c r="B9" i="25"/>
  <c r="B10" i="25"/>
  <c r="B11" i="25"/>
  <c r="B12" i="25"/>
  <c r="B3" i="25"/>
  <c r="G15" i="27" a="1"/>
  <c r="G15" i="27" s="1"/>
  <c r="J8" i="25" a="1"/>
  <c r="J8" i="25" s="1"/>
  <c r="G3" i="27" a="1"/>
  <c r="G3" i="27" s="1"/>
  <c r="V7" i="11" a="1"/>
  <c r="V7" i="11" s="1"/>
  <c r="AA6" i="11" a="1"/>
  <c r="AA6" i="11" s="1"/>
  <c r="H3" i="8"/>
  <c r="I3" i="1"/>
  <c r="G6" i="16" a="1"/>
  <c r="G6" i="16" s="1"/>
  <c r="H6" i="16" s="1" a="1"/>
  <c r="H6" i="16" s="1"/>
  <c r="L3" i="10" a="1"/>
  <c r="L3" i="10" s="1"/>
  <c r="Q3" i="10" a="1"/>
  <c r="Q3" i="10" s="1"/>
  <c r="G3" i="10" a="1"/>
  <c r="G3" i="10" s="1"/>
  <c r="I3" i="9" a="1"/>
  <c r="I3" i="9" s="1"/>
  <c r="G3" i="9" a="1"/>
  <c r="G3" i="9" s="1"/>
  <c r="D2" i="14"/>
  <c r="B2" i="14"/>
  <c r="O4" i="5"/>
  <c r="O5" i="5"/>
  <c r="O6" i="5"/>
  <c r="O7" i="5"/>
  <c r="O3" i="5"/>
  <c r="C16" i="5"/>
  <c r="C11" i="5" a="1"/>
  <c r="C11" i="5" s="1"/>
  <c r="E9" i="18" l="1" a="1"/>
  <c r="E9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70786342-680C-4C4A-B07A-7A98F8245057}">
      <text/>
    </comment>
    <comment ref="H8" authorId="0" shapeId="0" xr:uid="{C4E3AD3A-A8E6-4666-AD8E-A5A7371C6EDF}">
      <text/>
    </comment>
    <comment ref="H13" authorId="0" shapeId="0" xr:uid="{E8E5B560-4CD5-496F-95D8-52531C8F19A1}">
      <text/>
    </comment>
    <comment ref="I13" authorId="0" shapeId="0" xr:uid="{70A2244C-4B15-4A56-B80A-D6FCDF49634D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B61DC066-B653-4726-8E66-7106237A0C0E}">
      <text/>
    </comment>
    <comment ref="K3" authorId="0" shapeId="0" xr:uid="{044AA148-AF1F-43C9-90F7-A10C4B1E91B5}">
      <text/>
    </comment>
    <comment ref="L3" authorId="0" shapeId="0" xr:uid="{34C06728-06EF-49C1-ABC8-CF7A075E0AA9}">
      <text/>
    </comment>
    <comment ref="O3" authorId="0" shapeId="0" xr:uid="{47047CE9-5463-42BE-82A0-62368776EFC2}">
      <text/>
    </comment>
    <comment ref="P3" authorId="0" shapeId="0" xr:uid="{4D0C2B45-5947-4911-8233-ADF20D8F7CA1}">
      <text/>
    </comment>
    <comment ref="H8" authorId="0" shapeId="0" xr:uid="{302958CF-7765-4733-92A2-E92C584F73E6}">
      <text/>
    </comment>
    <comment ref="K9" authorId="0" shapeId="0" xr:uid="{EFBFD63E-9EF4-4F46-B723-BD2443F21756}">
      <text/>
    </comment>
    <comment ref="L9" authorId="0" shapeId="0" xr:uid="{F1D64AB0-6D62-443E-8A96-93D0CBBC02E7}">
      <text/>
    </comment>
    <comment ref="O9" authorId="0" shapeId="0" xr:uid="{20917358-D2C0-439B-99EC-60A826534A50}">
      <text/>
    </comment>
    <comment ref="H13" authorId="0" shapeId="0" xr:uid="{2D423CF7-0F7B-4782-86A5-A8166EE03A1A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9BCEE91E-925E-47CE-AA91-3563732BA13F}">
      <text/>
    </comment>
    <comment ref="H8" authorId="0" shapeId="0" xr:uid="{7FDEFC0A-1A91-45E3-9857-D278F1D5FF9D}">
      <text/>
    </comment>
    <comment ref="H13" authorId="0" shapeId="0" xr:uid="{7B0D7F54-3AE0-4AFF-AC5E-31BF613EF549}">
      <text/>
    </comment>
    <comment ref="H18" authorId="0" shapeId="0" xr:uid="{43D6A442-734F-43FD-B2A0-99268FF779C3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15B5DDA3-48DA-4128-B360-9171F4C20605}">
      <text/>
    </comment>
    <comment ref="H8" authorId="0" shapeId="0" xr:uid="{5A760ADE-65C2-4F5D-97AE-A24BBD9F14C5}">
      <text/>
    </comment>
    <comment ref="H13" authorId="0" shapeId="0" xr:uid="{1D1C9F26-217C-4A1F-BDBF-292757336DB3}">
      <text/>
    </comment>
    <comment ref="I13" authorId="0" shapeId="0" xr:uid="{A9AEE41A-3139-4FFA-AE07-DF34636680EC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CD34F838-953D-4450-B6E8-2FE959F20856}">
      <text/>
    </comment>
    <comment ref="H8" authorId="0" shapeId="0" xr:uid="{FC7E95C1-CB8B-4718-BFC7-B19666096571}">
      <text/>
    </comment>
    <comment ref="H13" authorId="0" shapeId="0" xr:uid="{6BEBAD07-AA2D-4643-8A1D-E28F91F1131B}">
      <text/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56AB7D7C-E32D-419C-81F9-4236C322212D}">
      <text/>
    </comment>
    <comment ref="H8" authorId="0" shapeId="0" xr:uid="{49280B28-79D7-4D4A-BBD4-28A4F6C3ABAF}">
      <text/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3" authorId="0" shapeId="0" xr:uid="{88776B8F-2E27-4AA7-BACB-271AB169D9C3}">
      <text/>
    </comment>
    <comment ref="J3" authorId="0" shapeId="0" xr:uid="{2B62C308-1106-4CA3-99A9-2D3CD51542F2}">
      <text/>
    </comment>
    <comment ref="J8" authorId="0" shapeId="0" xr:uid="{0BBA3208-D696-4902-AED9-E10842923152}">
      <text/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11" authorId="0" shapeId="0" xr:uid="{1C87F6EF-ACA5-42E5-9DFC-CC9651343A2E}">
      <text/>
    </comment>
    <comment ref="C16" authorId="0" shapeId="0" xr:uid="{BA65F414-BCA3-47FE-B157-0C285602A698}">
      <text/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06E5BA7C-82D5-4D9C-A07F-9DF808B87EC8}">
      <text>
        <r>
          <rPr>
            <sz val="9"/>
            <color indexed="81"/>
            <rFont val="Tahoma"/>
            <family val="2"/>
          </rPr>
          <t>`</t>
        </r>
      </text>
    </comment>
    <comment ref="H8" authorId="0" shapeId="0" xr:uid="{6BDB21DE-0D63-4FAB-A39D-D5B55773CD4B}">
      <text/>
    </comment>
    <comment ref="H13" authorId="0" shapeId="0" xr:uid="{54F9FA67-098D-46ED-BD14-4B1AA3512D50}">
      <text/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D487680A-A48A-4B3E-8DE9-0488D0E8626D}">
      <text/>
    </comment>
    <comment ref="I3" authorId="0" shapeId="0" xr:uid="{E93AA24D-E2BA-476C-9C81-0C7E8C2374C0}">
      <text/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FFBD6A2B-0D0E-410E-88F7-B7D3077C5438}">
      <text/>
    </comment>
    <comment ref="L3" authorId="0" shapeId="0" xr:uid="{ABEC06C1-D392-4D15-8E26-7F2222417CE4}">
      <text/>
    </comment>
    <comment ref="Q3" authorId="0" shapeId="0" xr:uid="{F3889807-CDDA-49DD-A36A-DF67247AC58E}">
      <text/>
    </comment>
    <comment ref="V3" authorId="0" shapeId="0" xr:uid="{17BCB9F3-164B-4E67-925A-1D49FE42E804}">
      <text/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6" authorId="0" shapeId="0" xr:uid="{131DA2AE-E481-4517-9528-80073817BE89}">
      <text/>
    </comment>
    <comment ref="L6" authorId="0" shapeId="0" xr:uid="{D636AEC4-F9A8-4111-B946-104DFB92651B}">
      <text/>
    </comment>
    <comment ref="Q6" authorId="0" shapeId="0" xr:uid="{33B2131D-EA4C-425F-BFD7-84DDA4CCB2A4}">
      <text/>
    </comment>
    <comment ref="AA6" authorId="0" shapeId="0" xr:uid="{817BC726-1BDA-4549-8340-8B458F1EDE25}">
      <text/>
    </comment>
    <comment ref="V7" authorId="0" shapeId="0" xr:uid="{B9E74F58-35BF-47F6-9CB7-E278703FB756}">
      <text/>
    </comment>
    <comment ref="L11" authorId="0" shapeId="0" xr:uid="{47EE1594-A221-478E-A85D-7D483FA55806}">
      <text/>
    </comment>
    <comment ref="Q12" authorId="0" shapeId="0" xr:uid="{2C7D5268-EE53-418D-B73B-5AB015863FAF}">
      <text>
        <r>
          <rPr>
            <b/>
            <sz val="9"/>
            <color indexed="81"/>
            <rFont val="Tahoma"/>
            <family val="2"/>
          </rPr>
          <t>David Ringstrom: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" authorId="0" shapeId="0" xr:uid="{478D61EC-C0E6-465B-8644-14526438A0CA}">
      <text/>
    </comment>
    <comment ref="Q27" authorId="0" shapeId="0" xr:uid="{B6889469-631C-4B33-A0FD-2FF0C4609662}">
      <text>
        <r>
          <rPr>
            <b/>
            <sz val="9"/>
            <color indexed="81"/>
            <rFont val="Tahoma"/>
            <family val="2"/>
          </rPr>
          <t>David Ringstrom: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6" authorId="0" shapeId="0" xr:uid="{3A472340-0190-4A17-B090-9211BA08C157}">
      <text/>
    </comment>
    <comment ref="H6" authorId="0" shapeId="0" xr:uid="{1D4631ED-BD2C-4F6E-AE98-6BE40A793AC1}">
      <text/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6" authorId="0" shapeId="0" xr:uid="{94C486CA-BCB7-4DF3-9BCE-1458D7C34CDD}">
      <text/>
    </comment>
    <comment ref="A9" authorId="0" shapeId="0" xr:uid="{7E815236-9E6D-4B8A-9D48-9CB415DE001D}">
      <text/>
    </comment>
    <comment ref="B9" authorId="0" shapeId="0" xr:uid="{AB098293-35A6-4D8B-A19A-FB34F3213D77}">
      <text/>
    </comment>
    <comment ref="C9" authorId="0" shapeId="0" xr:uid="{C8B58F27-A54F-4C39-9228-682FA9FBA81F}">
      <text/>
    </comment>
    <comment ref="D9" authorId="0" shapeId="0" xr:uid="{D2A27DC1-89E3-43E6-81E0-156D2C5A2A10}">
      <text/>
    </comment>
    <comment ref="E9" authorId="0" shapeId="0" xr:uid="{1A99037B-20C4-47C0-B677-8D0DEE9ABBA7}">
      <text/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ED6FDFB1-BDB5-4E46-BAC2-FEAA01E7F9AC}">
      <text/>
    </comment>
    <comment ref="G15" authorId="0" shapeId="0" xr:uid="{C191D3C9-DA2B-46D1-8F79-4B4CE0BD4B73}">
      <text/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2" authorId="0" shapeId="0" xr:uid="{07FCB239-586C-41C2-9428-D33789498BCE}">
      <text/>
    </comment>
    <comment ref="D2" authorId="0" shapeId="0" xr:uid="{3709AD22-AB39-4042-9522-09FC88D0A078}">
      <text/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2" authorId="0" shapeId="0" xr:uid="{1A166829-6C64-4D6D-B030-AAD3C8691462}">
      <text/>
    </comment>
    <comment ref="D2" authorId="0" shapeId="0" xr:uid="{A815ECB1-EF96-4BC2-9D30-309331ACB782}">
      <text/>
    </comment>
    <comment ref="G2" authorId="0" shapeId="0" xr:uid="{5A9B8DCB-BB2B-4543-A38E-1F93ECCE0F80}">
      <text/>
    </comment>
    <comment ref="I2" authorId="0" shapeId="0" xr:uid="{E82D753A-14F8-4CF9-90BA-F6B4891C37C8}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<sst xmlns="http://schemas.openxmlformats.org/spreadsheetml/2006/main" count="822" uniqueCount="121">
  <si>
    <t>Beach</t>
  </si>
  <si>
    <t>Country</t>
  </si>
  <si>
    <t>Praia do Cassino Beach</t>
  </si>
  <si>
    <t>Ninety Mile Beach</t>
  </si>
  <si>
    <t>Cox's Bazar</t>
  </si>
  <si>
    <t>Padre Island National Seashore</t>
  </si>
  <si>
    <t>Playa Novillero</t>
  </si>
  <si>
    <t>Virginia Beach</t>
  </si>
  <si>
    <t>Long Beach</t>
  </si>
  <si>
    <t>Muizenberg</t>
  </si>
  <si>
    <t>Stockton Beach</t>
  </si>
  <si>
    <t>May</t>
  </si>
  <si>
    <t>Team</t>
  </si>
  <si>
    <t>Red</t>
  </si>
  <si>
    <t>White</t>
  </si>
  <si>
    <t>Blue</t>
  </si>
  <si>
    <t>Yellow</t>
  </si>
  <si>
    <t>Green</t>
  </si>
  <si>
    <t>Total</t>
  </si>
  <si>
    <t>New Zealand</t>
  </si>
  <si>
    <t>Miles</t>
  </si>
  <si>
    <t>Kilometers</t>
  </si>
  <si>
    <t>Unique List of Countries</t>
  </si>
  <si>
    <t>United States</t>
  </si>
  <si>
    <t>Australia</t>
  </si>
  <si>
    <t>Bangladesh</t>
  </si>
  <si>
    <t>South Africa</t>
  </si>
  <si>
    <t>Mexico</t>
  </si>
  <si>
    <t>Brazil</t>
  </si>
  <si>
    <t>Beaches</t>
  </si>
  <si>
    <t>Interest</t>
  </si>
  <si>
    <t>Term</t>
  </si>
  <si>
    <t>Principal</t>
  </si>
  <si>
    <t>Start Date</t>
  </si>
  <si>
    <t>Payment</t>
  </si>
  <si>
    <t>Period #</t>
  </si>
  <si>
    <t>Date</t>
  </si>
  <si>
    <t>Balance</t>
  </si>
  <si>
    <t>Obstruction blocking UNIQUE</t>
  </si>
  <si>
    <t>United States of America</t>
  </si>
  <si>
    <t>World's Longest Beaches</t>
  </si>
  <si>
    <t>Total Sales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</si>
  <si>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</si>
  <si>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</si>
  <si>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</si>
  <si>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</si>
  <si>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</si>
  <si>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</si>
  <si>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</si>
  <si>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</si>
  <si>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</si>
  <si>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</si>
  <si>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</si>
  <si>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UNIQUE Function</t>
  </si>
  <si>
    <t>SORT Function (Alphabetical by Beach)</t>
  </si>
  <si>
    <t>SORT Function (Ascending By Miles)</t>
  </si>
  <si>
    <t>MIles</t>
  </si>
  <si>
    <t>Country:</t>
  </si>
  <si>
    <t>FILTER Function with Two Criteria</t>
  </si>
  <si>
    <t>Greater Than or Equal To Miles:</t>
  </si>
  <si>
    <t>XLOOKUP Extract Monthly Sales and return results to multiple cells</t>
  </si>
  <si>
    <t>Monthly Sales By Team</t>
  </si>
  <si>
    <t>SUM/XLOOKUP Extract Monthly Sales and return the total of the results to a single cell</t>
  </si>
  <si>
    <t>MATCH/INDEX  Return Miles/Kilometers</t>
  </si>
  <si>
    <t>INDEX/MATCH/MATCH Return Miles/Kilometers</t>
  </si>
  <si>
    <t>&gt;=Miles:</t>
  </si>
  <si>
    <t>Spilled Range Operator (#)</t>
  </si>
  <si>
    <t>Random Number Between 0 and 1</t>
  </si>
  <si>
    <t>Random Integer Between 100 and 500</t>
  </si>
  <si>
    <t>3 Random Numbers Between 0 and 1</t>
  </si>
  <si>
    <t xml:space="preserve">6 Random Numbers Between 100 and 500 </t>
  </si>
  <si>
    <t>6 Random Integers Between 100 and 500</t>
  </si>
  <si>
    <t>Random Numbers in 
4 rows and 2 columns</t>
  </si>
  <si>
    <t>XLOOKUP Top Down Search</t>
  </si>
  <si>
    <t>XLOOKUP Bottom Up Search</t>
  </si>
  <si>
    <t>FILTER Results in a Single Column</t>
  </si>
  <si>
    <t>VLOOKUP Match Found</t>
  </si>
  <si>
    <t>Helper Column</t>
  </si>
  <si>
    <t>XLOOKUP Match on Beach/Country</t>
  </si>
  <si>
    <t>VLOOKUP Match on Beach/Country</t>
  </si>
  <si>
    <t>Ninety-Mile Beach</t>
  </si>
  <si>
    <t>Duplication of the original list</t>
  </si>
  <si>
    <t>VLOOKUP No Match Found</t>
  </si>
  <si>
    <t>Short Beach</t>
  </si>
  <si>
    <t>IFNA/VLOOKUP No Match Found</t>
  </si>
  <si>
    <t>MATCH Return row position</t>
  </si>
  <si>
    <t>MATCH Return column position</t>
  </si>
  <si>
    <t>Row Position</t>
  </si>
  <si>
    <t>Column Position</t>
  </si>
  <si>
    <t>Row Lookup</t>
  </si>
  <si>
    <t>Column Lookup</t>
  </si>
  <si>
    <t>VLOOKUP/MATCH Return Miles/Kilometers</t>
  </si>
  <si>
    <t>VLOOKUP Return Miles/Kilometers</t>
  </si>
  <si>
    <t>SUMIF Match Found</t>
  </si>
  <si>
    <t>SUMIF No Match Found</t>
  </si>
  <si>
    <t>MATCH No Match Found</t>
  </si>
  <si>
    <t>SUMIFS Match Found</t>
  </si>
  <si>
    <t>SUMIFS No Match Found</t>
  </si>
  <si>
    <t>XLOOKUP No Match Found</t>
  </si>
  <si>
    <t>XLOOKUP With Error Handling</t>
  </si>
  <si>
    <t>XLOOKUP Exact Match Found</t>
  </si>
  <si>
    <t>XMATCH Return row position</t>
  </si>
  <si>
    <t>XMATCH No Match Found</t>
  </si>
  <si>
    <t>XMATCH Return column position</t>
  </si>
  <si>
    <t>FILTER Function (Beach = cell H2) - Match Found</t>
  </si>
  <si>
    <t>FILTER Function No matches found</t>
  </si>
  <si>
    <t>FILTER Function if_empty argument</t>
  </si>
  <si>
    <t>FILTER Function (Beach = cell R2)</t>
  </si>
  <si>
    <t>XLOOKUP &lt;=60 miles in length</t>
  </si>
  <si>
    <t>XLOOKUP &gt;=60 miles in length</t>
  </si>
  <si>
    <t>Two SORT Functions (Alphabetically By Country,
Descending By Miles)</t>
  </si>
  <si>
    <t>SORTBY Function (Alphabetically By Country, Descending By Miles)</t>
  </si>
  <si>
    <t>Criterion</t>
  </si>
  <si>
    <t>SORT/FILTER Function (Beach = R2, Descending by Miles)</t>
  </si>
  <si>
    <t>Two Criteria</t>
  </si>
  <si>
    <t>Dynamic Amortization Table 
United States Dollars</t>
  </si>
  <si>
    <t>Dynamic Amortization Schedule
Work Area</t>
  </si>
  <si>
    <t>#SPILL! Caused by Obstruction in Cell B7</t>
  </si>
  <si>
    <t>Work Area</t>
  </si>
  <si>
    <t>Work area</t>
  </si>
  <si>
    <t>#SPILL! caused by Overwritten Results in Cell 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</si>
</sst>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1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1B406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Arial"/>
      <family val="2"/>
    </font>
    <font>
      <b/>
      <sz val="9"/>
      <color indexed="81"/>
      <name val="Tahoma"/>
      <family val="2"/>
    </font>
    <font>
      <sz val="11"/>
      <color rgb="FF000000"/>
      <name val="Arial"/>
      <family val="2"/>
    </font>
    <font>
      <b/>
      <sz val="11"/>
      <color rgb="FF1B406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D9E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2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1" fontId="0" fillId="0" borderId="0" xfId="0" applyNumberFormat="1"/>
    <xf numFmtId="164" fontId="0" fillId="0" borderId="0" xfId="1" applyNumberFormat="1" applyFont="1"/>
    <xf numFmtId="0" fontId="7" fillId="0" borderId="0" xfId="0" applyFont="1"/>
    <xf numFmtId="0" fontId="1" fillId="0" borderId="0" xfId="0" applyFont="1" applyAlignment="1">
      <alignment wrapText="1"/>
    </xf>
    <xf numFmtId="43" fontId="0" fillId="0" borderId="0" xfId="1" applyFont="1"/>
    <xf numFmtId="10" fontId="0" fillId="0" borderId="0" xfId="0" applyNumberFormat="1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horizontal="centerContinuous"/>
    </xf>
    <xf numFmtId="0" fontId="9" fillId="3" borderId="0" xfId="0" applyFont="1" applyFill="1" applyAlignment="1">
      <alignment horizontal="centerContinuous"/>
    </xf>
    <xf numFmtId="0" fontId="11" fillId="3" borderId="0" xfId="0" applyFont="1" applyFill="1" applyAlignment="1">
      <alignment horizontal="centerContinuous"/>
    </xf>
    <xf numFmtId="0" fontId="1" fillId="0" borderId="0" xfId="0" applyFont="1" applyAlignment="1">
      <alignment horizontal="center"/>
    </xf>
    <xf numFmtId="0" fontId="11" fillId="3" borderId="1" xfId="0" applyFont="1" applyFill="1" applyBorder="1" applyAlignment="1">
      <alignment horizontal="centerContinuous"/>
    </xf>
    <xf numFmtId="0" fontId="9" fillId="3" borderId="2" xfId="0" applyFont="1" applyFill="1" applyBorder="1" applyAlignment="1">
      <alignment horizontal="centerContinuous"/>
    </xf>
    <xf numFmtId="0" fontId="9" fillId="3" borderId="3" xfId="0" applyFont="1" applyFill="1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1" fontId="0" fillId="0" borderId="5" xfId="0" applyNumberFormat="1" applyBorder="1"/>
    <xf numFmtId="0" fontId="0" fillId="0" borderId="6" xfId="0" applyBorder="1"/>
    <xf numFmtId="0" fontId="0" fillId="0" borderId="7" xfId="0" applyBorder="1"/>
    <xf numFmtId="1" fontId="0" fillId="0" borderId="8" xfId="0" applyNumberFormat="1" applyBorder="1"/>
    <xf numFmtId="0" fontId="10" fillId="3" borderId="3" xfId="0" applyFont="1" applyFill="1" applyBorder="1" applyAlignment="1">
      <alignment horizontal="centerContinuous"/>
    </xf>
    <xf numFmtId="0" fontId="2" fillId="2" borderId="8" xfId="0" applyFont="1" applyFill="1" applyBorder="1"/>
    <xf numFmtId="0" fontId="1" fillId="0" borderId="1" xfId="0" applyFont="1" applyBorder="1"/>
    <xf numFmtId="0" fontId="4" fillId="0" borderId="8" xfId="0" applyFont="1" applyBorder="1"/>
    <xf numFmtId="0" fontId="1" fillId="0" borderId="2" xfId="0" applyFont="1" applyBorder="1"/>
    <xf numFmtId="0" fontId="11" fillId="3" borderId="2" xfId="0" applyFont="1" applyFill="1" applyBorder="1" applyAlignment="1">
      <alignment horizontal="centerContinuous"/>
    </xf>
    <xf numFmtId="0" fontId="11" fillId="3" borderId="3" xfId="0" applyFont="1" applyFill="1" applyBorder="1" applyAlignment="1">
      <alignment horizontal="centerContinuous"/>
    </xf>
    <xf numFmtId="0" fontId="2" fillId="2" borderId="7" xfId="0" applyFont="1" applyFill="1" applyBorder="1"/>
    <xf numFmtId="0" fontId="0" fillId="0" borderId="8" xfId="0" applyBorder="1"/>
    <xf numFmtId="0" fontId="0" fillId="0" borderId="3" xfId="0" applyBorder="1"/>
    <xf numFmtId="0" fontId="4" fillId="0" borderId="7" xfId="0" applyFont="1" applyBorder="1"/>
    <xf numFmtId="0" fontId="2" fillId="2" borderId="5" xfId="0" applyFont="1" applyFill="1" applyBorder="1"/>
    <xf numFmtId="0" fontId="4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4" xfId="0" applyFont="1" applyBorder="1"/>
    <xf numFmtId="164" fontId="0" fillId="0" borderId="5" xfId="1" applyNumberFormat="1" applyFont="1" applyBorder="1"/>
    <xf numFmtId="0" fontId="7" fillId="0" borderId="6" xfId="0" applyFont="1" applyBorder="1"/>
    <xf numFmtId="164" fontId="0" fillId="0" borderId="8" xfId="1" applyNumberFormat="1" applyFont="1" applyBorder="1"/>
    <xf numFmtId="0" fontId="0" fillId="0" borderId="2" xfId="0" applyBorder="1"/>
    <xf numFmtId="164" fontId="2" fillId="2" borderId="7" xfId="1" applyNumberFormat="1" applyFont="1" applyFill="1" applyBorder="1"/>
    <xf numFmtId="0" fontId="1" fillId="0" borderId="9" xfId="0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4" fillId="0" borderId="10" xfId="0" applyFont="1" applyBorder="1"/>
    <xf numFmtId="0" fontId="2" fillId="2" borderId="4" xfId="0" applyFont="1" applyFill="1" applyBorder="1"/>
    <xf numFmtId="0" fontId="4" fillId="0" borderId="4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4" fontId="1" fillId="0" borderId="3" xfId="1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4" fillId="0" borderId="5" xfId="1" applyNumberFormat="1" applyFont="1" applyFill="1" applyBorder="1"/>
    <xf numFmtId="0" fontId="4" fillId="0" borderId="6" xfId="0" applyFont="1" applyBorder="1"/>
    <xf numFmtId="164" fontId="4" fillId="0" borderId="8" xfId="1" applyNumberFormat="1" applyFont="1" applyFill="1" applyBorder="1"/>
    <xf numFmtId="0" fontId="1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1" xfId="0" applyFont="1" applyBorder="1"/>
    <xf numFmtId="0" fontId="11" fillId="3" borderId="9" xfId="0" applyFont="1" applyFill="1" applyBorder="1" applyAlignment="1">
      <alignment horizontal="centerContinuous"/>
    </xf>
    <xf numFmtId="0" fontId="1" fillId="0" borderId="6" xfId="0" applyFont="1" applyBorder="1"/>
    <xf numFmtId="0" fontId="11" fillId="3" borderId="9" xfId="0" applyFont="1" applyFill="1" applyBorder="1" applyAlignment="1">
      <alignment horizontal="centerContinuous" wrapText="1"/>
    </xf>
    <xf numFmtId="0" fontId="11" fillId="3" borderId="1" xfId="0" applyFont="1" applyFill="1" applyBorder="1" applyAlignment="1">
      <alignment horizontal="centerContinuous" wrapText="1"/>
    </xf>
    <xf numFmtId="0" fontId="11" fillId="3" borderId="3" xfId="0" applyFont="1" applyFill="1" applyBorder="1" applyAlignment="1">
      <alignment horizontal="centerContinuous" wrapText="1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0" fillId="0" borderId="0" xfId="1" applyNumberFormat="1" applyFont="1"/>
    <xf numFmtId="18" fontId="0" fillId="0" borderId="0" xfId="0" applyNumberFormat="1"/>
    <xf numFmtId="0" fontId="4" fillId="0" borderId="2" xfId="0" applyFont="1" applyBorder="1"/>
    <xf numFmtId="165" fontId="0" fillId="0" borderId="0" xfId="2" applyNumberFormat="1" applyFont="1"/>
    <xf numFmtId="165" fontId="2" fillId="2" borderId="0" xfId="1" applyNumberFormat="1" applyFont="1" applyFill="1"/>
    <xf numFmtId="0" fontId="0" fillId="4" borderId="0" xfId="0" applyFill="1"/>
    <xf numFmtId="165" fontId="4" fillId="4" borderId="0" xfId="1" applyNumberFormat="1" applyFont="1" applyFill="1"/>
    <xf numFmtId="0" fontId="4" fillId="0" borderId="7" xfId="0" applyFont="1" applyFill="1" applyBorder="1"/>
    <xf numFmtId="0" fontId="12" fillId="0" borderId="0" xfId="0" applyFont="1"/>
    <xf numFmtId="164" fontId="2" fillId="2" borderId="8" xfId="1" applyNumberFormat="1" applyFont="1" applyFill="1" applyBorder="1"/>
    <xf numFmtId="0" fontId="4" fillId="0" borderId="8" xfId="0" applyFont="1" applyFill="1" applyBorder="1"/>
    <xf numFmtId="0" fontId="1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164" fontId="0" fillId="0" borderId="0" xfId="1" applyNumberFormat="1" applyFont="1" applyBorder="1"/>
    <xf numFmtId="0" fontId="11" fillId="3" borderId="0" xfId="0" applyFont="1" applyFill="1" applyAlignment="1">
      <alignment horizontal="centerContinuous" wrapText="1"/>
    </xf>
    <xf numFmtId="0" fontId="4" fillId="0" borderId="4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0" fillId="0" borderId="11" xfId="0" applyBorder="1"/>
    <xf numFmtId="0" fontId="0" fillId="0" borderId="10" xfId="0" applyBorder="1"/>
    <xf numFmtId="0" fontId="7" fillId="0" borderId="9" xfId="0" applyFont="1" applyBorder="1"/>
    <xf numFmtId="164" fontId="4" fillId="0" borderId="0" xfId="1" applyNumberFormat="1" applyFont="1" applyFill="1" applyBorder="1"/>
    <xf numFmtId="0" fontId="2" fillId="2" borderId="6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4" fillId="5" borderId="7" xfId="0" applyFont="1" applyFill="1" applyBorder="1"/>
    <xf numFmtId="164" fontId="4" fillId="5" borderId="8" xfId="1" applyNumberFormat="1" applyFont="1" applyFill="1" applyBorder="1"/>
    <xf numFmtId="164" fontId="4" fillId="5" borderId="7" xfId="1" applyNumberFormat="1" applyFont="1" applyFill="1" applyBorder="1"/>
    <xf numFmtId="0" fontId="4" fillId="0" borderId="0" xfId="0" applyFont="1" applyFill="1"/>
    <xf numFmtId="0" fontId="4" fillId="5" borderId="8" xfId="0" applyFont="1" applyFill="1" applyBorder="1"/>
    <xf numFmtId="0" fontId="4" fillId="5" borderId="4" xfId="0" applyFont="1" applyFill="1" applyBorder="1"/>
    <xf numFmtId="0" fontId="4" fillId="5" borderId="6" xfId="0" applyFont="1" applyFill="1" applyBorder="1"/>
    <xf numFmtId="0" fontId="4" fillId="5" borderId="8" xfId="0" applyFont="1" applyFill="1" applyBorder="1" applyAlignment="1">
      <alignment horizontal="right"/>
    </xf>
    <xf numFmtId="0" fontId="4" fillId="0" borderId="10" xfId="0" applyFont="1" applyFill="1" applyBorder="1"/>
    <xf numFmtId="0" fontId="4" fillId="0" borderId="11" xfId="0" applyFont="1" applyFill="1" applyBorder="1"/>
    <xf numFmtId="0" fontId="4" fillId="5" borderId="10" xfId="0" applyFont="1" applyFill="1" applyBorder="1"/>
    <xf numFmtId="0" fontId="4" fillId="5" borderId="11" xfId="0" applyFont="1" applyFill="1" applyBorder="1"/>
    <xf numFmtId="0" fontId="4" fillId="5" borderId="4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5" xfId="0" applyFont="1" applyFill="1" applyBorder="1"/>
    <xf numFmtId="0" fontId="15" fillId="2" borderId="8" xfId="0" applyFont="1" applyFill="1" applyBorder="1"/>
    <xf numFmtId="0" fontId="14" fillId="5" borderId="8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1"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jpeg"/><Relationship Id="rId3" Type="http://schemas.openxmlformats.org/officeDocument/2006/relationships/image" Target="../media/image7.jpeg"/><Relationship Id="rId7" Type="http://schemas.openxmlformats.org/officeDocument/2006/relationships/image" Target="../media/image11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6" Type="http://schemas.openxmlformats.org/officeDocument/2006/relationships/image" Target="../media/image10.jpeg"/><Relationship Id="rId5" Type="http://schemas.openxmlformats.org/officeDocument/2006/relationships/image" Target="../media/image9.jpeg"/><Relationship Id="rId10" Type="http://schemas.openxmlformats.org/officeDocument/2006/relationships/image" Target="../media/image14.jpeg"/><Relationship Id="rId4" Type="http://schemas.openxmlformats.org/officeDocument/2006/relationships/image" Target="../media/image8.jpeg"/><Relationship Id="rId9" Type="http://schemas.openxmlformats.org/officeDocument/2006/relationships/image" Target="../media/image13.jpe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eg"/><Relationship Id="rId2" Type="http://schemas.openxmlformats.org/officeDocument/2006/relationships/image" Target="../media/image16.jpeg"/><Relationship Id="rId1" Type="http://schemas.openxmlformats.org/officeDocument/2006/relationships/image" Target="../media/image15.jpeg"/><Relationship Id="rId4" Type="http://schemas.openxmlformats.org/officeDocument/2006/relationships/image" Target="../media/image18.jpe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jpeg"/><Relationship Id="rId2" Type="http://schemas.openxmlformats.org/officeDocument/2006/relationships/image" Target="../media/image20.jpeg"/><Relationship Id="rId1" Type="http://schemas.openxmlformats.org/officeDocument/2006/relationships/image" Target="../media/image19.jpeg"/><Relationship Id="rId4" Type="http://schemas.openxmlformats.org/officeDocument/2006/relationships/image" Target="../media/image22.jpeg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5.jpeg"/><Relationship Id="rId2" Type="http://schemas.openxmlformats.org/officeDocument/2006/relationships/image" Target="../media/image24.jpeg"/><Relationship Id="rId1" Type="http://schemas.openxmlformats.org/officeDocument/2006/relationships/image" Target="../media/image23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7.jpeg"/><Relationship Id="rId1" Type="http://schemas.openxmlformats.org/officeDocument/2006/relationships/image" Target="../media/image26.jpeg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0.jpeg"/><Relationship Id="rId2" Type="http://schemas.openxmlformats.org/officeDocument/2006/relationships/image" Target="../media/image29.jpeg"/><Relationship Id="rId1" Type="http://schemas.openxmlformats.org/officeDocument/2006/relationships/image" Target="../media/image28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32.jpeg"/><Relationship Id="rId1" Type="http://schemas.openxmlformats.org/officeDocument/2006/relationships/image" Target="../media/image31.jpeg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35.jpeg"/><Relationship Id="rId2" Type="http://schemas.openxmlformats.org/officeDocument/2006/relationships/image" Target="../media/image34.jpeg"/><Relationship Id="rId1" Type="http://schemas.openxmlformats.org/officeDocument/2006/relationships/image" Target="../media/image33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37.jpeg"/><Relationship Id="rId1" Type="http://schemas.openxmlformats.org/officeDocument/2006/relationships/image" Target="../media/image36.jpeg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0.jpeg"/><Relationship Id="rId2" Type="http://schemas.openxmlformats.org/officeDocument/2006/relationships/image" Target="../media/image39.jpeg"/><Relationship Id="rId1" Type="http://schemas.openxmlformats.org/officeDocument/2006/relationships/image" Target="../media/image38.jpeg"/><Relationship Id="rId4" Type="http://schemas.openxmlformats.org/officeDocument/2006/relationships/image" Target="../media/image41.jpeg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4.jpeg"/><Relationship Id="rId7" Type="http://schemas.openxmlformats.org/officeDocument/2006/relationships/image" Target="../media/image48.jpeg"/><Relationship Id="rId2" Type="http://schemas.openxmlformats.org/officeDocument/2006/relationships/image" Target="../media/image43.jpeg"/><Relationship Id="rId1" Type="http://schemas.openxmlformats.org/officeDocument/2006/relationships/image" Target="../media/image42.jpeg"/><Relationship Id="rId6" Type="http://schemas.openxmlformats.org/officeDocument/2006/relationships/image" Target="../media/image47.jpeg"/><Relationship Id="rId5" Type="http://schemas.openxmlformats.org/officeDocument/2006/relationships/image" Target="../media/image46.jpeg"/><Relationship Id="rId4" Type="http://schemas.openxmlformats.org/officeDocument/2006/relationships/image" Target="../media/image45.jpe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0.jpeg"/><Relationship Id="rId1" Type="http://schemas.openxmlformats.org/officeDocument/2006/relationships/image" Target="../media/image49.jpeg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53.jpeg"/><Relationship Id="rId2" Type="http://schemas.openxmlformats.org/officeDocument/2006/relationships/image" Target="../media/image52.jpeg"/><Relationship Id="rId1" Type="http://schemas.openxmlformats.org/officeDocument/2006/relationships/image" Target="../media/image51.jpeg"/><Relationship Id="rId6" Type="http://schemas.openxmlformats.org/officeDocument/2006/relationships/image" Target="../media/image56.jpeg"/><Relationship Id="rId5" Type="http://schemas.openxmlformats.org/officeDocument/2006/relationships/image" Target="../media/image55.jpeg"/><Relationship Id="rId4" Type="http://schemas.openxmlformats.org/officeDocument/2006/relationships/image" Target="../media/image54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6.jpe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8.jpeg"/><Relationship Id="rId1" Type="http://schemas.openxmlformats.org/officeDocument/2006/relationships/image" Target="../media/image57.jpeg"/></Relationships>
</file>

<file path=xl/drawings/_rels/vmlDrawing17.vml.rels><?xml version="1.0" encoding="UTF-8" standalone="yes"?>
<Relationships xmlns="http://schemas.openxmlformats.org/package/2006/relationships"><Relationship Id="rId3" Type="http://schemas.openxmlformats.org/officeDocument/2006/relationships/image" Target="../media/image61.jpeg"/><Relationship Id="rId2" Type="http://schemas.openxmlformats.org/officeDocument/2006/relationships/image" Target="../media/image60.jpeg"/><Relationship Id="rId1" Type="http://schemas.openxmlformats.org/officeDocument/2006/relationships/image" Target="../media/image59.jpeg"/><Relationship Id="rId4" Type="http://schemas.openxmlformats.org/officeDocument/2006/relationships/image" Target="../media/image62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0</v>
    <v>8</v>
    <v>6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1A22-C14B-4868-AE32-07F132382A1C}">
  <sheetPr codeName="Sheet1"/>
  <dimension ref="B1:M21"/>
  <sheetViews>
    <sheetView tabSelected="1" zoomScaleNormal="100" workbookViewId="0"/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5" width="10.7109375" customWidth="1"/>
    <col min="6" max="6" width="2.7109375" customWidth="1"/>
    <col min="7" max="7" width="28.7109375" style="3" customWidth="1"/>
    <col min="8" max="8" width="10.7109375" style="3" customWidth="1"/>
    <col min="9" max="9" width="13.140625" customWidth="1"/>
    <col min="11" max="11" width="17.7109375" bestFit="1" customWidth="1"/>
    <col min="12" max="12" width="10.7109375" customWidth="1"/>
    <col min="13" max="13" width="13.140625" customWidth="1"/>
  </cols>
  <sheetData>
    <row r="1" spans="2:13" ht="18.75" x14ac:dyDescent="0.3">
      <c r="B1" s="16" t="s">
        <v>40</v>
      </c>
      <c r="C1" s="17"/>
      <c r="D1" s="17"/>
      <c r="E1" s="18"/>
      <c r="F1" s="1"/>
      <c r="G1" s="16" t="s">
        <v>76</v>
      </c>
      <c r="H1" s="25"/>
      <c r="I1" s="25"/>
      <c r="K1" s="16" t="s">
        <v>118</v>
      </c>
      <c r="L1" s="25"/>
      <c r="M1" s="25"/>
    </row>
    <row r="2" spans="2:13" x14ac:dyDescent="0.25">
      <c r="B2" s="56" t="s">
        <v>0</v>
      </c>
      <c r="C2" s="15" t="s">
        <v>1</v>
      </c>
      <c r="D2" s="15" t="s">
        <v>20</v>
      </c>
      <c r="E2" s="57" t="s">
        <v>21</v>
      </c>
      <c r="G2" s="63" t="s">
        <v>0</v>
      </c>
      <c r="H2" s="15" t="s">
        <v>20</v>
      </c>
      <c r="I2" s="57" t="s">
        <v>21</v>
      </c>
      <c r="K2" s="63" t="s">
        <v>0</v>
      </c>
      <c r="L2" s="15" t="s">
        <v>20</v>
      </c>
      <c r="M2" s="57" t="s">
        <v>21</v>
      </c>
    </row>
    <row r="3" spans="2:13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3</v>
      </c>
      <c r="H3" s="32">
        <f>VLOOKUP(G3,B3:E12,3,FALSE)</f>
        <v>94</v>
      </c>
      <c r="I3" s="60">
        <f>VLOOKUP($G3,$B$3:$E$12,4,FALSE)</f>
        <v>151</v>
      </c>
      <c r="K3" s="22" t="s">
        <v>3</v>
      </c>
      <c r="L3" s="105"/>
      <c r="M3" s="106"/>
    </row>
    <row r="4" spans="2:13" x14ac:dyDescent="0.25">
      <c r="B4" s="19" t="s">
        <v>8</v>
      </c>
      <c r="C4" t="s">
        <v>23</v>
      </c>
      <c r="D4">
        <v>28</v>
      </c>
      <c r="E4" s="21">
        <v>45.061631999999996</v>
      </c>
      <c r="K4" s="3"/>
      <c r="L4" s="3"/>
    </row>
    <row r="5" spans="2:13" ht="15.75" thickBot="1" x14ac:dyDescent="0.3">
      <c r="B5" s="19" t="s">
        <v>9</v>
      </c>
      <c r="C5" t="s">
        <v>26</v>
      </c>
      <c r="D5">
        <v>25</v>
      </c>
      <c r="E5" s="21">
        <v>40.233599999999996</v>
      </c>
      <c r="K5" s="3"/>
      <c r="L5" s="3"/>
    </row>
    <row r="6" spans="2:13" ht="18.75" x14ac:dyDescent="0.3">
      <c r="B6" s="19" t="s">
        <v>3</v>
      </c>
      <c r="C6" t="s">
        <v>24</v>
      </c>
      <c r="D6">
        <v>94</v>
      </c>
      <c r="E6" s="21">
        <v>151</v>
      </c>
      <c r="G6" s="16" t="s">
        <v>82</v>
      </c>
      <c r="H6" s="25"/>
      <c r="I6" s="25"/>
      <c r="K6" s="16" t="s">
        <v>118</v>
      </c>
      <c r="L6" s="25"/>
      <c r="M6" s="25"/>
    </row>
    <row r="7" spans="2:13" x14ac:dyDescent="0.25">
      <c r="B7" s="19" t="s">
        <v>3</v>
      </c>
      <c r="C7" t="s">
        <v>19</v>
      </c>
      <c r="D7">
        <v>55</v>
      </c>
      <c r="E7" s="21">
        <v>89</v>
      </c>
      <c r="G7" s="63" t="s">
        <v>0</v>
      </c>
      <c r="H7" s="15" t="s">
        <v>20</v>
      </c>
      <c r="I7" s="57" t="s">
        <v>21</v>
      </c>
      <c r="K7" s="63" t="s">
        <v>0</v>
      </c>
      <c r="L7" s="15" t="s">
        <v>20</v>
      </c>
      <c r="M7" s="57" t="s">
        <v>21</v>
      </c>
    </row>
    <row r="8" spans="2:13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">
        <v>80</v>
      </c>
      <c r="H8" s="32" t="e">
        <f>VLOOKUP(G8,B3:E12,3,FALSE)</f>
        <v>#N/A</v>
      </c>
      <c r="I8" s="60" t="e">
        <f>VLOOKUP($G8,$B$3:$E$12,4,FALSE)</f>
        <v>#N/A</v>
      </c>
      <c r="K8" s="22" t="s">
        <v>80</v>
      </c>
      <c r="L8" s="105"/>
      <c r="M8" s="106"/>
    </row>
    <row r="9" spans="2:13" x14ac:dyDescent="0.25">
      <c r="B9" s="19" t="s">
        <v>6</v>
      </c>
      <c r="C9" t="s">
        <v>27</v>
      </c>
      <c r="D9">
        <v>56</v>
      </c>
      <c r="E9" s="21">
        <v>90.123263999999992</v>
      </c>
      <c r="K9" s="3"/>
      <c r="L9" s="3"/>
    </row>
    <row r="10" spans="2:13" ht="15.75" thickBot="1" x14ac:dyDescent="0.3">
      <c r="B10" s="19" t="s">
        <v>2</v>
      </c>
      <c r="C10" t="s">
        <v>28</v>
      </c>
      <c r="D10">
        <v>150</v>
      </c>
      <c r="E10" s="21">
        <v>241.4016</v>
      </c>
      <c r="K10" s="3"/>
      <c r="L10" s="3"/>
    </row>
    <row r="11" spans="2:13" ht="18.75" x14ac:dyDescent="0.3">
      <c r="B11" s="19" t="s">
        <v>10</v>
      </c>
      <c r="C11" t="s">
        <v>24</v>
      </c>
      <c r="D11">
        <v>20</v>
      </c>
      <c r="E11" s="21">
        <v>32.186880000000002</v>
      </c>
      <c r="G11" s="16" t="s">
        <v>84</v>
      </c>
      <c r="H11" s="25"/>
      <c r="I11" s="25"/>
      <c r="K11" s="16" t="s">
        <v>118</v>
      </c>
      <c r="L11" s="25"/>
      <c r="M11" s="25"/>
    </row>
    <row r="12" spans="2:13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63" t="s">
        <v>0</v>
      </c>
      <c r="H12" s="15" t="s">
        <v>20</v>
      </c>
      <c r="I12" s="57" t="s">
        <v>21</v>
      </c>
      <c r="K12" s="63" t="s">
        <v>0</v>
      </c>
      <c r="L12" s="15" t="s">
        <v>20</v>
      </c>
      <c r="M12" s="57" t="s">
        <v>21</v>
      </c>
    </row>
    <row r="13" spans="2:13" ht="15.75" thickBot="1" x14ac:dyDescent="0.3">
      <c r="G13" s="22" t="s">
        <v>80</v>
      </c>
      <c r="H13" s="32" t="str">
        <f>_xlfn.IFNA(VLOOKUP(G13,B3:E12,3,FALSE),"¯\_(ツ)_/¯")</f>
        <v>¯\_(ツ)_/¯</v>
      </c>
      <c r="I13" s="84" t="str">
        <f>_xlfn.IFNA(VLOOKUP(G13,B3:E12,4,FALSE),"Not Found")</f>
        <v>Not Found</v>
      </c>
      <c r="K13" s="22" t="s">
        <v>80</v>
      </c>
      <c r="L13" s="105"/>
      <c r="M13" s="106"/>
    </row>
    <row r="21" spans="7:7" ht="15.75" x14ac:dyDescent="0.25">
      <c r="G21" s="83"/>
    </row>
  </sheetData>
  <sortState xmlns:xlrd2="http://schemas.microsoft.com/office/spreadsheetml/2017/richdata2" ref="B2:D11">
    <sortCondition ref="B2:B1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4A45-7D4E-4D7F-ADF0-3E46D9008A3C}">
  <sheetPr codeName="Sheet7"/>
  <dimension ref="B1:T13"/>
  <sheetViews>
    <sheetView zoomScaleNormal="100" workbookViewId="0">
      <pane xSplit="5" topLeftCell="F1" activePane="topRight" state="frozen"/>
      <selection pane="topRight"/>
    </sheetView>
  </sheetViews>
  <sheetFormatPr defaultColWidth="8.85546875" defaultRowHeight="15" x14ac:dyDescent="0.25"/>
  <cols>
    <col min="1" max="1" width="2.7109375" customWidth="1"/>
    <col min="2" max="2" width="28.140625" customWidth="1"/>
    <col min="3" max="3" width="13.5703125" customWidth="1"/>
    <col min="4" max="4" width="8.140625" customWidth="1"/>
    <col min="5" max="5" width="10.7109375" bestFit="1" customWidth="1"/>
    <col min="6" max="6" width="2.7109375" customWidth="1"/>
    <col min="7" max="7" width="23.42578125" customWidth="1"/>
    <col min="8" max="8" width="17.5703125" customWidth="1"/>
    <col min="9" max="9" width="2.7109375" customWidth="1"/>
    <col min="10" max="10" width="23.42578125" customWidth="1"/>
    <col min="11" max="11" width="15.7109375" customWidth="1"/>
    <col min="12" max="12" width="18" customWidth="1"/>
    <col min="13" max="13" width="2.7109375" customWidth="1"/>
    <col min="14" max="14" width="23.42578125" customWidth="1"/>
    <col min="15" max="15" width="15.7109375" customWidth="1"/>
    <col min="16" max="16" width="18" customWidth="1"/>
    <col min="18" max="18" width="23.42578125" customWidth="1"/>
    <col min="19" max="19" width="15.7109375" customWidth="1"/>
    <col min="20" max="20" width="18" customWidth="1"/>
  </cols>
  <sheetData>
    <row r="1" spans="2:20" ht="19.5" thickBot="1" x14ac:dyDescent="0.35">
      <c r="B1" s="16" t="s">
        <v>40</v>
      </c>
      <c r="C1" s="17"/>
      <c r="D1" s="17"/>
      <c r="E1" s="18"/>
      <c r="G1" s="16" t="s">
        <v>85</v>
      </c>
      <c r="H1" s="31"/>
      <c r="J1" s="16" t="s">
        <v>92</v>
      </c>
      <c r="K1" s="30"/>
      <c r="L1" s="31"/>
      <c r="N1" s="16" t="s">
        <v>63</v>
      </c>
      <c r="O1" s="30"/>
      <c r="P1" s="31"/>
      <c r="R1" s="16" t="s">
        <v>118</v>
      </c>
      <c r="S1" s="30"/>
      <c r="T1" s="31"/>
    </row>
    <row r="2" spans="2:20" x14ac:dyDescent="0.25">
      <c r="B2" s="56" t="s">
        <v>0</v>
      </c>
      <c r="C2" s="15" t="s">
        <v>1</v>
      </c>
      <c r="D2" s="15" t="s">
        <v>20</v>
      </c>
      <c r="E2" s="57" t="s">
        <v>21</v>
      </c>
      <c r="G2" s="38" t="s">
        <v>89</v>
      </c>
      <c r="H2" s="40" t="s">
        <v>87</v>
      </c>
      <c r="J2" s="38" t="s">
        <v>0</v>
      </c>
      <c r="K2" s="39" t="s">
        <v>20</v>
      </c>
      <c r="L2" s="40" t="s">
        <v>21</v>
      </c>
      <c r="N2" s="38" t="s">
        <v>0</v>
      </c>
      <c r="O2" s="39" t="s">
        <v>20</v>
      </c>
      <c r="P2" s="40" t="s">
        <v>21</v>
      </c>
      <c r="R2" s="38" t="s">
        <v>0</v>
      </c>
      <c r="S2" s="39" t="s">
        <v>20</v>
      </c>
      <c r="T2" s="40" t="s">
        <v>21</v>
      </c>
    </row>
    <row r="3" spans="2:20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8</v>
      </c>
      <c r="H3" s="26">
        <f>MATCH(G3,B3:B12,0)</f>
        <v>2</v>
      </c>
      <c r="J3" s="22" t="s">
        <v>10</v>
      </c>
      <c r="K3" s="46">
        <f>VLOOKUP($J3,$B$2:$E$12,3,FALSE)</f>
        <v>20</v>
      </c>
      <c r="L3" s="84">
        <f>VLOOKUP($J3,$B$2:$E$12,4,FALSE)</f>
        <v>32.186880000000002</v>
      </c>
      <c r="N3" s="22" t="s">
        <v>10</v>
      </c>
      <c r="O3" s="46">
        <f>INDEX(D3:D12,MATCH($N3,$B3:$B12,0))</f>
        <v>20</v>
      </c>
      <c r="P3" s="84">
        <f>INDEX(E3:E12,MATCH($N3,$B3:$B12,0))</f>
        <v>32.186880000000002</v>
      </c>
      <c r="R3" s="22" t="s">
        <v>10</v>
      </c>
      <c r="S3" s="107"/>
      <c r="T3" s="106"/>
    </row>
    <row r="4" spans="2:20" x14ac:dyDescent="0.25">
      <c r="B4" s="19" t="s">
        <v>8</v>
      </c>
      <c r="C4" t="s">
        <v>23</v>
      </c>
      <c r="D4">
        <v>28</v>
      </c>
      <c r="E4" s="21">
        <v>45.061631999999996</v>
      </c>
    </row>
    <row r="5" spans="2:20" ht="15.75" thickBot="1" x14ac:dyDescent="0.3">
      <c r="B5" s="19" t="s">
        <v>9</v>
      </c>
      <c r="C5" t="s">
        <v>26</v>
      </c>
      <c r="D5">
        <v>25</v>
      </c>
      <c r="E5" s="21">
        <v>40.233599999999996</v>
      </c>
    </row>
    <row r="6" spans="2:20" ht="19.5" thickBot="1" x14ac:dyDescent="0.35">
      <c r="B6" s="19" t="s">
        <v>3</v>
      </c>
      <c r="C6" t="s">
        <v>24</v>
      </c>
      <c r="D6">
        <v>94</v>
      </c>
      <c r="E6" s="21">
        <v>151</v>
      </c>
      <c r="G6" s="16" t="s">
        <v>95</v>
      </c>
      <c r="H6" s="31"/>
    </row>
    <row r="7" spans="2:20" ht="19.5" thickBot="1" x14ac:dyDescent="0.35">
      <c r="B7" s="19" t="s">
        <v>3</v>
      </c>
      <c r="C7" t="s">
        <v>19</v>
      </c>
      <c r="D7">
        <v>55</v>
      </c>
      <c r="E7" s="21">
        <v>89</v>
      </c>
      <c r="G7" s="38" t="s">
        <v>0</v>
      </c>
      <c r="H7" s="40" t="s">
        <v>88</v>
      </c>
      <c r="J7" s="16" t="s">
        <v>91</v>
      </c>
      <c r="K7" s="30"/>
      <c r="L7" s="31"/>
      <c r="N7" s="16" t="s">
        <v>64</v>
      </c>
      <c r="O7" s="30"/>
      <c r="P7" s="31"/>
      <c r="R7" s="16" t="s">
        <v>118</v>
      </c>
      <c r="S7" s="30"/>
      <c r="T7" s="31"/>
    </row>
    <row r="8" spans="2:20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">
        <v>83</v>
      </c>
      <c r="H8" s="96" t="e">
        <f>MATCH(G8,B3:B12,0)</f>
        <v>#N/A</v>
      </c>
      <c r="J8" s="38" t="s">
        <v>0</v>
      </c>
      <c r="K8" s="39" t="s">
        <v>20</v>
      </c>
      <c r="L8" s="40" t="s">
        <v>21</v>
      </c>
      <c r="N8" s="63" t="s">
        <v>0</v>
      </c>
      <c r="O8" s="15" t="s">
        <v>20</v>
      </c>
      <c r="P8" s="57" t="s">
        <v>21</v>
      </c>
      <c r="R8" s="63" t="s">
        <v>0</v>
      </c>
      <c r="S8" s="15" t="s">
        <v>20</v>
      </c>
      <c r="T8" s="57" t="s">
        <v>21</v>
      </c>
    </row>
    <row r="9" spans="2:20" ht="15.75" thickBot="1" x14ac:dyDescent="0.3">
      <c r="B9" s="19" t="s">
        <v>6</v>
      </c>
      <c r="C9" t="s">
        <v>27</v>
      </c>
      <c r="D9">
        <v>56</v>
      </c>
      <c r="E9" s="21">
        <v>90.123263999999992</v>
      </c>
      <c r="J9" s="22" t="s">
        <v>10</v>
      </c>
      <c r="K9" s="46">
        <f>VLOOKUP($J9,$B$2:$E$12,MATCH(K8,$B$2:$E$2,0),FALSE)</f>
        <v>20</v>
      </c>
      <c r="L9" s="84">
        <f>VLOOKUP($J9,$B$2:$E$12,MATCH(L8,$B$2:$E$2,0),FALSE)</f>
        <v>32.186880000000002</v>
      </c>
      <c r="N9" s="22" t="s">
        <v>10</v>
      </c>
      <c r="O9" s="46">
        <f>INDEX($B3:$E12,MATCH($N9,$B3:$B12,0),MATCH(O$8,$B2:$E2,0))</f>
        <v>20</v>
      </c>
      <c r="P9" s="60">
        <f>INDEX($B3:$E12,MATCH($N9,$B3:$B12,0),MATCH(P8,$B2:$E2,0))</f>
        <v>32.186880000000002</v>
      </c>
      <c r="R9" s="22" t="s">
        <v>10</v>
      </c>
      <c r="S9" s="107"/>
      <c r="T9" s="106"/>
    </row>
    <row r="10" spans="2:20" ht="15.75" thickBot="1" x14ac:dyDescent="0.3">
      <c r="B10" s="19" t="s">
        <v>2</v>
      </c>
      <c r="C10" t="s">
        <v>28</v>
      </c>
      <c r="D10">
        <v>150</v>
      </c>
      <c r="E10" s="21">
        <v>241.4016</v>
      </c>
    </row>
    <row r="11" spans="2:20" ht="19.5" thickBot="1" x14ac:dyDescent="0.35">
      <c r="B11" s="19" t="s">
        <v>10</v>
      </c>
      <c r="C11" t="s">
        <v>24</v>
      </c>
      <c r="D11">
        <v>20</v>
      </c>
      <c r="E11" s="21">
        <v>32.186880000000002</v>
      </c>
      <c r="G11" s="16" t="s">
        <v>86</v>
      </c>
      <c r="H11" s="31"/>
    </row>
    <row r="12" spans="2:20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38" t="s">
        <v>90</v>
      </c>
      <c r="H12" s="40" t="s">
        <v>88</v>
      </c>
    </row>
    <row r="13" spans="2:20" ht="15.75" thickBot="1" x14ac:dyDescent="0.3">
      <c r="G13" s="22" t="s">
        <v>20</v>
      </c>
      <c r="H13" s="26">
        <f>MATCH(G13,B2:E2,0)</f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1440-5C92-4C7E-8991-FC882F26CDD2}">
  <sheetPr codeName="Sheet2"/>
  <dimension ref="B1:M18"/>
  <sheetViews>
    <sheetView zoomScaleNormal="100" workbookViewId="0">
      <pane xSplit="5" topLeftCell="F1" activePane="topRight" state="frozen"/>
      <selection activeCell="E1" sqref="E1"/>
      <selection pane="topRight" activeCell="F1" sqref="F1"/>
    </sheetView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5" width="10.7109375" customWidth="1"/>
    <col min="6" max="6" width="2.7109375" customWidth="1"/>
    <col min="7" max="7" width="28.7109375" customWidth="1"/>
    <col min="8" max="9" width="10.7109375" customWidth="1"/>
    <col min="10" max="10" width="19" customWidth="1"/>
    <col min="11" max="11" width="28.7109375" customWidth="1"/>
    <col min="12" max="13" width="10.7109375" customWidth="1"/>
  </cols>
  <sheetData>
    <row r="1" spans="2:13" ht="18.75" x14ac:dyDescent="0.3">
      <c r="B1" s="16" t="s">
        <v>40</v>
      </c>
      <c r="C1" s="17"/>
      <c r="D1" s="17"/>
      <c r="E1" s="18"/>
      <c r="F1" s="12"/>
      <c r="G1" s="16" t="s">
        <v>93</v>
      </c>
      <c r="H1" s="25"/>
      <c r="I1" s="25"/>
      <c r="K1" s="102" t="s">
        <v>118</v>
      </c>
      <c r="L1" s="103"/>
      <c r="M1" s="104"/>
    </row>
    <row r="2" spans="2:13" x14ac:dyDescent="0.25">
      <c r="B2" s="56" t="s">
        <v>0</v>
      </c>
      <c r="C2" s="15" t="s">
        <v>1</v>
      </c>
      <c r="D2" s="15" t="s">
        <v>20</v>
      </c>
      <c r="E2" s="57" t="s">
        <v>21</v>
      </c>
      <c r="F2" s="1"/>
      <c r="G2" s="63" t="s">
        <v>0</v>
      </c>
      <c r="H2" s="15" t="s">
        <v>20</v>
      </c>
      <c r="I2" s="57" t="s">
        <v>21</v>
      </c>
      <c r="K2" s="63" t="s">
        <v>0</v>
      </c>
      <c r="L2" s="15" t="s">
        <v>20</v>
      </c>
      <c r="M2" s="57" t="s">
        <v>21</v>
      </c>
    </row>
    <row r="3" spans="2:13" ht="15.75" thickBot="1" x14ac:dyDescent="0.3">
      <c r="B3" s="19" t="s">
        <v>4</v>
      </c>
      <c r="C3" t="s">
        <v>25</v>
      </c>
      <c r="D3">
        <v>75</v>
      </c>
      <c r="E3" s="21">
        <v>120.7008</v>
      </c>
      <c r="F3" s="4"/>
      <c r="G3" s="22" t="s">
        <v>3</v>
      </c>
      <c r="H3" s="32">
        <f>SUMIF($B3:$B12,$G3,D3:D12)</f>
        <v>149</v>
      </c>
      <c r="I3" s="82">
        <f>SUMIF($B3:$B12,$G3,E3:E12)</f>
        <v>240</v>
      </c>
      <c r="K3" s="22" t="s">
        <v>3</v>
      </c>
      <c r="L3" s="105"/>
      <c r="M3" s="105"/>
    </row>
    <row r="4" spans="2:13" x14ac:dyDescent="0.25">
      <c r="B4" s="19" t="s">
        <v>8</v>
      </c>
      <c r="C4" t="s">
        <v>23</v>
      </c>
      <c r="D4">
        <v>28</v>
      </c>
      <c r="E4" s="21">
        <v>45.061631999999996</v>
      </c>
      <c r="F4" s="4"/>
      <c r="L4" s="108"/>
      <c r="M4" s="108"/>
    </row>
    <row r="5" spans="2:13" ht="15.75" thickBot="1" x14ac:dyDescent="0.3">
      <c r="B5" s="19" t="s">
        <v>9</v>
      </c>
      <c r="C5" t="s">
        <v>26</v>
      </c>
      <c r="D5">
        <v>25</v>
      </c>
      <c r="E5" s="21">
        <v>40.233599999999996</v>
      </c>
      <c r="F5" s="4"/>
      <c r="L5" s="108"/>
      <c r="M5" s="108"/>
    </row>
    <row r="6" spans="2:13" ht="18.75" x14ac:dyDescent="0.3">
      <c r="B6" s="19" t="s">
        <v>3</v>
      </c>
      <c r="C6" t="s">
        <v>24</v>
      </c>
      <c r="D6">
        <v>94</v>
      </c>
      <c r="E6" s="21">
        <v>151</v>
      </c>
      <c r="F6" s="4"/>
      <c r="G6" s="16" t="s">
        <v>94</v>
      </c>
      <c r="H6" s="25"/>
      <c r="I6" s="25"/>
      <c r="K6" s="102" t="s">
        <v>118</v>
      </c>
      <c r="L6" s="103"/>
      <c r="M6" s="104"/>
    </row>
    <row r="7" spans="2:13" x14ac:dyDescent="0.25">
      <c r="B7" s="19" t="s">
        <v>3</v>
      </c>
      <c r="C7" t="s">
        <v>19</v>
      </c>
      <c r="D7">
        <v>55</v>
      </c>
      <c r="E7" s="21">
        <v>89</v>
      </c>
      <c r="F7" s="4"/>
      <c r="G7" s="63" t="s">
        <v>0</v>
      </c>
      <c r="H7" s="15" t="s">
        <v>20</v>
      </c>
      <c r="I7" s="57" t="s">
        <v>21</v>
      </c>
      <c r="K7" s="63" t="s">
        <v>0</v>
      </c>
      <c r="L7" s="15" t="s">
        <v>20</v>
      </c>
      <c r="M7" s="57" t="s">
        <v>21</v>
      </c>
    </row>
    <row r="8" spans="2:13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F8" s="4"/>
      <c r="G8" s="22" t="s">
        <v>80</v>
      </c>
      <c r="H8" s="32">
        <f>SUMIF($B3:$B12,$G8,D3:D12)</f>
        <v>0</v>
      </c>
      <c r="I8" s="28">
        <f>SUMIF($B3:$B12,$G8,E3:E12)</f>
        <v>0</v>
      </c>
      <c r="K8" s="22" t="s">
        <v>80</v>
      </c>
      <c r="L8" s="105"/>
      <c r="M8" s="105"/>
    </row>
    <row r="9" spans="2:13" x14ac:dyDescent="0.25">
      <c r="B9" s="19" t="s">
        <v>6</v>
      </c>
      <c r="C9" t="s">
        <v>27</v>
      </c>
      <c r="D9">
        <v>56</v>
      </c>
      <c r="E9" s="21">
        <v>90.123263999999992</v>
      </c>
      <c r="F9" s="4"/>
      <c r="L9" s="108"/>
      <c r="M9" s="108"/>
    </row>
    <row r="10" spans="2:13" ht="15.75" thickBot="1" x14ac:dyDescent="0.3">
      <c r="B10" s="19" t="s">
        <v>2</v>
      </c>
      <c r="C10" t="s">
        <v>28</v>
      </c>
      <c r="D10">
        <v>150</v>
      </c>
      <c r="E10" s="21">
        <v>241.4016</v>
      </c>
      <c r="F10" s="4"/>
      <c r="L10" s="108"/>
      <c r="M10" s="108"/>
    </row>
    <row r="11" spans="2:13" ht="18.75" x14ac:dyDescent="0.3">
      <c r="B11" s="19" t="s">
        <v>10</v>
      </c>
      <c r="C11" t="s">
        <v>24</v>
      </c>
      <c r="D11">
        <v>20</v>
      </c>
      <c r="E11" s="21">
        <v>32.186880000000002</v>
      </c>
      <c r="F11" s="4"/>
      <c r="G11" s="16" t="s">
        <v>96</v>
      </c>
      <c r="H11" s="25"/>
      <c r="I11" s="25"/>
      <c r="K11" s="102" t="s">
        <v>118</v>
      </c>
      <c r="L11" s="103"/>
      <c r="M11" s="104"/>
    </row>
    <row r="12" spans="2:13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F12" s="4"/>
      <c r="G12" s="63" t="s">
        <v>19</v>
      </c>
      <c r="H12" s="86" t="s">
        <v>20</v>
      </c>
      <c r="I12" s="57" t="s">
        <v>21</v>
      </c>
      <c r="K12" s="63" t="s">
        <v>0</v>
      </c>
      <c r="L12" s="15" t="s">
        <v>20</v>
      </c>
      <c r="M12" s="57" t="s">
        <v>21</v>
      </c>
    </row>
    <row r="13" spans="2:13" ht="15.75" thickBot="1" x14ac:dyDescent="0.3">
      <c r="G13" s="22" t="s">
        <v>3</v>
      </c>
      <c r="H13" s="32">
        <f>SUMIFS($D$3:$D$12,$B$3:$B$12,$G13,$C$3:$C$12,$G12)</f>
        <v>55</v>
      </c>
      <c r="I13" s="85">
        <f>SUMIFS(E3:E12,$B$3:$B$12,$G13,$C$3:$C$12,$G12)</f>
        <v>89</v>
      </c>
      <c r="K13" s="22" t="s">
        <v>3</v>
      </c>
      <c r="L13" s="105"/>
      <c r="M13" s="105"/>
    </row>
    <row r="14" spans="2:13" x14ac:dyDescent="0.25">
      <c r="L14" s="108"/>
      <c r="M14" s="108"/>
    </row>
    <row r="15" spans="2:13" ht="15.75" thickBot="1" x14ac:dyDescent="0.3">
      <c r="L15" s="108"/>
      <c r="M15" s="108"/>
    </row>
    <row r="16" spans="2:13" ht="18.75" x14ac:dyDescent="0.3">
      <c r="G16" s="16" t="s">
        <v>97</v>
      </c>
      <c r="H16" s="25"/>
      <c r="I16" s="25"/>
      <c r="K16" s="102" t="s">
        <v>118</v>
      </c>
      <c r="L16" s="103"/>
      <c r="M16" s="104"/>
    </row>
    <row r="17" spans="7:13" x14ac:dyDescent="0.25">
      <c r="G17" s="63" t="s">
        <v>19</v>
      </c>
      <c r="H17" s="86" t="s">
        <v>20</v>
      </c>
      <c r="I17" s="57" t="s">
        <v>21</v>
      </c>
      <c r="K17" s="63" t="s">
        <v>0</v>
      </c>
      <c r="L17" s="15" t="s">
        <v>20</v>
      </c>
      <c r="M17" s="57" t="s">
        <v>21</v>
      </c>
    </row>
    <row r="18" spans="7:13" ht="15.75" thickBot="1" x14ac:dyDescent="0.3">
      <c r="G18" s="22" t="s">
        <v>80</v>
      </c>
      <c r="H18" s="32">
        <f>SUMIFS($D$3:$D$12,$B$3:$B$12,$G18,$C$3:$C$12,$G17)</f>
        <v>0</v>
      </c>
      <c r="I18" s="85">
        <f>SUMIFS(E8:E17,$B$3:$B$12,$G18,$C$3:$C$12,$G17)</f>
        <v>0</v>
      </c>
      <c r="K18" s="22" t="s">
        <v>80</v>
      </c>
      <c r="L18" s="105"/>
      <c r="M18" s="105"/>
    </row>
  </sheetData>
  <sortState xmlns:xlrd2="http://schemas.microsoft.com/office/spreadsheetml/2017/richdata2" ref="B3:D12">
    <sortCondition ref="B6:B12"/>
  </sortState>
  <mergeCells count="4">
    <mergeCell ref="K6:M6"/>
    <mergeCell ref="K1:M1"/>
    <mergeCell ref="K11:M11"/>
    <mergeCell ref="K16:M16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798D-55D6-41C3-AA25-56E9012BB2AA}">
  <dimension ref="B1:M13"/>
  <sheetViews>
    <sheetView workbookViewId="0"/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5" width="10.7109375" customWidth="1"/>
    <col min="6" max="6" width="2.7109375" customWidth="1"/>
    <col min="7" max="7" width="28.7109375" customWidth="1"/>
    <col min="8" max="8" width="10.7109375" customWidth="1"/>
    <col min="9" max="9" width="11.7109375" customWidth="1"/>
    <col min="10" max="10" width="2.7109375" customWidth="1"/>
    <col min="11" max="11" width="28.7109375" customWidth="1"/>
    <col min="12" max="12" width="10.7109375" customWidth="1"/>
    <col min="13" max="13" width="11.7109375" customWidth="1"/>
  </cols>
  <sheetData>
    <row r="1" spans="2:13" ht="18.75" x14ac:dyDescent="0.3">
      <c r="B1" s="16" t="s">
        <v>40</v>
      </c>
      <c r="C1" s="17"/>
      <c r="D1" s="17"/>
      <c r="E1" s="18"/>
      <c r="G1" s="16" t="s">
        <v>100</v>
      </c>
      <c r="H1" s="25"/>
      <c r="I1" s="25"/>
      <c r="K1" s="16" t="s">
        <v>118</v>
      </c>
      <c r="L1" s="25"/>
      <c r="M1" s="25"/>
    </row>
    <row r="2" spans="2:13" x14ac:dyDescent="0.25">
      <c r="B2" s="72" t="s">
        <v>0</v>
      </c>
      <c r="C2" s="73" t="s">
        <v>1</v>
      </c>
      <c r="D2" s="73" t="s">
        <v>20</v>
      </c>
      <c r="E2" s="74" t="s">
        <v>21</v>
      </c>
      <c r="G2" s="63" t="s">
        <v>0</v>
      </c>
      <c r="H2" s="86" t="s">
        <v>20</v>
      </c>
      <c r="I2" s="57" t="s">
        <v>21</v>
      </c>
      <c r="K2" s="63" t="s">
        <v>0</v>
      </c>
      <c r="L2" s="86" t="s">
        <v>20</v>
      </c>
      <c r="M2" s="57" t="s">
        <v>21</v>
      </c>
    </row>
    <row r="3" spans="2:13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3</v>
      </c>
      <c r="H3" s="32">
        <f>_xlfn.XLOOKUP($G3,$B3:$B12,D3:D12)</f>
        <v>94</v>
      </c>
      <c r="I3" s="85">
        <f>_xlfn.XLOOKUP($G3,$B3:$B12,E3:E12)</f>
        <v>151</v>
      </c>
      <c r="K3" s="22" t="s">
        <v>3</v>
      </c>
      <c r="L3" s="105"/>
      <c r="M3" s="109"/>
    </row>
    <row r="4" spans="2:13" x14ac:dyDescent="0.25">
      <c r="B4" s="19" t="s">
        <v>8</v>
      </c>
      <c r="C4" t="s">
        <v>23</v>
      </c>
      <c r="D4">
        <v>28</v>
      </c>
      <c r="E4" s="21">
        <v>45.061631999999996</v>
      </c>
      <c r="G4" s="3"/>
      <c r="H4" s="3"/>
      <c r="K4" s="3"/>
      <c r="L4" s="3"/>
    </row>
    <row r="5" spans="2:13" ht="15.75" thickBot="1" x14ac:dyDescent="0.3">
      <c r="B5" s="19" t="s">
        <v>9</v>
      </c>
      <c r="C5" t="s">
        <v>26</v>
      </c>
      <c r="D5">
        <v>25</v>
      </c>
      <c r="E5" s="21">
        <v>40.233599999999996</v>
      </c>
      <c r="G5" s="3"/>
      <c r="H5" s="3"/>
      <c r="K5" s="3"/>
      <c r="L5" s="3"/>
    </row>
    <row r="6" spans="2:13" ht="18.75" x14ac:dyDescent="0.3">
      <c r="B6" s="19" t="s">
        <v>3</v>
      </c>
      <c r="C6" t="s">
        <v>24</v>
      </c>
      <c r="D6">
        <v>94</v>
      </c>
      <c r="E6" s="21">
        <v>151</v>
      </c>
      <c r="G6" s="16" t="s">
        <v>98</v>
      </c>
      <c r="H6" s="25"/>
      <c r="I6" s="25"/>
      <c r="K6" s="16" t="s">
        <v>118</v>
      </c>
      <c r="L6" s="25"/>
      <c r="M6" s="25"/>
    </row>
    <row r="7" spans="2:13" x14ac:dyDescent="0.25">
      <c r="B7" s="19" t="s">
        <v>3</v>
      </c>
      <c r="C7" t="s">
        <v>19</v>
      </c>
      <c r="D7">
        <v>55</v>
      </c>
      <c r="E7" s="21">
        <v>89</v>
      </c>
      <c r="G7" s="63" t="s">
        <v>0</v>
      </c>
      <c r="H7" s="86" t="s">
        <v>20</v>
      </c>
      <c r="I7" s="57" t="s">
        <v>21</v>
      </c>
      <c r="K7" s="63" t="s">
        <v>0</v>
      </c>
      <c r="L7" s="86" t="s">
        <v>20</v>
      </c>
      <c r="M7" s="57" t="s">
        <v>21</v>
      </c>
    </row>
    <row r="8" spans="2:13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">
        <v>80</v>
      </c>
      <c r="H8" s="32" t="e">
        <f>_xlfn.XLOOKUP($G8,$B3:$B12,D3:D12)</f>
        <v>#N/A</v>
      </c>
      <c r="I8" s="85" t="e">
        <f>_xlfn.XLOOKUP($G8,$B3:$B12,E3:E12)</f>
        <v>#N/A</v>
      </c>
      <c r="K8" s="22" t="s">
        <v>80</v>
      </c>
      <c r="L8" s="105"/>
      <c r="M8" s="109"/>
    </row>
    <row r="9" spans="2:13" x14ac:dyDescent="0.25">
      <c r="B9" s="19" t="s">
        <v>6</v>
      </c>
      <c r="C9" t="s">
        <v>27</v>
      </c>
      <c r="D9">
        <v>56</v>
      </c>
      <c r="E9" s="21">
        <v>90.123263999999992</v>
      </c>
      <c r="G9" s="3"/>
      <c r="H9" s="3"/>
      <c r="K9" s="3"/>
      <c r="L9" s="3"/>
    </row>
    <row r="10" spans="2:13" ht="15.75" thickBot="1" x14ac:dyDescent="0.3">
      <c r="B10" s="19" t="s">
        <v>2</v>
      </c>
      <c r="C10" t="s">
        <v>28</v>
      </c>
      <c r="D10">
        <v>150</v>
      </c>
      <c r="E10" s="21">
        <v>241.4016</v>
      </c>
      <c r="G10" s="3"/>
      <c r="H10" s="3"/>
      <c r="K10" s="3"/>
      <c r="L10" s="3"/>
    </row>
    <row r="11" spans="2:13" ht="18.75" x14ac:dyDescent="0.3">
      <c r="B11" s="19" t="s">
        <v>10</v>
      </c>
      <c r="C11" t="s">
        <v>24</v>
      </c>
      <c r="D11">
        <v>20</v>
      </c>
      <c r="E11" s="21">
        <v>32.186880000000002</v>
      </c>
      <c r="G11" s="16" t="s">
        <v>99</v>
      </c>
      <c r="H11" s="25"/>
      <c r="I11" s="25"/>
      <c r="K11" s="16" t="s">
        <v>118</v>
      </c>
      <c r="L11" s="25"/>
      <c r="M11" s="25"/>
    </row>
    <row r="12" spans="2:13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63" t="s">
        <v>0</v>
      </c>
      <c r="H12" s="15" t="s">
        <v>20</v>
      </c>
      <c r="I12" s="57" t="s">
        <v>21</v>
      </c>
      <c r="K12" s="63" t="s">
        <v>0</v>
      </c>
      <c r="L12" s="15" t="s">
        <v>20</v>
      </c>
      <c r="M12" s="57" t="s">
        <v>21</v>
      </c>
    </row>
    <row r="13" spans="2:13" ht="15.75" thickBot="1" x14ac:dyDescent="0.3">
      <c r="G13" s="22" t="s">
        <v>80</v>
      </c>
      <c r="H13" s="32" t="str">
        <f>_xlfn.XLOOKUP(G13,B3:B12,D3:D12,"¯\_(ツ)_/¯")</f>
        <v>¯\_(ツ)_/¯</v>
      </c>
      <c r="I13" s="84" t="str">
        <f>_xlfn.XLOOKUP(G13,B3:B12,E3:E12,"Not Found")</f>
        <v>Not Found</v>
      </c>
      <c r="K13" s="22" t="s">
        <v>80</v>
      </c>
      <c r="L13" s="105"/>
      <c r="M13" s="10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65D3-BCAD-4B64-9120-89F079E352F5}">
  <sheetPr codeName="Sheet3"/>
  <dimension ref="B1:K13"/>
  <sheetViews>
    <sheetView workbookViewId="0"/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5" width="10.7109375" customWidth="1"/>
    <col min="6" max="6" width="2.7109375" customWidth="1"/>
    <col min="7" max="7" width="10.7109375" customWidth="1"/>
    <col min="8" max="8" width="48.85546875" bestFit="1" customWidth="1"/>
    <col min="9" max="9" width="27.5703125" customWidth="1"/>
    <col min="10" max="10" width="10.7109375" customWidth="1"/>
    <col min="11" max="11" width="48.85546875" bestFit="1" customWidth="1"/>
  </cols>
  <sheetData>
    <row r="1" spans="2:11" ht="18.75" x14ac:dyDescent="0.3">
      <c r="B1" s="16" t="s">
        <v>40</v>
      </c>
      <c r="C1" s="17"/>
      <c r="D1" s="17"/>
      <c r="E1" s="18"/>
      <c r="G1" s="16" t="s">
        <v>108</v>
      </c>
      <c r="H1" s="31"/>
      <c r="J1" s="16" t="s">
        <v>118</v>
      </c>
      <c r="K1" s="31"/>
    </row>
    <row r="2" spans="2:11" x14ac:dyDescent="0.25">
      <c r="B2" s="72" t="s">
        <v>0</v>
      </c>
      <c r="C2" s="73" t="s">
        <v>1</v>
      </c>
      <c r="D2" s="73" t="s">
        <v>20</v>
      </c>
      <c r="E2" s="74" t="s">
        <v>21</v>
      </c>
      <c r="G2" s="63" t="s">
        <v>20</v>
      </c>
      <c r="H2" s="57" t="s">
        <v>0</v>
      </c>
      <c r="J2" s="63" t="s">
        <v>20</v>
      </c>
      <c r="K2" s="57" t="s">
        <v>0</v>
      </c>
    </row>
    <row r="3" spans="2:11" ht="15.75" thickBot="1" x14ac:dyDescent="0.3">
      <c r="B3" s="19" t="s">
        <v>10</v>
      </c>
      <c r="C3" t="s">
        <v>24</v>
      </c>
      <c r="D3">
        <v>20</v>
      </c>
      <c r="E3" s="21">
        <v>32.186880000000002</v>
      </c>
      <c r="G3" s="22">
        <v>60</v>
      </c>
      <c r="H3" s="26" t="str">
        <f>_xlfn.XLOOKUP(G3,D3:D12,B3:B12,,-1)</f>
        <v>Playa Novillero</v>
      </c>
      <c r="J3" s="22">
        <v>60</v>
      </c>
      <c r="K3" s="109"/>
    </row>
    <row r="4" spans="2:11" x14ac:dyDescent="0.25">
      <c r="B4" s="19" t="s">
        <v>9</v>
      </c>
      <c r="C4" t="s">
        <v>26</v>
      </c>
      <c r="D4">
        <v>25</v>
      </c>
      <c r="E4" s="21">
        <v>40.233599999999996</v>
      </c>
    </row>
    <row r="5" spans="2:11" ht="15.75" thickBot="1" x14ac:dyDescent="0.3">
      <c r="B5" s="19" t="s">
        <v>8</v>
      </c>
      <c r="C5" t="s">
        <v>23</v>
      </c>
      <c r="D5">
        <v>28</v>
      </c>
      <c r="E5" s="21">
        <v>45.061631999999996</v>
      </c>
    </row>
    <row r="6" spans="2:11" ht="18.75" x14ac:dyDescent="0.3">
      <c r="B6" s="19" t="s">
        <v>7</v>
      </c>
      <c r="C6" t="s">
        <v>23</v>
      </c>
      <c r="D6">
        <v>35</v>
      </c>
      <c r="E6" s="21">
        <v>56.327040000000004</v>
      </c>
      <c r="G6" s="16" t="s">
        <v>109</v>
      </c>
      <c r="H6" s="31"/>
      <c r="J6" s="16" t="s">
        <v>118</v>
      </c>
      <c r="K6" s="31"/>
    </row>
    <row r="7" spans="2:11" x14ac:dyDescent="0.25">
      <c r="B7" s="19" t="s">
        <v>3</v>
      </c>
      <c r="C7" t="s">
        <v>19</v>
      </c>
      <c r="D7">
        <v>55</v>
      </c>
      <c r="E7" s="21">
        <v>89</v>
      </c>
      <c r="G7" s="63" t="s">
        <v>20</v>
      </c>
      <c r="H7" s="57" t="s">
        <v>0</v>
      </c>
      <c r="J7" s="63" t="s">
        <v>20</v>
      </c>
      <c r="K7" s="57" t="s">
        <v>0</v>
      </c>
    </row>
    <row r="8" spans="2:11" ht="15.75" thickBot="1" x14ac:dyDescent="0.3">
      <c r="B8" s="19" t="s">
        <v>6</v>
      </c>
      <c r="C8" t="s">
        <v>27</v>
      </c>
      <c r="D8">
        <v>56</v>
      </c>
      <c r="E8" s="21">
        <v>90.123263999999992</v>
      </c>
      <c r="G8" s="22">
        <v>60</v>
      </c>
      <c r="H8" s="26" t="str">
        <f>_xlfn.XLOOKUP(G8,D3:D12,B3:B12,,1)</f>
        <v>Padre Island National Seashore</v>
      </c>
      <c r="J8" s="22">
        <v>60</v>
      </c>
      <c r="K8" s="109"/>
    </row>
    <row r="9" spans="2:11" x14ac:dyDescent="0.25">
      <c r="B9" s="19" t="s">
        <v>5</v>
      </c>
      <c r="C9" t="s">
        <v>23</v>
      </c>
      <c r="D9">
        <v>70</v>
      </c>
      <c r="E9" s="21">
        <v>112.65408000000001</v>
      </c>
    </row>
    <row r="10" spans="2:11" ht="15.75" thickBot="1" x14ac:dyDescent="0.3">
      <c r="B10" s="19" t="s">
        <v>4</v>
      </c>
      <c r="C10" t="s">
        <v>25</v>
      </c>
      <c r="D10">
        <v>75</v>
      </c>
      <c r="E10" s="21">
        <v>120.7008</v>
      </c>
    </row>
    <row r="11" spans="2:11" ht="18.75" x14ac:dyDescent="0.3">
      <c r="B11" s="19" t="s">
        <v>3</v>
      </c>
      <c r="C11" t="s">
        <v>24</v>
      </c>
      <c r="D11">
        <v>94</v>
      </c>
      <c r="E11" s="21">
        <v>151</v>
      </c>
      <c r="G11" s="16" t="s">
        <v>109</v>
      </c>
      <c r="H11" s="31"/>
      <c r="J11" s="16" t="s">
        <v>109</v>
      </c>
      <c r="K11" s="31"/>
    </row>
    <row r="12" spans="2:11" ht="15.75" thickBot="1" x14ac:dyDescent="0.3">
      <c r="B12" s="22" t="s">
        <v>2</v>
      </c>
      <c r="C12" s="23" t="s">
        <v>28</v>
      </c>
      <c r="D12" s="23">
        <v>150</v>
      </c>
      <c r="E12" s="24">
        <v>241.4016</v>
      </c>
      <c r="G12" s="63" t="s">
        <v>20</v>
      </c>
      <c r="H12" s="57" t="s">
        <v>0</v>
      </c>
      <c r="J12" s="63" t="s">
        <v>20</v>
      </c>
      <c r="K12" s="57" t="s">
        <v>0</v>
      </c>
    </row>
    <row r="13" spans="2:11" ht="15.75" thickBot="1" x14ac:dyDescent="0.3">
      <c r="G13" s="22">
        <v>60</v>
      </c>
      <c r="H13" s="120" t="str" cm="1">
        <f t="array" ref="H13">_xlfn.XLOOKUP(G8,D3:D12,B3:B12&amp;", "&amp;C3:C12,,1)</f>
        <v>Padre Island National Seashore, United States</v>
      </c>
      <c r="J13" s="22">
        <v>60</v>
      </c>
      <c r="K13" s="121"/>
    </row>
  </sheetData>
  <sortState xmlns:xlrd2="http://schemas.microsoft.com/office/spreadsheetml/2017/richdata2" ref="B3:E12">
    <sortCondition ref="D3:D12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01E0-FA2A-4BFC-9352-567BBD7CAB95}">
  <sheetPr codeName="Sheet5"/>
  <dimension ref="B1:O12"/>
  <sheetViews>
    <sheetView workbookViewId="0"/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4" width="9" customWidth="1"/>
    <col min="5" max="5" width="10.7109375" bestFit="1" customWidth="1"/>
    <col min="6" max="6" width="2.7109375" customWidth="1"/>
    <col min="7" max="7" width="17.140625" customWidth="1"/>
    <col min="8" max="8" width="14.7109375" customWidth="1"/>
    <col min="9" max="9" width="10.85546875" customWidth="1"/>
    <col min="10" max="10" width="10.28515625" customWidth="1"/>
    <col min="11" max="11" width="2.7109375" customWidth="1"/>
    <col min="12" max="12" width="17.140625" customWidth="1"/>
    <col min="13" max="13" width="14.7109375" customWidth="1"/>
    <col min="14" max="14" width="10.85546875" customWidth="1"/>
    <col min="15" max="15" width="10.28515625" customWidth="1"/>
  </cols>
  <sheetData>
    <row r="1" spans="2:15" ht="18.75" x14ac:dyDescent="0.3">
      <c r="B1" s="16" t="s">
        <v>40</v>
      </c>
      <c r="C1" s="17"/>
      <c r="D1" s="17"/>
      <c r="E1" s="18"/>
      <c r="G1" s="102" t="s">
        <v>73</v>
      </c>
      <c r="H1" s="103"/>
      <c r="I1" s="103"/>
      <c r="J1" s="104"/>
      <c r="L1" s="102" t="s">
        <v>118</v>
      </c>
      <c r="M1" s="103"/>
      <c r="N1" s="103"/>
      <c r="O1" s="104"/>
    </row>
    <row r="2" spans="2:15" x14ac:dyDescent="0.25">
      <c r="B2" s="56" t="s">
        <v>0</v>
      </c>
      <c r="C2" s="15" t="s">
        <v>1</v>
      </c>
      <c r="D2" s="15" t="s">
        <v>20</v>
      </c>
      <c r="E2" s="57" t="s">
        <v>21</v>
      </c>
      <c r="G2" s="63" t="s">
        <v>0</v>
      </c>
      <c r="H2" s="86" t="s">
        <v>1</v>
      </c>
      <c r="I2" s="94" t="s">
        <v>20</v>
      </c>
      <c r="J2" s="95" t="s">
        <v>21</v>
      </c>
      <c r="L2" s="63" t="s">
        <v>0</v>
      </c>
      <c r="M2" s="86" t="s">
        <v>1</v>
      </c>
      <c r="N2" s="94" t="s">
        <v>20</v>
      </c>
      <c r="O2" s="95" t="s">
        <v>21</v>
      </c>
    </row>
    <row r="3" spans="2:15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3</v>
      </c>
      <c r="H3" s="32" t="str" cm="1">
        <f t="array" ref="H3:J3">_xlfn.XLOOKUP(G3,B3:B12,C3:E12,"Not found",1,1)</f>
        <v>Australia</v>
      </c>
      <c r="I3" s="23">
        <v>94</v>
      </c>
      <c r="J3" s="33">
        <v>151</v>
      </c>
      <c r="L3" s="22" t="s">
        <v>3</v>
      </c>
      <c r="M3" s="105"/>
      <c r="N3" s="23"/>
      <c r="O3" s="33"/>
    </row>
    <row r="4" spans="2:15" x14ac:dyDescent="0.25">
      <c r="B4" s="19" t="s">
        <v>8</v>
      </c>
      <c r="C4" t="s">
        <v>23</v>
      </c>
      <c r="D4">
        <v>28</v>
      </c>
      <c r="E4" s="21">
        <v>45.061631999999996</v>
      </c>
    </row>
    <row r="5" spans="2:15" ht="15.75" thickBot="1" x14ac:dyDescent="0.3">
      <c r="B5" s="19" t="s">
        <v>9</v>
      </c>
      <c r="C5" t="s">
        <v>26</v>
      </c>
      <c r="D5">
        <v>25</v>
      </c>
      <c r="E5" s="21">
        <v>40.233599999999996</v>
      </c>
    </row>
    <row r="6" spans="2:15" ht="18.75" x14ac:dyDescent="0.3">
      <c r="B6" s="19" t="s">
        <v>3</v>
      </c>
      <c r="C6" t="s">
        <v>24</v>
      </c>
      <c r="D6">
        <v>94</v>
      </c>
      <c r="E6" s="21">
        <v>151</v>
      </c>
      <c r="G6" s="102" t="s">
        <v>74</v>
      </c>
      <c r="H6" s="103"/>
      <c r="I6" s="103"/>
      <c r="J6" s="104"/>
      <c r="L6" s="102" t="s">
        <v>118</v>
      </c>
      <c r="M6" s="103"/>
      <c r="N6" s="103"/>
      <c r="O6" s="104"/>
    </row>
    <row r="7" spans="2:15" x14ac:dyDescent="0.25">
      <c r="B7" s="19" t="s">
        <v>3</v>
      </c>
      <c r="C7" t="s">
        <v>19</v>
      </c>
      <c r="D7">
        <v>55</v>
      </c>
      <c r="E7" s="21">
        <v>89</v>
      </c>
      <c r="G7" s="63" t="s">
        <v>0</v>
      </c>
      <c r="H7" s="86" t="s">
        <v>1</v>
      </c>
      <c r="I7" s="94" t="s">
        <v>20</v>
      </c>
      <c r="J7" s="95" t="s">
        <v>21</v>
      </c>
      <c r="L7" s="63" t="s">
        <v>0</v>
      </c>
      <c r="M7" s="86" t="s">
        <v>1</v>
      </c>
      <c r="N7" s="94" t="s">
        <v>20</v>
      </c>
      <c r="O7" s="95" t="s">
        <v>21</v>
      </c>
    </row>
    <row r="8" spans="2:15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">
        <v>3</v>
      </c>
      <c r="H8" s="32" t="str" cm="1">
        <f t="array" ref="H8:J8">_xlfn.XLOOKUP(G3,B3:B12,C3:E12,"Not found",1,-1)</f>
        <v>New Zealand</v>
      </c>
      <c r="I8" s="23">
        <v>55</v>
      </c>
      <c r="J8" s="33">
        <v>89</v>
      </c>
      <c r="L8" s="22" t="s">
        <v>3</v>
      </c>
      <c r="M8" s="105"/>
      <c r="N8" s="23"/>
      <c r="O8" s="33"/>
    </row>
    <row r="9" spans="2:15" x14ac:dyDescent="0.25">
      <c r="B9" s="19" t="s">
        <v>6</v>
      </c>
      <c r="C9" t="s">
        <v>27</v>
      </c>
      <c r="D9">
        <v>56</v>
      </c>
      <c r="E9" s="21">
        <v>90.123263999999992</v>
      </c>
      <c r="G9" s="90"/>
      <c r="H9" s="90"/>
    </row>
    <row r="10" spans="2:15" x14ac:dyDescent="0.25">
      <c r="B10" s="19" t="s">
        <v>2</v>
      </c>
      <c r="C10" t="s">
        <v>28</v>
      </c>
      <c r="D10">
        <v>150</v>
      </c>
      <c r="E10" s="21">
        <v>241.4016</v>
      </c>
    </row>
    <row r="11" spans="2:15" x14ac:dyDescent="0.25">
      <c r="B11" s="19" t="s">
        <v>10</v>
      </c>
      <c r="C11" t="s">
        <v>24</v>
      </c>
      <c r="D11">
        <v>20</v>
      </c>
      <c r="E11" s="21">
        <v>32.186880000000002</v>
      </c>
    </row>
    <row r="12" spans="2:15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</row>
  </sheetData>
  <mergeCells count="4">
    <mergeCell ref="G1:J1"/>
    <mergeCell ref="G6:J6"/>
    <mergeCell ref="L1:O1"/>
    <mergeCell ref="L6:O6"/>
  </mergeCells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3DBE-7C08-4DB4-A73E-01EA90597356}">
  <sheetPr codeName="Sheet6"/>
  <dimension ref="B1:K27"/>
  <sheetViews>
    <sheetView workbookViewId="0"/>
  </sheetViews>
  <sheetFormatPr defaultColWidth="8.85546875" defaultRowHeight="15" x14ac:dyDescent="0.25"/>
  <cols>
    <col min="1" max="1" width="2.7109375" customWidth="1"/>
    <col min="2" max="2" width="31.28515625" customWidth="1"/>
    <col min="3" max="3" width="17.42578125" customWidth="1"/>
    <col min="4" max="4" width="13" customWidth="1"/>
    <col min="5" max="5" width="6" bestFit="1" customWidth="1"/>
    <col min="6" max="6" width="10.7109375" bestFit="1" customWidth="1"/>
    <col min="7" max="7" width="2.7109375" customWidth="1"/>
    <col min="8" max="8" width="11.42578125" bestFit="1" customWidth="1"/>
    <col min="9" max="9" width="15.7109375" customWidth="1"/>
    <col min="10" max="11" width="12.7109375" customWidth="1"/>
  </cols>
  <sheetData>
    <row r="1" spans="2:11" ht="18.75" x14ac:dyDescent="0.3">
      <c r="B1" s="16" t="s">
        <v>40</v>
      </c>
      <c r="C1" s="16"/>
      <c r="D1" s="17"/>
      <c r="E1" s="17"/>
      <c r="F1" s="18"/>
      <c r="H1" s="16" t="s">
        <v>79</v>
      </c>
      <c r="I1" s="30"/>
      <c r="J1" s="30"/>
      <c r="K1" s="31"/>
    </row>
    <row r="2" spans="2:11" x14ac:dyDescent="0.25">
      <c r="B2" s="63" t="s">
        <v>77</v>
      </c>
      <c r="C2" s="70" t="s">
        <v>0</v>
      </c>
      <c r="D2" s="15" t="s">
        <v>1</v>
      </c>
      <c r="E2" s="15" t="s">
        <v>20</v>
      </c>
      <c r="F2" s="57" t="s">
        <v>21</v>
      </c>
      <c r="H2" s="63" t="s">
        <v>0</v>
      </c>
      <c r="I2" s="15" t="s">
        <v>1</v>
      </c>
      <c r="J2" s="15" t="s">
        <v>20</v>
      </c>
      <c r="K2" s="57" t="s">
        <v>21</v>
      </c>
    </row>
    <row r="3" spans="2:11" ht="15.75" thickBot="1" x14ac:dyDescent="0.3">
      <c r="B3" s="51" t="str">
        <f>C3&amp;" "&amp;D3</f>
        <v>Cox's Bazar Bangladesh</v>
      </c>
      <c r="C3" t="s">
        <v>4</v>
      </c>
      <c r="D3" t="s">
        <v>25</v>
      </c>
      <c r="E3">
        <v>75</v>
      </c>
      <c r="F3" s="21">
        <v>120.7008</v>
      </c>
      <c r="H3" s="22" t="s">
        <v>9</v>
      </c>
      <c r="I3" s="23" t="s">
        <v>26</v>
      </c>
      <c r="J3" s="32">
        <f>VLOOKUP($H3&amp;" "&amp;$I3,$B3:$F12,4,FALSE)</f>
        <v>25</v>
      </c>
      <c r="K3" s="44">
        <f>VLOOKUP($H3&amp;" "&amp;$I3,$B3:$F12,5,FALSE)</f>
        <v>40.233599999999996</v>
      </c>
    </row>
    <row r="4" spans="2:11" x14ac:dyDescent="0.25">
      <c r="B4" s="19" t="str">
        <f t="shared" ref="B4:B12" si="0">C4&amp;" "&amp;D4</f>
        <v>Long Beach United States</v>
      </c>
      <c r="C4" t="s">
        <v>8</v>
      </c>
      <c r="D4" t="s">
        <v>23</v>
      </c>
      <c r="E4">
        <v>28</v>
      </c>
      <c r="F4" s="21">
        <v>45.061631999999996</v>
      </c>
      <c r="H4" s="45"/>
      <c r="I4" s="45"/>
      <c r="J4" s="77"/>
      <c r="K4" s="45"/>
    </row>
    <row r="5" spans="2:11" ht="15.75" thickBot="1" x14ac:dyDescent="0.3">
      <c r="B5" s="19" t="str">
        <f t="shared" si="0"/>
        <v>Muizenberg South Africa</v>
      </c>
      <c r="C5" t="s">
        <v>9</v>
      </c>
      <c r="D5" t="s">
        <v>26</v>
      </c>
      <c r="E5">
        <v>25</v>
      </c>
      <c r="F5" s="21">
        <v>40.233599999999996</v>
      </c>
      <c r="H5" s="23"/>
      <c r="I5" s="23"/>
      <c r="J5" s="35"/>
      <c r="K5" s="23"/>
    </row>
    <row r="6" spans="2:11" ht="18.75" x14ac:dyDescent="0.3">
      <c r="B6" s="19" t="str">
        <f t="shared" si="0"/>
        <v>Ninety Mile Beach Australia</v>
      </c>
      <c r="C6" t="s">
        <v>3</v>
      </c>
      <c r="D6" t="s">
        <v>24</v>
      </c>
      <c r="E6">
        <v>94</v>
      </c>
      <c r="F6" s="21">
        <v>151</v>
      </c>
      <c r="H6" s="16" t="s">
        <v>78</v>
      </c>
      <c r="I6" s="30"/>
      <c r="J6" s="30"/>
      <c r="K6" s="31"/>
    </row>
    <row r="7" spans="2:11" x14ac:dyDescent="0.25">
      <c r="B7" s="19" t="str">
        <f t="shared" si="0"/>
        <v>Ninety Mile Beach New Zealand</v>
      </c>
      <c r="C7" t="s">
        <v>3</v>
      </c>
      <c r="D7" t="s">
        <v>19</v>
      </c>
      <c r="E7">
        <v>55</v>
      </c>
      <c r="F7" s="21">
        <v>89</v>
      </c>
      <c r="H7" s="63" t="s">
        <v>0</v>
      </c>
      <c r="I7" s="15" t="s">
        <v>1</v>
      </c>
      <c r="J7" s="15" t="s">
        <v>20</v>
      </c>
      <c r="K7" s="57" t="s">
        <v>21</v>
      </c>
    </row>
    <row r="8" spans="2:11" ht="15.75" thickBot="1" x14ac:dyDescent="0.3">
      <c r="B8" s="19" t="str">
        <f t="shared" si="0"/>
        <v>Padre Island National Seashore United States</v>
      </c>
      <c r="C8" t="s">
        <v>5</v>
      </c>
      <c r="D8" t="s">
        <v>23</v>
      </c>
      <c r="E8">
        <v>70</v>
      </c>
      <c r="F8" s="21">
        <v>112.65408000000001</v>
      </c>
      <c r="H8" s="22" t="s">
        <v>9</v>
      </c>
      <c r="I8" s="23" t="s">
        <v>26</v>
      </c>
      <c r="J8" s="32" cm="1">
        <f t="array" ref="J8:K8">_xlfn.XLOOKUP(H8&amp;I8,C3:C12&amp;D3:D12,E3:F12)</f>
        <v>25</v>
      </c>
      <c r="K8" s="44">
        <v>40.233599999999996</v>
      </c>
    </row>
    <row r="9" spans="2:11" x14ac:dyDescent="0.25">
      <c r="B9" s="19" t="str">
        <f t="shared" si="0"/>
        <v>Playa Novillero Mexico</v>
      </c>
      <c r="C9" t="s">
        <v>6</v>
      </c>
      <c r="D9" t="s">
        <v>27</v>
      </c>
      <c r="E9">
        <v>56</v>
      </c>
      <c r="F9" s="21">
        <v>90.123263999999992</v>
      </c>
    </row>
    <row r="10" spans="2:11" x14ac:dyDescent="0.25">
      <c r="B10" s="19" t="str">
        <f t="shared" si="0"/>
        <v>Praia do Cassino Beach Brazil</v>
      </c>
      <c r="C10" t="s">
        <v>2</v>
      </c>
      <c r="D10" t="s">
        <v>28</v>
      </c>
      <c r="E10">
        <v>150</v>
      </c>
      <c r="F10" s="21">
        <v>241.4016</v>
      </c>
    </row>
    <row r="11" spans="2:11" x14ac:dyDescent="0.25">
      <c r="B11" s="19" t="str">
        <f t="shared" si="0"/>
        <v>Stockton Beach Australia</v>
      </c>
      <c r="C11" t="s">
        <v>10</v>
      </c>
      <c r="D11" t="s">
        <v>24</v>
      </c>
      <c r="E11">
        <v>20</v>
      </c>
      <c r="F11" s="21">
        <v>32.186880000000002</v>
      </c>
    </row>
    <row r="12" spans="2:11" ht="15.75" thickBot="1" x14ac:dyDescent="0.3">
      <c r="B12" s="22" t="str">
        <f t="shared" si="0"/>
        <v>Virginia Beach United States</v>
      </c>
      <c r="C12" s="23" t="s">
        <v>7</v>
      </c>
      <c r="D12" s="23" t="s">
        <v>23</v>
      </c>
      <c r="E12" s="23">
        <v>35</v>
      </c>
      <c r="F12" s="24">
        <v>56.327040000000004</v>
      </c>
    </row>
    <row r="15" spans="2:11" ht="15.75" thickBot="1" x14ac:dyDescent="0.3"/>
    <row r="16" spans="2:11" ht="18.75" x14ac:dyDescent="0.3">
      <c r="B16" s="16" t="s">
        <v>118</v>
      </c>
      <c r="C16" s="16"/>
      <c r="D16" s="17"/>
      <c r="E16" s="17"/>
      <c r="F16" s="18"/>
      <c r="H16" s="16" t="s">
        <v>118</v>
      </c>
      <c r="I16" s="30"/>
      <c r="J16" s="30"/>
      <c r="K16" s="31"/>
    </row>
    <row r="17" spans="2:11" x14ac:dyDescent="0.25">
      <c r="B17" s="63" t="s">
        <v>77</v>
      </c>
      <c r="C17" s="70" t="s">
        <v>0</v>
      </c>
      <c r="D17" s="15" t="s">
        <v>1</v>
      </c>
      <c r="E17" s="15" t="s">
        <v>20</v>
      </c>
      <c r="F17" s="57" t="s">
        <v>21</v>
      </c>
      <c r="H17" s="63" t="s">
        <v>0</v>
      </c>
      <c r="I17" s="15" t="s">
        <v>1</v>
      </c>
      <c r="J17" s="15" t="s">
        <v>20</v>
      </c>
      <c r="K17" s="57" t="s">
        <v>21</v>
      </c>
    </row>
    <row r="18" spans="2:11" ht="15.75" thickBot="1" x14ac:dyDescent="0.3">
      <c r="B18" s="110"/>
      <c r="C18" t="s">
        <v>4</v>
      </c>
      <c r="D18" t="s">
        <v>25</v>
      </c>
      <c r="E18">
        <v>75</v>
      </c>
      <c r="F18" s="21">
        <v>120.7008</v>
      </c>
      <c r="H18" s="22" t="s">
        <v>9</v>
      </c>
      <c r="I18" s="23" t="s">
        <v>26</v>
      </c>
      <c r="J18" s="105"/>
      <c r="K18" s="106"/>
    </row>
    <row r="19" spans="2:11" x14ac:dyDescent="0.25">
      <c r="B19" s="110"/>
      <c r="C19" t="s">
        <v>8</v>
      </c>
      <c r="D19" t="s">
        <v>23</v>
      </c>
      <c r="E19">
        <v>28</v>
      </c>
      <c r="F19" s="21">
        <v>45.061631999999996</v>
      </c>
      <c r="H19" s="45"/>
      <c r="I19" s="45"/>
      <c r="J19" s="77"/>
      <c r="K19" s="45"/>
    </row>
    <row r="20" spans="2:11" ht="15.75" thickBot="1" x14ac:dyDescent="0.3">
      <c r="B20" s="110"/>
      <c r="C20" t="s">
        <v>9</v>
      </c>
      <c r="D20" t="s">
        <v>26</v>
      </c>
      <c r="E20">
        <v>25</v>
      </c>
      <c r="F20" s="21">
        <v>40.233599999999996</v>
      </c>
      <c r="H20" s="23"/>
      <c r="I20" s="23"/>
      <c r="J20" s="35"/>
      <c r="K20" s="23"/>
    </row>
    <row r="21" spans="2:11" ht="18.75" x14ac:dyDescent="0.3">
      <c r="B21" s="110"/>
      <c r="C21" t="s">
        <v>3</v>
      </c>
      <c r="D21" t="s">
        <v>24</v>
      </c>
      <c r="E21">
        <v>94</v>
      </c>
      <c r="F21" s="21">
        <v>151</v>
      </c>
      <c r="H21" s="16" t="s">
        <v>118</v>
      </c>
      <c r="I21" s="30"/>
      <c r="J21" s="30"/>
      <c r="K21" s="31"/>
    </row>
    <row r="22" spans="2:11" x14ac:dyDescent="0.25">
      <c r="B22" s="110"/>
      <c r="C22" t="s">
        <v>3</v>
      </c>
      <c r="D22" t="s">
        <v>19</v>
      </c>
      <c r="E22">
        <v>55</v>
      </c>
      <c r="F22" s="21">
        <v>89</v>
      </c>
      <c r="H22" s="63" t="s">
        <v>0</v>
      </c>
      <c r="I22" s="15" t="s">
        <v>1</v>
      </c>
      <c r="J22" s="15" t="s">
        <v>20</v>
      </c>
      <c r="K22" s="57" t="s">
        <v>21</v>
      </c>
    </row>
    <row r="23" spans="2:11" ht="15.75" thickBot="1" x14ac:dyDescent="0.3">
      <c r="B23" s="110"/>
      <c r="C23" t="s">
        <v>5</v>
      </c>
      <c r="D23" t="s">
        <v>23</v>
      </c>
      <c r="E23">
        <v>70</v>
      </c>
      <c r="F23" s="21">
        <v>112.65408000000001</v>
      </c>
      <c r="H23" s="22" t="s">
        <v>9</v>
      </c>
      <c r="I23" s="23" t="s">
        <v>26</v>
      </c>
      <c r="J23" s="105"/>
      <c r="K23" s="106"/>
    </row>
    <row r="24" spans="2:11" x14ac:dyDescent="0.25">
      <c r="B24" s="110"/>
      <c r="C24" t="s">
        <v>6</v>
      </c>
      <c r="D24" t="s">
        <v>27</v>
      </c>
      <c r="E24">
        <v>56</v>
      </c>
      <c r="F24" s="21">
        <v>90.123263999999992</v>
      </c>
    </row>
    <row r="25" spans="2:11" x14ac:dyDescent="0.25">
      <c r="B25" s="110"/>
      <c r="C25" t="s">
        <v>2</v>
      </c>
      <c r="D25" t="s">
        <v>28</v>
      </c>
      <c r="E25">
        <v>150</v>
      </c>
      <c r="F25" s="21">
        <v>241.4016</v>
      </c>
    </row>
    <row r="26" spans="2:11" x14ac:dyDescent="0.25">
      <c r="B26" s="110"/>
      <c r="C26" t="s">
        <v>10</v>
      </c>
      <c r="D26" t="s">
        <v>24</v>
      </c>
      <c r="E26">
        <v>20</v>
      </c>
      <c r="F26" s="21">
        <v>32.186880000000002</v>
      </c>
    </row>
    <row r="27" spans="2:11" ht="15.75" thickBot="1" x14ac:dyDescent="0.3">
      <c r="B27" s="111"/>
      <c r="C27" s="23" t="s">
        <v>7</v>
      </c>
      <c r="D27" s="23" t="s">
        <v>23</v>
      </c>
      <c r="E27" s="23">
        <v>35</v>
      </c>
      <c r="F27" s="24">
        <v>56.327040000000004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5781-3298-4E8E-9F13-11517EB2B60A}">
  <sheetPr codeName="Sheet4"/>
  <dimension ref="B1:O24"/>
  <sheetViews>
    <sheetView zoomScaleNormal="100" workbookViewId="0"/>
  </sheetViews>
  <sheetFormatPr defaultColWidth="8.85546875" defaultRowHeight="15" x14ac:dyDescent="0.25"/>
  <cols>
    <col min="1" max="1" width="2.7109375" customWidth="1"/>
    <col min="3" max="14" width="8.42578125" customWidth="1"/>
    <col min="15" max="15" width="9.42578125" bestFit="1" customWidth="1"/>
  </cols>
  <sheetData>
    <row r="1" spans="2:15" ht="19.5" thickBot="1" x14ac:dyDescent="0.35">
      <c r="B1" s="16" t="s">
        <v>61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2:15" x14ac:dyDescent="0.25">
      <c r="B2" s="38" t="s">
        <v>12</v>
      </c>
      <c r="C2" s="39" t="s">
        <v>42</v>
      </c>
      <c r="D2" s="39" t="s">
        <v>43</v>
      </c>
      <c r="E2" s="39" t="s">
        <v>44</v>
      </c>
      <c r="F2" s="39" t="s">
        <v>45</v>
      </c>
      <c r="G2" s="39" t="s">
        <v>11</v>
      </c>
      <c r="H2" s="39" t="s">
        <v>46</v>
      </c>
      <c r="I2" s="39" t="s">
        <v>47</v>
      </c>
      <c r="J2" s="39" t="s">
        <v>48</v>
      </c>
      <c r="K2" s="39" t="s">
        <v>49</v>
      </c>
      <c r="L2" s="39" t="s">
        <v>50</v>
      </c>
      <c r="M2" s="39" t="s">
        <v>51</v>
      </c>
      <c r="N2" s="39" t="s">
        <v>52</v>
      </c>
      <c r="O2" s="40" t="s">
        <v>18</v>
      </c>
    </row>
    <row r="3" spans="2:15" x14ac:dyDescent="0.25">
      <c r="B3" s="41" t="s">
        <v>13</v>
      </c>
      <c r="C3">
        <v>255</v>
      </c>
      <c r="D3">
        <v>344</v>
      </c>
      <c r="E3">
        <v>250</v>
      </c>
      <c r="F3">
        <v>401</v>
      </c>
      <c r="G3">
        <v>176</v>
      </c>
      <c r="H3">
        <v>232</v>
      </c>
      <c r="I3">
        <v>196</v>
      </c>
      <c r="J3">
        <v>146</v>
      </c>
      <c r="K3">
        <v>319</v>
      </c>
      <c r="L3">
        <v>142</v>
      </c>
      <c r="M3">
        <v>479</v>
      </c>
      <c r="N3">
        <v>193</v>
      </c>
      <c r="O3" s="42">
        <f>SUM(C3:N3)</f>
        <v>3133</v>
      </c>
    </row>
    <row r="4" spans="2:15" x14ac:dyDescent="0.25">
      <c r="B4" s="41" t="s">
        <v>14</v>
      </c>
      <c r="C4">
        <v>339</v>
      </c>
      <c r="D4">
        <v>258</v>
      </c>
      <c r="E4">
        <v>311</v>
      </c>
      <c r="F4">
        <v>161</v>
      </c>
      <c r="G4">
        <v>367</v>
      </c>
      <c r="H4">
        <v>136</v>
      </c>
      <c r="I4">
        <v>183</v>
      </c>
      <c r="J4">
        <v>458</v>
      </c>
      <c r="K4">
        <v>318</v>
      </c>
      <c r="L4">
        <v>250</v>
      </c>
      <c r="M4">
        <v>179</v>
      </c>
      <c r="N4">
        <v>310</v>
      </c>
      <c r="O4" s="42">
        <f t="shared" ref="O4:O7" si="0">SUM(C4:N4)</f>
        <v>3270</v>
      </c>
    </row>
    <row r="5" spans="2:15" x14ac:dyDescent="0.25">
      <c r="B5" s="41" t="s">
        <v>15</v>
      </c>
      <c r="C5">
        <v>269</v>
      </c>
      <c r="D5">
        <v>327</v>
      </c>
      <c r="E5">
        <v>341</v>
      </c>
      <c r="F5">
        <v>488</v>
      </c>
      <c r="G5">
        <v>214</v>
      </c>
      <c r="H5">
        <v>474</v>
      </c>
      <c r="I5">
        <v>451</v>
      </c>
      <c r="J5">
        <v>217</v>
      </c>
      <c r="K5">
        <v>325</v>
      </c>
      <c r="L5">
        <v>123</v>
      </c>
      <c r="M5">
        <v>301</v>
      </c>
      <c r="N5">
        <v>433</v>
      </c>
      <c r="O5" s="42">
        <f t="shared" si="0"/>
        <v>3963</v>
      </c>
    </row>
    <row r="6" spans="2:15" x14ac:dyDescent="0.25">
      <c r="B6" s="41" t="s">
        <v>16</v>
      </c>
      <c r="C6">
        <v>272</v>
      </c>
      <c r="D6">
        <v>470</v>
      </c>
      <c r="E6">
        <v>233</v>
      </c>
      <c r="F6">
        <v>127</v>
      </c>
      <c r="G6">
        <v>410</v>
      </c>
      <c r="H6">
        <v>168</v>
      </c>
      <c r="I6">
        <v>271</v>
      </c>
      <c r="J6">
        <v>426</v>
      </c>
      <c r="K6">
        <v>320</v>
      </c>
      <c r="L6">
        <v>154</v>
      </c>
      <c r="M6">
        <v>231</v>
      </c>
      <c r="N6">
        <v>322</v>
      </c>
      <c r="O6" s="42">
        <f t="shared" si="0"/>
        <v>3404</v>
      </c>
    </row>
    <row r="7" spans="2:15" ht="15.75" thickBot="1" x14ac:dyDescent="0.3">
      <c r="B7" s="43" t="s">
        <v>17</v>
      </c>
      <c r="C7" s="23">
        <v>209</v>
      </c>
      <c r="D7" s="23">
        <v>423</v>
      </c>
      <c r="E7" s="23">
        <v>455</v>
      </c>
      <c r="F7" s="23">
        <v>314</v>
      </c>
      <c r="G7" s="23">
        <v>345</v>
      </c>
      <c r="H7" s="23">
        <v>295</v>
      </c>
      <c r="I7" s="23">
        <v>296</v>
      </c>
      <c r="J7" s="23">
        <v>262</v>
      </c>
      <c r="K7" s="23">
        <v>109</v>
      </c>
      <c r="L7" s="23">
        <v>225</v>
      </c>
      <c r="M7" s="23">
        <v>309</v>
      </c>
      <c r="N7" s="23">
        <v>420</v>
      </c>
      <c r="O7" s="44">
        <f t="shared" si="0"/>
        <v>3662</v>
      </c>
    </row>
    <row r="9" spans="2:15" ht="19.5" thickBot="1" x14ac:dyDescent="0.35">
      <c r="B9" s="14" t="s">
        <v>60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2:15" x14ac:dyDescent="0.25">
      <c r="B10" s="38" t="s">
        <v>12</v>
      </c>
      <c r="C10" s="39" t="s">
        <v>42</v>
      </c>
      <c r="D10" s="39" t="s">
        <v>43</v>
      </c>
      <c r="E10" s="39" t="s">
        <v>44</v>
      </c>
      <c r="F10" s="39" t="s">
        <v>45</v>
      </c>
      <c r="G10" s="39" t="s">
        <v>11</v>
      </c>
      <c r="H10" s="39" t="s">
        <v>46</v>
      </c>
      <c r="I10" s="39" t="s">
        <v>47</v>
      </c>
      <c r="J10" s="39" t="s">
        <v>48</v>
      </c>
      <c r="K10" s="39" t="s">
        <v>49</v>
      </c>
      <c r="L10" s="39" t="s">
        <v>50</v>
      </c>
      <c r="M10" s="39" t="s">
        <v>51</v>
      </c>
      <c r="N10" s="39" t="s">
        <v>52</v>
      </c>
      <c r="O10" s="40" t="s">
        <v>18</v>
      </c>
    </row>
    <row r="11" spans="2:15" ht="15.75" thickBot="1" x14ac:dyDescent="0.3">
      <c r="B11" s="43" t="s">
        <v>15</v>
      </c>
      <c r="C11" s="32" cm="1">
        <f t="array" ref="C11:N11">_xlfn.XLOOKUP(B11,B3:B7,C3:N7)</f>
        <v>269</v>
      </c>
      <c r="D11" s="23">
        <v>327</v>
      </c>
      <c r="E11" s="23">
        <v>341</v>
      </c>
      <c r="F11" s="23">
        <v>488</v>
      </c>
      <c r="G11" s="23">
        <v>214</v>
      </c>
      <c r="H11" s="23">
        <v>474</v>
      </c>
      <c r="I11" s="23">
        <v>451</v>
      </c>
      <c r="J11" s="23">
        <v>217</v>
      </c>
      <c r="K11" s="23">
        <v>325</v>
      </c>
      <c r="L11" s="23">
        <v>123</v>
      </c>
      <c r="M11" s="23">
        <v>301</v>
      </c>
      <c r="N11" s="23">
        <v>433</v>
      </c>
      <c r="O11" s="33"/>
    </row>
    <row r="14" spans="2:15" ht="19.5" thickBot="1" x14ac:dyDescent="0.35">
      <c r="B14" s="14" t="s">
        <v>62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2:15" x14ac:dyDescent="0.25">
      <c r="B15" s="27" t="s">
        <v>12</v>
      </c>
      <c r="C15" s="29" t="s">
        <v>41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34"/>
    </row>
    <row r="16" spans="2:15" ht="15.75" thickBot="1" x14ac:dyDescent="0.3">
      <c r="B16" s="43" t="s">
        <v>15</v>
      </c>
      <c r="C16" s="46">
        <f>SUM(_xlfn.XLOOKUP(B16,B3:B7,C3:N7))</f>
        <v>3963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33"/>
    </row>
    <row r="18" spans="2:15" ht="19.5" thickBot="1" x14ac:dyDescent="0.35">
      <c r="B18" s="14" t="s">
        <v>118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2:15" x14ac:dyDescent="0.25">
      <c r="B19" s="38" t="s">
        <v>12</v>
      </c>
      <c r="C19" s="39" t="s">
        <v>42</v>
      </c>
      <c r="D19" s="39" t="s">
        <v>43</v>
      </c>
      <c r="E19" s="39" t="s">
        <v>44</v>
      </c>
      <c r="F19" s="39" t="s">
        <v>45</v>
      </c>
      <c r="G19" s="39" t="s">
        <v>11</v>
      </c>
      <c r="H19" s="39" t="s">
        <v>46</v>
      </c>
      <c r="I19" s="39" t="s">
        <v>47</v>
      </c>
      <c r="J19" s="39" t="s">
        <v>48</v>
      </c>
      <c r="K19" s="39" t="s">
        <v>49</v>
      </c>
      <c r="L19" s="39" t="s">
        <v>50</v>
      </c>
      <c r="M19" s="39" t="s">
        <v>51</v>
      </c>
      <c r="N19" s="39" t="s">
        <v>52</v>
      </c>
      <c r="O19" s="40" t="s">
        <v>18</v>
      </c>
    </row>
    <row r="20" spans="2:15" ht="15.75" thickBot="1" x14ac:dyDescent="0.3">
      <c r="B20" s="43" t="s">
        <v>15</v>
      </c>
      <c r="C20" s="105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33"/>
    </row>
    <row r="22" spans="2:15" ht="19.5" thickBot="1" x14ac:dyDescent="0.35">
      <c r="B22" s="14" t="s">
        <v>118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2:15" x14ac:dyDescent="0.25">
      <c r="B23" s="27" t="s">
        <v>12</v>
      </c>
      <c r="C23" s="29" t="s">
        <v>41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34"/>
    </row>
    <row r="24" spans="2:15" ht="15.75" thickBot="1" x14ac:dyDescent="0.3">
      <c r="B24" s="43" t="s">
        <v>15</v>
      </c>
      <c r="C24" s="107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33"/>
    </row>
  </sheetData>
  <phoneticPr fontId="6" type="noConversion"/>
  <conditionalFormatting sqref="C3:O7">
    <cfRule type="expression" dxfId="0" priority="2">
      <formula>$B$11=$B3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E592-6472-4582-B449-E953E909CE14}">
  <dimension ref="B1:K13"/>
  <sheetViews>
    <sheetView zoomScaleNormal="100" workbookViewId="0">
      <pane xSplit="5" topLeftCell="F1" activePane="topRight" state="frozen"/>
      <selection pane="topRight" activeCell="F1" sqref="F1"/>
    </sheetView>
  </sheetViews>
  <sheetFormatPr defaultColWidth="8.85546875" defaultRowHeight="15" x14ac:dyDescent="0.25"/>
  <cols>
    <col min="1" max="1" width="2.7109375" customWidth="1"/>
    <col min="2" max="2" width="28.140625" customWidth="1"/>
    <col min="3" max="3" width="13.5703125" customWidth="1"/>
    <col min="4" max="4" width="8.140625" customWidth="1"/>
    <col min="5" max="5" width="10.7109375" bestFit="1" customWidth="1"/>
    <col min="6" max="6" width="2.7109375" customWidth="1"/>
    <col min="7" max="7" width="23.42578125" customWidth="1"/>
    <col min="8" max="8" width="17.5703125" customWidth="1"/>
    <col min="9" max="9" width="2.7109375" customWidth="1"/>
    <col min="10" max="10" width="23.42578125" customWidth="1"/>
    <col min="11" max="11" width="17.5703125" customWidth="1"/>
  </cols>
  <sheetData>
    <row r="1" spans="2:11" ht="19.5" thickBot="1" x14ac:dyDescent="0.35">
      <c r="B1" s="16" t="s">
        <v>40</v>
      </c>
      <c r="C1" s="17"/>
      <c r="D1" s="17"/>
      <c r="E1" s="18"/>
      <c r="G1" s="16" t="s">
        <v>101</v>
      </c>
      <c r="H1" s="31"/>
      <c r="J1" s="16" t="s">
        <v>118</v>
      </c>
      <c r="K1" s="31"/>
    </row>
    <row r="2" spans="2:11" x14ac:dyDescent="0.25">
      <c r="B2" s="56" t="s">
        <v>0</v>
      </c>
      <c r="C2" s="15" t="s">
        <v>1</v>
      </c>
      <c r="D2" s="15" t="s">
        <v>20</v>
      </c>
      <c r="E2" s="57" t="s">
        <v>21</v>
      </c>
      <c r="G2" s="38" t="s">
        <v>89</v>
      </c>
      <c r="H2" s="40" t="s">
        <v>87</v>
      </c>
      <c r="J2" s="38" t="s">
        <v>89</v>
      </c>
      <c r="K2" s="40" t="s">
        <v>87</v>
      </c>
    </row>
    <row r="3" spans="2:11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10</v>
      </c>
      <c r="H3" s="26">
        <f>_xlfn.XMATCH(G3,B3:B12)</f>
        <v>9</v>
      </c>
      <c r="J3" s="22" t="s">
        <v>10</v>
      </c>
      <c r="K3" s="109"/>
    </row>
    <row r="4" spans="2:11" x14ac:dyDescent="0.25">
      <c r="B4" s="19" t="s">
        <v>8</v>
      </c>
      <c r="C4" t="s">
        <v>23</v>
      </c>
      <c r="D4">
        <v>28</v>
      </c>
      <c r="E4" s="21">
        <v>45.061631999999996</v>
      </c>
    </row>
    <row r="5" spans="2:11" ht="15.75" thickBot="1" x14ac:dyDescent="0.3">
      <c r="B5" s="19" t="s">
        <v>9</v>
      </c>
      <c r="C5" t="s">
        <v>26</v>
      </c>
      <c r="D5">
        <v>25</v>
      </c>
      <c r="E5" s="21">
        <v>40.233599999999996</v>
      </c>
    </row>
    <row r="6" spans="2:11" ht="19.5" thickBot="1" x14ac:dyDescent="0.35">
      <c r="B6" s="19" t="s">
        <v>3</v>
      </c>
      <c r="C6" t="s">
        <v>24</v>
      </c>
      <c r="D6">
        <v>94</v>
      </c>
      <c r="E6" s="21">
        <v>151</v>
      </c>
      <c r="G6" s="16" t="s">
        <v>102</v>
      </c>
      <c r="H6" s="31"/>
      <c r="J6" s="16" t="s">
        <v>118</v>
      </c>
      <c r="K6" s="31"/>
    </row>
    <row r="7" spans="2:11" x14ac:dyDescent="0.25">
      <c r="B7" s="19" t="s">
        <v>3</v>
      </c>
      <c r="C7" t="s">
        <v>19</v>
      </c>
      <c r="D7">
        <v>55</v>
      </c>
      <c r="E7" s="21">
        <v>89</v>
      </c>
      <c r="G7" s="38" t="s">
        <v>0</v>
      </c>
      <c r="H7" s="40" t="s">
        <v>88</v>
      </c>
      <c r="J7" s="38" t="s">
        <v>0</v>
      </c>
      <c r="K7" s="40" t="s">
        <v>88</v>
      </c>
    </row>
    <row r="8" spans="2:11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">
        <v>83</v>
      </c>
      <c r="H8" s="96" t="e">
        <f>_xlfn.XMATCH(G8,B3:B12)</f>
        <v>#N/A</v>
      </c>
      <c r="J8" s="22" t="s">
        <v>83</v>
      </c>
      <c r="K8" s="112"/>
    </row>
    <row r="9" spans="2:11" x14ac:dyDescent="0.25">
      <c r="B9" s="19" t="s">
        <v>6</v>
      </c>
      <c r="C9" t="s">
        <v>27</v>
      </c>
      <c r="D9">
        <v>56</v>
      </c>
      <c r="E9" s="21">
        <v>90.123263999999992</v>
      </c>
    </row>
    <row r="10" spans="2:11" ht="15.75" thickBot="1" x14ac:dyDescent="0.3">
      <c r="B10" s="19" t="s">
        <v>2</v>
      </c>
      <c r="C10" t="s">
        <v>28</v>
      </c>
      <c r="D10">
        <v>150</v>
      </c>
      <c r="E10" s="21">
        <v>241.4016</v>
      </c>
    </row>
    <row r="11" spans="2:11" ht="19.5" thickBot="1" x14ac:dyDescent="0.35">
      <c r="B11" s="19" t="s">
        <v>10</v>
      </c>
      <c r="C11" t="s">
        <v>24</v>
      </c>
      <c r="D11">
        <v>20</v>
      </c>
      <c r="E11" s="21">
        <v>32.186880000000002</v>
      </c>
      <c r="G11" s="16" t="s">
        <v>103</v>
      </c>
      <c r="H11" s="31"/>
      <c r="J11" s="16" t="s">
        <v>118</v>
      </c>
      <c r="K11" s="31"/>
    </row>
    <row r="12" spans="2:11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38" t="s">
        <v>90</v>
      </c>
      <c r="H12" s="40" t="s">
        <v>88</v>
      </c>
      <c r="J12" s="38" t="s">
        <v>90</v>
      </c>
      <c r="K12" s="40" t="s">
        <v>88</v>
      </c>
    </row>
    <row r="13" spans="2:11" ht="15.75" thickBot="1" x14ac:dyDescent="0.3">
      <c r="G13" s="22" t="s">
        <v>20</v>
      </c>
      <c r="H13" s="26">
        <f>_xlfn.XMATCH(G13,B2:E2)</f>
        <v>3</v>
      </c>
      <c r="J13" s="22" t="s">
        <v>20</v>
      </c>
      <c r="K13" s="109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1E5B-134D-429F-8443-D053AAA10AC9}">
  <sheetPr codeName="Sheet8"/>
  <dimension ref="B1:M12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30.7109375" customWidth="1"/>
    <col min="3" max="3" width="15.7109375" customWidth="1"/>
    <col min="4" max="4" width="6" bestFit="1" customWidth="1"/>
    <col min="5" max="5" width="10.7109375" bestFit="1" customWidth="1"/>
    <col min="6" max="6" width="2.7109375" customWidth="1"/>
    <col min="7" max="7" width="22.7109375" bestFit="1" customWidth="1"/>
    <col min="8" max="8" width="2.7109375" customWidth="1"/>
    <col min="9" max="9" width="27.7109375" bestFit="1" customWidth="1"/>
    <col min="10" max="10" width="2.7109375" customWidth="1"/>
    <col min="11" max="11" width="22.7109375" bestFit="1" customWidth="1"/>
    <col min="12" max="12" width="2.7109375" customWidth="1"/>
    <col min="13" max="13" width="27.7109375" bestFit="1" customWidth="1"/>
  </cols>
  <sheetData>
    <row r="1" spans="2:13" ht="19.5" thickBot="1" x14ac:dyDescent="0.35">
      <c r="B1" s="16" t="s">
        <v>40</v>
      </c>
      <c r="C1" s="17"/>
      <c r="D1" s="17"/>
      <c r="E1" s="18"/>
      <c r="G1" s="65" t="s">
        <v>53</v>
      </c>
      <c r="I1" s="14" t="s">
        <v>53</v>
      </c>
      <c r="K1" s="65" t="s">
        <v>118</v>
      </c>
      <c r="M1" s="14" t="s">
        <v>118</v>
      </c>
    </row>
    <row r="2" spans="2:13" x14ac:dyDescent="0.25">
      <c r="B2" s="56" t="s">
        <v>0</v>
      </c>
      <c r="C2" s="15" t="s">
        <v>1</v>
      </c>
      <c r="D2" s="15" t="s">
        <v>20</v>
      </c>
      <c r="E2" s="57" t="s">
        <v>21</v>
      </c>
      <c r="G2" s="47" t="s">
        <v>22</v>
      </c>
      <c r="I2" s="47" t="s">
        <v>81</v>
      </c>
      <c r="K2" s="47" t="s">
        <v>22</v>
      </c>
      <c r="M2" s="47" t="s">
        <v>81</v>
      </c>
    </row>
    <row r="3" spans="2:13" x14ac:dyDescent="0.25">
      <c r="B3" s="19" t="s">
        <v>4</v>
      </c>
      <c r="C3" t="s">
        <v>25</v>
      </c>
      <c r="D3">
        <v>75</v>
      </c>
      <c r="E3" s="21">
        <v>120.7008</v>
      </c>
      <c r="G3" s="48" t="str" cm="1">
        <f t="array" ref="G3:G9">_xlfn.UNIQUE(C3:C12)</f>
        <v>Bangladesh</v>
      </c>
      <c r="I3" s="48" t="str" cm="1">
        <f t="array" ref="I3:I12">_xlfn.UNIQUE(C3:C12,TRUE,FALSE)</f>
        <v>Bangladesh</v>
      </c>
      <c r="K3" s="115"/>
      <c r="M3" s="115"/>
    </row>
    <row r="4" spans="2:13" x14ac:dyDescent="0.25">
      <c r="B4" s="19" t="s">
        <v>8</v>
      </c>
      <c r="C4" t="s">
        <v>23</v>
      </c>
      <c r="D4">
        <v>28</v>
      </c>
      <c r="E4" s="21">
        <v>45.061631999999996</v>
      </c>
      <c r="G4" s="50" t="str">
        <v>United States</v>
      </c>
      <c r="I4" s="50" t="str">
        <v>United States</v>
      </c>
      <c r="K4" s="50"/>
      <c r="M4" s="113"/>
    </row>
    <row r="5" spans="2:13" x14ac:dyDescent="0.25">
      <c r="B5" s="19" t="s">
        <v>9</v>
      </c>
      <c r="C5" t="s">
        <v>26</v>
      </c>
      <c r="D5">
        <v>25</v>
      </c>
      <c r="E5" s="21">
        <v>40.233599999999996</v>
      </c>
      <c r="G5" s="50" t="str">
        <v>South Africa</v>
      </c>
      <c r="I5" s="50" t="str">
        <v>South Africa</v>
      </c>
      <c r="K5" s="50"/>
      <c r="M5" s="113"/>
    </row>
    <row r="6" spans="2:13" x14ac:dyDescent="0.25">
      <c r="B6" s="19" t="s">
        <v>3</v>
      </c>
      <c r="C6" t="s">
        <v>24</v>
      </c>
      <c r="D6">
        <v>94</v>
      </c>
      <c r="E6" s="21">
        <v>151</v>
      </c>
      <c r="G6" s="50" t="str">
        <v>Australia</v>
      </c>
      <c r="I6" s="50" t="str">
        <v>Australia</v>
      </c>
      <c r="K6" s="50"/>
      <c r="M6" s="113"/>
    </row>
    <row r="7" spans="2:13" x14ac:dyDescent="0.25">
      <c r="B7" s="19" t="s">
        <v>3</v>
      </c>
      <c r="C7" t="s">
        <v>19</v>
      </c>
      <c r="D7">
        <v>55</v>
      </c>
      <c r="E7" s="21">
        <v>89</v>
      </c>
      <c r="G7" s="50" t="str">
        <v>New Zealand</v>
      </c>
      <c r="I7" s="50" t="str">
        <v>New Zealand</v>
      </c>
      <c r="K7" s="50"/>
      <c r="M7" s="113"/>
    </row>
    <row r="8" spans="2:13" x14ac:dyDescent="0.25">
      <c r="B8" s="19" t="s">
        <v>5</v>
      </c>
      <c r="C8" t="s">
        <v>23</v>
      </c>
      <c r="D8">
        <v>70</v>
      </c>
      <c r="E8" s="21">
        <v>112.65408000000001</v>
      </c>
      <c r="G8" s="50" t="str">
        <v>Mexico</v>
      </c>
      <c r="I8" s="50" t="str">
        <v>United States</v>
      </c>
      <c r="K8" s="50"/>
      <c r="M8" s="113"/>
    </row>
    <row r="9" spans="2:13" ht="15.75" thickBot="1" x14ac:dyDescent="0.3">
      <c r="B9" s="19" t="s">
        <v>6</v>
      </c>
      <c r="C9" t="s">
        <v>27</v>
      </c>
      <c r="D9">
        <v>56</v>
      </c>
      <c r="E9" s="21">
        <v>90.123263999999992</v>
      </c>
      <c r="G9" s="64" t="str">
        <v>Brazil</v>
      </c>
      <c r="I9" s="50" t="str">
        <v>Mexico</v>
      </c>
      <c r="K9" s="64"/>
      <c r="M9" s="113"/>
    </row>
    <row r="10" spans="2:13" x14ac:dyDescent="0.25">
      <c r="B10" s="19" t="s">
        <v>2</v>
      </c>
      <c r="C10" t="s">
        <v>28</v>
      </c>
      <c r="D10">
        <v>150</v>
      </c>
      <c r="E10" s="21">
        <v>241.4016</v>
      </c>
      <c r="I10" s="50" t="str">
        <v>Brazil</v>
      </c>
      <c r="M10" s="113"/>
    </row>
    <row r="11" spans="2:13" x14ac:dyDescent="0.25">
      <c r="B11" s="19" t="s">
        <v>10</v>
      </c>
      <c r="C11" t="s">
        <v>24</v>
      </c>
      <c r="D11">
        <v>20</v>
      </c>
      <c r="E11" s="21">
        <v>32.186880000000002</v>
      </c>
      <c r="I11" s="50" t="str">
        <v>Australia</v>
      </c>
      <c r="M11" s="113"/>
    </row>
    <row r="12" spans="2:13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I12" s="64" t="str">
        <v>United States</v>
      </c>
      <c r="M12" s="114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652-C19F-46F4-80B5-5F60C9F4588A}">
  <sheetPr codeName="Sheet9"/>
  <dimension ref="B1:Y27"/>
  <sheetViews>
    <sheetView zoomScaleNormal="100" workbookViewId="0">
      <pane xSplit="5" topLeftCell="F1" activePane="topRight" state="frozen"/>
      <selection pane="topRight" activeCell="F1" sqref="F1"/>
    </sheetView>
  </sheetViews>
  <sheetFormatPr defaultColWidth="8.85546875" defaultRowHeight="15" x14ac:dyDescent="0.25"/>
  <cols>
    <col min="1" max="1" width="2.7109375" customWidth="1"/>
    <col min="2" max="2" width="27.5703125" customWidth="1"/>
    <col min="3" max="3" width="12.85546875" bestFit="1" customWidth="1"/>
    <col min="4" max="4" width="7.5703125" customWidth="1"/>
    <col min="5" max="5" width="10.7109375" bestFit="1" customWidth="1"/>
    <col min="6" max="6" width="2.7109375" customWidth="1"/>
    <col min="7" max="7" width="27.7109375" customWidth="1"/>
    <col min="8" max="8" width="12.5703125" customWidth="1"/>
    <col min="9" max="9" width="6.42578125" customWidth="1"/>
    <col min="10" max="10" width="11.5703125" customWidth="1"/>
    <col min="11" max="11" width="2.7109375" customWidth="1"/>
    <col min="12" max="12" width="27.7109375" customWidth="1"/>
    <col min="13" max="13" width="12.7109375" customWidth="1"/>
    <col min="14" max="14" width="6.85546875" customWidth="1"/>
    <col min="15" max="15" width="11.28515625" customWidth="1"/>
    <col min="16" max="16" width="2.7109375" customWidth="1"/>
    <col min="17" max="17" width="27.7109375" customWidth="1"/>
    <col min="18" max="18" width="13" customWidth="1"/>
    <col min="19" max="19" width="7.28515625" customWidth="1"/>
    <col min="20" max="20" width="10.7109375" customWidth="1"/>
    <col min="21" max="21" width="2.7109375" customWidth="1"/>
    <col min="22" max="22" width="27.5703125" customWidth="1"/>
    <col min="23" max="23" width="12.85546875" bestFit="1" customWidth="1"/>
    <col min="24" max="24" width="6" bestFit="1" customWidth="1"/>
    <col min="25" max="25" width="10.7109375" bestFit="1" customWidth="1"/>
  </cols>
  <sheetData>
    <row r="1" spans="2:25" ht="38.25" thickBot="1" x14ac:dyDescent="0.35">
      <c r="B1" s="14" t="s">
        <v>40</v>
      </c>
      <c r="C1" s="13"/>
      <c r="D1" s="13"/>
      <c r="E1" s="13"/>
      <c r="G1" s="14" t="s">
        <v>54</v>
      </c>
      <c r="H1" s="14"/>
      <c r="I1" s="14"/>
      <c r="J1" s="14"/>
      <c r="K1" s="7"/>
      <c r="L1" s="14" t="s">
        <v>55</v>
      </c>
      <c r="M1" s="14"/>
      <c r="N1" s="14"/>
      <c r="O1" s="14"/>
      <c r="Q1" s="92" t="s">
        <v>110</v>
      </c>
      <c r="R1" s="92"/>
      <c r="S1" s="92"/>
      <c r="T1" s="92"/>
      <c r="V1" s="92" t="s">
        <v>111</v>
      </c>
      <c r="W1" s="92"/>
      <c r="X1" s="92"/>
      <c r="Y1" s="92"/>
    </row>
    <row r="2" spans="2:25" x14ac:dyDescent="0.25">
      <c r="B2" s="56" t="s">
        <v>0</v>
      </c>
      <c r="C2" s="15" t="s">
        <v>1</v>
      </c>
      <c r="D2" s="15" t="s">
        <v>20</v>
      </c>
      <c r="E2" s="57" t="s">
        <v>21</v>
      </c>
      <c r="G2" s="53" t="s">
        <v>0</v>
      </c>
      <c r="H2" s="54" t="s">
        <v>1</v>
      </c>
      <c r="I2" s="54" t="s">
        <v>20</v>
      </c>
      <c r="J2" s="55" t="s">
        <v>21</v>
      </c>
      <c r="K2" s="5"/>
      <c r="L2" s="53" t="s">
        <v>0</v>
      </c>
      <c r="M2" s="54" t="s">
        <v>1</v>
      </c>
      <c r="N2" s="54" t="s">
        <v>20</v>
      </c>
      <c r="O2" s="55" t="s">
        <v>21</v>
      </c>
      <c r="Q2" s="53" t="s">
        <v>0</v>
      </c>
      <c r="R2" s="54" t="s">
        <v>1</v>
      </c>
      <c r="S2" s="54" t="s">
        <v>56</v>
      </c>
      <c r="T2" s="61" t="s">
        <v>21</v>
      </c>
      <c r="V2" s="53" t="s">
        <v>0</v>
      </c>
      <c r="W2" s="54" t="s">
        <v>1</v>
      </c>
      <c r="X2" s="54" t="s">
        <v>56</v>
      </c>
      <c r="Y2" s="61" t="s">
        <v>21</v>
      </c>
    </row>
    <row r="3" spans="2:25" x14ac:dyDescent="0.25">
      <c r="B3" s="19" t="s">
        <v>2</v>
      </c>
      <c r="C3" t="s">
        <v>28</v>
      </c>
      <c r="D3">
        <v>150</v>
      </c>
      <c r="E3" s="21">
        <v>241.4016</v>
      </c>
      <c r="G3" s="51" t="str" cm="1">
        <f t="array" ref="G3:J12">_xlfn._xlws.SORT(B3:E12)</f>
        <v>Cox's Bazar</v>
      </c>
      <c r="H3" s="3" t="str">
        <v>Bangladesh</v>
      </c>
      <c r="I3" s="3">
        <v>75</v>
      </c>
      <c r="J3" s="58">
        <v>120.7008</v>
      </c>
      <c r="K3" s="5"/>
      <c r="L3" s="51" t="str" cm="1">
        <f t="array" ref="L3:O12">_xlfn._xlws.SORT(B3:E12,3)</f>
        <v>Stockton Beach</v>
      </c>
      <c r="M3" s="3" t="str">
        <v>Australia</v>
      </c>
      <c r="N3" s="3">
        <v>20</v>
      </c>
      <c r="O3" s="58">
        <v>32.186880000000002</v>
      </c>
      <c r="Q3" s="51" t="str" cm="1">
        <f t="array" ref="Q3:T12">_xlfn._xlws.SORT(_xlfn._xlws.SORT(B3:E12,3,-1),2)</f>
        <v>Ninety Mile Beach</v>
      </c>
      <c r="R3" s="3" t="str">
        <v>Australia</v>
      </c>
      <c r="S3" s="3">
        <v>94</v>
      </c>
      <c r="T3" s="58">
        <v>151</v>
      </c>
      <c r="V3" s="51" t="str" cm="1">
        <f t="array" ref="V3:Y12">_xlfn.SORTBY(B3:E12,C3:C12,1,D3:D12,-1)</f>
        <v>Ninety Mile Beach</v>
      </c>
      <c r="W3" s="3" t="str">
        <v>Australia</v>
      </c>
      <c r="X3" s="3">
        <v>94</v>
      </c>
      <c r="Y3" s="58">
        <v>151</v>
      </c>
    </row>
    <row r="4" spans="2:25" x14ac:dyDescent="0.25">
      <c r="B4" s="19" t="s">
        <v>3</v>
      </c>
      <c r="C4" t="s">
        <v>24</v>
      </c>
      <c r="D4">
        <v>94</v>
      </c>
      <c r="E4" s="21">
        <v>151</v>
      </c>
      <c r="G4" s="52" t="str">
        <v>Long Beach</v>
      </c>
      <c r="H4" s="3" t="str">
        <v>United States</v>
      </c>
      <c r="I4" s="3">
        <v>28</v>
      </c>
      <c r="J4" s="58">
        <v>45.061631999999996</v>
      </c>
      <c r="K4" s="5"/>
      <c r="L4" s="52" t="str">
        <v>Muizenberg</v>
      </c>
      <c r="M4" s="3" t="str">
        <v>South Africa</v>
      </c>
      <c r="N4" s="3">
        <v>25</v>
      </c>
      <c r="O4" s="58">
        <v>40.233599999999996</v>
      </c>
      <c r="Q4" s="52" t="str">
        <v>Stockton Beach</v>
      </c>
      <c r="R4" s="3" t="str">
        <v>Australia</v>
      </c>
      <c r="S4" s="3">
        <v>20</v>
      </c>
      <c r="T4" s="58">
        <v>32.186880000000002</v>
      </c>
      <c r="V4" s="52" t="str">
        <v>Stockton Beach</v>
      </c>
      <c r="W4" s="3" t="str">
        <v>Australia</v>
      </c>
      <c r="X4" s="3">
        <v>20</v>
      </c>
      <c r="Y4" s="58">
        <v>32.186880000000002</v>
      </c>
    </row>
    <row r="5" spans="2:25" x14ac:dyDescent="0.25">
      <c r="B5" s="19" t="s">
        <v>4</v>
      </c>
      <c r="C5" t="s">
        <v>25</v>
      </c>
      <c r="D5">
        <v>75</v>
      </c>
      <c r="E5" s="21">
        <v>120.7008</v>
      </c>
      <c r="G5" s="52" t="str">
        <v>Muizenberg</v>
      </c>
      <c r="H5" s="3" t="str">
        <v>South Africa</v>
      </c>
      <c r="I5" s="3">
        <v>25</v>
      </c>
      <c r="J5" s="58">
        <v>40.233599999999996</v>
      </c>
      <c r="K5" s="5"/>
      <c r="L5" s="52" t="str">
        <v>Long Beach</v>
      </c>
      <c r="M5" s="3" t="str">
        <v>United States</v>
      </c>
      <c r="N5" s="3">
        <v>28</v>
      </c>
      <c r="O5" s="58">
        <v>45.061631999999996</v>
      </c>
      <c r="Q5" s="52" t="str">
        <v>Cox's Bazar</v>
      </c>
      <c r="R5" s="3" t="str">
        <v>Bangladesh</v>
      </c>
      <c r="S5" s="3">
        <v>75</v>
      </c>
      <c r="T5" s="58">
        <v>120.7008</v>
      </c>
      <c r="V5" s="52" t="str">
        <v>Cox's Bazar</v>
      </c>
      <c r="W5" s="3" t="str">
        <v>Bangladesh</v>
      </c>
      <c r="X5" s="3">
        <v>75</v>
      </c>
      <c r="Y5" s="58">
        <v>120.7008</v>
      </c>
    </row>
    <row r="6" spans="2:25" x14ac:dyDescent="0.25">
      <c r="B6" s="19" t="s">
        <v>5</v>
      </c>
      <c r="C6" t="s">
        <v>23</v>
      </c>
      <c r="D6">
        <v>70</v>
      </c>
      <c r="E6" s="21">
        <v>112.65408000000001</v>
      </c>
      <c r="G6" s="52" t="str">
        <v>Ninety Mile Beach</v>
      </c>
      <c r="H6" s="3" t="str">
        <v>Australia</v>
      </c>
      <c r="I6" s="3">
        <v>94</v>
      </c>
      <c r="J6" s="58">
        <v>151</v>
      </c>
      <c r="K6" s="5"/>
      <c r="L6" s="52" t="str">
        <v>Virginia Beach</v>
      </c>
      <c r="M6" s="3" t="str">
        <v>United States</v>
      </c>
      <c r="N6" s="3">
        <v>35</v>
      </c>
      <c r="O6" s="58">
        <v>56.327040000000004</v>
      </c>
      <c r="Q6" s="52" t="str">
        <v>Praia do Cassino Beach</v>
      </c>
      <c r="R6" s="3" t="str">
        <v>Brazil</v>
      </c>
      <c r="S6" s="3">
        <v>150</v>
      </c>
      <c r="T6" s="58">
        <v>241.4016</v>
      </c>
      <c r="V6" s="52" t="str">
        <v>Praia do Cassino Beach</v>
      </c>
      <c r="W6" s="3" t="str">
        <v>Brazil</v>
      </c>
      <c r="X6" s="3">
        <v>150</v>
      </c>
      <c r="Y6" s="58">
        <v>241.4016</v>
      </c>
    </row>
    <row r="7" spans="2:25" x14ac:dyDescent="0.25">
      <c r="B7" s="19" t="s">
        <v>6</v>
      </c>
      <c r="C7" t="s">
        <v>27</v>
      </c>
      <c r="D7">
        <v>56</v>
      </c>
      <c r="E7" s="21">
        <v>90.123263999999992</v>
      </c>
      <c r="G7" s="52" t="str">
        <v>Ninety Mile Beach</v>
      </c>
      <c r="H7" s="3" t="str">
        <v>New Zealand</v>
      </c>
      <c r="I7" s="3">
        <v>55</v>
      </c>
      <c r="J7" s="58">
        <v>89</v>
      </c>
      <c r="K7" s="5"/>
      <c r="L7" s="52" t="str">
        <v>Ninety Mile Beach</v>
      </c>
      <c r="M7" s="3" t="str">
        <v>New Zealand</v>
      </c>
      <c r="N7" s="3">
        <v>55</v>
      </c>
      <c r="O7" s="58">
        <v>89</v>
      </c>
      <c r="Q7" s="52" t="str">
        <v>Playa Novillero</v>
      </c>
      <c r="R7" s="3" t="str">
        <v>Mexico</v>
      </c>
      <c r="S7" s="3">
        <v>56</v>
      </c>
      <c r="T7" s="58">
        <v>90.123263999999992</v>
      </c>
      <c r="V7" s="52" t="str">
        <v>Playa Novillero</v>
      </c>
      <c r="W7" s="3" t="str">
        <v>Mexico</v>
      </c>
      <c r="X7" s="3">
        <v>56</v>
      </c>
      <c r="Y7" s="58">
        <v>90.123263999999992</v>
      </c>
    </row>
    <row r="8" spans="2:25" x14ac:dyDescent="0.25">
      <c r="B8" s="19" t="s">
        <v>3</v>
      </c>
      <c r="C8" t="s">
        <v>19</v>
      </c>
      <c r="D8">
        <v>55</v>
      </c>
      <c r="E8" s="21">
        <v>89</v>
      </c>
      <c r="G8" s="52" t="str">
        <v>Padre Island National Seashore</v>
      </c>
      <c r="H8" s="3" t="str">
        <v>United States</v>
      </c>
      <c r="I8" s="3">
        <v>70</v>
      </c>
      <c r="J8" s="58">
        <v>112.65408000000001</v>
      </c>
      <c r="K8" s="5"/>
      <c r="L8" s="52" t="str">
        <v>Playa Novillero</v>
      </c>
      <c r="M8" s="3" t="str">
        <v>Mexico</v>
      </c>
      <c r="N8" s="3">
        <v>56</v>
      </c>
      <c r="O8" s="58">
        <v>90.123263999999992</v>
      </c>
      <c r="Q8" s="52" t="str">
        <v>Ninety Mile Beach</v>
      </c>
      <c r="R8" s="3" t="str">
        <v>New Zealand</v>
      </c>
      <c r="S8" s="3">
        <v>55</v>
      </c>
      <c r="T8" s="58">
        <v>89</v>
      </c>
      <c r="V8" s="52" t="str">
        <v>Ninety Mile Beach</v>
      </c>
      <c r="W8" s="3" t="str">
        <v>New Zealand</v>
      </c>
      <c r="X8" s="3">
        <v>55</v>
      </c>
      <c r="Y8" s="58">
        <v>89</v>
      </c>
    </row>
    <row r="9" spans="2:25" x14ac:dyDescent="0.25">
      <c r="B9" s="19" t="s">
        <v>7</v>
      </c>
      <c r="C9" t="s">
        <v>23</v>
      </c>
      <c r="D9">
        <v>35</v>
      </c>
      <c r="E9" s="21">
        <v>56.327040000000004</v>
      </c>
      <c r="G9" s="52" t="str">
        <v>Playa Novillero</v>
      </c>
      <c r="H9" s="3" t="str">
        <v>Mexico</v>
      </c>
      <c r="I9" s="3">
        <v>56</v>
      </c>
      <c r="J9" s="58">
        <v>90.123263999999992</v>
      </c>
      <c r="K9" s="5"/>
      <c r="L9" s="52" t="str">
        <v>Padre Island National Seashore</v>
      </c>
      <c r="M9" s="3" t="str">
        <v>United States</v>
      </c>
      <c r="N9" s="3">
        <v>70</v>
      </c>
      <c r="O9" s="58">
        <v>112.65408000000001</v>
      </c>
      <c r="Q9" s="52" t="str">
        <v>Muizenberg</v>
      </c>
      <c r="R9" s="3" t="str">
        <v>South Africa</v>
      </c>
      <c r="S9" s="3">
        <v>25</v>
      </c>
      <c r="T9" s="58">
        <v>40.233599999999996</v>
      </c>
      <c r="V9" s="52" t="str">
        <v>Muizenberg</v>
      </c>
      <c r="W9" s="3" t="str">
        <v>South Africa</v>
      </c>
      <c r="X9" s="3">
        <v>25</v>
      </c>
      <c r="Y9" s="58">
        <v>40.233599999999996</v>
      </c>
    </row>
    <row r="10" spans="2:25" x14ac:dyDescent="0.25">
      <c r="B10" s="19" t="s">
        <v>8</v>
      </c>
      <c r="C10" t="s">
        <v>23</v>
      </c>
      <c r="D10">
        <v>28</v>
      </c>
      <c r="E10" s="21">
        <v>45.061631999999996</v>
      </c>
      <c r="G10" s="52" t="str">
        <v>Praia do Cassino Beach</v>
      </c>
      <c r="H10" s="3" t="str">
        <v>Brazil</v>
      </c>
      <c r="I10" s="3">
        <v>150</v>
      </c>
      <c r="J10" s="58">
        <v>241.4016</v>
      </c>
      <c r="K10" s="5"/>
      <c r="L10" s="52" t="str">
        <v>Cox's Bazar</v>
      </c>
      <c r="M10" s="3" t="str">
        <v>Bangladesh</v>
      </c>
      <c r="N10" s="3">
        <v>75</v>
      </c>
      <c r="O10" s="58">
        <v>120.7008</v>
      </c>
      <c r="Q10" s="52" t="str">
        <v>Padre Island National Seashore</v>
      </c>
      <c r="R10" s="3" t="str">
        <v>United States</v>
      </c>
      <c r="S10" s="3">
        <v>70</v>
      </c>
      <c r="T10" s="58">
        <v>112.65408000000001</v>
      </c>
      <c r="V10" s="52" t="str">
        <v>Padre Island National Seashore</v>
      </c>
      <c r="W10" s="3" t="str">
        <v>United States</v>
      </c>
      <c r="X10" s="3">
        <v>70</v>
      </c>
      <c r="Y10" s="58">
        <v>112.65408000000001</v>
      </c>
    </row>
    <row r="11" spans="2:25" x14ac:dyDescent="0.25">
      <c r="B11" s="19" t="s">
        <v>9</v>
      </c>
      <c r="C11" t="s">
        <v>26</v>
      </c>
      <c r="D11">
        <v>25</v>
      </c>
      <c r="E11" s="21">
        <v>40.233599999999996</v>
      </c>
      <c r="G11" s="52" t="str">
        <v>Stockton Beach</v>
      </c>
      <c r="H11" s="3" t="str">
        <v>Australia</v>
      </c>
      <c r="I11" s="3">
        <v>20</v>
      </c>
      <c r="J11" s="58">
        <v>32.186880000000002</v>
      </c>
      <c r="K11" s="5"/>
      <c r="L11" s="52" t="str">
        <v>Ninety Mile Beach</v>
      </c>
      <c r="M11" s="3" t="str">
        <v>Australia</v>
      </c>
      <c r="N11" s="3">
        <v>94</v>
      </c>
      <c r="O11" s="58">
        <v>151</v>
      </c>
      <c r="Q11" s="52" t="str">
        <v>Virginia Beach</v>
      </c>
      <c r="R11" s="3" t="str">
        <v>United States</v>
      </c>
      <c r="S11" s="3">
        <v>35</v>
      </c>
      <c r="T11" s="58">
        <v>56.327040000000004</v>
      </c>
      <c r="V11" s="52" t="str">
        <v>Virginia Beach</v>
      </c>
      <c r="W11" s="3" t="str">
        <v>United States</v>
      </c>
      <c r="X11" s="3">
        <v>35</v>
      </c>
      <c r="Y11" s="58">
        <v>56.327040000000004</v>
      </c>
    </row>
    <row r="12" spans="2:25" ht="15.75" thickBot="1" x14ac:dyDescent="0.3">
      <c r="B12" s="22" t="s">
        <v>10</v>
      </c>
      <c r="C12" s="23" t="s">
        <v>24</v>
      </c>
      <c r="D12" s="23">
        <v>20</v>
      </c>
      <c r="E12" s="24">
        <v>32.186880000000002</v>
      </c>
      <c r="G12" s="59" t="str">
        <v>Virginia Beach</v>
      </c>
      <c r="H12" s="35" t="str">
        <v>United States</v>
      </c>
      <c r="I12" s="35">
        <v>35</v>
      </c>
      <c r="J12" s="60">
        <v>56.327040000000004</v>
      </c>
      <c r="L12" s="59" t="str">
        <v>Praia do Cassino Beach</v>
      </c>
      <c r="M12" s="35" t="str">
        <v>Brazil</v>
      </c>
      <c r="N12" s="35">
        <v>150</v>
      </c>
      <c r="O12" s="60">
        <v>241.4016</v>
      </c>
      <c r="Q12" s="59" t="str">
        <v>Long Beach</v>
      </c>
      <c r="R12" s="35" t="str">
        <v>United States</v>
      </c>
      <c r="S12" s="35">
        <v>28</v>
      </c>
      <c r="T12" s="60">
        <v>45.061631999999996</v>
      </c>
      <c r="V12" s="59" t="str">
        <v>Long Beach</v>
      </c>
      <c r="W12" s="35" t="str">
        <v>United States</v>
      </c>
      <c r="X12" s="35">
        <v>28</v>
      </c>
      <c r="Y12" s="60">
        <v>45.061631999999996</v>
      </c>
    </row>
    <row r="15" spans="2:25" x14ac:dyDescent="0.25">
      <c r="Q15" s="6"/>
    </row>
    <row r="16" spans="2:25" ht="19.5" thickBot="1" x14ac:dyDescent="0.35">
      <c r="G16" s="14" t="s">
        <v>118</v>
      </c>
      <c r="H16" s="14"/>
      <c r="I16" s="14"/>
      <c r="J16" s="14"/>
      <c r="K16" s="7"/>
      <c r="L16" s="14" t="s">
        <v>118</v>
      </c>
      <c r="M16" s="14"/>
      <c r="N16" s="14"/>
      <c r="O16" s="14"/>
      <c r="Q16" s="92" t="s">
        <v>118</v>
      </c>
      <c r="R16" s="92"/>
      <c r="S16" s="92"/>
      <c r="T16" s="92"/>
      <c r="V16" s="92" t="s">
        <v>118</v>
      </c>
      <c r="W16" s="92"/>
      <c r="X16" s="92"/>
      <c r="Y16" s="92"/>
    </row>
    <row r="17" spans="7:25" x14ac:dyDescent="0.25">
      <c r="G17" s="53" t="s">
        <v>0</v>
      </c>
      <c r="H17" s="54" t="s">
        <v>1</v>
      </c>
      <c r="I17" s="54" t="s">
        <v>20</v>
      </c>
      <c r="J17" s="55" t="s">
        <v>21</v>
      </c>
      <c r="K17" s="5"/>
      <c r="L17" s="53" t="s">
        <v>0</v>
      </c>
      <c r="M17" s="54" t="s">
        <v>1</v>
      </c>
      <c r="N17" s="54" t="s">
        <v>20</v>
      </c>
      <c r="O17" s="55" t="s">
        <v>21</v>
      </c>
      <c r="Q17" s="53" t="s">
        <v>0</v>
      </c>
      <c r="R17" s="54" t="s">
        <v>1</v>
      </c>
      <c r="S17" s="54" t="s">
        <v>56</v>
      </c>
      <c r="T17" s="61" t="s">
        <v>21</v>
      </c>
      <c r="V17" s="53" t="s">
        <v>0</v>
      </c>
      <c r="W17" s="54" t="s">
        <v>1</v>
      </c>
      <c r="X17" s="54" t="s">
        <v>56</v>
      </c>
      <c r="Y17" s="61" t="s">
        <v>21</v>
      </c>
    </row>
    <row r="18" spans="7:25" x14ac:dyDescent="0.25">
      <c r="G18" s="110"/>
      <c r="H18" s="3"/>
      <c r="I18" s="3"/>
      <c r="J18" s="58"/>
      <c r="K18" s="5"/>
      <c r="L18" s="110"/>
      <c r="M18" s="3"/>
      <c r="N18" s="3"/>
      <c r="O18" s="58"/>
      <c r="Q18" s="110"/>
      <c r="R18" s="3"/>
      <c r="S18" s="3"/>
      <c r="T18" s="58"/>
      <c r="V18" s="110"/>
      <c r="W18" s="3"/>
      <c r="X18" s="3"/>
      <c r="Y18" s="58"/>
    </row>
    <row r="19" spans="7:25" x14ac:dyDescent="0.25">
      <c r="G19" s="52"/>
      <c r="H19" s="3"/>
      <c r="I19" s="3"/>
      <c r="J19" s="58"/>
      <c r="K19" s="5"/>
      <c r="L19" s="52"/>
      <c r="M19" s="3"/>
      <c r="N19" s="3"/>
      <c r="O19" s="58"/>
      <c r="Q19" s="52"/>
      <c r="R19" s="3"/>
      <c r="S19" s="3"/>
      <c r="T19" s="58"/>
      <c r="V19" s="52"/>
      <c r="W19" s="3"/>
      <c r="X19" s="3"/>
      <c r="Y19" s="58"/>
    </row>
    <row r="20" spans="7:25" x14ac:dyDescent="0.25">
      <c r="G20" s="52"/>
      <c r="H20" s="3"/>
      <c r="I20" s="3"/>
      <c r="J20" s="58"/>
      <c r="K20" s="5"/>
      <c r="L20" s="52"/>
      <c r="M20" s="3"/>
      <c r="N20" s="3"/>
      <c r="O20" s="58"/>
      <c r="Q20" s="52"/>
      <c r="R20" s="3"/>
      <c r="S20" s="3"/>
      <c r="T20" s="58"/>
      <c r="V20" s="52"/>
      <c r="W20" s="3"/>
      <c r="X20" s="3"/>
      <c r="Y20" s="58"/>
    </row>
    <row r="21" spans="7:25" x14ac:dyDescent="0.25">
      <c r="G21" s="52"/>
      <c r="H21" s="3"/>
      <c r="I21" s="3"/>
      <c r="J21" s="58"/>
      <c r="K21" s="5"/>
      <c r="L21" s="52"/>
      <c r="M21" s="3"/>
      <c r="N21" s="3"/>
      <c r="O21" s="58"/>
      <c r="Q21" s="52"/>
      <c r="R21" s="3"/>
      <c r="S21" s="3"/>
      <c r="T21" s="58"/>
      <c r="V21" s="52"/>
      <c r="W21" s="3"/>
      <c r="X21" s="3"/>
      <c r="Y21" s="58"/>
    </row>
    <row r="22" spans="7:25" x14ac:dyDescent="0.25">
      <c r="G22" s="52"/>
      <c r="H22" s="3"/>
      <c r="I22" s="3"/>
      <c r="J22" s="58"/>
      <c r="K22" s="5"/>
      <c r="L22" s="52"/>
      <c r="M22" s="3"/>
      <c r="N22" s="3"/>
      <c r="O22" s="58"/>
      <c r="Q22" s="52"/>
      <c r="R22" s="3"/>
      <c r="S22" s="3"/>
      <c r="T22" s="58"/>
      <c r="V22" s="52"/>
      <c r="W22" s="3"/>
      <c r="X22" s="3"/>
      <c r="Y22" s="58"/>
    </row>
    <row r="23" spans="7:25" x14ac:dyDescent="0.25">
      <c r="G23" s="52"/>
      <c r="H23" s="3"/>
      <c r="I23" s="3"/>
      <c r="J23" s="58"/>
      <c r="K23" s="5"/>
      <c r="L23" s="52"/>
      <c r="M23" s="3"/>
      <c r="N23" s="3"/>
      <c r="O23" s="58"/>
      <c r="Q23" s="52"/>
      <c r="R23" s="3"/>
      <c r="S23" s="3"/>
      <c r="T23" s="58"/>
      <c r="V23" s="52"/>
      <c r="W23" s="3"/>
      <c r="X23" s="3"/>
      <c r="Y23" s="58"/>
    </row>
    <row r="24" spans="7:25" x14ac:dyDescent="0.25">
      <c r="G24" s="52"/>
      <c r="H24" s="3"/>
      <c r="I24" s="3"/>
      <c r="J24" s="58"/>
      <c r="K24" s="5"/>
      <c r="L24" s="52"/>
      <c r="M24" s="3"/>
      <c r="N24" s="3"/>
      <c r="O24" s="58"/>
      <c r="Q24" s="52"/>
      <c r="R24" s="3"/>
      <c r="S24" s="3"/>
      <c r="T24" s="58"/>
      <c r="V24" s="52"/>
      <c r="W24" s="3"/>
      <c r="X24" s="3"/>
      <c r="Y24" s="58"/>
    </row>
    <row r="25" spans="7:25" x14ac:dyDescent="0.25">
      <c r="G25" s="52"/>
      <c r="H25" s="3"/>
      <c r="I25" s="3"/>
      <c r="J25" s="58"/>
      <c r="K25" s="5"/>
      <c r="L25" s="52"/>
      <c r="M25" s="3"/>
      <c r="N25" s="3"/>
      <c r="O25" s="58"/>
      <c r="Q25" s="52"/>
      <c r="R25" s="3"/>
      <c r="S25" s="3"/>
      <c r="T25" s="58"/>
      <c r="V25" s="52"/>
      <c r="W25" s="3"/>
      <c r="X25" s="3"/>
      <c r="Y25" s="58"/>
    </row>
    <row r="26" spans="7:25" x14ac:dyDescent="0.25">
      <c r="G26" s="52"/>
      <c r="H26" s="3"/>
      <c r="I26" s="3"/>
      <c r="J26" s="58"/>
      <c r="K26" s="5"/>
      <c r="L26" s="52"/>
      <c r="M26" s="3"/>
      <c r="N26" s="3"/>
      <c r="O26" s="58"/>
      <c r="Q26" s="52"/>
      <c r="R26" s="3"/>
      <c r="S26" s="3"/>
      <c r="T26" s="58"/>
      <c r="V26" s="52"/>
      <c r="W26" s="3"/>
      <c r="X26" s="3"/>
      <c r="Y26" s="58"/>
    </row>
    <row r="27" spans="7:25" ht="15.75" thickBot="1" x14ac:dyDescent="0.3">
      <c r="G27" s="59"/>
      <c r="H27" s="35"/>
      <c r="I27" s="35"/>
      <c r="J27" s="60"/>
      <c r="L27" s="59"/>
      <c r="M27" s="35"/>
      <c r="N27" s="35"/>
      <c r="O27" s="60"/>
      <c r="Q27" s="59"/>
      <c r="R27" s="35"/>
      <c r="S27" s="35"/>
      <c r="T27" s="60"/>
      <c r="V27" s="59"/>
      <c r="W27" s="35"/>
      <c r="X27" s="35"/>
      <c r="Y27" s="60"/>
    </row>
  </sheetData>
  <sortState xmlns:xlrd2="http://schemas.microsoft.com/office/spreadsheetml/2017/richdata2" ref="B3:E12">
    <sortCondition descending="1" ref="D3:D12"/>
  </sortState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5069-3EA1-4319-B117-3D9BEE493990}">
  <sheetPr codeName="Sheet10"/>
  <dimension ref="B1:AA30"/>
  <sheetViews>
    <sheetView zoomScaleNormal="100" workbookViewId="0">
      <pane xSplit="6" topLeftCell="G1" activePane="topRight" state="frozen"/>
      <selection activeCell="E1" sqref="E1"/>
      <selection pane="topRight" activeCell="G1" sqref="G1"/>
    </sheetView>
  </sheetViews>
  <sheetFormatPr defaultColWidth="8.85546875" defaultRowHeight="15" x14ac:dyDescent="0.25"/>
  <cols>
    <col min="1" max="1" width="2.7109375" customWidth="1"/>
    <col min="2" max="2" width="27.85546875" customWidth="1"/>
    <col min="3" max="3" width="14" customWidth="1"/>
    <col min="4" max="4" width="7.28515625" customWidth="1"/>
    <col min="5" max="5" width="10.140625" customWidth="1"/>
    <col min="6" max="6" width="2.7109375" customWidth="1"/>
    <col min="7" max="7" width="20.5703125" customWidth="1"/>
    <col min="8" max="8" width="15.7109375" customWidth="1"/>
    <col min="9" max="9" width="10" customWidth="1"/>
    <col min="10" max="10" width="11.28515625" customWidth="1"/>
    <col min="11" max="11" width="2.7109375" customWidth="1"/>
    <col min="12" max="12" width="19.5703125" customWidth="1"/>
    <col min="13" max="13" width="14.5703125" customWidth="1"/>
    <col min="14" max="15" width="11.28515625" customWidth="1"/>
    <col min="16" max="16" width="2.7109375" customWidth="1"/>
    <col min="17" max="17" width="30.7109375" customWidth="1"/>
    <col min="18" max="18" width="13.85546875" customWidth="1"/>
    <col min="19" max="20" width="11.28515625" customWidth="1"/>
    <col min="21" max="21" width="2.7109375" customWidth="1"/>
    <col min="22" max="22" width="30.7109375" customWidth="1"/>
    <col min="23" max="23" width="13.7109375" customWidth="1"/>
    <col min="24" max="24" width="9" customWidth="1"/>
    <col min="25" max="25" width="10" customWidth="1"/>
    <col min="26" max="26" width="2.7109375" customWidth="1"/>
    <col min="27" max="27" width="43.140625" customWidth="1"/>
    <col min="28" max="28" width="30.7109375" customWidth="1"/>
  </cols>
  <sheetData>
    <row r="1" spans="2:27" ht="19.5" thickBot="1" x14ac:dyDescent="0.35">
      <c r="B1" s="16" t="s">
        <v>40</v>
      </c>
      <c r="C1" s="17"/>
      <c r="D1" s="17"/>
      <c r="E1" s="18"/>
      <c r="G1" s="16" t="s">
        <v>112</v>
      </c>
      <c r="H1" s="17"/>
      <c r="I1" s="17"/>
      <c r="J1" s="18"/>
      <c r="L1" s="16" t="s">
        <v>112</v>
      </c>
      <c r="M1" s="17"/>
      <c r="N1" s="17"/>
      <c r="O1" s="18"/>
      <c r="Q1" s="16" t="s">
        <v>112</v>
      </c>
      <c r="R1" s="17"/>
      <c r="S1" s="17"/>
      <c r="T1" s="18"/>
      <c r="V1" s="16" t="s">
        <v>114</v>
      </c>
      <c r="W1" s="17"/>
      <c r="X1" s="17"/>
      <c r="Y1" s="18"/>
      <c r="AA1" s="65" t="s">
        <v>112</v>
      </c>
    </row>
    <row r="2" spans="2:27" ht="15.75" thickBot="1" x14ac:dyDescent="0.3">
      <c r="B2" s="56" t="s">
        <v>0</v>
      </c>
      <c r="C2" s="15" t="s">
        <v>1</v>
      </c>
      <c r="D2" s="15" t="s">
        <v>20</v>
      </c>
      <c r="E2" s="57" t="s">
        <v>21</v>
      </c>
      <c r="G2" s="43" t="s">
        <v>0</v>
      </c>
      <c r="H2" s="23" t="s">
        <v>3</v>
      </c>
      <c r="I2" s="23"/>
      <c r="J2" s="33"/>
      <c r="L2" s="43" t="s">
        <v>0</v>
      </c>
      <c r="M2" s="23" t="s">
        <v>80</v>
      </c>
      <c r="N2" s="23"/>
      <c r="O2" s="33"/>
      <c r="Q2" s="43" t="s">
        <v>1</v>
      </c>
      <c r="R2" s="23" t="s">
        <v>23</v>
      </c>
      <c r="S2" s="23"/>
      <c r="T2" s="33"/>
      <c r="V2" s="41" t="s">
        <v>57</v>
      </c>
      <c r="W2" t="s">
        <v>23</v>
      </c>
      <c r="Y2" s="20"/>
      <c r="AA2" s="99" t="s">
        <v>57</v>
      </c>
    </row>
    <row r="3" spans="2:27" ht="15.75" thickBot="1" x14ac:dyDescent="0.3">
      <c r="B3" s="19" t="s">
        <v>4</v>
      </c>
      <c r="C3" t="s">
        <v>25</v>
      </c>
      <c r="D3">
        <v>75</v>
      </c>
      <c r="E3" s="21">
        <v>120.7008</v>
      </c>
      <c r="V3" s="43" t="s">
        <v>59</v>
      </c>
      <c r="W3" s="23">
        <v>35</v>
      </c>
      <c r="X3" s="23"/>
      <c r="Y3" s="33"/>
      <c r="AA3" s="97" t="s">
        <v>23</v>
      </c>
    </row>
    <row r="4" spans="2:27" ht="19.5" thickBot="1" x14ac:dyDescent="0.35">
      <c r="B4" s="19" t="s">
        <v>8</v>
      </c>
      <c r="C4" t="s">
        <v>23</v>
      </c>
      <c r="D4">
        <v>28</v>
      </c>
      <c r="E4" s="21">
        <v>45.061631999999996</v>
      </c>
      <c r="G4" s="16" t="s">
        <v>104</v>
      </c>
      <c r="H4" s="30"/>
      <c r="I4" s="30"/>
      <c r="J4" s="31"/>
      <c r="L4" s="16" t="s">
        <v>105</v>
      </c>
      <c r="M4" s="30"/>
      <c r="N4" s="30"/>
      <c r="O4" s="31"/>
      <c r="Q4" s="16" t="s">
        <v>107</v>
      </c>
      <c r="R4" s="30"/>
      <c r="S4" s="30"/>
      <c r="T4" s="31"/>
    </row>
    <row r="5" spans="2:27" ht="18.75" x14ac:dyDescent="0.3">
      <c r="B5" s="19" t="s">
        <v>9</v>
      </c>
      <c r="C5" t="s">
        <v>26</v>
      </c>
      <c r="D5">
        <v>25</v>
      </c>
      <c r="E5" s="21">
        <v>40.233599999999996</v>
      </c>
      <c r="G5" s="56" t="s">
        <v>0</v>
      </c>
      <c r="H5" s="88" t="s">
        <v>1</v>
      </c>
      <c r="I5" s="88" t="s">
        <v>20</v>
      </c>
      <c r="J5" s="71" t="s">
        <v>21</v>
      </c>
      <c r="L5" s="56" t="s">
        <v>0</v>
      </c>
      <c r="M5" s="88" t="s">
        <v>1</v>
      </c>
      <c r="N5" s="88" t="s">
        <v>20</v>
      </c>
      <c r="O5" s="71" t="s">
        <v>21</v>
      </c>
      <c r="Q5" s="56" t="s">
        <v>0</v>
      </c>
      <c r="R5" s="88" t="s">
        <v>1</v>
      </c>
      <c r="S5" s="88" t="s">
        <v>20</v>
      </c>
      <c r="T5" s="71" t="s">
        <v>21</v>
      </c>
      <c r="V5" s="16" t="s">
        <v>58</v>
      </c>
      <c r="W5" s="30"/>
      <c r="X5" s="30"/>
      <c r="Y5" s="31"/>
      <c r="AA5" s="65" t="s">
        <v>75</v>
      </c>
    </row>
    <row r="6" spans="2:27" ht="15.75" thickBot="1" x14ac:dyDescent="0.3">
      <c r="B6" s="19" t="s">
        <v>3</v>
      </c>
      <c r="C6" t="s">
        <v>24</v>
      </c>
      <c r="D6">
        <v>94</v>
      </c>
      <c r="E6" s="21">
        <v>151</v>
      </c>
      <c r="G6" s="87" t="str" cm="1">
        <f t="array" ref="G6:J7">_xlfn._xlws.FILTER(B3:E12,B3:B12=H2)</f>
        <v>Ninety Mile Beach</v>
      </c>
      <c r="H6" s="89" t="str">
        <v>Australia</v>
      </c>
      <c r="I6" s="89">
        <v>94</v>
      </c>
      <c r="J6" s="58">
        <v>151</v>
      </c>
      <c r="L6" s="101" t="e" cm="1" vm="1">
        <f t="array" ref="L6">_xlfn._xlws.FILTER(B3:E12,B3:B12=M2)</f>
        <v>#VALUE!</v>
      </c>
      <c r="M6" s="35"/>
      <c r="N6" s="35"/>
      <c r="O6" s="60"/>
      <c r="Q6" s="87" t="str" cm="1">
        <f t="array" ref="Q6:T8">_xlfn._xlws.FILTER(B3:E12,C3:C12=R2,"No matches found")</f>
        <v>Long Beach</v>
      </c>
      <c r="R6" s="89" t="str">
        <v>United States</v>
      </c>
      <c r="S6" s="89">
        <v>28</v>
      </c>
      <c r="T6" s="58">
        <v>45.061631999999996</v>
      </c>
      <c r="V6" s="63" t="s">
        <v>0</v>
      </c>
      <c r="W6" s="15" t="s">
        <v>1</v>
      </c>
      <c r="X6" s="15" t="s">
        <v>20</v>
      </c>
      <c r="Y6" s="57" t="s">
        <v>21</v>
      </c>
      <c r="AA6" s="48" t="str" cm="1">
        <f t="array" ref="AA6:AA8">_xlfn._xlws.FILTER(B3:B12&amp;": "&amp;D3:D12&amp;" miles",C3:C12=AA3)</f>
        <v>Long Beach: 28 miles</v>
      </c>
    </row>
    <row r="7" spans="2:27" ht="15.75" thickBot="1" x14ac:dyDescent="0.3">
      <c r="B7" s="19" t="s">
        <v>3</v>
      </c>
      <c r="C7" t="s">
        <v>19</v>
      </c>
      <c r="D7">
        <v>55</v>
      </c>
      <c r="E7" s="21">
        <v>89</v>
      </c>
      <c r="G7" s="59" t="str">
        <v>Ninety Mile Beach</v>
      </c>
      <c r="H7" s="35" t="str">
        <v>New Zealand</v>
      </c>
      <c r="I7" s="35">
        <v>55</v>
      </c>
      <c r="J7" s="60">
        <v>89</v>
      </c>
      <c r="L7" s="89"/>
      <c r="M7" s="89"/>
      <c r="N7" s="89"/>
      <c r="O7" s="100"/>
      <c r="Q7" s="52" t="str">
        <v>Padre Island National Seashore</v>
      </c>
      <c r="R7" s="89" t="str">
        <v>United States</v>
      </c>
      <c r="S7" s="89">
        <v>70</v>
      </c>
      <c r="T7" s="58">
        <v>112.65408000000001</v>
      </c>
      <c r="V7" s="51" t="str" cm="1">
        <f t="array" ref="V7:Y8">_xlfn._xlws.FILTER(B3:E12,(C3:C12=W2)*(D3:D12&gt;=W3))</f>
        <v>Padre Island National Seashore</v>
      </c>
      <c r="W7" t="str">
        <v>United States</v>
      </c>
      <c r="X7">
        <v>70</v>
      </c>
      <c r="Y7" s="42">
        <v>112.65408000000001</v>
      </c>
      <c r="AA7" s="98" t="str">
        <v>Padre Island National Seashore: 70 miles</v>
      </c>
    </row>
    <row r="8" spans="2:27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90"/>
      <c r="H8" s="90"/>
      <c r="I8" s="90"/>
      <c r="J8" s="91"/>
      <c r="L8" s="90"/>
      <c r="M8" s="90"/>
      <c r="N8" s="90"/>
      <c r="O8" s="91"/>
      <c r="Q8" s="22" t="str">
        <v>Virginia Beach</v>
      </c>
      <c r="R8" s="23" t="str">
        <v>United States</v>
      </c>
      <c r="S8" s="23">
        <v>35</v>
      </c>
      <c r="T8" s="44">
        <v>56.327040000000004</v>
      </c>
      <c r="V8" s="22" t="str">
        <v>Virginia Beach</v>
      </c>
      <c r="W8" s="23" t="str">
        <v>United States</v>
      </c>
      <c r="X8" s="23">
        <v>35</v>
      </c>
      <c r="Y8" s="44">
        <v>56.327040000000004</v>
      </c>
      <c r="AA8" s="97" t="str">
        <v>Virginia Beach: 35 miles</v>
      </c>
    </row>
    <row r="9" spans="2:27" ht="19.5" thickBot="1" x14ac:dyDescent="0.35">
      <c r="B9" s="19" t="s">
        <v>6</v>
      </c>
      <c r="C9" t="s">
        <v>27</v>
      </c>
      <c r="D9">
        <v>56</v>
      </c>
      <c r="E9" s="21">
        <v>90.123263999999992</v>
      </c>
      <c r="L9" s="16" t="s">
        <v>106</v>
      </c>
      <c r="M9" s="30"/>
      <c r="N9" s="30"/>
      <c r="O9" s="31"/>
    </row>
    <row r="10" spans="2:27" ht="19.5" thickBot="1" x14ac:dyDescent="0.35">
      <c r="B10" s="19" t="s">
        <v>2</v>
      </c>
      <c r="C10" t="s">
        <v>28</v>
      </c>
      <c r="D10">
        <v>150</v>
      </c>
      <c r="E10" s="21">
        <v>241.4016</v>
      </c>
      <c r="G10" s="16" t="s">
        <v>118</v>
      </c>
      <c r="H10" s="30"/>
      <c r="I10" s="30"/>
      <c r="J10" s="31"/>
      <c r="L10" s="56" t="s">
        <v>0</v>
      </c>
      <c r="M10" s="88" t="s">
        <v>1</v>
      </c>
      <c r="N10" s="88" t="s">
        <v>20</v>
      </c>
      <c r="O10" s="71" t="s">
        <v>21</v>
      </c>
    </row>
    <row r="11" spans="2:27" ht="19.5" thickBot="1" x14ac:dyDescent="0.35">
      <c r="B11" s="19" t="s">
        <v>10</v>
      </c>
      <c r="C11" t="s">
        <v>24</v>
      </c>
      <c r="D11">
        <v>20</v>
      </c>
      <c r="E11" s="21">
        <v>32.186880000000002</v>
      </c>
      <c r="G11" s="56" t="s">
        <v>0</v>
      </c>
      <c r="H11" s="88" t="s">
        <v>1</v>
      </c>
      <c r="I11" s="88" t="s">
        <v>20</v>
      </c>
      <c r="J11" s="71" t="s">
        <v>21</v>
      </c>
      <c r="L11" s="101" t="str" cm="1">
        <f t="array" ref="L11">_xlfn._xlws.FILTER(B3:E12,B3:B12=M2,"No matches found")</f>
        <v>No matches found</v>
      </c>
      <c r="M11" s="35"/>
      <c r="N11" s="35"/>
      <c r="O11" s="60"/>
      <c r="Q11" s="16" t="s">
        <v>113</v>
      </c>
      <c r="R11" s="30"/>
      <c r="S11" s="30"/>
      <c r="T11" s="31"/>
      <c r="V11" s="16" t="s">
        <v>118</v>
      </c>
      <c r="W11" s="30"/>
      <c r="X11" s="30"/>
      <c r="Y11" s="31"/>
      <c r="AA11" s="65" t="s">
        <v>118</v>
      </c>
    </row>
    <row r="12" spans="2:27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117"/>
      <c r="H12" s="89"/>
      <c r="I12" s="89"/>
      <c r="J12" s="58"/>
      <c r="L12" s="89"/>
      <c r="M12" s="89"/>
      <c r="N12" s="89"/>
      <c r="O12" s="100"/>
      <c r="Q12" s="38" t="s">
        <v>0</v>
      </c>
      <c r="R12" s="39" t="s">
        <v>1</v>
      </c>
      <c r="S12" s="39" t="s">
        <v>20</v>
      </c>
      <c r="T12" s="40" t="s">
        <v>21</v>
      </c>
      <c r="V12" s="63" t="s">
        <v>0</v>
      </c>
      <c r="W12" s="15" t="s">
        <v>1</v>
      </c>
      <c r="X12" s="15" t="s">
        <v>20</v>
      </c>
      <c r="Y12" s="57" t="s">
        <v>21</v>
      </c>
      <c r="AA12" s="115"/>
    </row>
    <row r="13" spans="2:27" ht="15.75" thickBot="1" x14ac:dyDescent="0.3">
      <c r="G13" s="59"/>
      <c r="H13" s="35"/>
      <c r="I13" s="35"/>
      <c r="J13" s="60"/>
      <c r="Q13" s="51" t="str" cm="1">
        <f t="array" ref="Q13:T15">_xlfn._xlws.SORT(_xlfn._xlws.FILTER(B3:E12,C3:C12=R2,"No matches found"),3,-1)</f>
        <v>Padre Island National Seashore</v>
      </c>
      <c r="R13" s="3" t="str">
        <v>United States</v>
      </c>
      <c r="S13" s="3">
        <v>70</v>
      </c>
      <c r="T13" s="58">
        <v>112.65408000000001</v>
      </c>
      <c r="V13" s="110"/>
      <c r="Y13" s="42"/>
      <c r="AA13" s="98"/>
    </row>
    <row r="14" spans="2:27" ht="19.5" thickBot="1" x14ac:dyDescent="0.35">
      <c r="L14" s="16" t="s">
        <v>118</v>
      </c>
      <c r="M14" s="30"/>
      <c r="N14" s="30"/>
      <c r="O14" s="31"/>
      <c r="Q14" s="93" t="str">
        <v>Virginia Beach</v>
      </c>
      <c r="R14" s="3" t="str">
        <v>United States</v>
      </c>
      <c r="S14" s="3">
        <v>35</v>
      </c>
      <c r="T14" s="58">
        <v>56.327040000000004</v>
      </c>
      <c r="V14" s="22"/>
      <c r="W14" s="23"/>
      <c r="X14" s="23"/>
      <c r="Y14" s="44"/>
      <c r="AA14" s="97"/>
    </row>
    <row r="15" spans="2:27" ht="15.75" thickBot="1" x14ac:dyDescent="0.3">
      <c r="L15" s="56" t="s">
        <v>0</v>
      </c>
      <c r="M15" s="88" t="s">
        <v>1</v>
      </c>
      <c r="N15" s="88" t="s">
        <v>20</v>
      </c>
      <c r="O15" s="71" t="s">
        <v>21</v>
      </c>
      <c r="Q15" s="59" t="str">
        <v>Long Beach</v>
      </c>
      <c r="R15" s="35" t="str">
        <v>United States</v>
      </c>
      <c r="S15" s="35">
        <v>28</v>
      </c>
      <c r="T15" s="60">
        <v>45.061631999999996</v>
      </c>
    </row>
    <row r="16" spans="2:27" ht="15.75" thickBot="1" x14ac:dyDescent="0.3">
      <c r="L16" s="118"/>
      <c r="M16" s="35"/>
      <c r="N16" s="35"/>
      <c r="O16" s="60"/>
    </row>
    <row r="17" spans="12:20" x14ac:dyDescent="0.25">
      <c r="L17" s="89"/>
      <c r="M17" s="89"/>
      <c r="N17" s="89"/>
      <c r="O17" s="100"/>
    </row>
    <row r="18" spans="12:20" ht="15.75" thickBot="1" x14ac:dyDescent="0.3">
      <c r="L18" s="90"/>
      <c r="M18" s="90"/>
      <c r="N18" s="90"/>
      <c r="O18" s="91"/>
    </row>
    <row r="19" spans="12:20" ht="18.75" x14ac:dyDescent="0.3">
      <c r="L19" s="16" t="s">
        <v>118</v>
      </c>
      <c r="M19" s="30"/>
      <c r="N19" s="30"/>
      <c r="O19" s="31"/>
      <c r="Q19" s="16" t="s">
        <v>118</v>
      </c>
      <c r="R19" s="30"/>
      <c r="S19" s="30"/>
      <c r="T19" s="31"/>
    </row>
    <row r="20" spans="12:20" x14ac:dyDescent="0.25">
      <c r="L20" s="56" t="s">
        <v>0</v>
      </c>
      <c r="M20" s="88" t="s">
        <v>1</v>
      </c>
      <c r="N20" s="88" t="s">
        <v>20</v>
      </c>
      <c r="O20" s="71" t="s">
        <v>21</v>
      </c>
      <c r="Q20" s="56" t="s">
        <v>0</v>
      </c>
      <c r="R20" s="88" t="s">
        <v>1</v>
      </c>
      <c r="S20" s="88" t="s">
        <v>20</v>
      </c>
      <c r="T20" s="71" t="s">
        <v>21</v>
      </c>
    </row>
    <row r="21" spans="12:20" ht="15.75" thickBot="1" x14ac:dyDescent="0.3">
      <c r="L21" s="118"/>
      <c r="M21" s="35"/>
      <c r="N21" s="35"/>
      <c r="O21" s="60"/>
      <c r="Q21" s="117"/>
      <c r="R21" s="89"/>
      <c r="S21" s="89"/>
      <c r="T21" s="58"/>
    </row>
    <row r="22" spans="12:20" x14ac:dyDescent="0.25">
      <c r="Q22" s="52"/>
      <c r="R22" s="89"/>
      <c r="S22" s="89"/>
      <c r="T22" s="58"/>
    </row>
    <row r="23" spans="12:20" ht="15.75" thickBot="1" x14ac:dyDescent="0.3">
      <c r="Q23" s="22"/>
      <c r="R23" s="23"/>
      <c r="S23" s="23"/>
      <c r="T23" s="44"/>
    </row>
    <row r="25" spans="12:20" ht="15.75" thickBot="1" x14ac:dyDescent="0.3"/>
    <row r="26" spans="12:20" ht="19.5" thickBot="1" x14ac:dyDescent="0.35">
      <c r="Q26" s="16" t="s">
        <v>118</v>
      </c>
      <c r="R26" s="30"/>
      <c r="S26" s="30"/>
      <c r="T26" s="31"/>
    </row>
    <row r="27" spans="12:20" x14ac:dyDescent="0.25">
      <c r="Q27" s="38" t="s">
        <v>0</v>
      </c>
      <c r="R27" s="39" t="s">
        <v>1</v>
      </c>
      <c r="S27" s="39" t="s">
        <v>20</v>
      </c>
      <c r="T27" s="40" t="s">
        <v>21</v>
      </c>
    </row>
    <row r="28" spans="12:20" x14ac:dyDescent="0.25">
      <c r="Q28" s="110"/>
      <c r="R28" s="3"/>
      <c r="S28" s="3"/>
      <c r="T28" s="58"/>
    </row>
    <row r="29" spans="12:20" x14ac:dyDescent="0.25">
      <c r="Q29" s="93"/>
      <c r="R29" s="3"/>
      <c r="S29" s="3"/>
      <c r="T29" s="58"/>
    </row>
    <row r="30" spans="12:20" ht="15.75" thickBot="1" x14ac:dyDescent="0.3">
      <c r="Q30" s="59"/>
      <c r="R30" s="35"/>
      <c r="S30" s="35"/>
      <c r="T30" s="60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623D-D469-43C7-9759-56619D9C5553}">
  <sheetPr codeName="Sheet12"/>
  <dimension ref="B1:I25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29" bestFit="1" customWidth="1"/>
    <col min="3" max="3" width="12.85546875" bestFit="1" customWidth="1"/>
    <col min="4" max="5" width="10.7109375" customWidth="1"/>
    <col min="6" max="6" width="2.7109375" customWidth="1"/>
    <col min="7" max="7" width="30.7109375" customWidth="1"/>
    <col min="8" max="8" width="15.7109375" customWidth="1"/>
  </cols>
  <sheetData>
    <row r="1" spans="2:9" ht="19.5" thickBot="1" x14ac:dyDescent="0.35">
      <c r="B1" s="16" t="s">
        <v>40</v>
      </c>
      <c r="C1" s="17"/>
      <c r="D1" s="17"/>
      <c r="E1" s="18"/>
      <c r="G1" s="16" t="s">
        <v>112</v>
      </c>
      <c r="H1" s="65"/>
    </row>
    <row r="2" spans="2:9" ht="15.75" thickBot="1" x14ac:dyDescent="0.3">
      <c r="B2" s="62" t="s">
        <v>0</v>
      </c>
      <c r="C2" s="39" t="s">
        <v>1</v>
      </c>
      <c r="D2" s="39" t="s">
        <v>20</v>
      </c>
      <c r="E2" s="40" t="s">
        <v>21</v>
      </c>
      <c r="G2" s="66" t="s">
        <v>65</v>
      </c>
      <c r="H2" s="33">
        <v>25</v>
      </c>
    </row>
    <row r="3" spans="2:9" ht="15.75" thickBot="1" x14ac:dyDescent="0.3">
      <c r="B3" s="19" t="s">
        <v>4</v>
      </c>
      <c r="C3" t="s">
        <v>25</v>
      </c>
      <c r="D3">
        <v>75</v>
      </c>
      <c r="E3" s="21">
        <v>120.7008</v>
      </c>
      <c r="I3" s="1"/>
    </row>
    <row r="4" spans="2:9" ht="18.75" x14ac:dyDescent="0.3">
      <c r="B4" s="19" t="s">
        <v>8</v>
      </c>
      <c r="C4" t="s">
        <v>23</v>
      </c>
      <c r="D4">
        <v>28</v>
      </c>
      <c r="E4" s="21">
        <v>45.061631999999996</v>
      </c>
      <c r="G4" s="16" t="s">
        <v>66</v>
      </c>
      <c r="H4" s="31"/>
    </row>
    <row r="5" spans="2:9" x14ac:dyDescent="0.25">
      <c r="B5" s="19" t="s">
        <v>9</v>
      </c>
      <c r="C5" t="s">
        <v>26</v>
      </c>
      <c r="D5">
        <v>25</v>
      </c>
      <c r="E5" s="21">
        <v>40.233599999999996</v>
      </c>
      <c r="G5" s="63" t="s">
        <v>1</v>
      </c>
      <c r="H5" s="57" t="s">
        <v>29</v>
      </c>
    </row>
    <row r="6" spans="2:9" x14ac:dyDescent="0.25">
      <c r="B6" s="19" t="s">
        <v>3</v>
      </c>
      <c r="C6" t="s">
        <v>24</v>
      </c>
      <c r="D6">
        <v>94</v>
      </c>
      <c r="E6" s="21">
        <v>151</v>
      </c>
      <c r="G6" s="51" t="str" cm="1">
        <f t="array" ref="G6:G11">_xlfn._xlws.SORT(_xlfn.UNIQUE(_xlfn._xlws.FILTER(C3:C12,D3:D12&gt;H2)))</f>
        <v>Australia</v>
      </c>
      <c r="H6" s="36" cm="1">
        <f t="array" ref="H6:H11">COUNTIFS(C3:C12,_xlfn.ANCHORARRAY(G6),D3:D12,"&gt;="&amp;H2)</f>
        <v>1</v>
      </c>
    </row>
    <row r="7" spans="2:9" x14ac:dyDescent="0.25">
      <c r="B7" s="19" t="s">
        <v>3</v>
      </c>
      <c r="C7" t="s">
        <v>19</v>
      </c>
      <c r="D7">
        <v>55</v>
      </c>
      <c r="E7" s="21">
        <v>89</v>
      </c>
      <c r="G7" s="19" t="str">
        <v>Bangladesh</v>
      </c>
      <c r="H7" s="20">
        <v>1</v>
      </c>
    </row>
    <row r="8" spans="2:9" x14ac:dyDescent="0.25">
      <c r="B8" s="19" t="s">
        <v>5</v>
      </c>
      <c r="C8" t="s">
        <v>23</v>
      </c>
      <c r="D8">
        <v>70</v>
      </c>
      <c r="E8" s="21">
        <v>112.65408000000001</v>
      </c>
      <c r="G8" s="19" t="str">
        <v>Brazil</v>
      </c>
      <c r="H8" s="20">
        <v>1</v>
      </c>
    </row>
    <row r="9" spans="2:9" x14ac:dyDescent="0.25">
      <c r="B9" s="19" t="s">
        <v>6</v>
      </c>
      <c r="C9" t="s">
        <v>27</v>
      </c>
      <c r="D9">
        <v>56</v>
      </c>
      <c r="E9" s="21">
        <v>90.123263999999992</v>
      </c>
      <c r="G9" s="19" t="str">
        <v>Mexico</v>
      </c>
      <c r="H9" s="20">
        <v>1</v>
      </c>
    </row>
    <row r="10" spans="2:9" x14ac:dyDescent="0.25">
      <c r="B10" s="19" t="s">
        <v>2</v>
      </c>
      <c r="C10" t="s">
        <v>28</v>
      </c>
      <c r="D10">
        <v>150</v>
      </c>
      <c r="E10" s="21">
        <v>241.4016</v>
      </c>
      <c r="G10" s="19" t="str">
        <v>New Zealand</v>
      </c>
      <c r="H10" s="20">
        <v>1</v>
      </c>
    </row>
    <row r="11" spans="2:9" x14ac:dyDescent="0.25">
      <c r="B11" s="19" t="s">
        <v>10</v>
      </c>
      <c r="C11" t="s">
        <v>24</v>
      </c>
      <c r="D11">
        <v>20</v>
      </c>
      <c r="E11" s="21">
        <v>32.186880000000002</v>
      </c>
      <c r="G11" s="19" t="str">
        <v>United States</v>
      </c>
      <c r="H11" s="20">
        <v>3</v>
      </c>
    </row>
    <row r="12" spans="2:9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22"/>
      <c r="H12" s="33"/>
    </row>
    <row r="16" spans="2:9" ht="15.75" thickBot="1" x14ac:dyDescent="0.3"/>
    <row r="17" spans="7:8" ht="18.75" x14ac:dyDescent="0.3">
      <c r="G17" s="16" t="s">
        <v>118</v>
      </c>
      <c r="H17" s="31"/>
    </row>
    <row r="18" spans="7:8" x14ac:dyDescent="0.25">
      <c r="G18" s="63" t="s">
        <v>1</v>
      </c>
      <c r="H18" s="57" t="s">
        <v>29</v>
      </c>
    </row>
    <row r="19" spans="7:8" x14ac:dyDescent="0.25">
      <c r="G19" s="110"/>
      <c r="H19" s="119"/>
    </row>
    <row r="20" spans="7:8" x14ac:dyDescent="0.25">
      <c r="G20" s="19"/>
      <c r="H20" s="20"/>
    </row>
    <row r="21" spans="7:8" x14ac:dyDescent="0.25">
      <c r="G21" s="19"/>
      <c r="H21" s="20"/>
    </row>
    <row r="22" spans="7:8" x14ac:dyDescent="0.25">
      <c r="G22" s="19"/>
      <c r="H22" s="20"/>
    </row>
    <row r="23" spans="7:8" x14ac:dyDescent="0.25">
      <c r="G23" s="19"/>
      <c r="H23" s="20"/>
    </row>
    <row r="24" spans="7:8" x14ac:dyDescent="0.25">
      <c r="G24" s="19"/>
      <c r="H24" s="20"/>
    </row>
    <row r="25" spans="7:8" ht="15.75" thickBot="1" x14ac:dyDescent="0.3">
      <c r="G25" s="22"/>
      <c r="H25" s="33"/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FA5D-3DB8-4110-8467-9D05E8FDD814}">
  <sheetPr codeName="Sheet13"/>
  <dimension ref="A1:L128"/>
  <sheetViews>
    <sheetView zoomScaleNormal="100" workbookViewId="0">
      <pane ySplit="8" topLeftCell="A9" activePane="bottomLeft" state="frozen"/>
      <selection pane="bottomLeft" activeCell="A6" sqref="A6"/>
    </sheetView>
  </sheetViews>
  <sheetFormatPr defaultColWidth="8.85546875" defaultRowHeight="15" x14ac:dyDescent="0.25"/>
  <cols>
    <col min="1" max="1" width="10.7109375" customWidth="1"/>
    <col min="2" max="2" width="11" customWidth="1"/>
    <col min="3" max="3" width="10.42578125" customWidth="1"/>
    <col min="4" max="4" width="11.28515625" customWidth="1"/>
    <col min="5" max="5" width="12.28515625" customWidth="1"/>
    <col min="6" max="6" width="2.7109375" customWidth="1"/>
    <col min="7" max="7" width="10.7109375" customWidth="1"/>
    <col min="8" max="8" width="11" customWidth="1"/>
    <col min="9" max="9" width="10.42578125" customWidth="1"/>
    <col min="10" max="10" width="11.28515625" customWidth="1"/>
    <col min="11" max="11" width="12.28515625" customWidth="1"/>
  </cols>
  <sheetData>
    <row r="1" spans="1:12" ht="37.5" x14ac:dyDescent="0.3">
      <c r="A1" s="92" t="s">
        <v>115</v>
      </c>
      <c r="B1" s="13"/>
      <c r="C1" s="13"/>
      <c r="D1" s="13"/>
      <c r="E1" s="13"/>
      <c r="G1" s="92" t="s">
        <v>116</v>
      </c>
      <c r="H1" s="13"/>
      <c r="I1" s="13"/>
      <c r="J1" s="13"/>
      <c r="K1" s="13"/>
    </row>
    <row r="2" spans="1:12" x14ac:dyDescent="0.25">
      <c r="A2" s="6" t="s">
        <v>33</v>
      </c>
      <c r="B2" s="10">
        <v>45292</v>
      </c>
      <c r="G2" s="6" t="s">
        <v>33</v>
      </c>
      <c r="H2" s="10">
        <v>45292</v>
      </c>
    </row>
    <row r="3" spans="1:12" x14ac:dyDescent="0.25">
      <c r="A3" s="6" t="s">
        <v>30</v>
      </c>
      <c r="B3" s="9">
        <v>5.2499999999999998E-2</v>
      </c>
      <c r="G3" s="6" t="s">
        <v>30</v>
      </c>
      <c r="H3" s="9">
        <v>5.2499999999999998E-2</v>
      </c>
    </row>
    <row r="4" spans="1:12" x14ac:dyDescent="0.25">
      <c r="A4" s="6" t="s">
        <v>31</v>
      </c>
      <c r="B4">
        <v>5</v>
      </c>
      <c r="G4" s="6" t="s">
        <v>31</v>
      </c>
      <c r="H4">
        <v>5</v>
      </c>
    </row>
    <row r="5" spans="1:12" x14ac:dyDescent="0.25">
      <c r="A5" s="6" t="s">
        <v>32</v>
      </c>
      <c r="B5" s="78">
        <v>25000</v>
      </c>
      <c r="G5" s="6" t="s">
        <v>32</v>
      </c>
      <c r="H5" s="78">
        <v>25000</v>
      </c>
    </row>
    <row r="6" spans="1:12" x14ac:dyDescent="0.25">
      <c r="A6" s="6" t="s">
        <v>34</v>
      </c>
      <c r="B6" s="79">
        <f>-PMT(B3/12,B4*12,B5)</f>
        <v>474.64959608566818</v>
      </c>
      <c r="G6" s="6" t="s">
        <v>34</v>
      </c>
      <c r="H6" s="81"/>
    </row>
    <row r="8" spans="1:12" x14ac:dyDescent="0.25">
      <c r="A8" s="15" t="s">
        <v>35</v>
      </c>
      <c r="B8" s="15" t="s">
        <v>36</v>
      </c>
      <c r="C8" s="15" t="s">
        <v>30</v>
      </c>
      <c r="D8" s="15" t="s">
        <v>32</v>
      </c>
      <c r="E8" s="15" t="s">
        <v>37</v>
      </c>
      <c r="G8" s="15" t="s">
        <v>35</v>
      </c>
      <c r="H8" s="15" t="s">
        <v>36</v>
      </c>
      <c r="I8" s="15" t="s">
        <v>30</v>
      </c>
      <c r="J8" s="15" t="s">
        <v>32</v>
      </c>
      <c r="K8" s="15" t="s">
        <v>37</v>
      </c>
    </row>
    <row r="9" spans="1:12" x14ac:dyDescent="0.25">
      <c r="A9" s="2" cm="1">
        <f t="array" ref="A9:A68">_xlfn.SEQUENCE(B4*12)</f>
        <v>1</v>
      </c>
      <c r="B9" s="11" cm="1">
        <f t="array" ref="B9:B68">EOMONTH(B2,_xlfn.ANCHORARRAY(A9)-2)+1</f>
        <v>45292</v>
      </c>
      <c r="C9" s="79" cm="1">
        <f t="array" ref="C9:C68">-IPMT(B3/12,_xlfn.ANCHORARRAY(A9),B4*12,B5)</f>
        <v>109.37499999999999</v>
      </c>
      <c r="D9" s="79" cm="1">
        <f t="array" ref="D9:D68">-PPMT(B3/12,_xlfn.ANCHORARRAY(A9),B4*12,B5)</f>
        <v>365.27459608566824</v>
      </c>
      <c r="E9" s="79" cm="1">
        <f t="array" ref="E9:E68">SUMIF(_xlfn.ANCHORARRAY(A9),"&gt;"&amp;_xlfn.ANCHORARRAY(A9),_xlfn.ANCHORARRAY(D9))</f>
        <v>24634.725403914326</v>
      </c>
      <c r="G9" s="80"/>
      <c r="H9" s="80"/>
      <c r="I9" s="80"/>
      <c r="J9" s="80"/>
      <c r="K9" s="80"/>
    </row>
    <row r="10" spans="1:12" x14ac:dyDescent="0.25">
      <c r="A10">
        <v>2</v>
      </c>
      <c r="B10" s="10">
        <v>45323</v>
      </c>
      <c r="C10" s="8">
        <v>107.7769236421252</v>
      </c>
      <c r="D10" s="8">
        <v>366.87267244354302</v>
      </c>
      <c r="E10" s="75">
        <v>24267.852731470779</v>
      </c>
    </row>
    <row r="11" spans="1:12" x14ac:dyDescent="0.25">
      <c r="A11">
        <v>3</v>
      </c>
      <c r="B11" s="10">
        <v>45352</v>
      </c>
      <c r="C11" s="8">
        <v>106.17185570018471</v>
      </c>
      <c r="D11" s="8">
        <v>368.47774038548346</v>
      </c>
      <c r="E11" s="75">
        <v>23899.374991085297</v>
      </c>
    </row>
    <row r="12" spans="1:12" x14ac:dyDescent="0.25">
      <c r="A12">
        <v>4</v>
      </c>
      <c r="B12" s="10">
        <v>45383</v>
      </c>
      <c r="C12" s="8">
        <v>104.55976558599819</v>
      </c>
      <c r="D12" s="8">
        <v>370.08983049966997</v>
      </c>
      <c r="E12" s="75">
        <v>23529.28516058563</v>
      </c>
    </row>
    <row r="13" spans="1:12" x14ac:dyDescent="0.25">
      <c r="A13">
        <v>5</v>
      </c>
      <c r="B13" s="10">
        <v>45413</v>
      </c>
      <c r="C13" s="8">
        <v>102.94062257756215</v>
      </c>
      <c r="D13" s="8">
        <v>371.70897350810611</v>
      </c>
      <c r="E13" s="75">
        <v>23157.57618707752</v>
      </c>
      <c r="L13" s="76"/>
    </row>
    <row r="14" spans="1:12" x14ac:dyDescent="0.25">
      <c r="A14">
        <v>6</v>
      </c>
      <c r="B14" s="10">
        <v>45444</v>
      </c>
      <c r="C14" s="8">
        <v>101.31439581846421</v>
      </c>
      <c r="D14" s="8">
        <v>373.33520026720402</v>
      </c>
      <c r="E14" s="75">
        <v>22784.240986810317</v>
      </c>
      <c r="L14" s="76"/>
    </row>
    <row r="15" spans="1:12" x14ac:dyDescent="0.25">
      <c r="A15">
        <v>7</v>
      </c>
      <c r="B15" s="10">
        <v>45474</v>
      </c>
      <c r="C15" s="8">
        <v>99.681054317295164</v>
      </c>
      <c r="D15" s="8">
        <v>374.96854176837303</v>
      </c>
      <c r="E15" s="8">
        <v>22409.272445041945</v>
      </c>
      <c r="L15" s="76"/>
    </row>
    <row r="16" spans="1:12" x14ac:dyDescent="0.25">
      <c r="A16">
        <v>8</v>
      </c>
      <c r="B16" s="10">
        <v>45505</v>
      </c>
      <c r="C16" s="8">
        <v>98.040566947058522</v>
      </c>
      <c r="D16" s="8">
        <v>376.60902913860969</v>
      </c>
      <c r="E16" s="8">
        <v>22032.663415903338</v>
      </c>
    </row>
    <row r="17" spans="1:5" x14ac:dyDescent="0.25">
      <c r="A17">
        <v>9</v>
      </c>
      <c r="B17" s="10">
        <v>45536</v>
      </c>
      <c r="C17" s="8">
        <v>96.392902444577118</v>
      </c>
      <c r="D17" s="8">
        <v>378.25669364109109</v>
      </c>
      <c r="E17" s="8">
        <v>21654.406722262243</v>
      </c>
    </row>
    <row r="18" spans="1:5" x14ac:dyDescent="0.25">
      <c r="A18">
        <v>10</v>
      </c>
      <c r="B18" s="10">
        <v>45566</v>
      </c>
      <c r="C18" s="8">
        <v>94.738029409897337</v>
      </c>
      <c r="D18" s="8">
        <v>379.91156667577087</v>
      </c>
      <c r="E18" s="8">
        <v>21274.495155586475</v>
      </c>
    </row>
    <row r="19" spans="1:5" x14ac:dyDescent="0.25">
      <c r="A19">
        <v>11</v>
      </c>
      <c r="B19" s="10">
        <v>45597</v>
      </c>
      <c r="C19" s="8">
        <v>93.075916305690853</v>
      </c>
      <c r="D19" s="8">
        <v>381.57367977997734</v>
      </c>
      <c r="E19" s="8">
        <v>20892.921475806495</v>
      </c>
    </row>
    <row r="20" spans="1:5" x14ac:dyDescent="0.25">
      <c r="A20">
        <v>12</v>
      </c>
      <c r="B20" s="10">
        <v>45627</v>
      </c>
      <c r="C20" s="8">
        <v>91.40653145665344</v>
      </c>
      <c r="D20" s="8">
        <v>383.24306462901473</v>
      </c>
      <c r="E20" s="8">
        <v>20509.67841117748</v>
      </c>
    </row>
    <row r="21" spans="1:5" x14ac:dyDescent="0.25">
      <c r="A21">
        <v>13</v>
      </c>
      <c r="B21" s="10">
        <v>45658</v>
      </c>
      <c r="C21" s="8">
        <v>89.7298430489015</v>
      </c>
      <c r="D21" s="8">
        <v>384.91975303676668</v>
      </c>
      <c r="E21" s="8">
        <v>20124.758658140716</v>
      </c>
    </row>
    <row r="22" spans="1:5" x14ac:dyDescent="0.25">
      <c r="A22">
        <v>14</v>
      </c>
      <c r="B22" s="10">
        <v>45689</v>
      </c>
      <c r="C22" s="8">
        <v>88.045819129365654</v>
      </c>
      <c r="D22" s="8">
        <v>386.60377695630257</v>
      </c>
      <c r="E22" s="8">
        <v>19738.154881184411</v>
      </c>
    </row>
    <row r="23" spans="1:5" x14ac:dyDescent="0.25">
      <c r="A23">
        <v>15</v>
      </c>
      <c r="B23" s="10">
        <v>45717</v>
      </c>
      <c r="C23" s="8">
        <v>86.354427605181826</v>
      </c>
      <c r="D23" s="8">
        <v>388.29516848048632</v>
      </c>
      <c r="E23" s="8">
        <v>19349.859712703925</v>
      </c>
    </row>
    <row r="24" spans="1:5" x14ac:dyDescent="0.25">
      <c r="A24">
        <v>16</v>
      </c>
      <c r="B24" s="10">
        <v>45748</v>
      </c>
      <c r="C24" s="8">
        <v>84.655636243079712</v>
      </c>
      <c r="D24" s="8">
        <v>389.99395984258848</v>
      </c>
      <c r="E24" s="8">
        <v>18959.865752861337</v>
      </c>
    </row>
    <row r="25" spans="1:5" x14ac:dyDescent="0.25">
      <c r="A25">
        <v>17</v>
      </c>
      <c r="B25" s="10">
        <v>45778</v>
      </c>
      <c r="C25" s="8">
        <v>82.949412668768375</v>
      </c>
      <c r="D25" s="8">
        <v>391.70018341689985</v>
      </c>
      <c r="E25" s="8">
        <v>18568.165569444438</v>
      </c>
    </row>
    <row r="26" spans="1:5" x14ac:dyDescent="0.25">
      <c r="A26">
        <v>18</v>
      </c>
      <c r="B26" s="10">
        <v>45809</v>
      </c>
      <c r="C26" s="8">
        <v>81.235724366319417</v>
      </c>
      <c r="D26" s="8">
        <v>393.41387171934878</v>
      </c>
      <c r="E26" s="8">
        <v>18174.751697725089</v>
      </c>
    </row>
    <row r="27" spans="1:5" x14ac:dyDescent="0.25">
      <c r="A27">
        <v>19</v>
      </c>
      <c r="B27" s="10">
        <v>45839</v>
      </c>
      <c r="C27" s="8">
        <v>79.514538677547293</v>
      </c>
      <c r="D27" s="8">
        <v>395.13505740812093</v>
      </c>
      <c r="E27" s="8">
        <v>17779.616640316966</v>
      </c>
    </row>
    <row r="28" spans="1:5" x14ac:dyDescent="0.25">
      <c r="A28">
        <v>20</v>
      </c>
      <c r="B28" s="10">
        <v>45870</v>
      </c>
      <c r="C28" s="8">
        <v>77.785822801386757</v>
      </c>
      <c r="D28" s="8">
        <v>396.86377328428142</v>
      </c>
      <c r="E28" s="8">
        <v>17382.752867032686</v>
      </c>
    </row>
    <row r="29" spans="1:5" x14ac:dyDescent="0.25">
      <c r="A29">
        <v>21</v>
      </c>
      <c r="B29" s="10">
        <v>45901</v>
      </c>
      <c r="C29" s="8">
        <v>76.049543793268029</v>
      </c>
      <c r="D29" s="8">
        <v>398.60005229240022</v>
      </c>
      <c r="E29" s="8">
        <v>16984.15281474029</v>
      </c>
    </row>
    <row r="30" spans="1:5" x14ac:dyDescent="0.25">
      <c r="A30">
        <v>22</v>
      </c>
      <c r="B30" s="10">
        <v>45931</v>
      </c>
      <c r="C30" s="8">
        <v>74.305668564488769</v>
      </c>
      <c r="D30" s="8">
        <v>400.34392752117941</v>
      </c>
      <c r="E30" s="8">
        <v>16583.808887219107</v>
      </c>
    </row>
    <row r="31" spans="1:5" x14ac:dyDescent="0.25">
      <c r="A31">
        <v>23</v>
      </c>
      <c r="B31" s="10">
        <v>45962</v>
      </c>
      <c r="C31" s="8">
        <v>72.554163881583619</v>
      </c>
      <c r="D31" s="8">
        <v>402.0954322040846</v>
      </c>
      <c r="E31" s="8">
        <v>16181.713455015022</v>
      </c>
    </row>
    <row r="32" spans="1:5" x14ac:dyDescent="0.25">
      <c r="A32">
        <v>24</v>
      </c>
      <c r="B32" s="10">
        <v>45992</v>
      </c>
      <c r="C32" s="8">
        <v>70.794996365690736</v>
      </c>
      <c r="D32" s="8">
        <v>403.85459971997744</v>
      </c>
      <c r="E32" s="8">
        <v>15777.858855295046</v>
      </c>
    </row>
    <row r="33" spans="1:5" x14ac:dyDescent="0.25">
      <c r="A33">
        <v>25</v>
      </c>
      <c r="B33" s="10">
        <v>46023</v>
      </c>
      <c r="C33" s="8">
        <v>69.028132491915841</v>
      </c>
      <c r="D33" s="8">
        <v>405.62146359375237</v>
      </c>
      <c r="E33" s="8">
        <v>15372.237391701296</v>
      </c>
    </row>
    <row r="34" spans="1:5" x14ac:dyDescent="0.25">
      <c r="A34">
        <v>26</v>
      </c>
      <c r="B34" s="10">
        <v>46054</v>
      </c>
      <c r="C34" s="8">
        <v>67.253538588693175</v>
      </c>
      <c r="D34" s="8">
        <v>407.39605749697506</v>
      </c>
      <c r="E34" s="8">
        <v>14964.841334204317</v>
      </c>
    </row>
    <row r="35" spans="1:5" x14ac:dyDescent="0.25">
      <c r="A35">
        <v>27</v>
      </c>
      <c r="B35" s="10">
        <v>46082</v>
      </c>
      <c r="C35" s="8">
        <v>65.471180837143905</v>
      </c>
      <c r="D35" s="8">
        <v>409.17841524852423</v>
      </c>
      <c r="E35" s="8">
        <v>14555.662918955793</v>
      </c>
    </row>
    <row r="36" spans="1:5" x14ac:dyDescent="0.25">
      <c r="A36">
        <v>28</v>
      </c>
      <c r="B36" s="10">
        <v>46113</v>
      </c>
      <c r="C36" s="8">
        <v>63.681025270431611</v>
      </c>
      <c r="D36" s="8">
        <v>410.9685708152366</v>
      </c>
      <c r="E36" s="8">
        <v>14144.694348140558</v>
      </c>
    </row>
    <row r="37" spans="1:5" x14ac:dyDescent="0.25">
      <c r="A37">
        <v>29</v>
      </c>
      <c r="B37" s="10">
        <v>46143</v>
      </c>
      <c r="C37" s="8">
        <v>61.883037773114957</v>
      </c>
      <c r="D37" s="8">
        <v>412.76655831255323</v>
      </c>
      <c r="E37" s="8">
        <v>13731.927789828005</v>
      </c>
    </row>
    <row r="38" spans="1:5" x14ac:dyDescent="0.25">
      <c r="A38">
        <v>30</v>
      </c>
      <c r="B38" s="10">
        <v>46174</v>
      </c>
      <c r="C38" s="8">
        <v>60.077184080497531</v>
      </c>
      <c r="D38" s="8">
        <v>414.57241200517063</v>
      </c>
      <c r="E38" s="8">
        <v>13317.355377822834</v>
      </c>
    </row>
    <row r="39" spans="1:5" x14ac:dyDescent="0.25">
      <c r="A39">
        <v>31</v>
      </c>
      <c r="B39" s="10">
        <v>46204</v>
      </c>
      <c r="C39" s="8">
        <v>58.263429777974899</v>
      </c>
      <c r="D39" s="8">
        <v>416.38616630769332</v>
      </c>
      <c r="E39" s="8">
        <v>12900.969211515141</v>
      </c>
    </row>
    <row r="40" spans="1:5" x14ac:dyDescent="0.25">
      <c r="A40">
        <v>32</v>
      </c>
      <c r="B40" s="10">
        <v>46235</v>
      </c>
      <c r="C40" s="8">
        <v>56.441740300378761</v>
      </c>
      <c r="D40" s="8">
        <v>418.2078557852895</v>
      </c>
      <c r="E40" s="8">
        <v>12482.76135572985</v>
      </c>
    </row>
    <row r="41" spans="1:5" x14ac:dyDescent="0.25">
      <c r="A41">
        <v>33</v>
      </c>
      <c r="B41" s="10">
        <v>46266</v>
      </c>
      <c r="C41" s="8">
        <v>54.612080931318111</v>
      </c>
      <c r="D41" s="8">
        <v>420.03751515435005</v>
      </c>
      <c r="E41" s="8">
        <v>12062.723840575498</v>
      </c>
    </row>
    <row r="42" spans="1:5" x14ac:dyDescent="0.25">
      <c r="A42">
        <v>34</v>
      </c>
      <c r="B42" s="10">
        <v>46296</v>
      </c>
      <c r="C42" s="8">
        <v>52.774416802517827</v>
      </c>
      <c r="D42" s="8">
        <v>421.87517928315037</v>
      </c>
      <c r="E42" s="8">
        <v>11640.848661292352</v>
      </c>
    </row>
    <row r="43" spans="1:5" x14ac:dyDescent="0.25">
      <c r="A43">
        <v>35</v>
      </c>
      <c r="B43" s="10">
        <v>46327</v>
      </c>
      <c r="C43" s="8">
        <v>50.928712893154042</v>
      </c>
      <c r="D43" s="8">
        <v>423.72088319251412</v>
      </c>
      <c r="E43" s="8">
        <v>11217.127778099835</v>
      </c>
    </row>
    <row r="44" spans="1:5" x14ac:dyDescent="0.25">
      <c r="A44">
        <v>36</v>
      </c>
      <c r="B44" s="10">
        <v>46357</v>
      </c>
      <c r="C44" s="8">
        <v>49.074934029186799</v>
      </c>
      <c r="D44" s="8">
        <v>425.57466205648137</v>
      </c>
      <c r="E44" s="8">
        <v>10791.553116043357</v>
      </c>
    </row>
    <row r="45" spans="1:5" x14ac:dyDescent="0.25">
      <c r="A45">
        <v>37</v>
      </c>
      <c r="B45" s="10">
        <v>46388</v>
      </c>
      <c r="C45" s="8">
        <v>47.213044882689694</v>
      </c>
      <c r="D45" s="8">
        <v>427.43655120297854</v>
      </c>
      <c r="E45" s="8">
        <v>10364.11656484038</v>
      </c>
    </row>
    <row r="46" spans="1:5" x14ac:dyDescent="0.25">
      <c r="A46">
        <v>38</v>
      </c>
      <c r="B46" s="10">
        <v>46419</v>
      </c>
      <c r="C46" s="8">
        <v>45.343009971176649</v>
      </c>
      <c r="D46" s="8">
        <v>429.30658611449155</v>
      </c>
      <c r="E46" s="8">
        <v>9934.809978725887</v>
      </c>
    </row>
    <row r="47" spans="1:5" x14ac:dyDescent="0.25">
      <c r="A47">
        <v>39</v>
      </c>
      <c r="B47" s="10">
        <v>46447</v>
      </c>
      <c r="C47" s="8">
        <v>43.464793656925757</v>
      </c>
      <c r="D47" s="8">
        <v>431.18480242874244</v>
      </c>
      <c r="E47" s="8">
        <v>9503.6251762971442</v>
      </c>
    </row>
    <row r="48" spans="1:5" x14ac:dyDescent="0.25">
      <c r="A48">
        <v>40</v>
      </c>
      <c r="B48" s="10">
        <v>46478</v>
      </c>
      <c r="C48" s="8">
        <v>41.578360146300007</v>
      </c>
      <c r="D48" s="8">
        <v>433.07123593936825</v>
      </c>
      <c r="E48" s="8">
        <v>9070.5539403577768</v>
      </c>
    </row>
    <row r="49" spans="1:5" x14ac:dyDescent="0.25">
      <c r="A49">
        <v>41</v>
      </c>
      <c r="B49" s="10">
        <v>46508</v>
      </c>
      <c r="C49" s="8">
        <v>39.683673489065278</v>
      </c>
      <c r="D49" s="8">
        <v>434.96592259660298</v>
      </c>
      <c r="E49" s="8">
        <v>8635.5880177611743</v>
      </c>
    </row>
    <row r="50" spans="1:5" x14ac:dyDescent="0.25">
      <c r="A50">
        <v>42</v>
      </c>
      <c r="B50" s="10">
        <v>46539</v>
      </c>
      <c r="C50" s="8">
        <v>37.780697577705133</v>
      </c>
      <c r="D50" s="8">
        <v>436.86889850796302</v>
      </c>
      <c r="E50" s="8">
        <v>8198.7191192532118</v>
      </c>
    </row>
    <row r="51" spans="1:5" x14ac:dyDescent="0.25">
      <c r="A51">
        <v>43</v>
      </c>
      <c r="B51" s="10">
        <v>46569</v>
      </c>
      <c r="C51" s="8">
        <v>35.869396146732797</v>
      </c>
      <c r="D51" s="8">
        <v>438.78019993893543</v>
      </c>
      <c r="E51" s="8">
        <v>7759.938919314277</v>
      </c>
    </row>
    <row r="52" spans="1:5" x14ac:dyDescent="0.25">
      <c r="A52">
        <v>44</v>
      </c>
      <c r="B52" s="10">
        <v>46600</v>
      </c>
      <c r="C52" s="8">
        <v>33.949732771999962</v>
      </c>
      <c r="D52" s="8">
        <v>440.69986331366823</v>
      </c>
      <c r="E52" s="8">
        <v>7319.2390560006088</v>
      </c>
    </row>
    <row r="53" spans="1:5" x14ac:dyDescent="0.25">
      <c r="A53">
        <v>45</v>
      </c>
      <c r="B53" s="10">
        <v>46631</v>
      </c>
      <c r="C53" s="8">
        <v>32.021670870002659</v>
      </c>
      <c r="D53" s="8">
        <v>442.62792521566558</v>
      </c>
      <c r="E53" s="8">
        <v>6876.6111307849424</v>
      </c>
    </row>
    <row r="54" spans="1:5" x14ac:dyDescent="0.25">
      <c r="A54">
        <v>46</v>
      </c>
      <c r="B54" s="10">
        <v>46661</v>
      </c>
      <c r="C54" s="8">
        <v>30.085173697184114</v>
      </c>
      <c r="D54" s="8">
        <v>444.5644223884841</v>
      </c>
      <c r="E54" s="8">
        <v>6432.0467083964586</v>
      </c>
    </row>
    <row r="55" spans="1:5" x14ac:dyDescent="0.25">
      <c r="A55">
        <v>47</v>
      </c>
      <c r="B55" s="10">
        <v>46692</v>
      </c>
      <c r="C55" s="8">
        <v>28.140204349234505</v>
      </c>
      <c r="D55" s="8">
        <v>446.50939173643371</v>
      </c>
      <c r="E55" s="8">
        <v>5985.5373166600248</v>
      </c>
    </row>
    <row r="56" spans="1:5" x14ac:dyDescent="0.25">
      <c r="A56">
        <v>48</v>
      </c>
      <c r="B56" s="10">
        <v>46722</v>
      </c>
      <c r="C56" s="8">
        <v>26.186725760387606</v>
      </c>
      <c r="D56" s="8">
        <v>448.46287032528062</v>
      </c>
      <c r="E56" s="8">
        <v>5537.0744463347437</v>
      </c>
    </row>
    <row r="57" spans="1:5" x14ac:dyDescent="0.25">
      <c r="A57">
        <v>49</v>
      </c>
      <c r="B57" s="10">
        <v>46753</v>
      </c>
      <c r="C57" s="8">
        <v>24.224700702714504</v>
      </c>
      <c r="D57" s="8">
        <v>450.42489538295376</v>
      </c>
      <c r="E57" s="8">
        <v>5086.6495509517899</v>
      </c>
    </row>
    <row r="58" spans="1:5" x14ac:dyDescent="0.25">
      <c r="A58">
        <v>50</v>
      </c>
      <c r="B58" s="10">
        <v>46784</v>
      </c>
      <c r="C58" s="8">
        <v>22.254091785414079</v>
      </c>
      <c r="D58" s="8">
        <v>452.39550430025417</v>
      </c>
      <c r="E58" s="8">
        <v>4634.2540466515356</v>
      </c>
    </row>
    <row r="59" spans="1:5" x14ac:dyDescent="0.25">
      <c r="A59">
        <v>51</v>
      </c>
      <c r="B59" s="10">
        <v>46813</v>
      </c>
      <c r="C59" s="8">
        <v>20.274861454100467</v>
      </c>
      <c r="D59" s="8">
        <v>454.37473463156772</v>
      </c>
      <c r="E59" s="8">
        <v>4179.879312019968</v>
      </c>
    </row>
    <row r="60" spans="1:5" x14ac:dyDescent="0.25">
      <c r="A60">
        <v>52</v>
      </c>
      <c r="B60" s="10">
        <v>46844</v>
      </c>
      <c r="C60" s="8">
        <v>18.286971990087359</v>
      </c>
      <c r="D60" s="8">
        <v>456.36262409558083</v>
      </c>
      <c r="E60" s="8">
        <v>3723.516687924387</v>
      </c>
    </row>
    <row r="61" spans="1:5" x14ac:dyDescent="0.25">
      <c r="A61">
        <v>53</v>
      </c>
      <c r="B61" s="10">
        <v>46874</v>
      </c>
      <c r="C61" s="8">
        <v>16.290385509669193</v>
      </c>
      <c r="D61" s="8">
        <v>458.35921057599899</v>
      </c>
      <c r="E61" s="8">
        <v>3265.1574773483881</v>
      </c>
    </row>
    <row r="62" spans="1:5" x14ac:dyDescent="0.25">
      <c r="A62">
        <v>54</v>
      </c>
      <c r="B62" s="10">
        <v>46905</v>
      </c>
      <c r="C62" s="8">
        <v>14.285063963399198</v>
      </c>
      <c r="D62" s="8">
        <v>460.364532122269</v>
      </c>
      <c r="E62" s="8">
        <v>2804.7929452261187</v>
      </c>
    </row>
    <row r="63" spans="1:5" x14ac:dyDescent="0.25">
      <c r="A63">
        <v>55</v>
      </c>
      <c r="B63" s="10">
        <v>46935</v>
      </c>
      <c r="C63" s="8">
        <v>12.27096913536427</v>
      </c>
      <c r="D63" s="8">
        <v>462.37862695030395</v>
      </c>
      <c r="E63" s="8">
        <v>2342.4143182758148</v>
      </c>
    </row>
    <row r="64" spans="1:5" x14ac:dyDescent="0.25">
      <c r="A64">
        <v>56</v>
      </c>
      <c r="B64" s="10">
        <v>46966</v>
      </c>
      <c r="C64" s="8">
        <v>10.24806264245669</v>
      </c>
      <c r="D64" s="8">
        <v>464.40153344321152</v>
      </c>
      <c r="E64" s="8">
        <v>1878.0127848326033</v>
      </c>
    </row>
    <row r="65" spans="1:5" x14ac:dyDescent="0.25">
      <c r="A65">
        <v>57</v>
      </c>
      <c r="B65" s="10">
        <v>46997</v>
      </c>
      <c r="C65" s="8">
        <v>8.2163059336426407</v>
      </c>
      <c r="D65" s="8">
        <v>466.43329015202562</v>
      </c>
      <c r="E65" s="8">
        <v>1411.5794946805777</v>
      </c>
    </row>
    <row r="66" spans="1:5" x14ac:dyDescent="0.25">
      <c r="A66">
        <v>58</v>
      </c>
      <c r="B66" s="10">
        <v>47027</v>
      </c>
      <c r="C66" s="8">
        <v>6.1756602892275279</v>
      </c>
      <c r="D66" s="8">
        <v>468.47393579644063</v>
      </c>
      <c r="E66" s="8">
        <v>943.10555888413705</v>
      </c>
    </row>
    <row r="67" spans="1:5" x14ac:dyDescent="0.25">
      <c r="A67">
        <v>59</v>
      </c>
      <c r="B67" s="10">
        <v>47058</v>
      </c>
      <c r="C67" s="8">
        <v>4.1260868201180996</v>
      </c>
      <c r="D67" s="8">
        <v>470.5235092655501</v>
      </c>
      <c r="E67" s="8">
        <v>472.58204961858689</v>
      </c>
    </row>
    <row r="68" spans="1:5" x14ac:dyDescent="0.25">
      <c r="A68">
        <v>60</v>
      </c>
      <c r="B68" s="10">
        <v>47088</v>
      </c>
      <c r="C68" s="8">
        <v>2.0675464670813177</v>
      </c>
      <c r="D68" s="8">
        <v>472.58204961858689</v>
      </c>
      <c r="E68" s="8">
        <v>0</v>
      </c>
    </row>
    <row r="69" spans="1:5" x14ac:dyDescent="0.25">
      <c r="B69" s="10"/>
      <c r="C69" s="8"/>
      <c r="D69" s="8"/>
      <c r="E69" s="8"/>
    </row>
    <row r="70" spans="1:5" x14ac:dyDescent="0.25">
      <c r="B70" s="10"/>
      <c r="C70" s="8"/>
      <c r="D70" s="8"/>
      <c r="E70" s="8"/>
    </row>
    <row r="71" spans="1:5" x14ac:dyDescent="0.25">
      <c r="B71" s="10"/>
      <c r="C71" s="8"/>
      <c r="D71" s="8"/>
      <c r="E71" s="8"/>
    </row>
    <row r="72" spans="1:5" x14ac:dyDescent="0.25">
      <c r="B72" s="10"/>
      <c r="C72" s="8"/>
      <c r="D72" s="8"/>
      <c r="E72" s="8"/>
    </row>
    <row r="73" spans="1:5" x14ac:dyDescent="0.25">
      <c r="B73" s="10"/>
      <c r="C73" s="8"/>
      <c r="D73" s="8"/>
      <c r="E73" s="8"/>
    </row>
    <row r="74" spans="1:5" x14ac:dyDescent="0.25">
      <c r="B74" s="10"/>
      <c r="C74" s="8"/>
      <c r="D74" s="8"/>
      <c r="E74" s="8"/>
    </row>
    <row r="75" spans="1:5" x14ac:dyDescent="0.25">
      <c r="B75" s="10"/>
      <c r="C75" s="8"/>
      <c r="D75" s="8"/>
      <c r="E75" s="8"/>
    </row>
    <row r="76" spans="1:5" x14ac:dyDescent="0.25">
      <c r="B76" s="10"/>
      <c r="C76" s="8"/>
      <c r="D76" s="8"/>
      <c r="E76" s="8"/>
    </row>
    <row r="77" spans="1:5" x14ac:dyDescent="0.25">
      <c r="B77" s="10"/>
      <c r="C77" s="8"/>
      <c r="D77" s="8"/>
      <c r="E77" s="8"/>
    </row>
    <row r="78" spans="1:5" x14ac:dyDescent="0.25">
      <c r="B78" s="10"/>
      <c r="C78" s="8"/>
      <c r="D78" s="8"/>
      <c r="E78" s="8"/>
    </row>
    <row r="79" spans="1:5" x14ac:dyDescent="0.25">
      <c r="B79" s="10"/>
      <c r="C79" s="8"/>
      <c r="D79" s="8"/>
      <c r="E79" s="8"/>
    </row>
    <row r="80" spans="1:5" x14ac:dyDescent="0.25">
      <c r="B80" s="10"/>
      <c r="C80" s="8"/>
      <c r="D80" s="8"/>
      <c r="E80" s="8"/>
    </row>
    <row r="81" spans="2:5" x14ac:dyDescent="0.25">
      <c r="B81" s="10"/>
      <c r="C81" s="8"/>
      <c r="D81" s="8"/>
      <c r="E81" s="8"/>
    </row>
    <row r="82" spans="2:5" x14ac:dyDescent="0.25">
      <c r="B82" s="10"/>
      <c r="C82" s="8"/>
      <c r="D82" s="8"/>
      <c r="E82" s="8"/>
    </row>
    <row r="83" spans="2:5" x14ac:dyDescent="0.25">
      <c r="B83" s="10"/>
      <c r="C83" s="8"/>
      <c r="D83" s="8"/>
      <c r="E83" s="8"/>
    </row>
    <row r="84" spans="2:5" x14ac:dyDescent="0.25">
      <c r="B84" s="10"/>
      <c r="C84" s="8"/>
      <c r="D84" s="8"/>
      <c r="E84" s="8"/>
    </row>
    <row r="85" spans="2:5" x14ac:dyDescent="0.25">
      <c r="B85" s="10"/>
      <c r="C85" s="8"/>
      <c r="D85" s="8"/>
      <c r="E85" s="8"/>
    </row>
    <row r="86" spans="2:5" x14ac:dyDescent="0.25">
      <c r="B86" s="10"/>
      <c r="C86" s="8"/>
      <c r="D86" s="8"/>
      <c r="E86" s="8"/>
    </row>
    <row r="87" spans="2:5" x14ac:dyDescent="0.25">
      <c r="B87" s="10"/>
      <c r="C87" s="8"/>
      <c r="D87" s="8"/>
      <c r="E87" s="8"/>
    </row>
    <row r="88" spans="2:5" x14ac:dyDescent="0.25">
      <c r="B88" s="10"/>
      <c r="C88" s="8"/>
      <c r="D88" s="8"/>
      <c r="E88" s="8"/>
    </row>
    <row r="89" spans="2:5" x14ac:dyDescent="0.25">
      <c r="B89" s="10"/>
      <c r="C89" s="8"/>
      <c r="D89" s="8"/>
      <c r="E89" s="8"/>
    </row>
    <row r="90" spans="2:5" x14ac:dyDescent="0.25">
      <c r="B90" s="10"/>
      <c r="C90" s="8"/>
      <c r="D90" s="8"/>
      <c r="E90" s="8"/>
    </row>
    <row r="91" spans="2:5" x14ac:dyDescent="0.25">
      <c r="B91" s="10"/>
      <c r="C91" s="8"/>
      <c r="D91" s="8"/>
      <c r="E91" s="8"/>
    </row>
    <row r="92" spans="2:5" x14ac:dyDescent="0.25">
      <c r="B92" s="10"/>
      <c r="C92" s="8"/>
      <c r="D92" s="8"/>
      <c r="E92" s="8"/>
    </row>
    <row r="93" spans="2:5" x14ac:dyDescent="0.25">
      <c r="B93" s="10"/>
      <c r="C93" s="8"/>
      <c r="D93" s="8"/>
      <c r="E93" s="8"/>
    </row>
    <row r="94" spans="2:5" x14ac:dyDescent="0.25">
      <c r="B94" s="10"/>
      <c r="C94" s="8"/>
      <c r="D94" s="8"/>
      <c r="E94" s="8"/>
    </row>
    <row r="95" spans="2:5" x14ac:dyDescent="0.25">
      <c r="B95" s="10"/>
      <c r="C95" s="8"/>
      <c r="D95" s="8"/>
      <c r="E95" s="8"/>
    </row>
    <row r="96" spans="2:5" x14ac:dyDescent="0.25">
      <c r="B96" s="10"/>
      <c r="C96" s="8"/>
      <c r="D96" s="8"/>
      <c r="E96" s="8"/>
    </row>
    <row r="97" spans="2:5" x14ac:dyDescent="0.25">
      <c r="B97" s="10"/>
      <c r="C97" s="8"/>
      <c r="D97" s="8"/>
      <c r="E97" s="8"/>
    </row>
    <row r="98" spans="2:5" x14ac:dyDescent="0.25">
      <c r="B98" s="10"/>
      <c r="C98" s="8"/>
      <c r="D98" s="8"/>
      <c r="E98" s="8"/>
    </row>
    <row r="99" spans="2:5" x14ac:dyDescent="0.25">
      <c r="B99" s="10"/>
      <c r="C99" s="8"/>
      <c r="D99" s="8"/>
      <c r="E99" s="8"/>
    </row>
    <row r="100" spans="2:5" x14ac:dyDescent="0.25">
      <c r="B100" s="10"/>
      <c r="C100" s="8"/>
      <c r="D100" s="8"/>
      <c r="E100" s="8"/>
    </row>
    <row r="101" spans="2:5" x14ac:dyDescent="0.25">
      <c r="B101" s="10"/>
      <c r="C101" s="8"/>
      <c r="D101" s="8"/>
      <c r="E101" s="8"/>
    </row>
    <row r="102" spans="2:5" x14ac:dyDescent="0.25">
      <c r="B102" s="10"/>
      <c r="C102" s="8"/>
      <c r="D102" s="8"/>
      <c r="E102" s="8"/>
    </row>
    <row r="103" spans="2:5" x14ac:dyDescent="0.25">
      <c r="B103" s="10"/>
      <c r="C103" s="8"/>
      <c r="D103" s="8"/>
      <c r="E103" s="8"/>
    </row>
    <row r="104" spans="2:5" x14ac:dyDescent="0.25">
      <c r="B104" s="10"/>
      <c r="C104" s="8"/>
      <c r="D104" s="8"/>
      <c r="E104" s="8"/>
    </row>
    <row r="105" spans="2:5" x14ac:dyDescent="0.25">
      <c r="B105" s="10"/>
      <c r="C105" s="8"/>
      <c r="D105" s="8"/>
      <c r="E105" s="8"/>
    </row>
    <row r="106" spans="2:5" x14ac:dyDescent="0.25">
      <c r="B106" s="10"/>
      <c r="C106" s="8"/>
      <c r="D106" s="8"/>
      <c r="E106" s="8"/>
    </row>
    <row r="107" spans="2:5" x14ac:dyDescent="0.25">
      <c r="B107" s="10"/>
      <c r="C107" s="8"/>
      <c r="D107" s="8"/>
      <c r="E107" s="8"/>
    </row>
    <row r="108" spans="2:5" x14ac:dyDescent="0.25">
      <c r="B108" s="10"/>
      <c r="C108" s="8"/>
      <c r="D108" s="8"/>
      <c r="E108" s="8"/>
    </row>
    <row r="109" spans="2:5" x14ac:dyDescent="0.25">
      <c r="B109" s="10"/>
      <c r="C109" s="8"/>
      <c r="D109" s="8"/>
      <c r="E109" s="8"/>
    </row>
    <row r="110" spans="2:5" x14ac:dyDescent="0.25">
      <c r="B110" s="10"/>
      <c r="C110" s="8"/>
      <c r="D110" s="8"/>
      <c r="E110" s="8"/>
    </row>
    <row r="111" spans="2:5" x14ac:dyDescent="0.25">
      <c r="B111" s="10"/>
      <c r="C111" s="8"/>
      <c r="D111" s="8"/>
      <c r="E111" s="8"/>
    </row>
    <row r="112" spans="2:5" x14ac:dyDescent="0.25">
      <c r="B112" s="10"/>
      <c r="C112" s="8"/>
      <c r="D112" s="8"/>
      <c r="E112" s="8"/>
    </row>
    <row r="113" spans="2:5" x14ac:dyDescent="0.25">
      <c r="B113" s="10"/>
      <c r="C113" s="8"/>
      <c r="D113" s="8"/>
      <c r="E113" s="8"/>
    </row>
    <row r="114" spans="2:5" x14ac:dyDescent="0.25">
      <c r="B114" s="10"/>
      <c r="C114" s="8"/>
      <c r="D114" s="8"/>
      <c r="E114" s="8"/>
    </row>
    <row r="115" spans="2:5" x14ac:dyDescent="0.25">
      <c r="B115" s="10"/>
      <c r="C115" s="8"/>
      <c r="D115" s="8"/>
      <c r="E115" s="8"/>
    </row>
    <row r="116" spans="2:5" x14ac:dyDescent="0.25">
      <c r="B116" s="10"/>
      <c r="C116" s="8"/>
      <c r="D116" s="8"/>
      <c r="E116" s="8"/>
    </row>
    <row r="117" spans="2:5" x14ac:dyDescent="0.25">
      <c r="B117" s="10"/>
      <c r="C117" s="8"/>
      <c r="D117" s="8"/>
      <c r="E117" s="8"/>
    </row>
    <row r="118" spans="2:5" x14ac:dyDescent="0.25">
      <c r="B118" s="10"/>
      <c r="C118" s="8"/>
      <c r="D118" s="8"/>
      <c r="E118" s="8"/>
    </row>
    <row r="119" spans="2:5" x14ac:dyDescent="0.25">
      <c r="B119" s="10"/>
      <c r="C119" s="8"/>
      <c r="D119" s="8"/>
      <c r="E119" s="8"/>
    </row>
    <row r="120" spans="2:5" x14ac:dyDescent="0.25">
      <c r="B120" s="10"/>
      <c r="C120" s="8"/>
      <c r="D120" s="8"/>
      <c r="E120" s="8"/>
    </row>
    <row r="121" spans="2:5" x14ac:dyDescent="0.25">
      <c r="B121" s="10"/>
      <c r="C121" s="8"/>
      <c r="D121" s="8"/>
      <c r="E121" s="8"/>
    </row>
    <row r="122" spans="2:5" x14ac:dyDescent="0.25">
      <c r="B122" s="10"/>
      <c r="C122" s="8"/>
      <c r="D122" s="8"/>
      <c r="E122" s="8"/>
    </row>
    <row r="123" spans="2:5" x14ac:dyDescent="0.25">
      <c r="B123" s="10"/>
      <c r="C123" s="8"/>
      <c r="D123" s="8"/>
      <c r="E123" s="8"/>
    </row>
    <row r="124" spans="2:5" x14ac:dyDescent="0.25">
      <c r="B124" s="10"/>
      <c r="C124" s="8"/>
      <c r="D124" s="8"/>
      <c r="E124" s="8"/>
    </row>
    <row r="125" spans="2:5" x14ac:dyDescent="0.25">
      <c r="B125" s="10"/>
      <c r="C125" s="8"/>
      <c r="D125" s="8"/>
      <c r="E125" s="8"/>
    </row>
    <row r="126" spans="2:5" x14ac:dyDescent="0.25">
      <c r="B126" s="10"/>
      <c r="C126" s="8"/>
      <c r="D126" s="8"/>
      <c r="E126" s="8"/>
    </row>
    <row r="127" spans="2:5" x14ac:dyDescent="0.25">
      <c r="B127" s="10"/>
      <c r="C127" s="8"/>
      <c r="D127" s="8"/>
      <c r="E127" s="8"/>
    </row>
    <row r="128" spans="2:5" x14ac:dyDescent="0.25">
      <c r="B128" s="10"/>
      <c r="C128" s="8"/>
      <c r="D128" s="8"/>
      <c r="E128" s="8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CF5A-497B-4911-89FF-7C82876D781F}">
  <sheetPr codeName="Sheet14"/>
  <dimension ref="B1:G16"/>
  <sheetViews>
    <sheetView workbookViewId="0">
      <pane xSplit="5" topLeftCell="F1" activePane="topRight" state="frozen"/>
      <selection activeCell="E1" sqref="E1"/>
      <selection pane="topRight" activeCell="F1" sqref="F1"/>
    </sheetView>
  </sheetViews>
  <sheetFormatPr defaultColWidth="8.85546875" defaultRowHeight="15" x14ac:dyDescent="0.25"/>
  <cols>
    <col min="1" max="1" width="2.7109375" customWidth="1"/>
    <col min="2" max="2" width="25.5703125" customWidth="1"/>
    <col min="3" max="3" width="14.7109375" customWidth="1"/>
    <col min="4" max="4" width="10.28515625" customWidth="1"/>
    <col min="5" max="5" width="11.140625" customWidth="1"/>
    <col min="6" max="6" width="2.7109375" customWidth="1"/>
    <col min="7" max="7" width="26.42578125" customWidth="1"/>
    <col min="8" max="8" width="2.7109375" customWidth="1"/>
    <col min="9" max="9" width="22.5703125" customWidth="1"/>
  </cols>
  <sheetData>
    <row r="1" spans="2:7" ht="57" thickBot="1" x14ac:dyDescent="0.35">
      <c r="B1" s="14" t="s">
        <v>40</v>
      </c>
      <c r="C1" s="13"/>
      <c r="D1" s="13"/>
      <c r="E1" s="13"/>
      <c r="G1" s="92" t="s">
        <v>117</v>
      </c>
    </row>
    <row r="2" spans="2:7" x14ac:dyDescent="0.25">
      <c r="B2" s="62" t="s">
        <v>0</v>
      </c>
      <c r="C2" s="39" t="s">
        <v>1</v>
      </c>
      <c r="D2" s="39" t="s">
        <v>20</v>
      </c>
      <c r="E2" s="40" t="s">
        <v>21</v>
      </c>
      <c r="G2" s="15" t="s">
        <v>22</v>
      </c>
    </row>
    <row r="3" spans="2:7" x14ac:dyDescent="0.25">
      <c r="B3" s="19" t="s">
        <v>4</v>
      </c>
      <c r="C3" t="s">
        <v>25</v>
      </c>
      <c r="D3">
        <v>75</v>
      </c>
      <c r="E3" s="21">
        <v>120.7008</v>
      </c>
      <c r="G3" s="2" t="e" cm="1" vm="2">
        <f t="array" aca="1" ref="G3" ca="1">_xlfn.UNIQUE(C3:C12)</f>
        <v>#VALUE!</v>
      </c>
    </row>
    <row r="4" spans="2:7" x14ac:dyDescent="0.25">
      <c r="B4" s="19" t="s">
        <v>8</v>
      </c>
      <c r="C4" t="s">
        <v>23</v>
      </c>
      <c r="D4">
        <v>28</v>
      </c>
      <c r="E4" s="21">
        <v>45.061631999999996</v>
      </c>
    </row>
    <row r="5" spans="2:7" x14ac:dyDescent="0.25">
      <c r="B5" s="19" t="s">
        <v>9</v>
      </c>
      <c r="C5" t="s">
        <v>26</v>
      </c>
      <c r="D5">
        <v>25</v>
      </c>
      <c r="E5" s="21">
        <v>40.233599999999996</v>
      </c>
    </row>
    <row r="6" spans="2:7" x14ac:dyDescent="0.25">
      <c r="B6" s="19" t="s">
        <v>3</v>
      </c>
      <c r="C6" t="s">
        <v>19</v>
      </c>
      <c r="D6">
        <v>55</v>
      </c>
      <c r="E6" s="21">
        <v>151.27833600000002</v>
      </c>
    </row>
    <row r="7" spans="2:7" x14ac:dyDescent="0.25">
      <c r="B7" s="19" t="s">
        <v>3</v>
      </c>
      <c r="C7" t="s">
        <v>24</v>
      </c>
      <c r="D7">
        <v>94</v>
      </c>
      <c r="E7" s="21">
        <v>88.513919999999999</v>
      </c>
      <c r="G7" t="s">
        <v>38</v>
      </c>
    </row>
    <row r="8" spans="2:7" x14ac:dyDescent="0.25">
      <c r="B8" s="19" t="s">
        <v>5</v>
      </c>
      <c r="C8" t="s">
        <v>23</v>
      </c>
      <c r="D8">
        <v>70</v>
      </c>
      <c r="E8" s="21">
        <v>112.65408000000001</v>
      </c>
    </row>
    <row r="9" spans="2:7" x14ac:dyDescent="0.25">
      <c r="B9" s="19" t="s">
        <v>6</v>
      </c>
      <c r="C9" t="s">
        <v>27</v>
      </c>
      <c r="D9">
        <v>56</v>
      </c>
      <c r="E9" s="21">
        <v>90.123263999999992</v>
      </c>
    </row>
    <row r="10" spans="2:7" x14ac:dyDescent="0.25">
      <c r="B10" s="19" t="s">
        <v>2</v>
      </c>
      <c r="C10" t="s">
        <v>28</v>
      </c>
      <c r="D10">
        <v>150</v>
      </c>
      <c r="E10" s="21">
        <v>241.4016</v>
      </c>
    </row>
    <row r="11" spans="2:7" x14ac:dyDescent="0.25">
      <c r="B11" s="19" t="s">
        <v>10</v>
      </c>
      <c r="C11" t="s">
        <v>24</v>
      </c>
      <c r="D11">
        <v>20</v>
      </c>
      <c r="E11" s="21">
        <v>32.186880000000002</v>
      </c>
    </row>
    <row r="12" spans="2:7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</row>
    <row r="13" spans="2:7" ht="56.25" x14ac:dyDescent="0.3">
      <c r="G13" s="92" t="s">
        <v>120</v>
      </c>
    </row>
    <row r="14" spans="2:7" x14ac:dyDescent="0.25">
      <c r="G14" s="15" t="s">
        <v>22</v>
      </c>
    </row>
    <row r="15" spans="2:7" x14ac:dyDescent="0.25">
      <c r="G15" s="2" t="e" cm="1" vm="2">
        <f t="array" aca="1" ref="G15" ca="1">_xlfn.UNIQUE(C3:C12)</f>
        <v>#VALUE!</v>
      </c>
    </row>
    <row r="16" spans="2:7" x14ac:dyDescent="0.25">
      <c r="G16" t="s">
        <v>39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E103-7344-457F-A89F-85ECF13F18EB}">
  <sheetPr codeName="Sheet11"/>
  <dimension ref="B1:D7"/>
  <sheetViews>
    <sheetView workbookViewId="0"/>
  </sheetViews>
  <sheetFormatPr defaultColWidth="8.85546875" defaultRowHeight="15" x14ac:dyDescent="0.25"/>
  <cols>
    <col min="1" max="1" width="2.140625" customWidth="1"/>
    <col min="2" max="2" width="27.28515625" bestFit="1" customWidth="1"/>
    <col min="3" max="3" width="2.7109375" customWidth="1"/>
    <col min="4" max="4" width="27" customWidth="1"/>
    <col min="5" max="5" width="5.42578125" customWidth="1"/>
  </cols>
  <sheetData>
    <row r="1" spans="2:4" ht="37.5" x14ac:dyDescent="0.3">
      <c r="B1" s="67" t="s">
        <v>67</v>
      </c>
      <c r="D1" s="67" t="s">
        <v>68</v>
      </c>
    </row>
    <row r="2" spans="2:4" ht="15.75" thickBot="1" x14ac:dyDescent="0.3">
      <c r="B2" s="49">
        <f ca="1">RAND()</f>
        <v>0.74158376613000054</v>
      </c>
      <c r="D2" s="49">
        <f ca="1">RANDBETWEEN(100,500)</f>
        <v>375</v>
      </c>
    </row>
    <row r="5" spans="2:4" ht="15.75" thickBot="1" x14ac:dyDescent="0.3"/>
    <row r="6" spans="2:4" ht="18.75" x14ac:dyDescent="0.3">
      <c r="B6" s="67" t="s">
        <v>118</v>
      </c>
      <c r="D6" s="67" t="s">
        <v>118</v>
      </c>
    </row>
    <row r="7" spans="2:4" ht="15.75" thickBot="1" x14ac:dyDescent="0.3">
      <c r="B7" s="116"/>
      <c r="D7" s="116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757-04B1-44E3-8AFD-220FF91CF682}">
  <dimension ref="B1:I17"/>
  <sheetViews>
    <sheetView workbookViewId="0"/>
  </sheetViews>
  <sheetFormatPr defaultColWidth="8.85546875" defaultRowHeight="15" x14ac:dyDescent="0.25"/>
  <cols>
    <col min="1" max="1" width="2.28515625" customWidth="1"/>
    <col min="2" max="2" width="25" customWidth="1"/>
    <col min="3" max="3" width="2.7109375" customWidth="1"/>
    <col min="4" max="4" width="13.28515625" customWidth="1"/>
    <col min="5" max="5" width="13.140625" customWidth="1"/>
    <col min="6" max="6" width="2.7109375" customWidth="1"/>
    <col min="7" max="7" width="27.140625" customWidth="1"/>
    <col min="8" max="8" width="2.7109375" customWidth="1"/>
    <col min="9" max="9" width="26.42578125" bestFit="1" customWidth="1"/>
  </cols>
  <sheetData>
    <row r="1" spans="2:9" ht="38.25" customHeight="1" x14ac:dyDescent="0.3">
      <c r="B1" s="67" t="s">
        <v>69</v>
      </c>
      <c r="D1" s="68" t="s">
        <v>72</v>
      </c>
      <c r="E1" s="69"/>
      <c r="G1" s="67" t="s">
        <v>70</v>
      </c>
      <c r="I1" s="67" t="s">
        <v>71</v>
      </c>
    </row>
    <row r="2" spans="2:9" x14ac:dyDescent="0.25">
      <c r="B2" s="48" cm="1">
        <f t="array" aca="1" ref="B2:B4" ca="1">_xlfn.RANDARRAY(3)</f>
        <v>0.30583281394962736</v>
      </c>
      <c r="D2" s="51" cm="1">
        <f t="array" aca="1" ref="D2:E5" ca="1">_xlfn.RANDARRAY(4,2)</f>
        <v>0.60891570439254439</v>
      </c>
      <c r="E2" s="37">
        <f ca="1"/>
        <v>0.16601356597110062</v>
      </c>
      <c r="G2" s="48" cm="1">
        <f t="array" aca="1" ref="G2:G7" ca="1">_xlfn.RANDARRAY(6,1,100,500)</f>
        <v>339.51080266950476</v>
      </c>
      <c r="I2" s="48" cm="1">
        <f t="array" aca="1" ref="I2:I7" ca="1">_xlfn.RANDARRAY(6,1,100,500,TRUE)</f>
        <v>251</v>
      </c>
    </row>
    <row r="3" spans="2:9" x14ac:dyDescent="0.25">
      <c r="B3" s="50">
        <f ca="1"/>
        <v>0.51037992435226598</v>
      </c>
      <c r="D3" s="52">
        <f ca="1"/>
        <v>0.12863875841997219</v>
      </c>
      <c r="E3" s="37">
        <f ca="1"/>
        <v>0.76687949123318466</v>
      </c>
      <c r="G3" s="50">
        <f ca="1"/>
        <v>458.17006398869643</v>
      </c>
      <c r="I3" s="50">
        <f ca="1"/>
        <v>124</v>
      </c>
    </row>
    <row r="4" spans="2:9" ht="15.75" thickBot="1" x14ac:dyDescent="0.3">
      <c r="B4" s="64">
        <f ca="1"/>
        <v>3.2593312607485325E-2</v>
      </c>
      <c r="D4" s="52">
        <f ca="1"/>
        <v>0.82513322954669821</v>
      </c>
      <c r="E4" s="37">
        <f ca="1"/>
        <v>0.8129722020561938</v>
      </c>
      <c r="G4" s="50">
        <f ca="1"/>
        <v>444.11981926435811</v>
      </c>
      <c r="I4" s="50">
        <f ca="1"/>
        <v>458</v>
      </c>
    </row>
    <row r="5" spans="2:9" ht="15.75" thickBot="1" x14ac:dyDescent="0.3">
      <c r="B5" s="3"/>
      <c r="D5" s="59">
        <f ca="1"/>
        <v>0.15080466777437551</v>
      </c>
      <c r="E5" s="28">
        <f ca="1"/>
        <v>0.2583196599010138</v>
      </c>
      <c r="G5" s="50">
        <f ca="1"/>
        <v>331.30464338985934</v>
      </c>
      <c r="I5" s="50">
        <f ca="1"/>
        <v>116</v>
      </c>
    </row>
    <row r="6" spans="2:9" x14ac:dyDescent="0.25">
      <c r="B6" s="3"/>
      <c r="D6" s="3"/>
      <c r="E6" s="3"/>
      <c r="G6" s="50">
        <f ca="1"/>
        <v>343.82823115939902</v>
      </c>
      <c r="I6" s="50">
        <f ca="1"/>
        <v>282</v>
      </c>
    </row>
    <row r="7" spans="2:9" ht="15.75" thickBot="1" x14ac:dyDescent="0.3">
      <c r="G7" s="64">
        <f ca="1"/>
        <v>475.49758319663476</v>
      </c>
      <c r="I7" s="64">
        <f ca="1"/>
        <v>389</v>
      </c>
    </row>
    <row r="10" spans="2:9" ht="15.75" thickBot="1" x14ac:dyDescent="0.3"/>
    <row r="11" spans="2:9" ht="18.75" x14ac:dyDescent="0.3">
      <c r="B11" s="67" t="s">
        <v>119</v>
      </c>
      <c r="D11" s="67" t="s">
        <v>119</v>
      </c>
      <c r="E11" s="69"/>
      <c r="G11" s="67" t="s">
        <v>119</v>
      </c>
      <c r="I11" s="67" t="s">
        <v>119</v>
      </c>
    </row>
    <row r="12" spans="2:9" x14ac:dyDescent="0.25">
      <c r="B12" s="115"/>
      <c r="D12" s="110"/>
      <c r="E12" s="37"/>
      <c r="G12" s="115"/>
      <c r="I12" s="115"/>
    </row>
    <row r="13" spans="2:9" x14ac:dyDescent="0.25">
      <c r="B13" s="50"/>
      <c r="D13" s="52"/>
      <c r="E13" s="37"/>
      <c r="G13" s="50"/>
      <c r="I13" s="50"/>
    </row>
    <row r="14" spans="2:9" ht="15.75" thickBot="1" x14ac:dyDescent="0.3">
      <c r="B14" s="64"/>
      <c r="D14" s="52"/>
      <c r="E14" s="37"/>
      <c r="G14" s="50"/>
      <c r="I14" s="50"/>
    </row>
    <row r="15" spans="2:9" ht="15.75" thickBot="1" x14ac:dyDescent="0.3">
      <c r="B15" s="3"/>
      <c r="D15" s="59"/>
      <c r="E15" s="28"/>
      <c r="G15" s="50"/>
      <c r="I15" s="50"/>
    </row>
    <row r="16" spans="2:9" x14ac:dyDescent="0.25">
      <c r="B16" s="3"/>
      <c r="D16" s="3"/>
      <c r="E16" s="3"/>
      <c r="G16" s="50"/>
      <c r="I16" s="50"/>
    </row>
    <row r="17" spans="7:9" ht="15.75" thickBot="1" x14ac:dyDescent="0.3">
      <c r="G17" s="64"/>
      <c r="I17" s="6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VLOOKUP and IFNA</vt:lpstr>
      <vt:lpstr>MATCH and INDEX</vt:lpstr>
      <vt:lpstr>SUMIF and SUMIFS</vt:lpstr>
      <vt:lpstr>XLOOKUP Exact Match</vt:lpstr>
      <vt:lpstr>XLOOKUP Approximate Matches</vt:lpstr>
      <vt:lpstr>XLOOKUP Search Mode</vt:lpstr>
      <vt:lpstr>XLOOKUP Multi Column Criteria</vt:lpstr>
      <vt:lpstr>XLOOKUP Multi Column Results</vt:lpstr>
      <vt:lpstr>XMATCH</vt:lpstr>
      <vt:lpstr>UNIQUE</vt:lpstr>
      <vt:lpstr>SORT and SORTBY</vt:lpstr>
      <vt:lpstr>FILTER</vt:lpstr>
      <vt:lpstr>Spilled Range Operator</vt:lpstr>
      <vt:lpstr>Dynamic Amortization Table</vt:lpstr>
      <vt:lpstr>#SPILL! Errors</vt:lpstr>
      <vt:lpstr>RAND and RANDBETWEEN</vt:lpstr>
      <vt:lpstr>RANDARRAY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2022-01-21T15:50:55Z</dcterms:created>
  <dcterms:modified xsi:type="dcterms:W3CDTF">2022-07-07T13:15:48Z</dcterms:modified>
</cp:coreProperties>
</file>