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0\"/>
    </mc:Choice>
  </mc:AlternateContent>
  <xr:revisionPtr revIDLastSave="0" documentId="13_ncr:1_{6A122B3B-C77D-4893-B23C-68607D216790}" xr6:coauthVersionLast="47" xr6:coauthVersionMax="47" xr10:uidLastSave="{00000000-0000-0000-0000-000000000000}"/>
  <bookViews>
    <workbookView xWindow="1005" yWindow="465" windowWidth="14430" windowHeight="7635" firstSheet="8" activeTab="8" xr2:uid="{34308FCB-668B-4E5F-B915-B3DC17B557AA}"/>
  </bookViews>
  <sheets>
    <sheet name="VLOOKUP" sheetId="1" r:id="rId1"/>
    <sheet name="XLOOKUP vs. SUMIF" sheetId="2" r:id="rId2"/>
    <sheet name="XLOOKUP Error Handling" sheetId="29" r:id="rId3"/>
    <sheet name="XLOOKUP Approximate Matches" sheetId="28" r:id="rId4"/>
    <sheet name="XLOOKUP Monthly Sales" sheetId="5" r:id="rId5"/>
    <sheet name="XLOOKUP Search Mode" sheetId="6" r:id="rId6"/>
    <sheet name="XLOOKUP Multiple Columns" sheetId="25" r:id="rId7"/>
    <sheet name="INDEX-MATCH" sheetId="8" r:id="rId8"/>
    <sheet name="UNIQUE" sheetId="9" r:id="rId9"/>
    <sheet name="SORT" sheetId="10" r:id="rId10"/>
    <sheet name="FILTER" sheetId="11" r:id="rId11"/>
    <sheet name="Spilled Range Operator" sheetId="16" r:id="rId12"/>
    <sheet name="Dynamic Amortization Table" sheetId="18" r:id="rId13"/>
    <sheet name="#SPILL! and #CALC! Errors" sheetId="27" r:id="rId14"/>
    <sheet name="RAND and RANDBETWEEN" sheetId="14" r:id="rId15"/>
    <sheet name="RANDARRAY" sheetId="30" r:id="rId16"/>
  </sheets>
  <definedNames>
    <definedName name="_xlnm._FilterDatabase" localSheetId="0" hidden="1">VLOOKUP!$C$1:$C$11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0" l="1" a="1"/>
  <c r="I2" i="30" s="1"/>
  <c r="G2" i="30" a="1"/>
  <c r="G2" i="30" s="1"/>
  <c r="D2" i="30" a="1"/>
  <c r="D2" i="30" s="1"/>
  <c r="B2" i="30" a="1"/>
  <c r="B2" i="30" s="1"/>
  <c r="H3" i="28"/>
  <c r="H8" i="28"/>
  <c r="H8" i="28" a="1"/>
  <c r="H13" i="28" a="1"/>
  <c r="H13" i="28"/>
  <c r="H3" i="2"/>
  <c r="I3" i="2"/>
  <c r="H8" i="2"/>
  <c r="I8" i="2"/>
  <c r="K3" i="25"/>
  <c r="J3" i="25"/>
  <c r="B4" i="25"/>
  <c r="B5" i="25"/>
  <c r="B6" i="25"/>
  <c r="B7" i="25"/>
  <c r="B8" i="25"/>
  <c r="B9" i="25"/>
  <c r="B10" i="25"/>
  <c r="B11" i="25"/>
  <c r="B12" i="25"/>
  <c r="B3" i="25"/>
  <c r="I3" i="27" a="1"/>
  <c r="I3" i="27" s="1"/>
  <c r="G13" i="11" a="1"/>
  <c r="G13" i="11" s="1"/>
  <c r="G6" i="11" a="1"/>
  <c r="G6" i="11" s="1"/>
  <c r="I13" i="8"/>
  <c r="H13" i="8"/>
  <c r="I8" i="8"/>
  <c r="H8" i="8"/>
  <c r="J8" i="25" a="1"/>
  <c r="J8" i="25" s="1"/>
  <c r="H8" i="6" a="1"/>
  <c r="H8" i="6" s="1"/>
  <c r="H3" i="6" a="1"/>
  <c r="H3" i="6" s="1"/>
  <c r="K6" i="27" a="1"/>
  <c r="K6" i="27" s="1"/>
  <c r="G3" i="27" a="1"/>
  <c r="G3" i="27" s="1"/>
  <c r="L7" i="11" a="1"/>
  <c r="L7" i="11" s="1"/>
  <c r="Q5" i="11" a="1"/>
  <c r="Q5" i="11" s="1"/>
  <c r="H3" i="8"/>
  <c r="H8" i="29"/>
  <c r="I3" i="29"/>
  <c r="H3" i="29"/>
  <c r="I8" i="29"/>
  <c r="I3" i="1"/>
  <c r="H3" i="1"/>
  <c r="B9" i="18" a="1"/>
  <c r="B9" i="18" s="1"/>
  <c r="G6" i="16" a="1"/>
  <c r="G6" i="16" s="1"/>
  <c r="H6" i="16" s="1" a="1"/>
  <c r="H6" i="16" s="1"/>
  <c r="L3" i="10" a="1"/>
  <c r="L3" i="10" s="1"/>
  <c r="L3" i="2"/>
  <c r="M3" i="2"/>
  <c r="L8" i="2"/>
  <c r="M8" i="2"/>
  <c r="Q3" i="10" a="1"/>
  <c r="Q3" i="10" s="1"/>
  <c r="G3" i="10" a="1"/>
  <c r="G3" i="10" s="1"/>
  <c r="I3" i="9" a="1"/>
  <c r="I3" i="9" s="1"/>
  <c r="G3" i="9" a="1"/>
  <c r="G3" i="9" s="1"/>
  <c r="A9" i="18" a="1"/>
  <c r="A9" i="18" s="1"/>
  <c r="B6" i="18"/>
  <c r="D2" i="14"/>
  <c r="B2" i="14"/>
  <c r="O4" i="5"/>
  <c r="O5" i="5"/>
  <c r="O6" i="5"/>
  <c r="O7" i="5"/>
  <c r="O3" i="5"/>
  <c r="C16" i="5"/>
  <c r="C11" i="5" a="1"/>
  <c r="C11" i="5" s="1"/>
  <c r="D9" i="18" l="1" a="1"/>
  <c r="D9" i="18" s="1"/>
  <c r="E9" i="18" s="1" a="1"/>
  <c r="E9" i="18" s="1"/>
  <c r="C9" i="18" a="1"/>
  <c r="C9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1BAC5FC5-8DA0-49C9-96EB-F4B47F2D0C31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EEE2C04C-8AE3-4F5C-BD63-790B0171310F}">
      <text/>
    </comment>
    <comment ref="L3" authorId="0" shapeId="0" xr:uid="{1DDB6B23-A763-4015-B11E-DA932EECAAEE}">
      <text/>
    </comment>
    <comment ref="H8" authorId="0" shapeId="0" xr:uid="{356FC83E-0A55-4C75-95A9-8A0FAE1D5C0F}">
      <text/>
    </comment>
    <comment ref="L8" authorId="0" shapeId="0" xr:uid="{94842AFD-97AC-44A8-83D8-30684B53B394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2F95A870-FBB5-48B4-A85F-DA4938B3AB22}">
      <text/>
    </comment>
    <comment ref="H8" authorId="0" shapeId="0" xr:uid="{B472D236-3F66-46FC-BA73-ADBE03D87899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CD34F838-953D-4450-B6E8-2FE959F20856}">
      <text/>
    </comment>
    <comment ref="H8" authorId="0" shapeId="0" xr:uid="{2CE7C361-3D42-4476-BD3C-0E3387C9CCB6}">
      <text/>
    </comment>
    <comment ref="H13" authorId="0" shapeId="0" xr:uid="{06E968E4-E5D4-4ECE-BA13-1AC76094EA79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11" authorId="0" shapeId="0" xr:uid="{1C87F6EF-ACA5-42E5-9DFC-CC9651343A2E}">
      <text/>
    </comment>
    <comment ref="C16" authorId="0" shapeId="0" xr:uid="{2C7786B6-CA45-44ED-BAF6-2ACA139D6CD2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B24B76A2-962E-422F-BFB1-4752D79EA7D4}">
      <text/>
    </comment>
    <comment ref="H8" authorId="0" shapeId="0" xr:uid="{DC565826-8739-4A48-9800-74709875F501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3" authorId="0" shapeId="0" xr:uid="{88776B8F-2E27-4AA7-BACB-271AB169D9C3}">
      <text/>
    </comment>
    <comment ref="J3" authorId="0" shapeId="0" xr:uid="{2B62C308-1106-4CA3-99A9-2D3CD51542F2}">
      <text/>
    </comment>
    <comment ref="J8" authorId="0" shapeId="0" xr:uid="{0BBA3208-D696-4902-AED9-E10842923152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B61DC066-B653-4726-8E66-7106237A0C0E}">
      <text/>
    </comment>
    <comment ref="H8" authorId="0" shapeId="0" xr:uid="{A2C5104C-1B84-4C44-B06C-36AC1E9C10D8}">
      <text/>
    </comment>
    <comment ref="H13" authorId="0" shapeId="0" xr:uid="{74DFB300-8C98-4D65-8CA5-B80CE2E8EE76}">
      <text/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D487680A-A48A-4B3E-8DE9-0488D0E8626D}">
      <text/>
    </comment>
    <comment ref="I3" authorId="0" shapeId="0" xr:uid="{E93AA24D-E2BA-476C-9C81-0C7E8C2374C0}">
      <text/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FFBD6A2B-0D0E-410E-88F7-B7D3077C5438}">
      <text/>
    </comment>
    <comment ref="L3" authorId="0" shapeId="0" xr:uid="{ABEC06C1-D392-4D15-8E26-7F2222417CE4}">
      <text/>
    </comment>
    <comment ref="Q3" authorId="0" shapeId="0" xr:uid="{F3889807-CDDA-49DD-A36A-DF67247AC58E}">
      <text/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Q5" authorId="0" shapeId="0" xr:uid="{19C02F36-B634-4150-A3C1-877F6284F7DD}">
      <text/>
    </comment>
    <comment ref="G6" authorId="0" shapeId="0" xr:uid="{DA484086-9CE4-499F-A981-B3AA63C3F595}">
      <text/>
    </comment>
    <comment ref="L7" authorId="0" shapeId="0" xr:uid="{F85AA269-318C-49D5-ABE5-7CE3381078A7}">
      <text/>
    </comment>
    <comment ref="G13" authorId="0" shapeId="0" xr:uid="{C82E8E7D-BCBB-48CD-9810-23A3F2391379}">
      <text/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6" authorId="0" shapeId="0" xr:uid="{3A472340-0190-4A17-B090-9211BA08C157}">
      <text/>
    </comment>
    <comment ref="H6" authorId="0" shapeId="0" xr:uid="{1D4631ED-BD2C-4F6E-AE98-6BE40A793AC1}">
      <text/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6" authorId="0" shapeId="0" xr:uid="{C727144C-E01E-4B6E-8642-689E686B1C53}">
      <text/>
    </comment>
    <comment ref="A9" authorId="0" shapeId="0" xr:uid="{9CF16E81-69CF-4A5F-BF50-220905D4BC58}">
      <text/>
    </comment>
    <comment ref="B9" authorId="0" shapeId="0" xr:uid="{FB3530D8-98C0-4ED6-B0E5-CCD9B93D18DC}">
      <text/>
    </comment>
    <comment ref="C9" authorId="0" shapeId="0" xr:uid="{14B7C19D-E318-4D0B-8372-E35B0A66654B}">
      <text/>
    </comment>
    <comment ref="D9" authorId="0" shapeId="0" xr:uid="{DE983B27-3527-4EDC-97E7-59293FA5F3E8}">
      <text/>
    </comment>
    <comment ref="E9" authorId="0" shapeId="0" xr:uid="{165473A8-44A6-42F7-BCA1-5485E9A79A08}">
      <text/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4F1FD179-D98B-409D-8BC7-C25FF8B0288C}">
      <text>
        <r>
          <rPr>
            <sz val="9"/>
            <color indexed="81"/>
            <rFont val="Tahoma"/>
            <family val="2"/>
          </rPr>
          <t>`</t>
        </r>
      </text>
    </comment>
    <comment ref="I3" authorId="0" shapeId="0" xr:uid="{C191D3C9-DA2B-46D1-8F79-4B4CE0BD4B73}">
      <text/>
    </comment>
    <comment ref="K6" authorId="0" shapeId="0" xr:uid="{B0BC93F9-11DD-4421-A348-D180CD9BB2C7}">
      <text/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07FCB239-586C-41C2-9428-D33789498BCE}">
      <text/>
    </comment>
    <comment ref="D2" authorId="0" shapeId="0" xr:uid="{3709AD22-AB39-4042-9522-09FC88D0A078}">
      <text/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1A166829-6C64-4D6D-B030-AAD3C8691462}">
      <text/>
    </comment>
    <comment ref="D2" authorId="0" shapeId="0" xr:uid="{A815ECB1-EF96-4BC2-9D30-309331ACB782}">
      <text/>
    </comment>
    <comment ref="G2" authorId="0" shapeId="0" xr:uid="{5A9B8DCB-BB2B-4543-A38E-1F93ECCE0F80}">
      <text/>
    </comment>
    <comment ref="I2" authorId="0" shapeId="0" xr:uid="{E82D753A-14F8-4CF9-90BA-F6B4891C37C8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<sst xmlns="http://schemas.openxmlformats.org/spreadsheetml/2006/main" count="504" uniqueCount="108">
  <si>
    <t>Beach</t>
  </si>
  <si>
    <t>Country</t>
  </si>
  <si>
    <t>Praia do Cassino Beach</t>
  </si>
  <si>
    <t>Ninety Mile Beach</t>
  </si>
  <si>
    <t>Cox's Bazar</t>
  </si>
  <si>
    <t>Padre Island National Seashore</t>
  </si>
  <si>
    <t>Playa Novillero</t>
  </si>
  <si>
    <t>Virginia Beach</t>
  </si>
  <si>
    <t>Long Beach</t>
  </si>
  <si>
    <t>Muizenberg</t>
  </si>
  <si>
    <t>Stockton Beach</t>
  </si>
  <si>
    <t>May</t>
  </si>
  <si>
    <t>Team</t>
  </si>
  <si>
    <t>Red</t>
  </si>
  <si>
    <t>White</t>
  </si>
  <si>
    <t>Blue</t>
  </si>
  <si>
    <t>Yellow</t>
  </si>
  <si>
    <t>Green</t>
  </si>
  <si>
    <t>Total</t>
  </si>
  <si>
    <t>New Zealand</t>
  </si>
  <si>
    <t>Miles</t>
  </si>
  <si>
    <t>Kilometers</t>
  </si>
  <si>
    <t>Unique List of Countries</t>
  </si>
  <si>
    <t>Duplication of the orginal list</t>
  </si>
  <si>
    <t>United States</t>
  </si>
  <si>
    <t>Australia</t>
  </si>
  <si>
    <t>Bangladesh</t>
  </si>
  <si>
    <t>South Africa</t>
  </si>
  <si>
    <t>Mexico</t>
  </si>
  <si>
    <t>Brazil</t>
  </si>
  <si>
    <t>Cuba</t>
  </si>
  <si>
    <t>Beaches</t>
  </si>
  <si>
    <t>Interest</t>
  </si>
  <si>
    <t>Term</t>
  </si>
  <si>
    <t>Principal</t>
  </si>
  <si>
    <t>Start Date</t>
  </si>
  <si>
    <t>Payment</t>
  </si>
  <si>
    <t>Period #</t>
  </si>
  <si>
    <t>Date</t>
  </si>
  <si>
    <t>Balance</t>
  </si>
  <si>
    <t>Obstruction blocking UNIQUE</t>
  </si>
  <si>
    <t>United States of America</t>
  </si>
  <si>
    <t>XLOOKUP Match Found</t>
  </si>
  <si>
    <t>World's Longest Beaches</t>
  </si>
  <si>
    <t>Sum of Ninety Mile Beaches</t>
  </si>
  <si>
    <t>Beach, Country</t>
  </si>
  <si>
    <t>Total Sales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</si>
  <si>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</si>
  <si>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</si>
  <si>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</si>
  <si>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</si>
  <si>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</si>
  <si>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</si>
  <si>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</si>
  <si>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</si>
  <si>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</si>
  <si>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</si>
  <si>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</si>
  <si>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Country/Miles</t>
  </si>
  <si>
    <t>List Position</t>
  </si>
  <si>
    <t>UNIQUE Function</t>
  </si>
  <si>
    <t>SORT Function (Alphabetical by Beach)</t>
  </si>
  <si>
    <t>SORT Function (Ascending By Miles)</t>
  </si>
  <si>
    <t>MIles</t>
  </si>
  <si>
    <t>Two SORT Functions (Alphabetically By Country, Ascending By Miles)</t>
  </si>
  <si>
    <t>Criteria</t>
  </si>
  <si>
    <t>Country:</t>
  </si>
  <si>
    <t>FILTER Function with Two Criteria</t>
  </si>
  <si>
    <t>Greater Than or Equal To Miles:</t>
  </si>
  <si>
    <t>XLOOKUP Extract Monthly Sales and return results to multiple cells</t>
  </si>
  <si>
    <t>XLOOKUP &lt;=50 miles in length</t>
  </si>
  <si>
    <t>Monthly Sales By Team</t>
  </si>
  <si>
    <t>SUM/XLOOKUP Extract Monthly Sales and return the total of the results to a single cell</t>
  </si>
  <si>
    <t>MATCH Return position</t>
  </si>
  <si>
    <t>MATCH/INDEX  Return Miles/Kilometers</t>
  </si>
  <si>
    <t>INDEX/MATCH/MATCH Return Miles/Kilometers</t>
  </si>
  <si>
    <t>#SPILL! caused by Overwritten Results</t>
  </si>
  <si>
    <t>FILTER Function (Country equal to cell K2)</t>
  </si>
  <si>
    <t>Dynamic Amortization Table</t>
  </si>
  <si>
    <t>&gt;=Miles:</t>
  </si>
  <si>
    <t>Spilled Range Operator (#)</t>
  </si>
  <si>
    <t>Random Number Between 0 and 1</t>
  </si>
  <si>
    <t>Random Integer Between 100 and 500</t>
  </si>
  <si>
    <t>3 Random Numbers Between 0 and 1</t>
  </si>
  <si>
    <t xml:space="preserve">6 Random Numbers Between 100 and 500 </t>
  </si>
  <si>
    <t>6 Random Integers Between 100 and 500</t>
  </si>
  <si>
    <t>Random Numbers in 
4 rows and 2 columns</t>
  </si>
  <si>
    <t>XLOOKUP Top Down Search</t>
  </si>
  <si>
    <t>XLOOKUP Bottom Up Search</t>
  </si>
  <si>
    <t>Alternative: =SORTBY(B3:E12,C3:C12,1,D3:D12,-1)</t>
  </si>
  <si>
    <t>FILTER Function (Country = cell H2)</t>
  </si>
  <si>
    <t>SORT/FILTER Function (Country = H2, Descending by Miles)</t>
  </si>
  <si>
    <t>Multiple Filter Criteria</t>
  </si>
  <si>
    <t>Single Filter Criteria</t>
  </si>
  <si>
    <t>FILTER Results in a Single Column</t>
  </si>
  <si>
    <t>VLOOKUP Match Found</t>
  </si>
  <si>
    <t>#SPILL! with Obstruction</t>
  </si>
  <si>
    <t>Helper Column</t>
  </si>
  <si>
    <t>XLOOKUP Match on Beach/Country</t>
  </si>
  <si>
    <t>VLOOKUP Match on Beach/Country</t>
  </si>
  <si>
    <t xml:space="preserve">Ninety Mile Beach </t>
  </si>
  <si>
    <t>Ninety-Mile Beach</t>
  </si>
  <si>
    <t>IFNA/VLOOKUP  (Trailing Space in cell G3)</t>
  </si>
  <si>
    <t>XLOOKUP (Dash Appears in cell G8)</t>
  </si>
  <si>
    <t>XLOOKUP (Trailing Space in Cell K3)</t>
  </si>
  <si>
    <t>SUMIF (Extraneous Dash in Cell K8)</t>
  </si>
  <si>
    <t>XLOOKUP &gt;=50 miles in length (2 cells)</t>
  </si>
  <si>
    <t>XLOOKUP &gt;=50 miles in length (1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</si>
</sst>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 applyFill="1"/>
    <xf numFmtId="1" fontId="0" fillId="0" borderId="0" xfId="0" applyNumberFormat="1"/>
    <xf numFmtId="164" fontId="0" fillId="0" borderId="0" xfId="1" applyNumberFormat="1" applyFont="1"/>
    <xf numFmtId="43" fontId="2" fillId="2" borderId="0" xfId="1" applyFont="1" applyFill="1"/>
    <xf numFmtId="0" fontId="7" fillId="0" borderId="0" xfId="0" applyFont="1"/>
    <xf numFmtId="0" fontId="1" fillId="0" borderId="0" xfId="0" applyFont="1" applyAlignment="1">
      <alignment wrapText="1"/>
    </xf>
    <xf numFmtId="43" fontId="0" fillId="0" borderId="0" xfId="1" applyFont="1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8" fontId="2" fillId="2" borderId="0" xfId="0" applyNumberFormat="1" applyFont="1" applyFill="1"/>
    <xf numFmtId="14" fontId="2" fillId="2" borderId="0" xfId="0" applyNumberFormat="1" applyFont="1" applyFill="1"/>
    <xf numFmtId="0" fontId="0" fillId="0" borderId="0" xfId="0" applyAlignment="1">
      <alignment horizontal="centerContinuous"/>
    </xf>
    <xf numFmtId="0" fontId="9" fillId="3" borderId="0" xfId="0" applyFont="1" applyFill="1" applyAlignment="1">
      <alignment horizontal="centerContinuous"/>
    </xf>
    <xf numFmtId="0" fontId="11" fillId="3" borderId="0" xfId="0" applyFont="1" applyFill="1" applyAlignment="1">
      <alignment horizontal="centerContinuous"/>
    </xf>
    <xf numFmtId="0" fontId="1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Continuous"/>
    </xf>
    <xf numFmtId="0" fontId="9" fillId="3" borderId="2" xfId="0" applyFont="1" applyFill="1" applyBorder="1" applyAlignment="1">
      <alignment horizontal="centerContinuous"/>
    </xf>
    <xf numFmtId="0" fontId="9" fillId="3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10" fillId="3" borderId="3" xfId="0" applyFont="1" applyFill="1" applyBorder="1" applyAlignment="1">
      <alignment horizontal="centerContinuous"/>
    </xf>
    <xf numFmtId="0" fontId="2" fillId="2" borderId="8" xfId="0" applyFont="1" applyFill="1" applyBorder="1"/>
    <xf numFmtId="0" fontId="1" fillId="0" borderId="1" xfId="0" applyFont="1" applyBorder="1"/>
    <xf numFmtId="0" fontId="4" fillId="0" borderId="8" xfId="0" applyFont="1" applyFill="1" applyBorder="1"/>
    <xf numFmtId="0" fontId="1" fillId="0" borderId="2" xfId="0" applyFont="1" applyBorder="1"/>
    <xf numFmtId="0" fontId="11" fillId="3" borderId="2" xfId="0" applyFont="1" applyFill="1" applyBorder="1" applyAlignment="1">
      <alignment horizontal="centerContinuous"/>
    </xf>
    <xf numFmtId="0" fontId="11" fillId="3" borderId="3" xfId="0" applyFont="1" applyFill="1" applyBorder="1" applyAlignment="1">
      <alignment horizontal="centerContinuous"/>
    </xf>
    <xf numFmtId="0" fontId="2" fillId="2" borderId="7" xfId="0" applyFont="1" applyFill="1" applyBorder="1"/>
    <xf numFmtId="0" fontId="0" fillId="0" borderId="8" xfId="0" applyBorder="1"/>
    <xf numFmtId="0" fontId="0" fillId="0" borderId="3" xfId="0" applyBorder="1"/>
    <xf numFmtId="0" fontId="4" fillId="0" borderId="7" xfId="0" applyFont="1" applyFill="1" applyBorder="1"/>
    <xf numFmtId="0" fontId="2" fillId="2" borderId="5" xfId="0" applyFont="1" applyFill="1" applyBorder="1"/>
    <xf numFmtId="0" fontId="4" fillId="0" borderId="5" xfId="0" applyFont="1" applyFill="1" applyBorder="1"/>
    <xf numFmtId="0" fontId="4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0" applyFont="1" applyBorder="1"/>
    <xf numFmtId="164" fontId="0" fillId="0" borderId="5" xfId="1" applyNumberFormat="1" applyFont="1" applyBorder="1"/>
    <xf numFmtId="0" fontId="7" fillId="0" borderId="6" xfId="0" applyFont="1" applyBorder="1"/>
    <xf numFmtId="164" fontId="0" fillId="0" borderId="8" xfId="1" applyNumberFormat="1" applyFont="1" applyBorder="1"/>
    <xf numFmtId="0" fontId="0" fillId="0" borderId="2" xfId="0" applyBorder="1"/>
    <xf numFmtId="164" fontId="2" fillId="2" borderId="7" xfId="1" applyNumberFormat="1" applyFont="1" applyFill="1" applyBorder="1"/>
    <xf numFmtId="0" fontId="1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0" borderId="10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4" fillId="0" borderId="4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1" fillId="0" borderId="3" xfId="1" applyNumberFormat="1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4" fillId="0" borderId="5" xfId="1" applyNumberFormat="1" applyFont="1" applyFill="1" applyBorder="1"/>
    <xf numFmtId="0" fontId="4" fillId="0" borderId="6" xfId="0" applyFont="1" applyFill="1" applyBorder="1"/>
    <xf numFmtId="164" fontId="4" fillId="0" borderId="8" xfId="1" applyNumberFormat="1" applyFont="1" applyFill="1" applyBorder="1"/>
    <xf numFmtId="0" fontId="1" fillId="0" borderId="3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7" xfId="0" applyFont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1" xfId="0" applyFont="1" applyFill="1" applyBorder="1"/>
    <xf numFmtId="0" fontId="11" fillId="3" borderId="9" xfId="0" applyFont="1" applyFill="1" applyBorder="1" applyAlignment="1">
      <alignment horizontal="centerContinuous"/>
    </xf>
    <xf numFmtId="0" fontId="1" fillId="0" borderId="6" xfId="0" applyFont="1" applyBorder="1"/>
    <xf numFmtId="0" fontId="0" fillId="0" borderId="8" xfId="0" applyFont="1" applyBorder="1"/>
    <xf numFmtId="0" fontId="11" fillId="3" borderId="9" xfId="0" applyFont="1" applyFill="1" applyBorder="1" applyAlignment="1">
      <alignment horizontal="centerContinuous" wrapText="1"/>
    </xf>
    <xf numFmtId="0" fontId="11" fillId="3" borderId="1" xfId="0" applyFont="1" applyFill="1" applyBorder="1" applyAlignment="1">
      <alignment horizontal="centerContinuous" wrapText="1"/>
    </xf>
    <xf numFmtId="0" fontId="11" fillId="3" borderId="3" xfId="0" applyFont="1" applyFill="1" applyBorder="1" applyAlignment="1">
      <alignment horizontal="centerContinuous" wrapText="1"/>
    </xf>
    <xf numFmtId="0" fontId="10" fillId="3" borderId="2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0" fillId="0" borderId="0" xfId="1" applyNumberFormat="1" applyFont="1"/>
    <xf numFmtId="18" fontId="0" fillId="0" borderId="0" xfId="0" applyNumberFormat="1"/>
    <xf numFmtId="4" fontId="2" fillId="2" borderId="0" xfId="1" applyNumberFormat="1" applyFont="1" applyFill="1"/>
    <xf numFmtId="0" fontId="4" fillId="0" borderId="2" xfId="0" applyFont="1" applyFill="1" applyBorder="1"/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13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jpeg"/><Relationship Id="rId1" Type="http://schemas.openxmlformats.org/officeDocument/2006/relationships/image" Target="../media/image15.jpeg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eg"/><Relationship Id="rId2" Type="http://schemas.openxmlformats.org/officeDocument/2006/relationships/image" Target="../media/image19.jpeg"/><Relationship Id="rId1" Type="http://schemas.openxmlformats.org/officeDocument/2006/relationships/image" Target="../media/image18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2.jpeg"/><Relationship Id="rId1" Type="http://schemas.openxmlformats.org/officeDocument/2006/relationships/image" Target="../media/image21.jpeg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jpeg"/><Relationship Id="rId2" Type="http://schemas.openxmlformats.org/officeDocument/2006/relationships/image" Target="../media/image24.jpeg"/><Relationship Id="rId1" Type="http://schemas.openxmlformats.org/officeDocument/2006/relationships/image" Target="../media/image23.jpeg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jpeg"/><Relationship Id="rId2" Type="http://schemas.openxmlformats.org/officeDocument/2006/relationships/image" Target="../media/image27.jpeg"/><Relationship Id="rId1" Type="http://schemas.openxmlformats.org/officeDocument/2006/relationships/image" Target="../media/image26.jpeg"/><Relationship Id="rId4" Type="http://schemas.openxmlformats.org/officeDocument/2006/relationships/image" Target="../media/image29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1.jpeg"/><Relationship Id="rId1" Type="http://schemas.openxmlformats.org/officeDocument/2006/relationships/image" Target="../media/image30.jpeg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4.jpeg"/><Relationship Id="rId2" Type="http://schemas.openxmlformats.org/officeDocument/2006/relationships/image" Target="../media/image33.jpeg"/><Relationship Id="rId1" Type="http://schemas.openxmlformats.org/officeDocument/2006/relationships/image" Target="../media/image32.jpeg"/><Relationship Id="rId6" Type="http://schemas.openxmlformats.org/officeDocument/2006/relationships/image" Target="../media/image37.jpeg"/><Relationship Id="rId5" Type="http://schemas.openxmlformats.org/officeDocument/2006/relationships/image" Target="../media/image36.jpeg"/><Relationship Id="rId4" Type="http://schemas.openxmlformats.org/officeDocument/2006/relationships/image" Target="../media/image35.jpe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1.jpeg"/><Relationship Id="rId1" Type="http://schemas.openxmlformats.org/officeDocument/2006/relationships/image" Target="../media/image38.jpe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0.jpeg"/><Relationship Id="rId1" Type="http://schemas.openxmlformats.org/officeDocument/2006/relationships/image" Target="../media/image39.jpeg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jpeg"/><Relationship Id="rId2" Type="http://schemas.openxmlformats.org/officeDocument/2006/relationships/image" Target="../media/image42.jpeg"/><Relationship Id="rId1" Type="http://schemas.openxmlformats.org/officeDocument/2006/relationships/image" Target="../media/image41.jpeg"/><Relationship Id="rId4" Type="http://schemas.openxmlformats.org/officeDocument/2006/relationships/image" Target="../media/image4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6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1A22-C14B-4868-AE32-07F132382A1C}">
  <sheetPr codeName="Sheet1"/>
  <dimension ref="B1:I12"/>
  <sheetViews>
    <sheetView zoomScaleNormal="100" workbookViewId="0">
      <selection activeCell="F1" sqref="F1:F1048576"/>
    </sheetView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6" width="10.7109375" customWidth="1"/>
    <col min="7" max="7" width="28.7109375" style="3" customWidth="1"/>
    <col min="8" max="8" width="10.7109375" style="3" customWidth="1"/>
    <col min="9" max="9" width="10.7109375" customWidth="1"/>
  </cols>
  <sheetData>
    <row r="1" spans="2:9" ht="18.75" x14ac:dyDescent="0.3">
      <c r="B1" s="19" t="s">
        <v>43</v>
      </c>
      <c r="C1" s="20"/>
      <c r="D1" s="20"/>
      <c r="E1" s="21"/>
      <c r="F1" s="1"/>
      <c r="G1" s="19" t="s">
        <v>95</v>
      </c>
      <c r="H1" s="29"/>
      <c r="I1" s="29"/>
    </row>
    <row r="2" spans="2:9" x14ac:dyDescent="0.25">
      <c r="B2" s="62" t="s">
        <v>0</v>
      </c>
      <c r="C2" s="63" t="s">
        <v>1</v>
      </c>
      <c r="D2" s="63" t="s">
        <v>20</v>
      </c>
      <c r="E2" s="64" t="s">
        <v>21</v>
      </c>
      <c r="G2" s="78" t="s">
        <v>0</v>
      </c>
      <c r="H2" s="63" t="s">
        <v>20</v>
      </c>
      <c r="I2" s="64" t="s">
        <v>21</v>
      </c>
    </row>
    <row r="3" spans="2:9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G3" s="26" t="s">
        <v>8</v>
      </c>
      <c r="H3" s="36">
        <f>VLOOKUP($G3,$B$3:$E$12,3,FALSE)</f>
        <v>28</v>
      </c>
      <c r="I3" s="67">
        <f>VLOOKUP($G3,$B$3:$E$12,4,FALSE)</f>
        <v>45.061631999999996</v>
      </c>
    </row>
    <row r="4" spans="2:9" x14ac:dyDescent="0.25">
      <c r="B4" s="22" t="s">
        <v>8</v>
      </c>
      <c r="C4" s="23" t="s">
        <v>24</v>
      </c>
      <c r="D4" s="23">
        <v>28</v>
      </c>
      <c r="E4" s="25">
        <v>45.061631999999996</v>
      </c>
    </row>
    <row r="5" spans="2:9" x14ac:dyDescent="0.25">
      <c r="B5" s="22" t="s">
        <v>9</v>
      </c>
      <c r="C5" s="23" t="s">
        <v>27</v>
      </c>
      <c r="D5" s="23">
        <v>25</v>
      </c>
      <c r="E5" s="25">
        <v>40.233599999999996</v>
      </c>
    </row>
    <row r="6" spans="2:9" x14ac:dyDescent="0.25">
      <c r="B6" s="22" t="s">
        <v>3</v>
      </c>
      <c r="C6" s="23" t="s">
        <v>25</v>
      </c>
      <c r="D6" s="23">
        <v>94</v>
      </c>
      <c r="E6" s="25">
        <v>151</v>
      </c>
    </row>
    <row r="7" spans="2:9" x14ac:dyDescent="0.25">
      <c r="B7" s="22" t="s">
        <v>3</v>
      </c>
      <c r="C7" s="23" t="s">
        <v>19</v>
      </c>
      <c r="D7" s="23">
        <v>55</v>
      </c>
      <c r="E7" s="25">
        <v>89</v>
      </c>
    </row>
    <row r="8" spans="2:9" x14ac:dyDescent="0.25">
      <c r="B8" s="22" t="s">
        <v>5</v>
      </c>
      <c r="C8" s="23" t="s">
        <v>24</v>
      </c>
      <c r="D8" s="23">
        <v>70</v>
      </c>
      <c r="E8" s="25">
        <v>112.65408000000001</v>
      </c>
    </row>
    <row r="9" spans="2:9" x14ac:dyDescent="0.25">
      <c r="B9" s="22" t="s">
        <v>6</v>
      </c>
      <c r="C9" s="23" t="s">
        <v>28</v>
      </c>
      <c r="D9" s="23">
        <v>56</v>
      </c>
      <c r="E9" s="25">
        <v>90.123263999999992</v>
      </c>
    </row>
    <row r="10" spans="2:9" x14ac:dyDescent="0.25">
      <c r="B10" s="22" t="s">
        <v>2</v>
      </c>
      <c r="C10" s="23" t="s">
        <v>29</v>
      </c>
      <c r="D10" s="23">
        <v>150</v>
      </c>
      <c r="E10" s="25">
        <v>241.4016</v>
      </c>
    </row>
    <row r="11" spans="2:9" x14ac:dyDescent="0.25">
      <c r="B11" s="22" t="s">
        <v>10</v>
      </c>
      <c r="C11" s="23" t="s">
        <v>25</v>
      </c>
      <c r="D11" s="23">
        <v>20</v>
      </c>
      <c r="E11" s="25">
        <v>32.186880000000002</v>
      </c>
    </row>
    <row r="12" spans="2:9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</row>
  </sheetData>
  <sortState xmlns:xlrd2="http://schemas.microsoft.com/office/spreadsheetml/2017/richdata2" ref="B2:D11">
    <sortCondition ref="B2:B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440-5C92-4C7E-8991-FC882F26CDD2}">
  <sheetPr codeName="Sheet2"/>
  <dimension ref="B1:M12"/>
  <sheetViews>
    <sheetView zoomScaleNormal="100" workbookViewId="0">
      <pane xSplit="5" topLeftCell="J1" activePane="topRight" state="frozen"/>
      <selection activeCell="E1" sqref="E1"/>
      <selection pane="topRight" activeCell="L3" sqref="L3"/>
    </sheetView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6" width="10.7109375" customWidth="1"/>
    <col min="7" max="7" width="28.7109375" customWidth="1"/>
    <col min="8" max="10" width="10.7109375" customWidth="1"/>
    <col min="11" max="11" width="28.7109375" customWidth="1"/>
    <col min="12" max="13" width="10.7109375" customWidth="1"/>
  </cols>
  <sheetData>
    <row r="1" spans="2:13" ht="18.75" x14ac:dyDescent="0.3">
      <c r="B1" s="19" t="s">
        <v>43</v>
      </c>
      <c r="C1" s="20"/>
      <c r="D1" s="20"/>
      <c r="E1" s="21"/>
      <c r="F1" s="15"/>
      <c r="G1" s="19" t="s">
        <v>42</v>
      </c>
      <c r="H1" s="29"/>
      <c r="I1" s="29"/>
      <c r="K1" s="19" t="s">
        <v>104</v>
      </c>
      <c r="L1" s="29"/>
      <c r="M1" s="29"/>
    </row>
    <row r="2" spans="2:13" x14ac:dyDescent="0.25">
      <c r="B2" s="62" t="s">
        <v>0</v>
      </c>
      <c r="C2" s="63" t="s">
        <v>1</v>
      </c>
      <c r="D2" s="63" t="s">
        <v>20</v>
      </c>
      <c r="E2" s="64" t="s">
        <v>21</v>
      </c>
      <c r="F2" s="1"/>
      <c r="G2" s="78" t="s">
        <v>0</v>
      </c>
      <c r="H2" s="63" t="s">
        <v>20</v>
      </c>
      <c r="I2" s="64" t="s">
        <v>21</v>
      </c>
      <c r="K2" s="78" t="s">
        <v>0</v>
      </c>
      <c r="L2" s="63" t="s">
        <v>20</v>
      </c>
      <c r="M2" s="64" t="s">
        <v>21</v>
      </c>
    </row>
    <row r="3" spans="2:13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F3" s="4"/>
      <c r="G3" s="26" t="s">
        <v>3</v>
      </c>
      <c r="H3" s="36">
        <f>_xlfn.XLOOKUP($G3,$B3:$B12,D3:D12)</f>
        <v>94</v>
      </c>
      <c r="I3" s="32">
        <f>_xlfn.XLOOKUP($G3,$B3:$B12,E3:E12)</f>
        <v>151</v>
      </c>
      <c r="K3" s="26" t="s">
        <v>100</v>
      </c>
      <c r="L3" s="36" t="e">
        <f>_xlfn.XLOOKUP($K3,$B3:$B12,D3:D12)</f>
        <v>#N/A</v>
      </c>
      <c r="M3" s="32" t="e">
        <f>_xlfn.XLOOKUP($K3,$B3:$B12,E3:E12)</f>
        <v>#N/A</v>
      </c>
    </row>
    <row r="4" spans="2:13" x14ac:dyDescent="0.25">
      <c r="B4" s="22" t="s">
        <v>8</v>
      </c>
      <c r="C4" s="23" t="s">
        <v>24</v>
      </c>
      <c r="D4" s="23">
        <v>28</v>
      </c>
      <c r="E4" s="25">
        <v>45.061631999999996</v>
      </c>
      <c r="F4" s="4"/>
      <c r="L4" s="3"/>
      <c r="M4" s="3"/>
    </row>
    <row r="5" spans="2:13" ht="15.75" thickBot="1" x14ac:dyDescent="0.3">
      <c r="B5" s="22" t="s">
        <v>9</v>
      </c>
      <c r="C5" s="23" t="s">
        <v>27</v>
      </c>
      <c r="D5" s="23">
        <v>25</v>
      </c>
      <c r="E5" s="25">
        <v>40.233599999999996</v>
      </c>
      <c r="F5" s="4"/>
      <c r="L5" s="3"/>
      <c r="M5" s="3"/>
    </row>
    <row r="6" spans="2:13" ht="18.75" x14ac:dyDescent="0.3">
      <c r="B6" s="22" t="s">
        <v>3</v>
      </c>
      <c r="C6" s="23" t="s">
        <v>25</v>
      </c>
      <c r="D6" s="23">
        <v>94</v>
      </c>
      <c r="E6" s="25">
        <v>151</v>
      </c>
      <c r="F6" s="4"/>
      <c r="G6" s="19" t="s">
        <v>44</v>
      </c>
      <c r="H6" s="29"/>
      <c r="I6" s="29"/>
      <c r="K6" s="19" t="s">
        <v>105</v>
      </c>
      <c r="L6" s="19"/>
      <c r="M6" s="19"/>
    </row>
    <row r="7" spans="2:13" x14ac:dyDescent="0.25">
      <c r="B7" s="22" t="s">
        <v>3</v>
      </c>
      <c r="C7" s="23" t="s">
        <v>19</v>
      </c>
      <c r="D7" s="23">
        <v>55</v>
      </c>
      <c r="E7" s="25">
        <v>89</v>
      </c>
      <c r="F7" s="4"/>
      <c r="G7" s="78" t="s">
        <v>0</v>
      </c>
      <c r="H7" s="63" t="s">
        <v>20</v>
      </c>
      <c r="I7" s="64" t="s">
        <v>21</v>
      </c>
      <c r="K7" s="78" t="s">
        <v>0</v>
      </c>
      <c r="L7" s="87" t="s">
        <v>20</v>
      </c>
      <c r="M7" s="88" t="s">
        <v>21</v>
      </c>
    </row>
    <row r="8" spans="2:13" ht="15.75" thickBot="1" x14ac:dyDescent="0.3">
      <c r="B8" s="22" t="s">
        <v>5</v>
      </c>
      <c r="C8" s="23" t="s">
        <v>24</v>
      </c>
      <c r="D8" s="23">
        <v>70</v>
      </c>
      <c r="E8" s="25">
        <v>112.65408000000001</v>
      </c>
      <c r="F8" s="4"/>
      <c r="G8" s="26" t="s">
        <v>3</v>
      </c>
      <c r="H8" s="36">
        <f>SUMIF($B3:$B12,$G8,D3:D12)</f>
        <v>149</v>
      </c>
      <c r="I8" s="32">
        <f>SUMIF($B3:$B12,$G8,E3:E12)</f>
        <v>240</v>
      </c>
      <c r="K8" s="26" t="s">
        <v>101</v>
      </c>
      <c r="L8" s="36">
        <f>SUMIF($B3:$B12,$K8,D3:D12)</f>
        <v>0</v>
      </c>
      <c r="M8" s="32">
        <f>SUMIF($B3:$B12,$K8,E3:E12)</f>
        <v>0</v>
      </c>
    </row>
    <row r="9" spans="2:13" x14ac:dyDescent="0.25">
      <c r="B9" s="22" t="s">
        <v>6</v>
      </c>
      <c r="C9" s="23" t="s">
        <v>28</v>
      </c>
      <c r="D9" s="23">
        <v>56</v>
      </c>
      <c r="E9" s="25">
        <v>90.123263999999992</v>
      </c>
      <c r="F9" s="4"/>
    </row>
    <row r="10" spans="2:13" x14ac:dyDescent="0.25">
      <c r="B10" s="22" t="s">
        <v>2</v>
      </c>
      <c r="C10" s="23" t="s">
        <v>29</v>
      </c>
      <c r="D10" s="23">
        <v>150</v>
      </c>
      <c r="E10" s="25">
        <v>241.4016</v>
      </c>
      <c r="F10" s="4"/>
    </row>
    <row r="11" spans="2:13" x14ac:dyDescent="0.25">
      <c r="B11" s="22" t="s">
        <v>10</v>
      </c>
      <c r="C11" s="23" t="s">
        <v>25</v>
      </c>
      <c r="D11" s="23">
        <v>20</v>
      </c>
      <c r="E11" s="25">
        <v>32.186880000000002</v>
      </c>
      <c r="F11" s="4"/>
    </row>
    <row r="12" spans="2:13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  <c r="F12" s="4"/>
    </row>
  </sheetData>
  <sortState xmlns:xlrd2="http://schemas.microsoft.com/office/spreadsheetml/2017/richdata2" ref="B3:D12">
    <sortCondition ref="B6:B1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4B6A-FD3C-4E3D-AE85-9749C1422D17}">
  <sheetPr codeName="Sheet15"/>
  <dimension ref="B1:I12"/>
  <sheetViews>
    <sheetView workbookViewId="0">
      <selection sqref="A1:I1"/>
    </sheetView>
  </sheetViews>
  <sheetFormatPr defaultRowHeight="15" x14ac:dyDescent="0.25"/>
  <cols>
    <col min="1" max="1" width="2.7109375" customWidth="1"/>
    <col min="2" max="2" width="28.7109375" customWidth="1"/>
    <col min="3" max="3" width="13.7109375" customWidth="1"/>
    <col min="4" max="6" width="10.7109375" customWidth="1"/>
    <col min="7" max="7" width="28.7109375" customWidth="1"/>
    <col min="8" max="9" width="10.7109375" customWidth="1"/>
  </cols>
  <sheetData>
    <row r="1" spans="2:9" ht="19.5" thickBot="1" x14ac:dyDescent="0.35">
      <c r="B1" s="19" t="s">
        <v>43</v>
      </c>
      <c r="C1" s="20"/>
      <c r="D1" s="20"/>
      <c r="E1" s="21"/>
      <c r="G1" s="19" t="s">
        <v>102</v>
      </c>
      <c r="H1" s="86"/>
      <c r="I1" s="29"/>
    </row>
    <row r="2" spans="2:9" x14ac:dyDescent="0.25">
      <c r="B2" s="62" t="s">
        <v>0</v>
      </c>
      <c r="C2" s="63" t="s">
        <v>1</v>
      </c>
      <c r="D2" s="63" t="s">
        <v>20</v>
      </c>
      <c r="E2" s="64" t="s">
        <v>21</v>
      </c>
      <c r="G2" s="43" t="s">
        <v>0</v>
      </c>
      <c r="H2" s="44" t="s">
        <v>20</v>
      </c>
      <c r="I2" s="74" t="s">
        <v>21</v>
      </c>
    </row>
    <row r="3" spans="2:9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G3" s="66" t="s">
        <v>100</v>
      </c>
      <c r="H3" s="36" t="str">
        <f>_xlfn.IFNA(VLOOKUP($G3,$B$3:$E$12,3,FALSE),"Not found")</f>
        <v>Not found</v>
      </c>
      <c r="I3" s="32" t="str">
        <f>_xlfn.IFNA(VLOOKUP($G3,$B$3:$E$12,4,FALSE),"Not found")</f>
        <v>Not found</v>
      </c>
    </row>
    <row r="4" spans="2:9" x14ac:dyDescent="0.25">
      <c r="B4" s="22" t="s">
        <v>8</v>
      </c>
      <c r="C4" s="23" t="s">
        <v>24</v>
      </c>
      <c r="D4" s="23">
        <v>28</v>
      </c>
      <c r="E4" s="25">
        <v>45.061631999999996</v>
      </c>
      <c r="G4" s="3"/>
      <c r="H4" s="3"/>
      <c r="I4" s="3"/>
    </row>
    <row r="5" spans="2:9" ht="15.75" thickBot="1" x14ac:dyDescent="0.3">
      <c r="B5" s="22" t="s">
        <v>9</v>
      </c>
      <c r="C5" s="23" t="s">
        <v>27</v>
      </c>
      <c r="D5" s="23">
        <v>25</v>
      </c>
      <c r="E5" s="25">
        <v>40.233599999999996</v>
      </c>
      <c r="G5" s="3"/>
      <c r="H5" s="3"/>
      <c r="I5" s="3"/>
    </row>
    <row r="6" spans="2:9" ht="19.5" thickBot="1" x14ac:dyDescent="0.35">
      <c r="B6" s="22" t="s">
        <v>3</v>
      </c>
      <c r="C6" s="23" t="s">
        <v>25</v>
      </c>
      <c r="D6" s="23">
        <v>94</v>
      </c>
      <c r="E6" s="25">
        <v>151</v>
      </c>
      <c r="G6" s="19" t="s">
        <v>103</v>
      </c>
      <c r="H6" s="86"/>
      <c r="I6" s="29"/>
    </row>
    <row r="7" spans="2:9" x14ac:dyDescent="0.25">
      <c r="B7" s="22" t="s">
        <v>3</v>
      </c>
      <c r="C7" s="23" t="s">
        <v>19</v>
      </c>
      <c r="D7" s="23">
        <v>55</v>
      </c>
      <c r="E7" s="25">
        <v>89</v>
      </c>
      <c r="G7" s="69" t="s">
        <v>0</v>
      </c>
      <c r="H7" s="70" t="s">
        <v>20</v>
      </c>
      <c r="I7" s="71" t="s">
        <v>21</v>
      </c>
    </row>
    <row r="8" spans="2:9" ht="15.75" thickBot="1" x14ac:dyDescent="0.3">
      <c r="B8" s="22" t="s">
        <v>5</v>
      </c>
      <c r="C8" s="23" t="s">
        <v>24</v>
      </c>
      <c r="D8" s="23">
        <v>70</v>
      </c>
      <c r="E8" s="25">
        <v>112.65408000000001</v>
      </c>
      <c r="G8" s="66" t="s">
        <v>101</v>
      </c>
      <c r="H8" s="36" t="str">
        <f>_xlfn.XLOOKUP($G8,$B3:$B12,D3:D12,"Not found")</f>
        <v>Not found</v>
      </c>
      <c r="I8" s="32" t="str">
        <f>_xlfn.XLOOKUP($G8,'XLOOKUP vs. SUMIF'!$B2:$B12,'XLOOKUP vs. SUMIF'!E2:E12,"Not found")</f>
        <v>Not found</v>
      </c>
    </row>
    <row r="9" spans="2:9" x14ac:dyDescent="0.25">
      <c r="B9" s="22" t="s">
        <v>6</v>
      </c>
      <c r="C9" s="23" t="s">
        <v>28</v>
      </c>
      <c r="D9" s="23">
        <v>56</v>
      </c>
      <c r="E9" s="25">
        <v>90.123263999999992</v>
      </c>
    </row>
    <row r="10" spans="2:9" x14ac:dyDescent="0.25">
      <c r="B10" s="22" t="s">
        <v>2</v>
      </c>
      <c r="C10" s="23" t="s">
        <v>29</v>
      </c>
      <c r="D10" s="23">
        <v>150</v>
      </c>
      <c r="E10" s="25">
        <v>241.4016</v>
      </c>
    </row>
    <row r="11" spans="2:9" x14ac:dyDescent="0.25">
      <c r="B11" s="22" t="s">
        <v>10</v>
      </c>
      <c r="C11" s="23" t="s">
        <v>25</v>
      </c>
      <c r="D11" s="23">
        <v>20</v>
      </c>
      <c r="E11" s="25">
        <v>32.186880000000002</v>
      </c>
    </row>
    <row r="12" spans="2:9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5D3-BCAD-4B64-9120-89F079E352F5}">
  <sheetPr codeName="Sheet3"/>
  <dimension ref="B1:I13"/>
  <sheetViews>
    <sheetView workbookViewId="0">
      <selection sqref="A1:I1"/>
    </sheetView>
  </sheetViews>
  <sheetFormatPr defaultRowHeight="15" x14ac:dyDescent="0.25"/>
  <cols>
    <col min="1" max="1" width="2.7109375" customWidth="1"/>
    <col min="2" max="2" width="28.7109375" customWidth="1"/>
    <col min="3" max="3" width="13.7109375" customWidth="1"/>
    <col min="4" max="7" width="10.7109375" customWidth="1"/>
    <col min="8" max="8" width="30.7109375" customWidth="1"/>
    <col min="9" max="9" width="12.5703125" customWidth="1"/>
  </cols>
  <sheetData>
    <row r="1" spans="2:9" ht="18.75" x14ac:dyDescent="0.3">
      <c r="B1" s="19" t="s">
        <v>43</v>
      </c>
      <c r="C1" s="20"/>
      <c r="D1" s="20"/>
      <c r="E1" s="21"/>
      <c r="G1" s="19" t="s">
        <v>70</v>
      </c>
      <c r="H1" s="34"/>
      <c r="I1" s="35"/>
    </row>
    <row r="2" spans="2:9" x14ac:dyDescent="0.25">
      <c r="B2" s="89" t="s">
        <v>0</v>
      </c>
      <c r="C2" s="90" t="s">
        <v>1</v>
      </c>
      <c r="D2" s="90" t="s">
        <v>20</v>
      </c>
      <c r="E2" s="91" t="s">
        <v>21</v>
      </c>
      <c r="G2" s="78" t="s">
        <v>20</v>
      </c>
      <c r="H2" s="63" t="s">
        <v>0</v>
      </c>
      <c r="I2" s="24"/>
    </row>
    <row r="3" spans="2:9" ht="15.75" thickBot="1" x14ac:dyDescent="0.3">
      <c r="B3" s="22" t="s">
        <v>10</v>
      </c>
      <c r="C3" s="23" t="s">
        <v>25</v>
      </c>
      <c r="D3" s="23">
        <v>20</v>
      </c>
      <c r="E3" s="25">
        <v>32.186880000000002</v>
      </c>
      <c r="G3" s="26">
        <v>50</v>
      </c>
      <c r="H3" s="36" t="str">
        <f>_xlfn.XLOOKUP(G3,D3:D12,B3:B12,,-1)</f>
        <v>Virginia Beach</v>
      </c>
      <c r="I3" s="37"/>
    </row>
    <row r="4" spans="2:9" x14ac:dyDescent="0.25">
      <c r="B4" s="22" t="s">
        <v>9</v>
      </c>
      <c r="C4" s="23" t="s">
        <v>27</v>
      </c>
      <c r="D4" s="23">
        <v>25</v>
      </c>
      <c r="E4" s="25">
        <v>40.233599999999996</v>
      </c>
    </row>
    <row r="5" spans="2:9" ht="15.75" thickBot="1" x14ac:dyDescent="0.3">
      <c r="B5" s="22" t="s">
        <v>8</v>
      </c>
      <c r="C5" s="23" t="s">
        <v>24</v>
      </c>
      <c r="D5" s="23">
        <v>28</v>
      </c>
      <c r="E5" s="25">
        <v>45.061631999999996</v>
      </c>
    </row>
    <row r="6" spans="2:9" ht="18.75" x14ac:dyDescent="0.3">
      <c r="B6" s="22" t="s">
        <v>7</v>
      </c>
      <c r="C6" s="23" t="s">
        <v>24</v>
      </c>
      <c r="D6" s="23">
        <v>35</v>
      </c>
      <c r="E6" s="25">
        <v>56.327040000000004</v>
      </c>
      <c r="G6" s="19" t="s">
        <v>106</v>
      </c>
      <c r="H6" s="34"/>
      <c r="I6" s="35"/>
    </row>
    <row r="7" spans="2:9" x14ac:dyDescent="0.25">
      <c r="B7" s="22" t="s">
        <v>3</v>
      </c>
      <c r="C7" s="23" t="s">
        <v>19</v>
      </c>
      <c r="D7" s="23">
        <v>55</v>
      </c>
      <c r="E7" s="25">
        <v>89</v>
      </c>
      <c r="G7" s="78" t="s">
        <v>20</v>
      </c>
      <c r="H7" s="63" t="s">
        <v>0</v>
      </c>
      <c r="I7" s="64" t="s">
        <v>1</v>
      </c>
    </row>
    <row r="8" spans="2:9" ht="15.75" thickBot="1" x14ac:dyDescent="0.3">
      <c r="B8" s="22" t="s">
        <v>6</v>
      </c>
      <c r="C8" s="23" t="s">
        <v>28</v>
      </c>
      <c r="D8" s="23">
        <v>56</v>
      </c>
      <c r="E8" s="25">
        <v>90.123263999999992</v>
      </c>
      <c r="G8" s="26">
        <v>50</v>
      </c>
      <c r="H8" s="36" t="str" cm="1">
        <f t="array" ref="H8:I8">_xlfn.XLOOKUP(G13,D3:D12,B3:C12,,1)</f>
        <v>Ninety Mile Beach</v>
      </c>
      <c r="I8" s="37" t="str">
        <v>New Zealand</v>
      </c>
    </row>
    <row r="9" spans="2:9" x14ac:dyDescent="0.25">
      <c r="B9" s="22" t="s">
        <v>5</v>
      </c>
      <c r="C9" s="23" t="s">
        <v>24</v>
      </c>
      <c r="D9" s="23">
        <v>70</v>
      </c>
      <c r="E9" s="25">
        <v>112.65408000000001</v>
      </c>
    </row>
    <row r="10" spans="2:9" ht="15.75" thickBot="1" x14ac:dyDescent="0.3">
      <c r="B10" s="22" t="s">
        <v>4</v>
      </c>
      <c r="C10" s="23" t="s">
        <v>26</v>
      </c>
      <c r="D10" s="23">
        <v>75</v>
      </c>
      <c r="E10" s="25">
        <v>120.7008</v>
      </c>
    </row>
    <row r="11" spans="2:9" ht="18.75" x14ac:dyDescent="0.3">
      <c r="B11" s="22" t="s">
        <v>3</v>
      </c>
      <c r="C11" s="23" t="s">
        <v>25</v>
      </c>
      <c r="D11" s="23">
        <v>94</v>
      </c>
      <c r="E11" s="25">
        <v>151</v>
      </c>
      <c r="G11" s="19" t="s">
        <v>107</v>
      </c>
      <c r="H11" s="34"/>
      <c r="I11" s="35"/>
    </row>
    <row r="12" spans="2:9" ht="15.75" thickBot="1" x14ac:dyDescent="0.3">
      <c r="B12" s="26" t="s">
        <v>2</v>
      </c>
      <c r="C12" s="27" t="s">
        <v>29</v>
      </c>
      <c r="D12" s="27">
        <v>150</v>
      </c>
      <c r="E12" s="28">
        <v>241.4016</v>
      </c>
      <c r="G12" s="78" t="s">
        <v>20</v>
      </c>
      <c r="H12" s="63" t="s">
        <v>45</v>
      </c>
      <c r="I12" s="24"/>
    </row>
    <row r="13" spans="2:9" ht="15.75" thickBot="1" x14ac:dyDescent="0.3">
      <c r="G13" s="26">
        <v>50</v>
      </c>
      <c r="H13" s="36" t="str" cm="1">
        <f t="array" ref="H13">_xlfn.XLOOKUP(G8,D3:D12,B3:B12&amp;", "&amp;C3:C12,,1)</f>
        <v>Ninety Mile Beach, New Zealand</v>
      </c>
      <c r="I13" s="37"/>
    </row>
  </sheetData>
  <sortState xmlns:xlrd2="http://schemas.microsoft.com/office/spreadsheetml/2017/richdata2" ref="B3:E12">
    <sortCondition ref="D3:D12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781-3298-4E8E-9F13-11517EB2B60A}">
  <sheetPr codeName="Sheet4"/>
  <dimension ref="B1:O16"/>
  <sheetViews>
    <sheetView workbookViewId="0">
      <selection activeCell="C11" sqref="C11"/>
    </sheetView>
  </sheetViews>
  <sheetFormatPr defaultColWidth="8.85546875" defaultRowHeight="15" x14ac:dyDescent="0.25"/>
  <cols>
    <col min="1" max="1" width="2.7109375" customWidth="1"/>
    <col min="3" max="14" width="8.42578125" customWidth="1"/>
    <col min="15" max="15" width="9.42578125" bestFit="1" customWidth="1"/>
  </cols>
  <sheetData>
    <row r="1" spans="2:15" ht="19.5" thickBot="1" x14ac:dyDescent="0.35">
      <c r="B1" s="19" t="s">
        <v>71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2:15" x14ac:dyDescent="0.25">
      <c r="B2" s="43" t="s">
        <v>12</v>
      </c>
      <c r="C2" s="44" t="s">
        <v>47</v>
      </c>
      <c r="D2" s="44" t="s">
        <v>48</v>
      </c>
      <c r="E2" s="44" t="s">
        <v>49</v>
      </c>
      <c r="F2" s="44" t="s">
        <v>50</v>
      </c>
      <c r="G2" s="44" t="s">
        <v>11</v>
      </c>
      <c r="H2" s="44" t="s">
        <v>51</v>
      </c>
      <c r="I2" s="44" t="s">
        <v>52</v>
      </c>
      <c r="J2" s="44" t="s">
        <v>53</v>
      </c>
      <c r="K2" s="44" t="s">
        <v>54</v>
      </c>
      <c r="L2" s="44" t="s">
        <v>55</v>
      </c>
      <c r="M2" s="44" t="s">
        <v>56</v>
      </c>
      <c r="N2" s="44" t="s">
        <v>57</v>
      </c>
      <c r="O2" s="45" t="s">
        <v>18</v>
      </c>
    </row>
    <row r="3" spans="2:15" x14ac:dyDescent="0.25">
      <c r="B3" s="46" t="s">
        <v>13</v>
      </c>
      <c r="C3" s="23">
        <v>255</v>
      </c>
      <c r="D3" s="23">
        <v>344</v>
      </c>
      <c r="E3" s="23">
        <v>250</v>
      </c>
      <c r="F3" s="23">
        <v>401</v>
      </c>
      <c r="G3" s="23">
        <v>176</v>
      </c>
      <c r="H3" s="23">
        <v>232</v>
      </c>
      <c r="I3" s="23">
        <v>196</v>
      </c>
      <c r="J3" s="23">
        <v>146</v>
      </c>
      <c r="K3" s="23">
        <v>319</v>
      </c>
      <c r="L3" s="23">
        <v>142</v>
      </c>
      <c r="M3" s="23">
        <v>479</v>
      </c>
      <c r="N3" s="23">
        <v>193</v>
      </c>
      <c r="O3" s="47">
        <f>SUM(C3:N3)</f>
        <v>3133</v>
      </c>
    </row>
    <row r="4" spans="2:15" x14ac:dyDescent="0.25">
      <c r="B4" s="46" t="s">
        <v>14</v>
      </c>
      <c r="C4" s="23">
        <v>339</v>
      </c>
      <c r="D4" s="23">
        <v>258</v>
      </c>
      <c r="E4" s="23">
        <v>311</v>
      </c>
      <c r="F4" s="23">
        <v>161</v>
      </c>
      <c r="G4" s="23">
        <v>367</v>
      </c>
      <c r="H4" s="23">
        <v>136</v>
      </c>
      <c r="I4" s="23">
        <v>183</v>
      </c>
      <c r="J4" s="23">
        <v>458</v>
      </c>
      <c r="K4" s="23">
        <v>318</v>
      </c>
      <c r="L4" s="23">
        <v>250</v>
      </c>
      <c r="M4" s="23">
        <v>179</v>
      </c>
      <c r="N4" s="23">
        <v>310</v>
      </c>
      <c r="O4" s="47">
        <f t="shared" ref="O4:O7" si="0">SUM(C4:N4)</f>
        <v>3270</v>
      </c>
    </row>
    <row r="5" spans="2:15" x14ac:dyDescent="0.25">
      <c r="B5" s="46" t="s">
        <v>15</v>
      </c>
      <c r="C5" s="23">
        <v>269</v>
      </c>
      <c r="D5" s="23">
        <v>327</v>
      </c>
      <c r="E5" s="23">
        <v>341</v>
      </c>
      <c r="F5" s="23">
        <v>488</v>
      </c>
      <c r="G5" s="23">
        <v>214</v>
      </c>
      <c r="H5" s="23">
        <v>474</v>
      </c>
      <c r="I5" s="23">
        <v>451</v>
      </c>
      <c r="J5" s="23">
        <v>217</v>
      </c>
      <c r="K5" s="23">
        <v>325</v>
      </c>
      <c r="L5" s="23">
        <v>123</v>
      </c>
      <c r="M5" s="23">
        <v>301</v>
      </c>
      <c r="N5" s="23">
        <v>433</v>
      </c>
      <c r="O5" s="47">
        <f t="shared" si="0"/>
        <v>3963</v>
      </c>
    </row>
    <row r="6" spans="2:15" x14ac:dyDescent="0.25">
      <c r="B6" s="46" t="s">
        <v>16</v>
      </c>
      <c r="C6" s="23">
        <v>272</v>
      </c>
      <c r="D6" s="23">
        <v>470</v>
      </c>
      <c r="E6" s="23">
        <v>233</v>
      </c>
      <c r="F6" s="23">
        <v>127</v>
      </c>
      <c r="G6" s="23">
        <v>410</v>
      </c>
      <c r="H6" s="23">
        <v>168</v>
      </c>
      <c r="I6" s="23">
        <v>271</v>
      </c>
      <c r="J6" s="23">
        <v>426</v>
      </c>
      <c r="K6" s="23">
        <v>320</v>
      </c>
      <c r="L6" s="23">
        <v>154</v>
      </c>
      <c r="M6" s="23">
        <v>231</v>
      </c>
      <c r="N6" s="23">
        <v>322</v>
      </c>
      <c r="O6" s="47">
        <f t="shared" si="0"/>
        <v>3404</v>
      </c>
    </row>
    <row r="7" spans="2:15" ht="15.75" thickBot="1" x14ac:dyDescent="0.3">
      <c r="B7" s="48" t="s">
        <v>17</v>
      </c>
      <c r="C7" s="27">
        <v>209</v>
      </c>
      <c r="D7" s="27">
        <v>423</v>
      </c>
      <c r="E7" s="27">
        <v>455</v>
      </c>
      <c r="F7" s="27">
        <v>314</v>
      </c>
      <c r="G7" s="27">
        <v>345</v>
      </c>
      <c r="H7" s="27">
        <v>295</v>
      </c>
      <c r="I7" s="27">
        <v>296</v>
      </c>
      <c r="J7" s="27">
        <v>262</v>
      </c>
      <c r="K7" s="27">
        <v>109</v>
      </c>
      <c r="L7" s="27">
        <v>225</v>
      </c>
      <c r="M7" s="27">
        <v>309</v>
      </c>
      <c r="N7" s="27">
        <v>420</v>
      </c>
      <c r="O7" s="49">
        <f t="shared" si="0"/>
        <v>3662</v>
      </c>
    </row>
    <row r="9" spans="2:15" ht="19.5" thickBot="1" x14ac:dyDescent="0.35">
      <c r="B9" s="17" t="s">
        <v>69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x14ac:dyDescent="0.25">
      <c r="B10" s="43" t="s">
        <v>12</v>
      </c>
      <c r="C10" s="44" t="s">
        <v>47</v>
      </c>
      <c r="D10" s="44" t="s">
        <v>48</v>
      </c>
      <c r="E10" s="44" t="s">
        <v>49</v>
      </c>
      <c r="F10" s="44" t="s">
        <v>50</v>
      </c>
      <c r="G10" s="44" t="s">
        <v>11</v>
      </c>
      <c r="H10" s="44" t="s">
        <v>51</v>
      </c>
      <c r="I10" s="44" t="s">
        <v>52</v>
      </c>
      <c r="J10" s="44" t="s">
        <v>53</v>
      </c>
      <c r="K10" s="44" t="s">
        <v>54</v>
      </c>
      <c r="L10" s="44" t="s">
        <v>55</v>
      </c>
      <c r="M10" s="44" t="s">
        <v>56</v>
      </c>
      <c r="N10" s="44" t="s">
        <v>57</v>
      </c>
      <c r="O10" s="45" t="s">
        <v>18</v>
      </c>
    </row>
    <row r="11" spans="2:15" ht="15.75" thickBot="1" x14ac:dyDescent="0.3">
      <c r="B11" s="48" t="s">
        <v>15</v>
      </c>
      <c r="C11" s="36" cm="1">
        <f t="array" ref="C11:N11">_xlfn.XLOOKUP(B11,B3:B7,C3:N7)</f>
        <v>269</v>
      </c>
      <c r="D11" s="27">
        <v>327</v>
      </c>
      <c r="E11" s="27">
        <v>341</v>
      </c>
      <c r="F11" s="27">
        <v>488</v>
      </c>
      <c r="G11" s="27">
        <v>214</v>
      </c>
      <c r="H11" s="27">
        <v>474</v>
      </c>
      <c r="I11" s="27">
        <v>451</v>
      </c>
      <c r="J11" s="27">
        <v>217</v>
      </c>
      <c r="K11" s="27">
        <v>325</v>
      </c>
      <c r="L11" s="27">
        <v>123</v>
      </c>
      <c r="M11" s="27">
        <v>301</v>
      </c>
      <c r="N11" s="27">
        <v>433</v>
      </c>
      <c r="O11" s="37"/>
    </row>
    <row r="14" spans="2:15" ht="19.5" thickBot="1" x14ac:dyDescent="0.35">
      <c r="B14" s="17" t="s">
        <v>72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x14ac:dyDescent="0.25">
      <c r="B15" s="31" t="s">
        <v>12</v>
      </c>
      <c r="C15" s="33" t="s">
        <v>46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38"/>
    </row>
    <row r="16" spans="2:15" ht="15.75" thickBot="1" x14ac:dyDescent="0.3">
      <c r="B16" s="48" t="s">
        <v>15</v>
      </c>
      <c r="C16" s="51">
        <f>SUM(_xlfn.XLOOKUP(B16,B3:B7,C3:N7))</f>
        <v>3963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37"/>
    </row>
  </sheetData>
  <phoneticPr fontId="6" type="noConversion"/>
  <conditionalFormatting sqref="C3:O7">
    <cfRule type="expression" dxfId="0" priority="2">
      <formula>$B$11=$B3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01E0-FA2A-4BFC-9352-567BBD7CAB95}">
  <sheetPr codeName="Sheet5"/>
  <dimension ref="B1:H12"/>
  <sheetViews>
    <sheetView workbookViewId="0">
      <selection activeCell="H3" sqref="H3"/>
    </sheetView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6" width="10.7109375" customWidth="1"/>
    <col min="7" max="7" width="28.7109375" customWidth="1"/>
    <col min="8" max="8" width="16.5703125" customWidth="1"/>
    <col min="9" max="9" width="10.7109375" customWidth="1"/>
  </cols>
  <sheetData>
    <row r="1" spans="2:8" ht="19.5" thickBot="1" x14ac:dyDescent="0.35">
      <c r="B1" s="19" t="s">
        <v>43</v>
      </c>
      <c r="C1" s="20"/>
      <c r="D1" s="20"/>
      <c r="E1" s="21"/>
      <c r="G1" s="17" t="s">
        <v>87</v>
      </c>
      <c r="H1" s="16"/>
    </row>
    <row r="2" spans="2:8" x14ac:dyDescent="0.25">
      <c r="B2" s="62" t="s">
        <v>0</v>
      </c>
      <c r="C2" s="63" t="s">
        <v>1</v>
      </c>
      <c r="D2" s="63" t="s">
        <v>20</v>
      </c>
      <c r="E2" s="64" t="s">
        <v>21</v>
      </c>
      <c r="G2" s="43" t="s">
        <v>0</v>
      </c>
      <c r="H2" s="74" t="s">
        <v>58</v>
      </c>
    </row>
    <row r="3" spans="2:8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G3" s="26" t="s">
        <v>3</v>
      </c>
      <c r="H3" s="30" t="str" cm="1">
        <f t="array" ref="H3">_xlfn.XLOOKUP(G3,B3:B12,C3:C12&amp;": "&amp;D3:D12,"Not found",1,1)</f>
        <v>Australia: 94</v>
      </c>
    </row>
    <row r="4" spans="2:8" x14ac:dyDescent="0.25">
      <c r="B4" s="22" t="s">
        <v>8</v>
      </c>
      <c r="C4" s="23" t="s">
        <v>24</v>
      </c>
      <c r="D4" s="23">
        <v>28</v>
      </c>
      <c r="E4" s="25">
        <v>45.061631999999996</v>
      </c>
    </row>
    <row r="5" spans="2:8" x14ac:dyDescent="0.25">
      <c r="B5" s="22" t="s">
        <v>9</v>
      </c>
      <c r="C5" s="23" t="s">
        <v>27</v>
      </c>
      <c r="D5" s="23">
        <v>25</v>
      </c>
      <c r="E5" s="25">
        <v>40.233599999999996</v>
      </c>
    </row>
    <row r="6" spans="2:8" ht="19.5" thickBot="1" x14ac:dyDescent="0.35">
      <c r="B6" s="22" t="s">
        <v>3</v>
      </c>
      <c r="C6" s="23" t="s">
        <v>25</v>
      </c>
      <c r="D6" s="23">
        <v>94</v>
      </c>
      <c r="E6" s="25">
        <v>151</v>
      </c>
      <c r="G6" s="17" t="s">
        <v>88</v>
      </c>
      <c r="H6" s="16"/>
    </row>
    <row r="7" spans="2:8" x14ac:dyDescent="0.25">
      <c r="B7" s="22" t="s">
        <v>3</v>
      </c>
      <c r="C7" s="23" t="s">
        <v>19</v>
      </c>
      <c r="D7" s="23">
        <v>55</v>
      </c>
      <c r="E7" s="25">
        <v>89</v>
      </c>
      <c r="G7" s="43" t="s">
        <v>0</v>
      </c>
      <c r="H7" s="45" t="s">
        <v>58</v>
      </c>
    </row>
    <row r="8" spans="2:8" ht="15.75" thickBot="1" x14ac:dyDescent="0.3">
      <c r="B8" s="22" t="s">
        <v>5</v>
      </c>
      <c r="C8" s="23" t="s">
        <v>24</v>
      </c>
      <c r="D8" s="23">
        <v>70</v>
      </c>
      <c r="E8" s="25">
        <v>112.65408000000001</v>
      </c>
      <c r="G8" s="26" t="s">
        <v>3</v>
      </c>
      <c r="H8" s="30" t="str" cm="1">
        <f t="array" ref="H8">_xlfn.XLOOKUP(G8,B3:B12,C3:C12&amp;": "&amp;D3:D12,"Not found",1,-1)</f>
        <v>New Zealand: 55</v>
      </c>
    </row>
    <row r="9" spans="2:8" x14ac:dyDescent="0.25">
      <c r="B9" s="22" t="s">
        <v>6</v>
      </c>
      <c r="C9" s="23" t="s">
        <v>28</v>
      </c>
      <c r="D9" s="23">
        <v>56</v>
      </c>
      <c r="E9" s="25">
        <v>90.123263999999992</v>
      </c>
      <c r="G9" s="23"/>
      <c r="H9" s="23"/>
    </row>
    <row r="10" spans="2:8" x14ac:dyDescent="0.25">
      <c r="B10" s="22" t="s">
        <v>2</v>
      </c>
      <c r="C10" s="23" t="s">
        <v>29</v>
      </c>
      <c r="D10" s="23">
        <v>150</v>
      </c>
      <c r="E10" s="25">
        <v>241.4016</v>
      </c>
    </row>
    <row r="11" spans="2:8" x14ac:dyDescent="0.25">
      <c r="B11" s="22" t="s">
        <v>10</v>
      </c>
      <c r="C11" s="23" t="s">
        <v>25</v>
      </c>
      <c r="D11" s="23">
        <v>20</v>
      </c>
      <c r="E11" s="25">
        <v>32.186880000000002</v>
      </c>
    </row>
    <row r="12" spans="2:8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DBE-7C08-4DB4-A73E-01EA90597356}">
  <sheetPr codeName="Sheet6"/>
  <dimension ref="B1:K12"/>
  <sheetViews>
    <sheetView workbookViewId="0">
      <selection activeCell="J3" sqref="J3"/>
    </sheetView>
  </sheetViews>
  <sheetFormatPr defaultColWidth="8.85546875" defaultRowHeight="15" x14ac:dyDescent="0.25"/>
  <cols>
    <col min="1" max="1" width="2.7109375" customWidth="1"/>
    <col min="2" max="2" width="31.28515625" customWidth="1"/>
    <col min="3" max="3" width="17.42578125" customWidth="1"/>
    <col min="4" max="4" width="13" customWidth="1"/>
    <col min="5" max="5" width="6" bestFit="1" customWidth="1"/>
    <col min="6" max="6" width="10.7109375" bestFit="1" customWidth="1"/>
    <col min="7" max="7" width="4.140625" customWidth="1"/>
    <col min="8" max="8" width="11.5703125" bestFit="1" customWidth="1"/>
    <col min="9" max="9" width="15.7109375" customWidth="1"/>
    <col min="10" max="11" width="12.7109375" customWidth="1"/>
  </cols>
  <sheetData>
    <row r="1" spans="2:11" ht="18.75" x14ac:dyDescent="0.3">
      <c r="B1" s="19" t="s">
        <v>43</v>
      </c>
      <c r="C1" s="19"/>
      <c r="D1" s="20"/>
      <c r="E1" s="20"/>
      <c r="F1" s="21"/>
      <c r="H1" s="19" t="s">
        <v>99</v>
      </c>
      <c r="I1" s="34"/>
      <c r="J1" s="34"/>
      <c r="K1" s="35"/>
    </row>
    <row r="2" spans="2:11" x14ac:dyDescent="0.25">
      <c r="B2" s="78" t="s">
        <v>97</v>
      </c>
      <c r="C2" s="87" t="s">
        <v>0</v>
      </c>
      <c r="D2" s="63" t="s">
        <v>1</v>
      </c>
      <c r="E2" s="63" t="s">
        <v>20</v>
      </c>
      <c r="F2" s="64" t="s">
        <v>21</v>
      </c>
      <c r="H2" s="76" t="s">
        <v>0</v>
      </c>
      <c r="I2" s="75" t="s">
        <v>1</v>
      </c>
      <c r="J2" s="75" t="s">
        <v>20</v>
      </c>
      <c r="K2" s="77" t="s">
        <v>21</v>
      </c>
    </row>
    <row r="3" spans="2:11" ht="15.75" thickBot="1" x14ac:dyDescent="0.3">
      <c r="B3" s="56" t="str">
        <f>C3&amp;" "&amp;D3</f>
        <v>Cox's Bazar Bangladesh</v>
      </c>
      <c r="C3" s="23" t="s">
        <v>4</v>
      </c>
      <c r="D3" s="23" t="s">
        <v>26</v>
      </c>
      <c r="E3" s="23">
        <v>75</v>
      </c>
      <c r="F3" s="25">
        <v>120.7008</v>
      </c>
      <c r="H3" s="26" t="s">
        <v>9</v>
      </c>
      <c r="I3" s="27" t="s">
        <v>27</v>
      </c>
      <c r="J3" s="36">
        <f>VLOOKUP($H3&amp;" "&amp;$I3,$B3:$F12,4,FALSE)</f>
        <v>25</v>
      </c>
      <c r="K3" s="49">
        <f>VLOOKUP($H3&amp;" "&amp;$I3,$B3:$F12,5,FALSE)</f>
        <v>40.233599999999996</v>
      </c>
    </row>
    <row r="4" spans="2:11" x14ac:dyDescent="0.25">
      <c r="B4" s="22" t="str">
        <f t="shared" ref="B4:B12" si="0">C4&amp;" "&amp;D4</f>
        <v>Long Beach United States</v>
      </c>
      <c r="C4" s="23" t="s">
        <v>8</v>
      </c>
      <c r="D4" s="23" t="s">
        <v>24</v>
      </c>
      <c r="E4" s="23">
        <v>28</v>
      </c>
      <c r="F4" s="25">
        <v>45.061631999999996</v>
      </c>
      <c r="H4" s="50"/>
      <c r="I4" s="50"/>
      <c r="J4" s="95"/>
      <c r="K4" s="50"/>
    </row>
    <row r="5" spans="2:11" ht="15.75" thickBot="1" x14ac:dyDescent="0.3">
      <c r="B5" s="22" t="str">
        <f t="shared" si="0"/>
        <v>Muizenberg South Africa</v>
      </c>
      <c r="C5" s="23" t="s">
        <v>9</v>
      </c>
      <c r="D5" s="23" t="s">
        <v>27</v>
      </c>
      <c r="E5" s="23">
        <v>25</v>
      </c>
      <c r="F5" s="25">
        <v>40.233599999999996</v>
      </c>
      <c r="H5" s="27"/>
      <c r="I5" s="27"/>
      <c r="J5" s="39"/>
      <c r="K5" s="27"/>
    </row>
    <row r="6" spans="2:11" ht="18.75" x14ac:dyDescent="0.3">
      <c r="B6" s="22" t="str">
        <f t="shared" si="0"/>
        <v>Ninety Mile Beach Australia</v>
      </c>
      <c r="C6" s="23" t="s">
        <v>3</v>
      </c>
      <c r="D6" s="23" t="s">
        <v>25</v>
      </c>
      <c r="E6" s="23">
        <v>94</v>
      </c>
      <c r="F6" s="25">
        <v>151</v>
      </c>
      <c r="H6" s="19" t="s">
        <v>98</v>
      </c>
      <c r="I6" s="34"/>
      <c r="J6" s="34"/>
      <c r="K6" s="35"/>
    </row>
    <row r="7" spans="2:11" x14ac:dyDescent="0.25">
      <c r="B7" s="22" t="str">
        <f t="shared" si="0"/>
        <v>Ninety Mile Beach New Zealand</v>
      </c>
      <c r="C7" s="23" t="s">
        <v>3</v>
      </c>
      <c r="D7" s="23" t="s">
        <v>19</v>
      </c>
      <c r="E7" s="23">
        <v>55</v>
      </c>
      <c r="F7" s="25">
        <v>89</v>
      </c>
      <c r="H7" s="76" t="s">
        <v>0</v>
      </c>
      <c r="I7" s="75" t="s">
        <v>1</v>
      </c>
      <c r="J7" s="75" t="s">
        <v>20</v>
      </c>
      <c r="K7" s="77" t="s">
        <v>21</v>
      </c>
    </row>
    <row r="8" spans="2:11" ht="15.75" thickBot="1" x14ac:dyDescent="0.3">
      <c r="B8" s="22" t="str">
        <f t="shared" si="0"/>
        <v>Padre Island National Seashore United States</v>
      </c>
      <c r="C8" s="23" t="s">
        <v>5</v>
      </c>
      <c r="D8" s="23" t="s">
        <v>24</v>
      </c>
      <c r="E8" s="23">
        <v>70</v>
      </c>
      <c r="F8" s="25">
        <v>112.65408000000001</v>
      </c>
      <c r="H8" s="26" t="s">
        <v>9</v>
      </c>
      <c r="I8" s="27" t="s">
        <v>27</v>
      </c>
      <c r="J8" s="36" cm="1">
        <f t="array" ref="J8:K8">_xlfn.XLOOKUP(H8&amp;I8,C3:C12&amp;D3:D12,E3:F12)</f>
        <v>25</v>
      </c>
      <c r="K8" s="49">
        <v>40.233599999999996</v>
      </c>
    </row>
    <row r="9" spans="2:11" x14ac:dyDescent="0.25">
      <c r="B9" s="22" t="str">
        <f t="shared" si="0"/>
        <v>Playa Novillero Mexico</v>
      </c>
      <c r="C9" s="23" t="s">
        <v>6</v>
      </c>
      <c r="D9" s="23" t="s">
        <v>28</v>
      </c>
      <c r="E9" s="23">
        <v>56</v>
      </c>
      <c r="F9" s="25">
        <v>90.123263999999992</v>
      </c>
    </row>
    <row r="10" spans="2:11" x14ac:dyDescent="0.25">
      <c r="B10" s="22" t="str">
        <f t="shared" si="0"/>
        <v>Praia do Cassino Beach Brazil</v>
      </c>
      <c r="C10" s="23" t="s">
        <v>2</v>
      </c>
      <c r="D10" s="23" t="s">
        <v>29</v>
      </c>
      <c r="E10" s="23">
        <v>150</v>
      </c>
      <c r="F10" s="25">
        <v>241.4016</v>
      </c>
    </row>
    <row r="11" spans="2:11" x14ac:dyDescent="0.25">
      <c r="B11" s="22" t="str">
        <f t="shared" si="0"/>
        <v>Stockton Beach Australia</v>
      </c>
      <c r="C11" s="23" t="s">
        <v>10</v>
      </c>
      <c r="D11" s="23" t="s">
        <v>25</v>
      </c>
      <c r="E11" s="23">
        <v>20</v>
      </c>
      <c r="F11" s="25">
        <v>32.186880000000002</v>
      </c>
    </row>
    <row r="12" spans="2:11" ht="15.75" thickBot="1" x14ac:dyDescent="0.3">
      <c r="B12" s="26" t="str">
        <f t="shared" si="0"/>
        <v>Virginia Beach United States</v>
      </c>
      <c r="C12" s="27" t="s">
        <v>7</v>
      </c>
      <c r="D12" s="27" t="s">
        <v>24</v>
      </c>
      <c r="E12" s="27">
        <v>35</v>
      </c>
      <c r="F12" s="28">
        <v>56.327040000000004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4A45-7D4E-4D7F-ADF0-3E46D9008A3C}">
  <sheetPr codeName="Sheet7"/>
  <dimension ref="B1:I13"/>
  <sheetViews>
    <sheetView zoomScaleNormal="100" workbookViewId="0">
      <selection activeCell="E11" sqref="E11"/>
    </sheetView>
  </sheetViews>
  <sheetFormatPr defaultColWidth="8.85546875" defaultRowHeight="15" x14ac:dyDescent="0.25"/>
  <cols>
    <col min="1" max="1" width="2.7109375" customWidth="1"/>
    <col min="2" max="2" width="30.7109375" customWidth="1"/>
    <col min="3" max="5" width="15.7109375" customWidth="1"/>
    <col min="6" max="6" width="10.7109375" customWidth="1"/>
    <col min="7" max="7" width="30.7109375" customWidth="1"/>
    <col min="8" max="9" width="15.7109375" customWidth="1"/>
  </cols>
  <sheetData>
    <row r="1" spans="2:9" ht="19.5" thickBot="1" x14ac:dyDescent="0.35">
      <c r="B1" s="19" t="s">
        <v>43</v>
      </c>
      <c r="C1" s="20"/>
      <c r="D1" s="20"/>
      <c r="E1" s="21"/>
      <c r="G1" s="19" t="s">
        <v>73</v>
      </c>
      <c r="H1" s="34"/>
      <c r="I1" s="35"/>
    </row>
    <row r="2" spans="2:9" x14ac:dyDescent="0.25">
      <c r="B2" s="62" t="s">
        <v>0</v>
      </c>
      <c r="C2" s="63" t="s">
        <v>1</v>
      </c>
      <c r="D2" s="63" t="s">
        <v>20</v>
      </c>
      <c r="E2" s="64" t="s">
        <v>21</v>
      </c>
      <c r="G2" s="43" t="s">
        <v>0</v>
      </c>
      <c r="H2" s="73" t="s">
        <v>59</v>
      </c>
      <c r="I2" s="38"/>
    </row>
    <row r="3" spans="2:9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G3" s="26" t="s">
        <v>10</v>
      </c>
      <c r="H3" s="36">
        <f>MATCH(G3,B3:B12,0)</f>
        <v>9</v>
      </c>
      <c r="I3" s="37"/>
    </row>
    <row r="4" spans="2:9" x14ac:dyDescent="0.25">
      <c r="B4" s="22" t="s">
        <v>8</v>
      </c>
      <c r="C4" s="23" t="s">
        <v>24</v>
      </c>
      <c r="D4" s="23">
        <v>28</v>
      </c>
      <c r="E4" s="25">
        <v>45.061631999999996</v>
      </c>
    </row>
    <row r="5" spans="2:9" ht="15.75" thickBot="1" x14ac:dyDescent="0.3">
      <c r="B5" s="22" t="s">
        <v>9</v>
      </c>
      <c r="C5" s="23" t="s">
        <v>27</v>
      </c>
      <c r="D5" s="23">
        <v>25</v>
      </c>
      <c r="E5" s="25">
        <v>40.233599999999996</v>
      </c>
    </row>
    <row r="6" spans="2:9" ht="19.5" thickBot="1" x14ac:dyDescent="0.35">
      <c r="B6" s="22" t="s">
        <v>3</v>
      </c>
      <c r="C6" s="23" t="s">
        <v>25</v>
      </c>
      <c r="D6" s="23">
        <v>94</v>
      </c>
      <c r="E6" s="25">
        <v>151</v>
      </c>
      <c r="G6" s="19" t="s">
        <v>74</v>
      </c>
      <c r="H6" s="34"/>
      <c r="I6" s="35"/>
    </row>
    <row r="7" spans="2:9" x14ac:dyDescent="0.25">
      <c r="B7" s="22" t="s">
        <v>3</v>
      </c>
      <c r="C7" s="23" t="s">
        <v>19</v>
      </c>
      <c r="D7" s="23">
        <v>55</v>
      </c>
      <c r="E7" s="25">
        <v>89</v>
      </c>
      <c r="G7" s="43" t="s">
        <v>0</v>
      </c>
      <c r="H7" s="73" t="s">
        <v>20</v>
      </c>
      <c r="I7" s="45" t="s">
        <v>21</v>
      </c>
    </row>
    <row r="8" spans="2:9" ht="15.75" thickBot="1" x14ac:dyDescent="0.3">
      <c r="B8" s="22" t="s">
        <v>5</v>
      </c>
      <c r="C8" s="23" t="s">
        <v>24</v>
      </c>
      <c r="D8" s="23">
        <v>70</v>
      </c>
      <c r="E8" s="25">
        <v>112.65408000000001</v>
      </c>
      <c r="G8" s="26" t="s">
        <v>10</v>
      </c>
      <c r="H8" s="51">
        <f>INDEX(D3:D12,MATCH($G8,$B3:$B12,0))</f>
        <v>20</v>
      </c>
      <c r="I8" s="67">
        <f>INDEX(E3:E12,MATCH($G8,$B3:$B12,0))</f>
        <v>32.186880000000002</v>
      </c>
    </row>
    <row r="9" spans="2:9" x14ac:dyDescent="0.25">
      <c r="B9" s="22" t="s">
        <v>6</v>
      </c>
      <c r="C9" s="23" t="s">
        <v>28</v>
      </c>
      <c r="D9" s="23">
        <v>56</v>
      </c>
      <c r="E9" s="25">
        <v>90.123263999999992</v>
      </c>
    </row>
    <row r="10" spans="2:9" ht="15.75" thickBot="1" x14ac:dyDescent="0.3">
      <c r="B10" s="22" t="s">
        <v>2</v>
      </c>
      <c r="C10" s="23" t="s">
        <v>29</v>
      </c>
      <c r="D10" s="23">
        <v>150</v>
      </c>
      <c r="E10" s="25">
        <v>241.4016</v>
      </c>
    </row>
    <row r="11" spans="2:9" ht="18.75" x14ac:dyDescent="0.3">
      <c r="B11" s="22" t="s">
        <v>10</v>
      </c>
      <c r="C11" s="23" t="s">
        <v>25</v>
      </c>
      <c r="D11" s="23">
        <v>20</v>
      </c>
      <c r="E11" s="25">
        <v>32.186880000000002</v>
      </c>
      <c r="G11" s="19" t="s">
        <v>75</v>
      </c>
      <c r="H11" s="34"/>
      <c r="I11" s="35"/>
    </row>
    <row r="12" spans="2:9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  <c r="G12" s="78" t="s">
        <v>0</v>
      </c>
      <c r="H12" s="63" t="s">
        <v>20</v>
      </c>
      <c r="I12" s="64" t="s">
        <v>21</v>
      </c>
    </row>
    <row r="13" spans="2:9" ht="15.75" thickBot="1" x14ac:dyDescent="0.3">
      <c r="G13" s="26" t="s">
        <v>10</v>
      </c>
      <c r="H13" s="51">
        <f>INDEX($B3:$E12,MATCH($G13,$B3:$B12,0),MATCH(H12,$B2:$E2,0))</f>
        <v>20</v>
      </c>
      <c r="I13" s="67">
        <f>INDEX($B3:$E12,MATCH($G13,$B3:$B12,0),MATCH(I12,$B2:$E2,0))</f>
        <v>32.186880000000002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E5B-134D-429F-8443-D053AAA10AC9}">
  <sheetPr codeName="Sheet8"/>
  <dimension ref="B1:I12"/>
  <sheetViews>
    <sheetView tabSelected="1" zoomScaleNormal="100" workbookViewId="0">
      <selection activeCell="G3" sqref="G3"/>
    </sheetView>
  </sheetViews>
  <sheetFormatPr defaultColWidth="8.85546875" defaultRowHeight="15" x14ac:dyDescent="0.25"/>
  <cols>
    <col min="1" max="1" width="2.7109375" customWidth="1"/>
    <col min="2" max="2" width="30.7109375" customWidth="1"/>
    <col min="3" max="5" width="15.7109375" customWidth="1"/>
    <col min="6" max="6" width="10.7109375" customWidth="1"/>
    <col min="7" max="7" width="30.7109375" customWidth="1"/>
    <col min="8" max="8" width="10.7109375" customWidth="1"/>
    <col min="9" max="9" width="30.7109375" customWidth="1"/>
  </cols>
  <sheetData>
    <row r="1" spans="2:9" ht="19.5" thickBot="1" x14ac:dyDescent="0.35">
      <c r="B1" s="19" t="s">
        <v>43</v>
      </c>
      <c r="C1" s="20"/>
      <c r="D1" s="20"/>
      <c r="E1" s="21"/>
      <c r="G1" s="80" t="s">
        <v>60</v>
      </c>
      <c r="I1" s="17" t="s">
        <v>60</v>
      </c>
    </row>
    <row r="2" spans="2:9" x14ac:dyDescent="0.25">
      <c r="B2" s="62" t="s">
        <v>0</v>
      </c>
      <c r="C2" s="63" t="s">
        <v>1</v>
      </c>
      <c r="D2" s="63" t="s">
        <v>20</v>
      </c>
      <c r="E2" s="64" t="s">
        <v>21</v>
      </c>
      <c r="G2" s="52" t="s">
        <v>22</v>
      </c>
      <c r="I2" s="52" t="s">
        <v>23</v>
      </c>
    </row>
    <row r="3" spans="2:9" x14ac:dyDescent="0.25">
      <c r="B3" s="22" t="s">
        <v>4</v>
      </c>
      <c r="C3" s="23" t="s">
        <v>26</v>
      </c>
      <c r="D3" s="23">
        <v>75</v>
      </c>
      <c r="E3" s="25">
        <v>120.7008</v>
      </c>
      <c r="G3" s="53" t="str" cm="1">
        <f t="array" ref="G3:G9">_xlfn.UNIQUE(C3:C12)</f>
        <v>Bangladesh</v>
      </c>
      <c r="I3" s="53" t="str" cm="1">
        <f t="array" ref="I3:I12">_xlfn.UNIQUE(C3:C12,TRUE,FALSE)</f>
        <v>Bangladesh</v>
      </c>
    </row>
    <row r="4" spans="2:9" x14ac:dyDescent="0.25">
      <c r="B4" s="22" t="s">
        <v>8</v>
      </c>
      <c r="C4" s="23" t="s">
        <v>24</v>
      </c>
      <c r="D4" s="23">
        <v>28</v>
      </c>
      <c r="E4" s="25">
        <v>45.061631999999996</v>
      </c>
      <c r="G4" s="55" t="str">
        <v>United States</v>
      </c>
      <c r="I4" s="55" t="str">
        <v>United States</v>
      </c>
    </row>
    <row r="5" spans="2:9" x14ac:dyDescent="0.25">
      <c r="B5" s="22" t="s">
        <v>9</v>
      </c>
      <c r="C5" s="23" t="s">
        <v>27</v>
      </c>
      <c r="D5" s="23">
        <v>25</v>
      </c>
      <c r="E5" s="25">
        <v>40.233599999999996</v>
      </c>
      <c r="G5" s="55" t="str">
        <v>South Africa</v>
      </c>
      <c r="I5" s="55" t="str">
        <v>South Africa</v>
      </c>
    </row>
    <row r="6" spans="2:9" x14ac:dyDescent="0.25">
      <c r="B6" s="22" t="s">
        <v>3</v>
      </c>
      <c r="C6" s="23" t="s">
        <v>25</v>
      </c>
      <c r="D6" s="23">
        <v>94</v>
      </c>
      <c r="E6" s="25">
        <v>151</v>
      </c>
      <c r="G6" s="55" t="str">
        <v>Australia</v>
      </c>
      <c r="I6" s="55" t="str">
        <v>Australia</v>
      </c>
    </row>
    <row r="7" spans="2:9" x14ac:dyDescent="0.25">
      <c r="B7" s="22" t="s">
        <v>3</v>
      </c>
      <c r="C7" s="23" t="s">
        <v>19</v>
      </c>
      <c r="D7" s="23">
        <v>55</v>
      </c>
      <c r="E7" s="25">
        <v>89</v>
      </c>
      <c r="G7" s="55" t="str">
        <v>New Zealand</v>
      </c>
      <c r="I7" s="55" t="str">
        <v>New Zealand</v>
      </c>
    </row>
    <row r="8" spans="2:9" x14ac:dyDescent="0.25">
      <c r="B8" s="22" t="s">
        <v>5</v>
      </c>
      <c r="C8" s="23" t="s">
        <v>24</v>
      </c>
      <c r="D8" s="23">
        <v>70</v>
      </c>
      <c r="E8" s="25">
        <v>112.65408000000001</v>
      </c>
      <c r="G8" s="55" t="str">
        <v>Mexico</v>
      </c>
      <c r="I8" s="55" t="str">
        <v>United States</v>
      </c>
    </row>
    <row r="9" spans="2:9" ht="15.75" thickBot="1" x14ac:dyDescent="0.3">
      <c r="B9" s="22" t="s">
        <v>6</v>
      </c>
      <c r="C9" s="23" t="s">
        <v>28</v>
      </c>
      <c r="D9" s="23">
        <v>56</v>
      </c>
      <c r="E9" s="25">
        <v>90.123263999999992</v>
      </c>
      <c r="G9" s="79" t="str">
        <v>Brazil</v>
      </c>
      <c r="I9" s="55" t="str">
        <v>Mexico</v>
      </c>
    </row>
    <row r="10" spans="2:9" x14ac:dyDescent="0.25">
      <c r="B10" s="22" t="s">
        <v>2</v>
      </c>
      <c r="C10" s="23" t="s">
        <v>29</v>
      </c>
      <c r="D10" s="23">
        <v>150</v>
      </c>
      <c r="E10" s="25">
        <v>241.4016</v>
      </c>
      <c r="I10" s="55" t="str">
        <v>Brazil</v>
      </c>
    </row>
    <row r="11" spans="2:9" x14ac:dyDescent="0.25">
      <c r="B11" s="22" t="s">
        <v>10</v>
      </c>
      <c r="C11" s="23" t="s">
        <v>25</v>
      </c>
      <c r="D11" s="23">
        <v>20</v>
      </c>
      <c r="E11" s="25">
        <v>32.186880000000002</v>
      </c>
      <c r="I11" s="55" t="str">
        <v>Australia</v>
      </c>
    </row>
    <row r="12" spans="2:9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  <c r="I12" s="79" t="str">
        <v>United States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652-C19F-46F4-80B5-5F60C9F4588A}">
  <sheetPr codeName="Sheet9"/>
  <dimension ref="B1:T17"/>
  <sheetViews>
    <sheetView zoomScaleNormal="100" workbookViewId="0">
      <pane xSplit="5" topLeftCell="K1" activePane="topRight" state="frozen"/>
      <selection activeCell="E1" sqref="E1"/>
      <selection pane="topRight" activeCell="L3" sqref="L3"/>
    </sheetView>
  </sheetViews>
  <sheetFormatPr defaultColWidth="8.85546875" defaultRowHeight="15" x14ac:dyDescent="0.25"/>
  <cols>
    <col min="1" max="1" width="2.7109375" customWidth="1"/>
    <col min="2" max="2" width="30.7109375" customWidth="1"/>
    <col min="3" max="5" width="15.7109375" customWidth="1"/>
    <col min="6" max="6" width="10.7109375" customWidth="1"/>
    <col min="7" max="7" width="30.7109375" customWidth="1"/>
    <col min="8" max="9" width="15.7109375" customWidth="1"/>
    <col min="10" max="10" width="12.140625" customWidth="1"/>
    <col min="11" max="11" width="10.7109375" customWidth="1"/>
    <col min="12" max="12" width="29" bestFit="1" customWidth="1"/>
    <col min="13" max="13" width="13.42578125" bestFit="1" customWidth="1"/>
    <col min="14" max="15" width="15.140625" customWidth="1"/>
    <col min="16" max="16" width="10.7109375" customWidth="1"/>
    <col min="17" max="17" width="33" customWidth="1"/>
    <col min="18" max="18" width="15.42578125" customWidth="1"/>
    <col min="19" max="19" width="17.28515625" customWidth="1"/>
    <col min="20" max="20" width="14.42578125" customWidth="1"/>
  </cols>
  <sheetData>
    <row r="1" spans="2:20" ht="19.5" thickBot="1" x14ac:dyDescent="0.35">
      <c r="B1" s="17" t="s">
        <v>43</v>
      </c>
      <c r="C1" s="16"/>
      <c r="D1" s="16"/>
      <c r="E1" s="16"/>
      <c r="G1" s="17" t="s">
        <v>61</v>
      </c>
      <c r="H1" s="17"/>
      <c r="I1" s="17"/>
      <c r="J1" s="17"/>
      <c r="K1" s="8"/>
      <c r="L1" s="17" t="s">
        <v>62</v>
      </c>
      <c r="M1" s="17"/>
      <c r="N1" s="17"/>
      <c r="O1" s="17"/>
      <c r="Q1" s="17" t="s">
        <v>64</v>
      </c>
      <c r="R1" s="17"/>
      <c r="S1" s="17"/>
      <c r="T1" s="17"/>
    </row>
    <row r="2" spans="2:20" x14ac:dyDescent="0.25">
      <c r="B2" s="62" t="s">
        <v>0</v>
      </c>
      <c r="C2" s="63" t="s">
        <v>1</v>
      </c>
      <c r="D2" s="63" t="s">
        <v>20</v>
      </c>
      <c r="E2" s="64" t="s">
        <v>21</v>
      </c>
      <c r="G2" s="59" t="s">
        <v>0</v>
      </c>
      <c r="H2" s="60" t="s">
        <v>1</v>
      </c>
      <c r="I2" s="60" t="s">
        <v>20</v>
      </c>
      <c r="J2" s="61" t="s">
        <v>21</v>
      </c>
      <c r="K2" s="5"/>
      <c r="L2" s="59" t="s">
        <v>0</v>
      </c>
      <c r="M2" s="60" t="s">
        <v>1</v>
      </c>
      <c r="N2" s="60" t="s">
        <v>20</v>
      </c>
      <c r="O2" s="61" t="s">
        <v>21</v>
      </c>
      <c r="Q2" s="59" t="s">
        <v>0</v>
      </c>
      <c r="R2" s="60" t="s">
        <v>1</v>
      </c>
      <c r="S2" s="60" t="s">
        <v>63</v>
      </c>
      <c r="T2" s="68" t="s">
        <v>21</v>
      </c>
    </row>
    <row r="3" spans="2:20" x14ac:dyDescent="0.25">
      <c r="B3" s="22" t="s">
        <v>2</v>
      </c>
      <c r="C3" s="23" t="s">
        <v>29</v>
      </c>
      <c r="D3" s="23">
        <v>150</v>
      </c>
      <c r="E3" s="25">
        <v>241.4016</v>
      </c>
      <c r="G3" s="56" t="str" cm="1">
        <f t="array" ref="G3:J12">_xlfn._xlws.SORT(B3:E12)</f>
        <v>Cox's Bazar</v>
      </c>
      <c r="H3" s="42" t="str">
        <v>Bangladesh</v>
      </c>
      <c r="I3" s="42">
        <v>75</v>
      </c>
      <c r="J3" s="65">
        <v>120.7008</v>
      </c>
      <c r="K3" s="5"/>
      <c r="L3" s="56" t="str" cm="1">
        <f t="array" ref="L3:O12">_xlfn._xlws.SORT(B3:E12,3)</f>
        <v>Stockton Beach</v>
      </c>
      <c r="M3" s="42" t="str">
        <v>Australia</v>
      </c>
      <c r="N3" s="42">
        <v>20</v>
      </c>
      <c r="O3" s="65">
        <v>32.186880000000002</v>
      </c>
      <c r="Q3" s="56" t="str" cm="1">
        <f t="array" ref="Q3:T12">_xlfn._xlws.SORT(_xlfn._xlws.SORT(B3:E12,3,-1),2)</f>
        <v>Ninety Mile Beach</v>
      </c>
      <c r="R3" s="42" t="str">
        <v>Australia</v>
      </c>
      <c r="S3" s="42">
        <v>94</v>
      </c>
      <c r="T3" s="65">
        <v>151</v>
      </c>
    </row>
    <row r="4" spans="2:20" x14ac:dyDescent="0.25">
      <c r="B4" s="22" t="s">
        <v>3</v>
      </c>
      <c r="C4" s="23" t="s">
        <v>25</v>
      </c>
      <c r="D4" s="23">
        <v>94</v>
      </c>
      <c r="E4" s="25">
        <v>151</v>
      </c>
      <c r="G4" s="58" t="str">
        <v>Long Beach</v>
      </c>
      <c r="H4" s="42" t="str">
        <v>United States</v>
      </c>
      <c r="I4" s="42">
        <v>28</v>
      </c>
      <c r="J4" s="65">
        <v>45.061631999999996</v>
      </c>
      <c r="K4" s="5"/>
      <c r="L4" s="58" t="str">
        <v>Muizenberg</v>
      </c>
      <c r="M4" s="42" t="str">
        <v>South Africa</v>
      </c>
      <c r="N4" s="42">
        <v>25</v>
      </c>
      <c r="O4" s="65">
        <v>40.233599999999996</v>
      </c>
      <c r="Q4" s="58" t="str">
        <v>Stockton Beach</v>
      </c>
      <c r="R4" s="42" t="str">
        <v>Australia</v>
      </c>
      <c r="S4" s="42">
        <v>20</v>
      </c>
      <c r="T4" s="65">
        <v>32.186880000000002</v>
      </c>
    </row>
    <row r="5" spans="2:20" x14ac:dyDescent="0.25">
      <c r="B5" s="22" t="s">
        <v>4</v>
      </c>
      <c r="C5" s="23" t="s">
        <v>26</v>
      </c>
      <c r="D5" s="23">
        <v>75</v>
      </c>
      <c r="E5" s="25">
        <v>120.7008</v>
      </c>
      <c r="G5" s="58" t="str">
        <v>Muizenberg</v>
      </c>
      <c r="H5" s="42" t="str">
        <v>South Africa</v>
      </c>
      <c r="I5" s="42">
        <v>25</v>
      </c>
      <c r="J5" s="65">
        <v>40.233599999999996</v>
      </c>
      <c r="K5" s="5"/>
      <c r="L5" s="58" t="str">
        <v>Long Beach</v>
      </c>
      <c r="M5" s="42" t="str">
        <v>United States</v>
      </c>
      <c r="N5" s="42">
        <v>28</v>
      </c>
      <c r="O5" s="65">
        <v>45.061631999999996</v>
      </c>
      <c r="Q5" s="58" t="str">
        <v>Cox's Bazar</v>
      </c>
      <c r="R5" s="42" t="str">
        <v>Bangladesh</v>
      </c>
      <c r="S5" s="42">
        <v>75</v>
      </c>
      <c r="T5" s="65">
        <v>120.7008</v>
      </c>
    </row>
    <row r="6" spans="2:20" x14ac:dyDescent="0.25">
      <c r="B6" s="22" t="s">
        <v>5</v>
      </c>
      <c r="C6" s="23" t="s">
        <v>24</v>
      </c>
      <c r="D6" s="23">
        <v>70</v>
      </c>
      <c r="E6" s="25">
        <v>112.65408000000001</v>
      </c>
      <c r="G6" s="58" t="str">
        <v>Ninety Mile Beach</v>
      </c>
      <c r="H6" s="42" t="str">
        <v>Australia</v>
      </c>
      <c r="I6" s="42">
        <v>94</v>
      </c>
      <c r="J6" s="65">
        <v>151</v>
      </c>
      <c r="K6" s="5"/>
      <c r="L6" s="58" t="str">
        <v>Virginia Beach</v>
      </c>
      <c r="M6" s="42" t="str">
        <v>United States</v>
      </c>
      <c r="N6" s="42">
        <v>35</v>
      </c>
      <c r="O6" s="65">
        <v>56.327040000000004</v>
      </c>
      <c r="Q6" s="58" t="str">
        <v>Praia do Cassino Beach</v>
      </c>
      <c r="R6" s="42" t="str">
        <v>Brazil</v>
      </c>
      <c r="S6" s="42">
        <v>150</v>
      </c>
      <c r="T6" s="65">
        <v>241.4016</v>
      </c>
    </row>
    <row r="7" spans="2:20" x14ac:dyDescent="0.25">
      <c r="B7" s="22" t="s">
        <v>6</v>
      </c>
      <c r="C7" s="23" t="s">
        <v>28</v>
      </c>
      <c r="D7" s="23">
        <v>56</v>
      </c>
      <c r="E7" s="25">
        <v>90.123263999999992</v>
      </c>
      <c r="G7" s="58" t="str">
        <v>Ninety Mile Beach</v>
      </c>
      <c r="H7" s="42" t="str">
        <v>New Zealand</v>
      </c>
      <c r="I7" s="42">
        <v>55</v>
      </c>
      <c r="J7" s="65">
        <v>89</v>
      </c>
      <c r="K7" s="5"/>
      <c r="L7" s="58" t="str">
        <v>Ninety Mile Beach</v>
      </c>
      <c r="M7" s="42" t="str">
        <v>New Zealand</v>
      </c>
      <c r="N7" s="42">
        <v>55</v>
      </c>
      <c r="O7" s="65">
        <v>89</v>
      </c>
      <c r="Q7" s="58" t="str">
        <v>Playa Novillero</v>
      </c>
      <c r="R7" s="42" t="str">
        <v>Mexico</v>
      </c>
      <c r="S7" s="42">
        <v>56</v>
      </c>
      <c r="T7" s="65">
        <v>90.123263999999992</v>
      </c>
    </row>
    <row r="8" spans="2:20" x14ac:dyDescent="0.25">
      <c r="B8" s="22" t="s">
        <v>3</v>
      </c>
      <c r="C8" s="23" t="s">
        <v>19</v>
      </c>
      <c r="D8" s="23">
        <v>55</v>
      </c>
      <c r="E8" s="25">
        <v>89</v>
      </c>
      <c r="G8" s="58" t="str">
        <v>Padre Island National Seashore</v>
      </c>
      <c r="H8" s="42" t="str">
        <v>United States</v>
      </c>
      <c r="I8" s="42">
        <v>70</v>
      </c>
      <c r="J8" s="65">
        <v>112.65408000000001</v>
      </c>
      <c r="K8" s="5"/>
      <c r="L8" s="58" t="str">
        <v>Playa Novillero</v>
      </c>
      <c r="M8" s="42" t="str">
        <v>Mexico</v>
      </c>
      <c r="N8" s="42">
        <v>56</v>
      </c>
      <c r="O8" s="65">
        <v>90.123263999999992</v>
      </c>
      <c r="Q8" s="58" t="str">
        <v>Ninety Mile Beach</v>
      </c>
      <c r="R8" s="42" t="str">
        <v>New Zealand</v>
      </c>
      <c r="S8" s="42">
        <v>55</v>
      </c>
      <c r="T8" s="65">
        <v>89</v>
      </c>
    </row>
    <row r="9" spans="2:20" x14ac:dyDescent="0.25">
      <c r="B9" s="22" t="s">
        <v>7</v>
      </c>
      <c r="C9" s="23" t="s">
        <v>24</v>
      </c>
      <c r="D9" s="23">
        <v>35</v>
      </c>
      <c r="E9" s="25">
        <v>56.327040000000004</v>
      </c>
      <c r="G9" s="58" t="str">
        <v>Playa Novillero</v>
      </c>
      <c r="H9" s="42" t="str">
        <v>Mexico</v>
      </c>
      <c r="I9" s="42">
        <v>56</v>
      </c>
      <c r="J9" s="65">
        <v>90.123263999999992</v>
      </c>
      <c r="K9" s="5"/>
      <c r="L9" s="58" t="str">
        <v>Padre Island National Seashore</v>
      </c>
      <c r="M9" s="42" t="str">
        <v>United States</v>
      </c>
      <c r="N9" s="42">
        <v>70</v>
      </c>
      <c r="O9" s="65">
        <v>112.65408000000001</v>
      </c>
      <c r="Q9" s="58" t="str">
        <v>Muizenberg</v>
      </c>
      <c r="R9" s="42" t="str">
        <v>South Africa</v>
      </c>
      <c r="S9" s="42">
        <v>25</v>
      </c>
      <c r="T9" s="65">
        <v>40.233599999999996</v>
      </c>
    </row>
    <row r="10" spans="2:20" x14ac:dyDescent="0.25">
      <c r="B10" s="22" t="s">
        <v>8</v>
      </c>
      <c r="C10" s="23" t="s">
        <v>24</v>
      </c>
      <c r="D10" s="23">
        <v>28</v>
      </c>
      <c r="E10" s="25">
        <v>45.061631999999996</v>
      </c>
      <c r="G10" s="58" t="str">
        <v>Praia do Cassino Beach</v>
      </c>
      <c r="H10" s="42" t="str">
        <v>Brazil</v>
      </c>
      <c r="I10" s="42">
        <v>150</v>
      </c>
      <c r="J10" s="65">
        <v>241.4016</v>
      </c>
      <c r="K10" s="5"/>
      <c r="L10" s="58" t="str">
        <v>Cox's Bazar</v>
      </c>
      <c r="M10" s="42" t="str">
        <v>Bangladesh</v>
      </c>
      <c r="N10" s="42">
        <v>75</v>
      </c>
      <c r="O10" s="65">
        <v>120.7008</v>
      </c>
      <c r="Q10" s="58" t="str">
        <v>Padre Island National Seashore</v>
      </c>
      <c r="R10" s="42" t="str">
        <v>United States</v>
      </c>
      <c r="S10" s="42">
        <v>70</v>
      </c>
      <c r="T10" s="65">
        <v>112.65408000000001</v>
      </c>
    </row>
    <row r="11" spans="2:20" x14ac:dyDescent="0.25">
      <c r="B11" s="22" t="s">
        <v>9</v>
      </c>
      <c r="C11" s="23" t="s">
        <v>27</v>
      </c>
      <c r="D11" s="23">
        <v>25</v>
      </c>
      <c r="E11" s="25">
        <v>40.233599999999996</v>
      </c>
      <c r="G11" s="58" t="str">
        <v>Stockton Beach</v>
      </c>
      <c r="H11" s="42" t="str">
        <v>Australia</v>
      </c>
      <c r="I11" s="42">
        <v>20</v>
      </c>
      <c r="J11" s="65">
        <v>32.186880000000002</v>
      </c>
      <c r="K11" s="5"/>
      <c r="L11" s="58" t="str">
        <v>Ninety Mile Beach</v>
      </c>
      <c r="M11" s="42" t="str">
        <v>Australia</v>
      </c>
      <c r="N11" s="42">
        <v>94</v>
      </c>
      <c r="O11" s="65">
        <v>151</v>
      </c>
      <c r="Q11" s="58" t="str">
        <v>Virginia Beach</v>
      </c>
      <c r="R11" s="42" t="str">
        <v>United States</v>
      </c>
      <c r="S11" s="42">
        <v>35</v>
      </c>
      <c r="T11" s="65">
        <v>56.327040000000004</v>
      </c>
    </row>
    <row r="12" spans="2:20" ht="15.75" thickBot="1" x14ac:dyDescent="0.3">
      <c r="B12" s="26" t="s">
        <v>10</v>
      </c>
      <c r="C12" s="27" t="s">
        <v>25</v>
      </c>
      <c r="D12" s="27">
        <v>20</v>
      </c>
      <c r="E12" s="28">
        <v>32.186880000000002</v>
      </c>
      <c r="G12" s="66" t="str">
        <v>Virginia Beach</v>
      </c>
      <c r="H12" s="39" t="str">
        <v>United States</v>
      </c>
      <c r="I12" s="39">
        <v>35</v>
      </c>
      <c r="J12" s="67">
        <v>56.327040000000004</v>
      </c>
      <c r="L12" s="66" t="str">
        <v>Praia do Cassino Beach</v>
      </c>
      <c r="M12" s="39" t="str">
        <v>Brazil</v>
      </c>
      <c r="N12" s="39">
        <v>150</v>
      </c>
      <c r="O12" s="67">
        <v>241.4016</v>
      </c>
      <c r="Q12" s="66" t="str">
        <v>Long Beach</v>
      </c>
      <c r="R12" s="39" t="str">
        <v>United States</v>
      </c>
      <c r="S12" s="39">
        <v>28</v>
      </c>
      <c r="T12" s="67">
        <v>45.061631999999996</v>
      </c>
    </row>
    <row r="15" spans="2:20" x14ac:dyDescent="0.25">
      <c r="Q15" s="7" t="s">
        <v>89</v>
      </c>
    </row>
    <row r="17" spans="17:17" x14ac:dyDescent="0.25">
      <c r="Q17" s="7"/>
    </row>
  </sheetData>
  <sortState xmlns:xlrd2="http://schemas.microsoft.com/office/spreadsheetml/2017/richdata2" ref="B3:E12">
    <sortCondition descending="1" ref="D3:D12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5069-3EA1-4319-B117-3D9BEE493990}">
  <sheetPr codeName="Sheet10"/>
  <dimension ref="B1:R15"/>
  <sheetViews>
    <sheetView workbookViewId="0">
      <pane xSplit="6" topLeftCell="O1" activePane="topRight" state="frozen"/>
      <selection activeCell="E1" sqref="E1"/>
      <selection pane="topRight" activeCell="R15" sqref="R15"/>
    </sheetView>
  </sheetViews>
  <sheetFormatPr defaultColWidth="8.85546875" defaultRowHeight="15" x14ac:dyDescent="0.25"/>
  <cols>
    <col min="1" max="1" width="2.7109375" customWidth="1"/>
    <col min="2" max="2" width="30.7109375" customWidth="1"/>
    <col min="3" max="5" width="15.7109375" customWidth="1"/>
    <col min="6" max="6" width="10.7109375" customWidth="1"/>
    <col min="7" max="7" width="30.7109375" customWidth="1"/>
    <col min="8" max="9" width="15.7109375" customWidth="1"/>
    <col min="10" max="10" width="12.28515625" customWidth="1"/>
    <col min="11" max="11" width="10.7109375" customWidth="1"/>
    <col min="12" max="12" width="30.7109375" customWidth="1"/>
    <col min="13" max="15" width="15.7109375" customWidth="1"/>
    <col min="17" max="17" width="15.7109375" customWidth="1"/>
    <col min="18" max="18" width="30.7109375" customWidth="1"/>
  </cols>
  <sheetData>
    <row r="1" spans="2:18" ht="18.75" x14ac:dyDescent="0.3">
      <c r="B1" s="19" t="s">
        <v>43</v>
      </c>
      <c r="C1" s="20"/>
      <c r="D1" s="20"/>
      <c r="E1" s="21"/>
      <c r="G1" s="19" t="s">
        <v>93</v>
      </c>
      <c r="H1" s="20"/>
      <c r="I1" s="20"/>
      <c r="J1" s="21"/>
      <c r="L1" s="19" t="s">
        <v>92</v>
      </c>
      <c r="M1" s="20"/>
      <c r="N1" s="20"/>
      <c r="O1" s="21"/>
      <c r="Q1" s="19" t="s">
        <v>93</v>
      </c>
      <c r="R1" s="21"/>
    </row>
    <row r="2" spans="2:18" ht="15.75" thickBot="1" x14ac:dyDescent="0.3">
      <c r="B2" s="62" t="s">
        <v>0</v>
      </c>
      <c r="C2" s="63" t="s">
        <v>1</v>
      </c>
      <c r="D2" s="63" t="s">
        <v>20</v>
      </c>
      <c r="E2" s="64" t="s">
        <v>21</v>
      </c>
      <c r="G2" s="48" t="s">
        <v>66</v>
      </c>
      <c r="H2" s="72" t="s">
        <v>24</v>
      </c>
      <c r="I2" s="27"/>
      <c r="J2" s="37"/>
      <c r="L2" s="46" t="s">
        <v>66</v>
      </c>
      <c r="M2" s="23" t="s">
        <v>24</v>
      </c>
      <c r="N2" s="23"/>
      <c r="O2" s="24"/>
      <c r="Q2" s="48" t="s">
        <v>66</v>
      </c>
      <c r="R2" s="37" t="s">
        <v>24</v>
      </c>
    </row>
    <row r="3" spans="2:18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L3" s="48" t="s">
        <v>68</v>
      </c>
      <c r="M3" s="27">
        <v>35</v>
      </c>
      <c r="N3" s="27"/>
      <c r="O3" s="37"/>
    </row>
    <row r="4" spans="2:18" ht="19.5" thickBot="1" x14ac:dyDescent="0.35">
      <c r="B4" s="22" t="s">
        <v>8</v>
      </c>
      <c r="C4" s="23" t="s">
        <v>24</v>
      </c>
      <c r="D4" s="23">
        <v>28</v>
      </c>
      <c r="E4" s="25">
        <v>45.061631999999996</v>
      </c>
      <c r="G4" s="19" t="s">
        <v>90</v>
      </c>
      <c r="H4" s="34"/>
      <c r="I4" s="34"/>
      <c r="J4" s="35"/>
      <c r="Q4" s="19" t="s">
        <v>94</v>
      </c>
      <c r="R4" s="35"/>
    </row>
    <row r="5" spans="2:18" ht="18.75" x14ac:dyDescent="0.3">
      <c r="B5" s="22" t="s">
        <v>9</v>
      </c>
      <c r="C5" s="23" t="s">
        <v>27</v>
      </c>
      <c r="D5" s="23">
        <v>25</v>
      </c>
      <c r="E5" s="25">
        <v>40.233599999999996</v>
      </c>
      <c r="G5" s="69" t="s">
        <v>0</v>
      </c>
      <c r="H5" s="70" t="s">
        <v>1</v>
      </c>
      <c r="I5" s="70" t="s">
        <v>20</v>
      </c>
      <c r="J5" s="71" t="s">
        <v>21</v>
      </c>
      <c r="L5" s="19" t="s">
        <v>67</v>
      </c>
      <c r="M5" s="34"/>
      <c r="N5" s="34"/>
      <c r="O5" s="35"/>
      <c r="Q5" s="56" t="str" cm="1">
        <f t="array" ref="Q5:Q7">_xlfn._xlws.FILTER(B3:B12&amp;": "&amp;D3:D12&amp;" miles",C3:C12=R2)</f>
        <v>Long Beach: 28 miles</v>
      </c>
      <c r="R5" s="24"/>
    </row>
    <row r="6" spans="2:18" x14ac:dyDescent="0.25">
      <c r="B6" s="22" t="s">
        <v>3</v>
      </c>
      <c r="C6" s="23" t="s">
        <v>25</v>
      </c>
      <c r="D6" s="23">
        <v>94</v>
      </c>
      <c r="E6" s="25">
        <v>151</v>
      </c>
      <c r="G6" s="96" t="str" cm="1">
        <f t="array" ref="G6:J8">_xlfn._xlws.FILTER(B3:E12,C3:C12=H2,"No matches found")</f>
        <v>Long Beach</v>
      </c>
      <c r="H6" s="42" t="str">
        <v>United States</v>
      </c>
      <c r="I6" s="42">
        <v>28</v>
      </c>
      <c r="J6" s="65">
        <v>45.061631999999996</v>
      </c>
      <c r="L6" s="78" t="s">
        <v>0</v>
      </c>
      <c r="M6" s="63" t="s">
        <v>1</v>
      </c>
      <c r="N6" s="63" t="s">
        <v>20</v>
      </c>
      <c r="O6" s="77" t="s">
        <v>21</v>
      </c>
      <c r="Q6" s="22" t="str">
        <v>Padre Island National Seashore: 70 miles</v>
      </c>
      <c r="R6" s="24"/>
    </row>
    <row r="7" spans="2:18" ht="15.75" thickBot="1" x14ac:dyDescent="0.3">
      <c r="B7" s="22" t="s">
        <v>3</v>
      </c>
      <c r="C7" s="23" t="s">
        <v>19</v>
      </c>
      <c r="D7" s="23">
        <v>55</v>
      </c>
      <c r="E7" s="25">
        <v>89</v>
      </c>
      <c r="G7" s="58" t="str">
        <v>Padre Island National Seashore</v>
      </c>
      <c r="H7" s="42" t="str">
        <v>United States</v>
      </c>
      <c r="I7" s="42">
        <v>70</v>
      </c>
      <c r="J7" s="65">
        <v>112.65408000000001</v>
      </c>
      <c r="L7" s="56" t="str" cm="1">
        <f t="array" ref="L7:O8">_xlfn._xlws.FILTER(B3:E12,(C3:C12=M2)*(D3:D12&gt;=M3))</f>
        <v>Padre Island National Seashore</v>
      </c>
      <c r="M7" s="23" t="str">
        <v>United States</v>
      </c>
      <c r="N7" s="23">
        <v>70</v>
      </c>
      <c r="O7" s="47">
        <v>112.65408000000001</v>
      </c>
      <c r="Q7" s="26" t="str">
        <v>Virginia Beach: 35 miles</v>
      </c>
      <c r="R7" s="37"/>
    </row>
    <row r="8" spans="2:18" ht="15.75" thickBot="1" x14ac:dyDescent="0.3">
      <c r="B8" s="22" t="s">
        <v>5</v>
      </c>
      <c r="C8" s="23" t="s">
        <v>24</v>
      </c>
      <c r="D8" s="23">
        <v>70</v>
      </c>
      <c r="E8" s="25">
        <v>112.65408000000001</v>
      </c>
      <c r="G8" s="26" t="str">
        <v>Virginia Beach</v>
      </c>
      <c r="H8" s="27" t="str">
        <v>United States</v>
      </c>
      <c r="I8" s="27">
        <v>35</v>
      </c>
      <c r="J8" s="49">
        <v>56.327040000000004</v>
      </c>
      <c r="L8" s="26" t="str">
        <v>Virginia Beach</v>
      </c>
      <c r="M8" s="27" t="str">
        <v>United States</v>
      </c>
      <c r="N8" s="27">
        <v>35</v>
      </c>
      <c r="O8" s="49">
        <v>56.327040000000004</v>
      </c>
    </row>
    <row r="9" spans="2:18" x14ac:dyDescent="0.25">
      <c r="B9" s="22" t="s">
        <v>6</v>
      </c>
      <c r="C9" s="23" t="s">
        <v>28</v>
      </c>
      <c r="D9" s="23">
        <v>56</v>
      </c>
      <c r="E9" s="25">
        <v>90.123263999999992</v>
      </c>
    </row>
    <row r="10" spans="2:18" ht="15.75" thickBot="1" x14ac:dyDescent="0.3">
      <c r="B10" s="22" t="s">
        <v>2</v>
      </c>
      <c r="C10" s="23" t="s">
        <v>29</v>
      </c>
      <c r="D10" s="23">
        <v>150</v>
      </c>
      <c r="E10" s="25">
        <v>241.4016</v>
      </c>
    </row>
    <row r="11" spans="2:18" ht="19.5" thickBot="1" x14ac:dyDescent="0.35">
      <c r="B11" s="22" t="s">
        <v>10</v>
      </c>
      <c r="C11" s="23" t="s">
        <v>25</v>
      </c>
      <c r="D11" s="23">
        <v>20</v>
      </c>
      <c r="E11" s="25">
        <v>32.186880000000002</v>
      </c>
      <c r="G11" s="19" t="s">
        <v>91</v>
      </c>
      <c r="H11" s="34"/>
      <c r="I11" s="34"/>
      <c r="J11" s="35"/>
    </row>
    <row r="12" spans="2:18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  <c r="G12" s="43" t="s">
        <v>0</v>
      </c>
      <c r="H12" s="44" t="s">
        <v>1</v>
      </c>
      <c r="I12" s="44" t="s">
        <v>20</v>
      </c>
      <c r="J12" s="45" t="s">
        <v>21</v>
      </c>
    </row>
    <row r="13" spans="2:18" x14ac:dyDescent="0.25">
      <c r="G13" s="56" t="str" cm="1">
        <f t="array" ref="G13:J15">_xlfn._xlws.SORT(_xlfn._xlws.FILTER(B3:E12,C3:C12=H2,"No matches found"),3,-1)</f>
        <v>Padre Island National Seashore</v>
      </c>
      <c r="H13" s="42" t="str">
        <v>United States</v>
      </c>
      <c r="I13" s="42">
        <v>70</v>
      </c>
      <c r="J13" s="65">
        <v>112.65408000000001</v>
      </c>
    </row>
    <row r="14" spans="2:18" x14ac:dyDescent="0.25">
      <c r="G14" s="58" t="str">
        <v>Virginia Beach</v>
      </c>
      <c r="H14" s="42" t="str">
        <v>United States</v>
      </c>
      <c r="I14" s="42">
        <v>35</v>
      </c>
      <c r="J14" s="65">
        <v>56.327040000000004</v>
      </c>
    </row>
    <row r="15" spans="2:18" ht="15.75" thickBot="1" x14ac:dyDescent="0.3">
      <c r="G15" s="66" t="str">
        <v>Long Beach</v>
      </c>
      <c r="H15" s="39" t="str">
        <v>United States</v>
      </c>
      <c r="I15" s="39">
        <v>28</v>
      </c>
      <c r="J15" s="67">
        <v>45.061631999999996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623D-D469-43C7-9759-56619D9C5553}">
  <sheetPr codeName="Sheet12"/>
  <dimension ref="B1:I14"/>
  <sheetViews>
    <sheetView zoomScaleNormal="100" workbookViewId="0">
      <selection activeCell="A6" sqref="A6"/>
    </sheetView>
  </sheetViews>
  <sheetFormatPr defaultColWidth="8.85546875" defaultRowHeight="15" x14ac:dyDescent="0.25"/>
  <cols>
    <col min="1" max="1" width="2.7109375" customWidth="1"/>
    <col min="2" max="2" width="30.7109375" customWidth="1"/>
    <col min="3" max="5" width="15.7109375" customWidth="1"/>
    <col min="6" max="6" width="10.7109375" customWidth="1"/>
    <col min="7" max="7" width="30.7109375" customWidth="1"/>
    <col min="8" max="8" width="15.7109375" customWidth="1"/>
  </cols>
  <sheetData>
    <row r="1" spans="2:9" ht="19.5" thickBot="1" x14ac:dyDescent="0.35">
      <c r="B1" s="19" t="s">
        <v>43</v>
      </c>
      <c r="C1" s="20"/>
      <c r="D1" s="20"/>
      <c r="E1" s="21"/>
      <c r="G1" s="19" t="s">
        <v>65</v>
      </c>
      <c r="H1" s="80"/>
    </row>
    <row r="2" spans="2:9" ht="15.75" thickBot="1" x14ac:dyDescent="0.3">
      <c r="B2" s="69" t="s">
        <v>0</v>
      </c>
      <c r="C2" s="44" t="s">
        <v>1</v>
      </c>
      <c r="D2" s="44" t="s">
        <v>20</v>
      </c>
      <c r="E2" s="45" t="s">
        <v>21</v>
      </c>
      <c r="G2" s="81" t="s">
        <v>79</v>
      </c>
      <c r="H2" s="82">
        <v>25</v>
      </c>
    </row>
    <row r="3" spans="2:9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I3" s="1"/>
    </row>
    <row r="4" spans="2:9" ht="18.75" x14ac:dyDescent="0.3">
      <c r="B4" s="22" t="s">
        <v>8</v>
      </c>
      <c r="C4" s="23" t="s">
        <v>24</v>
      </c>
      <c r="D4" s="23">
        <v>28</v>
      </c>
      <c r="E4" s="25">
        <v>45.061631999999996</v>
      </c>
      <c r="G4" s="19" t="s">
        <v>80</v>
      </c>
      <c r="H4" s="35"/>
    </row>
    <row r="5" spans="2:9" x14ac:dyDescent="0.25">
      <c r="B5" s="22" t="s">
        <v>9</v>
      </c>
      <c r="C5" s="23" t="s">
        <v>27</v>
      </c>
      <c r="D5" s="23">
        <v>25</v>
      </c>
      <c r="E5" s="25">
        <v>40.233599999999996</v>
      </c>
      <c r="G5" s="78" t="s">
        <v>1</v>
      </c>
      <c r="H5" s="64" t="s">
        <v>31</v>
      </c>
    </row>
    <row r="6" spans="2:9" x14ac:dyDescent="0.25">
      <c r="B6" s="22" t="s">
        <v>3</v>
      </c>
      <c r="C6" s="23" t="s">
        <v>25</v>
      </c>
      <c r="D6" s="23">
        <v>94</v>
      </c>
      <c r="E6" s="25">
        <v>151</v>
      </c>
      <c r="G6" s="56" t="str" cm="1">
        <f t="array" ref="G6:G11">_xlfn._xlws.SORT(_xlfn.UNIQUE(_xlfn._xlws.FILTER(C3:C12,D3:D12&gt;H2)))</f>
        <v>Australia</v>
      </c>
      <c r="H6" s="40" cm="1">
        <f t="array" ref="H6:H11">COUNTIFS(C3:C12,_xlfn.ANCHORARRAY(G6),D3:D12,"&gt;="&amp;H2)</f>
        <v>1</v>
      </c>
    </row>
    <row r="7" spans="2:9" x14ac:dyDescent="0.25">
      <c r="B7" s="22" t="s">
        <v>3</v>
      </c>
      <c r="C7" s="23" t="s">
        <v>19</v>
      </c>
      <c r="D7" s="23">
        <v>55</v>
      </c>
      <c r="E7" s="25">
        <v>89</v>
      </c>
      <c r="G7" s="22" t="str">
        <v>Bangladesh</v>
      </c>
      <c r="H7" s="24">
        <v>1</v>
      </c>
    </row>
    <row r="8" spans="2:9" x14ac:dyDescent="0.25">
      <c r="B8" s="22" t="s">
        <v>5</v>
      </c>
      <c r="C8" s="23" t="s">
        <v>24</v>
      </c>
      <c r="D8" s="23">
        <v>70</v>
      </c>
      <c r="E8" s="25">
        <v>112.65408000000001</v>
      </c>
      <c r="G8" s="22" t="str">
        <v>Brazil</v>
      </c>
      <c r="H8" s="24">
        <v>1</v>
      </c>
    </row>
    <row r="9" spans="2:9" x14ac:dyDescent="0.25">
      <c r="B9" s="22" t="s">
        <v>6</v>
      </c>
      <c r="C9" s="23" t="s">
        <v>28</v>
      </c>
      <c r="D9" s="23">
        <v>56</v>
      </c>
      <c r="E9" s="25">
        <v>90.123263999999992</v>
      </c>
      <c r="G9" s="22" t="str">
        <v>Mexico</v>
      </c>
      <c r="H9" s="24">
        <v>1</v>
      </c>
    </row>
    <row r="10" spans="2:9" x14ac:dyDescent="0.25">
      <c r="B10" s="22" t="s">
        <v>2</v>
      </c>
      <c r="C10" s="23" t="s">
        <v>29</v>
      </c>
      <c r="D10" s="23">
        <v>150</v>
      </c>
      <c r="E10" s="25">
        <v>241.4016</v>
      </c>
      <c r="G10" s="22" t="str">
        <v>New Zealand</v>
      </c>
      <c r="H10" s="24">
        <v>1</v>
      </c>
    </row>
    <row r="11" spans="2:9" ht="15.75" thickBot="1" x14ac:dyDescent="0.3">
      <c r="B11" s="22" t="s">
        <v>10</v>
      </c>
      <c r="C11" s="23" t="s">
        <v>25</v>
      </c>
      <c r="D11" s="23">
        <v>20</v>
      </c>
      <c r="E11" s="25">
        <v>32.186880000000002</v>
      </c>
      <c r="G11" s="26" t="str">
        <v>United States</v>
      </c>
      <c r="H11" s="37">
        <v>3</v>
      </c>
    </row>
    <row r="12" spans="2:9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  <c r="G12" s="23"/>
      <c r="H12" s="23"/>
    </row>
    <row r="14" spans="2:9" x14ac:dyDescent="0.25">
      <c r="G14" s="23"/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FA5D-3DB8-4110-8467-9D05E8FDD814}">
  <sheetPr codeName="Sheet13"/>
  <dimension ref="A1:L128"/>
  <sheetViews>
    <sheetView workbookViewId="0">
      <pane ySplit="8" topLeftCell="A9" activePane="bottomLeft" state="frozen"/>
      <selection pane="bottomLeft" activeCell="A9" sqref="A9"/>
    </sheetView>
  </sheetViews>
  <sheetFormatPr defaultColWidth="8.85546875" defaultRowHeight="15" x14ac:dyDescent="0.25"/>
  <cols>
    <col min="1" max="5" width="15.7109375" customWidth="1"/>
  </cols>
  <sheetData>
    <row r="1" spans="1:12" ht="18.75" x14ac:dyDescent="0.3">
      <c r="A1" s="17" t="s">
        <v>78</v>
      </c>
      <c r="B1" s="16"/>
      <c r="C1" s="16"/>
      <c r="D1" s="16"/>
      <c r="E1" s="16"/>
    </row>
    <row r="2" spans="1:12" x14ac:dyDescent="0.25">
      <c r="A2" s="7" t="s">
        <v>35</v>
      </c>
      <c r="B2" s="12">
        <v>45292</v>
      </c>
    </row>
    <row r="3" spans="1:12" x14ac:dyDescent="0.25">
      <c r="A3" s="7" t="s">
        <v>32</v>
      </c>
      <c r="B3" s="10">
        <v>5.2499999999999998E-2</v>
      </c>
    </row>
    <row r="4" spans="1:12" x14ac:dyDescent="0.25">
      <c r="A4" s="7" t="s">
        <v>33</v>
      </c>
      <c r="B4">
        <v>6</v>
      </c>
    </row>
    <row r="5" spans="1:12" x14ac:dyDescent="0.25">
      <c r="A5" s="7" t="s">
        <v>34</v>
      </c>
      <c r="B5" s="11">
        <v>5000</v>
      </c>
    </row>
    <row r="6" spans="1:12" x14ac:dyDescent="0.25">
      <c r="A6" s="7" t="s">
        <v>36</v>
      </c>
      <c r="B6" s="13">
        <f>-PMT(B3/12,B4,B5)</f>
        <v>846.14017033510913</v>
      </c>
    </row>
    <row r="8" spans="1:12" x14ac:dyDescent="0.25">
      <c r="A8" s="18" t="s">
        <v>37</v>
      </c>
      <c r="B8" s="18" t="s">
        <v>38</v>
      </c>
      <c r="C8" s="18" t="s">
        <v>32</v>
      </c>
      <c r="D8" s="18" t="s">
        <v>34</v>
      </c>
      <c r="E8" s="18" t="s">
        <v>39</v>
      </c>
    </row>
    <row r="9" spans="1:12" x14ac:dyDescent="0.25">
      <c r="A9" s="2" cm="1">
        <f t="array" ref="A9:A14">_xlfn.SEQUENCE(B4)</f>
        <v>1</v>
      </c>
      <c r="B9" s="14" cm="1">
        <f t="array" ref="B9:B14">EOMONTH(B2,_xlfn.ANCHORARRAY(A9)-2)+1</f>
        <v>45292</v>
      </c>
      <c r="C9" s="6" cm="1">
        <f t="array" ref="C9:C14">-IPMT(B3/12,_xlfn.ANCHORARRAY(A9),B4,B5)</f>
        <v>21.874999999999996</v>
      </c>
      <c r="D9" s="6" cm="1">
        <f t="array" ref="D9:D14">-PPMT(B3/12,_xlfn.ANCHORARRAY(A9),B4,B5)</f>
        <v>824.26517033510913</v>
      </c>
      <c r="E9" s="94" cm="1">
        <f t="array" ref="E9:E14">SUMIF(_xlfn.ANCHORARRAY(A9),"&gt;"&amp;_xlfn.ANCHORARRAY(A9),_xlfn.ANCHORARRAY(D9))</f>
        <v>4175.7348296648897</v>
      </c>
    </row>
    <row r="10" spans="1:12" x14ac:dyDescent="0.25">
      <c r="A10">
        <v>2</v>
      </c>
      <c r="B10" s="12">
        <v>45323</v>
      </c>
      <c r="C10" s="9">
        <v>18.26883987978389</v>
      </c>
      <c r="D10" s="9">
        <v>827.87133045532528</v>
      </c>
      <c r="E10" s="92">
        <v>3347.8634992095649</v>
      </c>
    </row>
    <row r="11" spans="1:12" x14ac:dyDescent="0.25">
      <c r="A11">
        <v>3</v>
      </c>
      <c r="B11" s="12">
        <v>45352</v>
      </c>
      <c r="C11" s="9">
        <v>14.646902809041848</v>
      </c>
      <c r="D11" s="9">
        <v>831.49326752606737</v>
      </c>
      <c r="E11" s="92">
        <v>2516.370231683497</v>
      </c>
    </row>
    <row r="12" spans="1:12" x14ac:dyDescent="0.25">
      <c r="A12">
        <v>4</v>
      </c>
      <c r="B12" s="12">
        <v>45383</v>
      </c>
      <c r="C12" s="9">
        <v>11.009119763615301</v>
      </c>
      <c r="D12" s="9">
        <v>835.1310505714938</v>
      </c>
      <c r="E12" s="92">
        <v>1681.2391811120033</v>
      </c>
    </row>
    <row r="13" spans="1:12" x14ac:dyDescent="0.25">
      <c r="A13">
        <v>5</v>
      </c>
      <c r="B13" s="12">
        <v>45413</v>
      </c>
      <c r="C13" s="9">
        <v>7.3554214173650143</v>
      </c>
      <c r="D13" s="9">
        <v>838.78474891774408</v>
      </c>
      <c r="E13" s="92">
        <v>842.4544321942592</v>
      </c>
      <c r="L13" s="93"/>
    </row>
    <row r="14" spans="1:12" x14ac:dyDescent="0.25">
      <c r="A14">
        <v>6</v>
      </c>
      <c r="B14" s="12">
        <v>45444</v>
      </c>
      <c r="C14" s="9">
        <v>3.6857381408498848</v>
      </c>
      <c r="D14" s="9">
        <v>842.4544321942592</v>
      </c>
      <c r="E14" s="92">
        <v>0</v>
      </c>
      <c r="L14" s="93"/>
    </row>
    <row r="15" spans="1:12" x14ac:dyDescent="0.25">
      <c r="B15" s="12"/>
      <c r="C15" s="9"/>
      <c r="D15" s="9"/>
      <c r="E15" s="9"/>
      <c r="L15" s="93"/>
    </row>
    <row r="16" spans="1:12" x14ac:dyDescent="0.25">
      <c r="B16" s="12"/>
      <c r="C16" s="9"/>
      <c r="D16" s="9"/>
      <c r="E16" s="9"/>
    </row>
    <row r="17" spans="2:5" x14ac:dyDescent="0.25">
      <c r="B17" s="12"/>
      <c r="C17" s="9"/>
      <c r="D17" s="9"/>
      <c r="E17" s="9"/>
    </row>
    <row r="18" spans="2:5" x14ac:dyDescent="0.25">
      <c r="B18" s="12"/>
      <c r="C18" s="9"/>
      <c r="D18" s="9"/>
      <c r="E18" s="9"/>
    </row>
    <row r="19" spans="2:5" x14ac:dyDescent="0.25">
      <c r="B19" s="12"/>
      <c r="C19" s="9"/>
      <c r="D19" s="9"/>
      <c r="E19" s="9"/>
    </row>
    <row r="20" spans="2:5" x14ac:dyDescent="0.25">
      <c r="B20" s="12"/>
      <c r="C20" s="9"/>
      <c r="D20" s="9"/>
      <c r="E20" s="9"/>
    </row>
    <row r="21" spans="2:5" x14ac:dyDescent="0.25">
      <c r="B21" s="12"/>
      <c r="C21" s="9"/>
      <c r="D21" s="9"/>
      <c r="E21" s="9"/>
    </row>
    <row r="22" spans="2:5" x14ac:dyDescent="0.25">
      <c r="B22" s="12"/>
      <c r="C22" s="9"/>
      <c r="D22" s="9"/>
      <c r="E22" s="9"/>
    </row>
    <row r="23" spans="2:5" x14ac:dyDescent="0.25">
      <c r="B23" s="12"/>
      <c r="C23" s="9"/>
      <c r="D23" s="9"/>
      <c r="E23" s="9"/>
    </row>
    <row r="24" spans="2:5" x14ac:dyDescent="0.25">
      <c r="B24" s="12"/>
      <c r="C24" s="9"/>
      <c r="D24" s="9"/>
      <c r="E24" s="9"/>
    </row>
    <row r="25" spans="2:5" x14ac:dyDescent="0.25">
      <c r="B25" s="12"/>
      <c r="C25" s="9"/>
      <c r="D25" s="9"/>
      <c r="E25" s="9"/>
    </row>
    <row r="26" spans="2:5" x14ac:dyDescent="0.25">
      <c r="B26" s="12"/>
      <c r="C26" s="9"/>
      <c r="D26" s="9"/>
      <c r="E26" s="9"/>
    </row>
    <row r="27" spans="2:5" x14ac:dyDescent="0.25">
      <c r="B27" s="12"/>
      <c r="C27" s="9"/>
      <c r="D27" s="9"/>
      <c r="E27" s="9"/>
    </row>
    <row r="28" spans="2:5" x14ac:dyDescent="0.25">
      <c r="B28" s="12"/>
      <c r="C28" s="9"/>
      <c r="D28" s="9"/>
      <c r="E28" s="9"/>
    </row>
    <row r="29" spans="2:5" x14ac:dyDescent="0.25">
      <c r="B29" s="12"/>
      <c r="C29" s="9"/>
      <c r="D29" s="9"/>
      <c r="E29" s="9"/>
    </row>
    <row r="30" spans="2:5" x14ac:dyDescent="0.25">
      <c r="B30" s="12"/>
      <c r="C30" s="9"/>
      <c r="D30" s="9"/>
      <c r="E30" s="9"/>
    </row>
    <row r="31" spans="2:5" x14ac:dyDescent="0.25">
      <c r="B31" s="12"/>
      <c r="C31" s="9"/>
      <c r="D31" s="9"/>
      <c r="E31" s="9"/>
    </row>
    <row r="32" spans="2:5" x14ac:dyDescent="0.25">
      <c r="B32" s="12"/>
      <c r="C32" s="9"/>
      <c r="D32" s="9"/>
      <c r="E32" s="9"/>
    </row>
    <row r="33" spans="2:5" x14ac:dyDescent="0.25">
      <c r="B33" s="12"/>
      <c r="C33" s="9"/>
      <c r="D33" s="9"/>
      <c r="E33" s="9"/>
    </row>
    <row r="34" spans="2:5" x14ac:dyDescent="0.25">
      <c r="B34" s="12"/>
      <c r="C34" s="9"/>
      <c r="D34" s="9"/>
      <c r="E34" s="9"/>
    </row>
    <row r="35" spans="2:5" x14ac:dyDescent="0.25">
      <c r="B35" s="12"/>
      <c r="C35" s="9"/>
      <c r="D35" s="9"/>
      <c r="E35" s="9"/>
    </row>
    <row r="36" spans="2:5" x14ac:dyDescent="0.25">
      <c r="B36" s="12"/>
      <c r="C36" s="9"/>
      <c r="D36" s="9"/>
      <c r="E36" s="9"/>
    </row>
    <row r="37" spans="2:5" x14ac:dyDescent="0.25">
      <c r="B37" s="12"/>
      <c r="C37" s="9"/>
      <c r="D37" s="9"/>
      <c r="E37" s="9"/>
    </row>
    <row r="38" spans="2:5" x14ac:dyDescent="0.25">
      <c r="B38" s="12"/>
      <c r="C38" s="9"/>
      <c r="D38" s="9"/>
      <c r="E38" s="9"/>
    </row>
    <row r="39" spans="2:5" x14ac:dyDescent="0.25">
      <c r="B39" s="12"/>
      <c r="C39" s="9"/>
      <c r="D39" s="9"/>
      <c r="E39" s="9"/>
    </row>
    <row r="40" spans="2:5" x14ac:dyDescent="0.25">
      <c r="B40" s="12"/>
      <c r="C40" s="9"/>
      <c r="D40" s="9"/>
      <c r="E40" s="9"/>
    </row>
    <row r="41" spans="2:5" x14ac:dyDescent="0.25">
      <c r="B41" s="12"/>
      <c r="C41" s="9"/>
      <c r="D41" s="9"/>
      <c r="E41" s="9"/>
    </row>
    <row r="42" spans="2:5" x14ac:dyDescent="0.25">
      <c r="B42" s="12"/>
      <c r="C42" s="9"/>
      <c r="D42" s="9"/>
      <c r="E42" s="9"/>
    </row>
    <row r="43" spans="2:5" x14ac:dyDescent="0.25">
      <c r="B43" s="12"/>
      <c r="C43" s="9"/>
      <c r="D43" s="9"/>
      <c r="E43" s="9"/>
    </row>
    <row r="44" spans="2:5" x14ac:dyDescent="0.25">
      <c r="B44" s="12"/>
      <c r="C44" s="9"/>
      <c r="D44" s="9"/>
      <c r="E44" s="9"/>
    </row>
    <row r="45" spans="2:5" x14ac:dyDescent="0.25">
      <c r="B45" s="12"/>
      <c r="C45" s="9"/>
      <c r="D45" s="9"/>
      <c r="E45" s="9"/>
    </row>
    <row r="46" spans="2:5" x14ac:dyDescent="0.25">
      <c r="B46" s="12"/>
      <c r="C46" s="9"/>
      <c r="D46" s="9"/>
      <c r="E46" s="9"/>
    </row>
    <row r="47" spans="2:5" x14ac:dyDescent="0.25">
      <c r="B47" s="12"/>
      <c r="C47" s="9"/>
      <c r="D47" s="9"/>
      <c r="E47" s="9"/>
    </row>
    <row r="48" spans="2:5" x14ac:dyDescent="0.25">
      <c r="B48" s="12"/>
      <c r="C48" s="9"/>
      <c r="D48" s="9"/>
      <c r="E48" s="9"/>
    </row>
    <row r="49" spans="2:5" x14ac:dyDescent="0.25">
      <c r="B49" s="12"/>
      <c r="C49" s="9"/>
      <c r="D49" s="9"/>
      <c r="E49" s="9"/>
    </row>
    <row r="50" spans="2:5" x14ac:dyDescent="0.25">
      <c r="B50" s="12"/>
      <c r="C50" s="9"/>
      <c r="D50" s="9"/>
      <c r="E50" s="9"/>
    </row>
    <row r="51" spans="2:5" x14ac:dyDescent="0.25">
      <c r="B51" s="12"/>
      <c r="C51" s="9"/>
      <c r="D51" s="9"/>
      <c r="E51" s="9"/>
    </row>
    <row r="52" spans="2:5" x14ac:dyDescent="0.25">
      <c r="B52" s="12"/>
      <c r="C52" s="9"/>
      <c r="D52" s="9"/>
      <c r="E52" s="9"/>
    </row>
    <row r="53" spans="2:5" x14ac:dyDescent="0.25">
      <c r="B53" s="12"/>
      <c r="C53" s="9"/>
      <c r="D53" s="9"/>
      <c r="E53" s="9"/>
    </row>
    <row r="54" spans="2:5" x14ac:dyDescent="0.25">
      <c r="B54" s="12"/>
      <c r="C54" s="9"/>
      <c r="D54" s="9"/>
      <c r="E54" s="9"/>
    </row>
    <row r="55" spans="2:5" x14ac:dyDescent="0.25">
      <c r="B55" s="12"/>
      <c r="C55" s="9"/>
      <c r="D55" s="9"/>
      <c r="E55" s="9"/>
    </row>
    <row r="56" spans="2:5" x14ac:dyDescent="0.25">
      <c r="B56" s="12"/>
      <c r="C56" s="9"/>
      <c r="D56" s="9"/>
      <c r="E56" s="9"/>
    </row>
    <row r="57" spans="2:5" x14ac:dyDescent="0.25">
      <c r="B57" s="12"/>
      <c r="C57" s="9"/>
      <c r="D57" s="9"/>
      <c r="E57" s="9"/>
    </row>
    <row r="58" spans="2:5" x14ac:dyDescent="0.25">
      <c r="B58" s="12"/>
      <c r="C58" s="9"/>
      <c r="D58" s="9"/>
      <c r="E58" s="9"/>
    </row>
    <row r="59" spans="2:5" x14ac:dyDescent="0.25">
      <c r="B59" s="12"/>
      <c r="C59" s="9"/>
      <c r="D59" s="9"/>
      <c r="E59" s="9"/>
    </row>
    <row r="60" spans="2:5" x14ac:dyDescent="0.25">
      <c r="B60" s="12"/>
      <c r="C60" s="9"/>
      <c r="D60" s="9"/>
      <c r="E60" s="9"/>
    </row>
    <row r="61" spans="2:5" x14ac:dyDescent="0.25">
      <c r="B61" s="12"/>
      <c r="C61" s="9"/>
      <c r="D61" s="9"/>
      <c r="E61" s="9"/>
    </row>
    <row r="62" spans="2:5" x14ac:dyDescent="0.25">
      <c r="B62" s="12"/>
      <c r="C62" s="9"/>
      <c r="D62" s="9"/>
      <c r="E62" s="9"/>
    </row>
    <row r="63" spans="2:5" x14ac:dyDescent="0.25">
      <c r="B63" s="12"/>
      <c r="C63" s="9"/>
      <c r="D63" s="9"/>
      <c r="E63" s="9"/>
    </row>
    <row r="64" spans="2:5" x14ac:dyDescent="0.25">
      <c r="B64" s="12"/>
      <c r="C64" s="9"/>
      <c r="D64" s="9"/>
      <c r="E64" s="9"/>
    </row>
    <row r="65" spans="2:5" x14ac:dyDescent="0.25">
      <c r="B65" s="12"/>
      <c r="C65" s="9"/>
      <c r="D65" s="9"/>
      <c r="E65" s="9"/>
    </row>
    <row r="66" spans="2:5" x14ac:dyDescent="0.25">
      <c r="B66" s="12"/>
      <c r="C66" s="9"/>
      <c r="D66" s="9"/>
      <c r="E66" s="9"/>
    </row>
    <row r="67" spans="2:5" x14ac:dyDescent="0.25">
      <c r="B67" s="12"/>
      <c r="C67" s="9"/>
      <c r="D67" s="9"/>
      <c r="E67" s="9"/>
    </row>
    <row r="68" spans="2:5" x14ac:dyDescent="0.25">
      <c r="B68" s="12"/>
      <c r="C68" s="9"/>
      <c r="D68" s="9"/>
      <c r="E68" s="9"/>
    </row>
    <row r="69" spans="2:5" x14ac:dyDescent="0.25">
      <c r="B69" s="12"/>
      <c r="C69" s="9"/>
      <c r="D69" s="9"/>
      <c r="E69" s="9"/>
    </row>
    <row r="70" spans="2:5" x14ac:dyDescent="0.25">
      <c r="B70" s="12"/>
      <c r="C70" s="9"/>
      <c r="D70" s="9"/>
      <c r="E70" s="9"/>
    </row>
    <row r="71" spans="2:5" x14ac:dyDescent="0.25">
      <c r="B71" s="12"/>
      <c r="C71" s="9"/>
      <c r="D71" s="9"/>
      <c r="E71" s="9"/>
    </row>
    <row r="72" spans="2:5" x14ac:dyDescent="0.25">
      <c r="B72" s="12"/>
      <c r="C72" s="9"/>
      <c r="D72" s="9"/>
      <c r="E72" s="9"/>
    </row>
    <row r="73" spans="2:5" x14ac:dyDescent="0.25">
      <c r="B73" s="12"/>
      <c r="C73" s="9"/>
      <c r="D73" s="9"/>
      <c r="E73" s="9"/>
    </row>
    <row r="74" spans="2:5" x14ac:dyDescent="0.25">
      <c r="B74" s="12"/>
      <c r="C74" s="9"/>
      <c r="D74" s="9"/>
      <c r="E74" s="9"/>
    </row>
    <row r="75" spans="2:5" x14ac:dyDescent="0.25">
      <c r="B75" s="12"/>
      <c r="C75" s="9"/>
      <c r="D75" s="9"/>
      <c r="E75" s="9"/>
    </row>
    <row r="76" spans="2:5" x14ac:dyDescent="0.25">
      <c r="B76" s="12"/>
      <c r="C76" s="9"/>
      <c r="D76" s="9"/>
      <c r="E76" s="9"/>
    </row>
    <row r="77" spans="2:5" x14ac:dyDescent="0.25">
      <c r="B77" s="12"/>
      <c r="C77" s="9"/>
      <c r="D77" s="9"/>
      <c r="E77" s="9"/>
    </row>
    <row r="78" spans="2:5" x14ac:dyDescent="0.25">
      <c r="B78" s="12"/>
      <c r="C78" s="9"/>
      <c r="D78" s="9"/>
      <c r="E78" s="9"/>
    </row>
    <row r="79" spans="2:5" x14ac:dyDescent="0.25">
      <c r="B79" s="12"/>
      <c r="C79" s="9"/>
      <c r="D79" s="9"/>
      <c r="E79" s="9"/>
    </row>
    <row r="80" spans="2:5" x14ac:dyDescent="0.25">
      <c r="B80" s="12"/>
      <c r="C80" s="9"/>
      <c r="D80" s="9"/>
      <c r="E80" s="9"/>
    </row>
    <row r="81" spans="2:5" x14ac:dyDescent="0.25">
      <c r="B81" s="12"/>
      <c r="C81" s="9"/>
      <c r="D81" s="9"/>
      <c r="E81" s="9"/>
    </row>
    <row r="82" spans="2:5" x14ac:dyDescent="0.25">
      <c r="B82" s="12"/>
      <c r="C82" s="9"/>
      <c r="D82" s="9"/>
      <c r="E82" s="9"/>
    </row>
    <row r="83" spans="2:5" x14ac:dyDescent="0.25">
      <c r="B83" s="12"/>
      <c r="C83" s="9"/>
      <c r="D83" s="9"/>
      <c r="E83" s="9"/>
    </row>
    <row r="84" spans="2:5" x14ac:dyDescent="0.25">
      <c r="B84" s="12"/>
      <c r="C84" s="9"/>
      <c r="D84" s="9"/>
      <c r="E84" s="9"/>
    </row>
    <row r="85" spans="2:5" x14ac:dyDescent="0.25">
      <c r="B85" s="12"/>
      <c r="C85" s="9"/>
      <c r="D85" s="9"/>
      <c r="E85" s="9"/>
    </row>
    <row r="86" spans="2:5" x14ac:dyDescent="0.25">
      <c r="B86" s="12"/>
      <c r="C86" s="9"/>
      <c r="D86" s="9"/>
      <c r="E86" s="9"/>
    </row>
    <row r="87" spans="2:5" x14ac:dyDescent="0.25">
      <c r="B87" s="12"/>
      <c r="C87" s="9"/>
      <c r="D87" s="9"/>
      <c r="E87" s="9"/>
    </row>
    <row r="88" spans="2:5" x14ac:dyDescent="0.25">
      <c r="B88" s="12"/>
      <c r="C88" s="9"/>
      <c r="D88" s="9"/>
      <c r="E88" s="9"/>
    </row>
    <row r="89" spans="2:5" x14ac:dyDescent="0.25">
      <c r="B89" s="12"/>
      <c r="C89" s="9"/>
      <c r="D89" s="9"/>
      <c r="E89" s="9"/>
    </row>
    <row r="90" spans="2:5" x14ac:dyDescent="0.25">
      <c r="B90" s="12"/>
      <c r="C90" s="9"/>
      <c r="D90" s="9"/>
      <c r="E90" s="9"/>
    </row>
    <row r="91" spans="2:5" x14ac:dyDescent="0.25">
      <c r="B91" s="12"/>
      <c r="C91" s="9"/>
      <c r="D91" s="9"/>
      <c r="E91" s="9"/>
    </row>
    <row r="92" spans="2:5" x14ac:dyDescent="0.25">
      <c r="B92" s="12"/>
      <c r="C92" s="9"/>
      <c r="D92" s="9"/>
      <c r="E92" s="9"/>
    </row>
    <row r="93" spans="2:5" x14ac:dyDescent="0.25">
      <c r="B93" s="12"/>
      <c r="C93" s="9"/>
      <c r="D93" s="9"/>
      <c r="E93" s="9"/>
    </row>
    <row r="94" spans="2:5" x14ac:dyDescent="0.25">
      <c r="B94" s="12"/>
      <c r="C94" s="9"/>
      <c r="D94" s="9"/>
      <c r="E94" s="9"/>
    </row>
    <row r="95" spans="2:5" x14ac:dyDescent="0.25">
      <c r="B95" s="12"/>
      <c r="C95" s="9"/>
      <c r="D95" s="9"/>
      <c r="E95" s="9"/>
    </row>
    <row r="96" spans="2:5" x14ac:dyDescent="0.25">
      <c r="B96" s="12"/>
      <c r="C96" s="9"/>
      <c r="D96" s="9"/>
      <c r="E96" s="9"/>
    </row>
    <row r="97" spans="2:5" x14ac:dyDescent="0.25">
      <c r="B97" s="12"/>
      <c r="C97" s="9"/>
      <c r="D97" s="9"/>
      <c r="E97" s="9"/>
    </row>
    <row r="98" spans="2:5" x14ac:dyDescent="0.25">
      <c r="B98" s="12"/>
      <c r="C98" s="9"/>
      <c r="D98" s="9"/>
      <c r="E98" s="9"/>
    </row>
    <row r="99" spans="2:5" x14ac:dyDescent="0.25">
      <c r="B99" s="12"/>
      <c r="C99" s="9"/>
      <c r="D99" s="9"/>
      <c r="E99" s="9"/>
    </row>
    <row r="100" spans="2:5" x14ac:dyDescent="0.25">
      <c r="B100" s="12"/>
      <c r="C100" s="9"/>
      <c r="D100" s="9"/>
      <c r="E100" s="9"/>
    </row>
    <row r="101" spans="2:5" x14ac:dyDescent="0.25">
      <c r="B101" s="12"/>
      <c r="C101" s="9"/>
      <c r="D101" s="9"/>
      <c r="E101" s="9"/>
    </row>
    <row r="102" spans="2:5" x14ac:dyDescent="0.25">
      <c r="B102" s="12"/>
      <c r="C102" s="9"/>
      <c r="D102" s="9"/>
      <c r="E102" s="9"/>
    </row>
    <row r="103" spans="2:5" x14ac:dyDescent="0.25">
      <c r="B103" s="12"/>
      <c r="C103" s="9"/>
      <c r="D103" s="9"/>
      <c r="E103" s="9"/>
    </row>
    <row r="104" spans="2:5" x14ac:dyDescent="0.25">
      <c r="B104" s="12"/>
      <c r="C104" s="9"/>
      <c r="D104" s="9"/>
      <c r="E104" s="9"/>
    </row>
    <row r="105" spans="2:5" x14ac:dyDescent="0.25">
      <c r="B105" s="12"/>
      <c r="C105" s="9"/>
      <c r="D105" s="9"/>
      <c r="E105" s="9"/>
    </row>
    <row r="106" spans="2:5" x14ac:dyDescent="0.25">
      <c r="B106" s="12"/>
      <c r="C106" s="9"/>
      <c r="D106" s="9"/>
      <c r="E106" s="9"/>
    </row>
    <row r="107" spans="2:5" x14ac:dyDescent="0.25">
      <c r="B107" s="12"/>
      <c r="C107" s="9"/>
      <c r="D107" s="9"/>
      <c r="E107" s="9"/>
    </row>
    <row r="108" spans="2:5" x14ac:dyDescent="0.25">
      <c r="B108" s="12"/>
      <c r="C108" s="9"/>
      <c r="D108" s="9"/>
      <c r="E108" s="9"/>
    </row>
    <row r="109" spans="2:5" x14ac:dyDescent="0.25">
      <c r="B109" s="12"/>
      <c r="C109" s="9"/>
      <c r="D109" s="9"/>
      <c r="E109" s="9"/>
    </row>
    <row r="110" spans="2:5" x14ac:dyDescent="0.25">
      <c r="B110" s="12"/>
      <c r="C110" s="9"/>
      <c r="D110" s="9"/>
      <c r="E110" s="9"/>
    </row>
    <row r="111" spans="2:5" x14ac:dyDescent="0.25">
      <c r="B111" s="12"/>
      <c r="C111" s="9"/>
      <c r="D111" s="9"/>
      <c r="E111" s="9"/>
    </row>
    <row r="112" spans="2:5" x14ac:dyDescent="0.25">
      <c r="B112" s="12"/>
      <c r="C112" s="9"/>
      <c r="D112" s="9"/>
      <c r="E112" s="9"/>
    </row>
    <row r="113" spans="2:5" x14ac:dyDescent="0.25">
      <c r="B113" s="12"/>
      <c r="C113" s="9"/>
      <c r="D113" s="9"/>
      <c r="E113" s="9"/>
    </row>
    <row r="114" spans="2:5" x14ac:dyDescent="0.25">
      <c r="B114" s="12"/>
      <c r="C114" s="9"/>
      <c r="D114" s="9"/>
      <c r="E114" s="9"/>
    </row>
    <row r="115" spans="2:5" x14ac:dyDescent="0.25">
      <c r="B115" s="12"/>
      <c r="C115" s="9"/>
      <c r="D115" s="9"/>
      <c r="E115" s="9"/>
    </row>
    <row r="116" spans="2:5" x14ac:dyDescent="0.25">
      <c r="B116" s="12"/>
      <c r="C116" s="9"/>
      <c r="D116" s="9"/>
      <c r="E116" s="9"/>
    </row>
    <row r="117" spans="2:5" x14ac:dyDescent="0.25">
      <c r="B117" s="12"/>
      <c r="C117" s="9"/>
      <c r="D117" s="9"/>
      <c r="E117" s="9"/>
    </row>
    <row r="118" spans="2:5" x14ac:dyDescent="0.25">
      <c r="B118" s="12"/>
      <c r="C118" s="9"/>
      <c r="D118" s="9"/>
      <c r="E118" s="9"/>
    </row>
    <row r="119" spans="2:5" x14ac:dyDescent="0.25">
      <c r="B119" s="12"/>
      <c r="C119" s="9"/>
      <c r="D119" s="9"/>
      <c r="E119" s="9"/>
    </row>
    <row r="120" spans="2:5" x14ac:dyDescent="0.25">
      <c r="B120" s="12"/>
      <c r="C120" s="9"/>
      <c r="D120" s="9"/>
      <c r="E120" s="9"/>
    </row>
    <row r="121" spans="2:5" x14ac:dyDescent="0.25">
      <c r="B121" s="12"/>
      <c r="C121" s="9"/>
      <c r="D121" s="9"/>
      <c r="E121" s="9"/>
    </row>
    <row r="122" spans="2:5" x14ac:dyDescent="0.25">
      <c r="B122" s="12"/>
      <c r="C122" s="9"/>
      <c r="D122" s="9"/>
      <c r="E122" s="9"/>
    </row>
    <row r="123" spans="2:5" x14ac:dyDescent="0.25">
      <c r="B123" s="12"/>
      <c r="C123" s="9"/>
      <c r="D123" s="9"/>
      <c r="E123" s="9"/>
    </row>
    <row r="124" spans="2:5" x14ac:dyDescent="0.25">
      <c r="B124" s="12"/>
      <c r="C124" s="9"/>
      <c r="D124" s="9"/>
      <c r="E124" s="9"/>
    </row>
    <row r="125" spans="2:5" x14ac:dyDescent="0.25">
      <c r="B125" s="12"/>
      <c r="C125" s="9"/>
      <c r="D125" s="9"/>
      <c r="E125" s="9"/>
    </row>
    <row r="126" spans="2:5" x14ac:dyDescent="0.25">
      <c r="B126" s="12"/>
      <c r="C126" s="9"/>
      <c r="D126" s="9"/>
      <c r="E126" s="9"/>
    </row>
    <row r="127" spans="2:5" x14ac:dyDescent="0.25">
      <c r="B127" s="12"/>
      <c r="C127" s="9"/>
      <c r="D127" s="9"/>
      <c r="E127" s="9"/>
    </row>
    <row r="128" spans="2:5" x14ac:dyDescent="0.25">
      <c r="B128" s="12"/>
      <c r="C128" s="9"/>
      <c r="D128" s="9"/>
      <c r="E128" s="9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F5A-497B-4911-89FF-7C82876D781F}">
  <sheetPr codeName="Sheet14"/>
  <dimension ref="B1:N12"/>
  <sheetViews>
    <sheetView workbookViewId="0">
      <pane xSplit="5" topLeftCell="J1" activePane="topRight" state="frozen"/>
      <selection activeCell="E1" sqref="E1"/>
      <selection pane="topRight" activeCell="K6" sqref="K6"/>
    </sheetView>
  </sheetViews>
  <sheetFormatPr defaultColWidth="8.85546875" defaultRowHeight="15" x14ac:dyDescent="0.25"/>
  <cols>
    <col min="1" max="1" width="2.7109375" customWidth="1"/>
    <col min="2" max="2" width="30.7109375" customWidth="1"/>
    <col min="3" max="5" width="15.7109375" customWidth="1"/>
    <col min="6" max="6" width="10.7109375" customWidth="1"/>
    <col min="7" max="7" width="30.7109375" customWidth="1"/>
    <col min="8" max="8" width="10.7109375" customWidth="1"/>
    <col min="9" max="9" width="47.140625" customWidth="1"/>
    <col min="10" max="10" width="15.7109375" customWidth="1"/>
    <col min="11" max="11" width="30.7109375" customWidth="1"/>
    <col min="12" max="14" width="15.7109375" customWidth="1"/>
  </cols>
  <sheetData>
    <row r="1" spans="2:14" ht="19.5" thickBot="1" x14ac:dyDescent="0.35">
      <c r="B1" s="17" t="s">
        <v>43</v>
      </c>
      <c r="C1" s="16"/>
      <c r="D1" s="16"/>
      <c r="E1" s="16"/>
      <c r="G1" s="17" t="s">
        <v>96</v>
      </c>
      <c r="I1" s="17" t="s">
        <v>76</v>
      </c>
      <c r="K1" s="19" t="s">
        <v>65</v>
      </c>
      <c r="L1" s="19"/>
      <c r="M1" s="19"/>
      <c r="N1" s="80"/>
    </row>
    <row r="2" spans="2:14" ht="15.75" thickBot="1" x14ac:dyDescent="0.3">
      <c r="B2" s="69" t="s">
        <v>0</v>
      </c>
      <c r="C2" s="44" t="s">
        <v>1</v>
      </c>
      <c r="D2" s="44" t="s">
        <v>20</v>
      </c>
      <c r="E2" s="45" t="s">
        <v>21</v>
      </c>
      <c r="G2" s="18" t="s">
        <v>22</v>
      </c>
      <c r="I2" s="18" t="s">
        <v>22</v>
      </c>
      <c r="K2" s="48" t="s">
        <v>66</v>
      </c>
      <c r="L2" s="27" t="s">
        <v>30</v>
      </c>
      <c r="M2" s="27"/>
      <c r="N2" s="37"/>
    </row>
    <row r="3" spans="2:14" ht="15.75" thickBot="1" x14ac:dyDescent="0.3">
      <c r="B3" s="22" t="s">
        <v>4</v>
      </c>
      <c r="C3" s="23" t="s">
        <v>26</v>
      </c>
      <c r="D3" s="23">
        <v>75</v>
      </c>
      <c r="E3" s="25">
        <v>120.7008</v>
      </c>
      <c r="G3" s="2" t="e" cm="1" vm="1">
        <f t="array" aca="1" ref="G3" ca="1">_xlfn.UNIQUE(C3:C12)</f>
        <v>#VALUE!</v>
      </c>
      <c r="I3" s="2" t="e" cm="1" vm="1">
        <f t="array" aca="1" ref="I3" ca="1">_xlfn.UNIQUE(C3:C12)</f>
        <v>#VALUE!</v>
      </c>
    </row>
    <row r="4" spans="2:14" ht="18.75" x14ac:dyDescent="0.3">
      <c r="B4" s="22" t="s">
        <v>8</v>
      </c>
      <c r="C4" s="23" t="s">
        <v>24</v>
      </c>
      <c r="D4" s="23">
        <v>28</v>
      </c>
      <c r="E4" s="25">
        <v>45.061631999999996</v>
      </c>
      <c r="I4" t="s">
        <v>41</v>
      </c>
      <c r="K4" s="19" t="s">
        <v>77</v>
      </c>
      <c r="L4" s="34"/>
      <c r="M4" s="34"/>
      <c r="N4" s="35"/>
    </row>
    <row r="5" spans="2:14" x14ac:dyDescent="0.25">
      <c r="B5" s="22" t="s">
        <v>9</v>
      </c>
      <c r="C5" s="23" t="s">
        <v>27</v>
      </c>
      <c r="D5" s="23">
        <v>25</v>
      </c>
      <c r="E5" s="25">
        <v>40.233599999999996</v>
      </c>
      <c r="K5" s="78" t="s">
        <v>0</v>
      </c>
      <c r="L5" s="63" t="s">
        <v>1</v>
      </c>
      <c r="M5" s="63" t="s">
        <v>20</v>
      </c>
      <c r="N5" s="64" t="s">
        <v>21</v>
      </c>
    </row>
    <row r="6" spans="2:14" ht="15.75" thickBot="1" x14ac:dyDescent="0.3">
      <c r="B6" s="22" t="s">
        <v>3</v>
      </c>
      <c r="C6" s="23" t="s">
        <v>19</v>
      </c>
      <c r="D6" s="23">
        <v>55</v>
      </c>
      <c r="E6" s="25">
        <v>151.27833600000002</v>
      </c>
      <c r="K6" s="57" t="e" cm="1" vm="2">
        <f t="array" ref="K6">_xlfn._xlws.FILTER(B3:D12,C3:C12=L2)</f>
        <v>#VALUE!</v>
      </c>
      <c r="L6" s="27"/>
      <c r="M6" s="27"/>
      <c r="N6" s="37"/>
    </row>
    <row r="7" spans="2:14" x14ac:dyDescent="0.25">
      <c r="B7" s="22" t="s">
        <v>3</v>
      </c>
      <c r="C7" s="23" t="s">
        <v>25</v>
      </c>
      <c r="D7" s="23">
        <v>94</v>
      </c>
      <c r="E7" s="25">
        <v>88.513919999999999</v>
      </c>
      <c r="G7" t="s">
        <v>40</v>
      </c>
    </row>
    <row r="8" spans="2:14" x14ac:dyDescent="0.25">
      <c r="B8" s="22" t="s">
        <v>5</v>
      </c>
      <c r="C8" s="23" t="s">
        <v>24</v>
      </c>
      <c r="D8" s="23">
        <v>70</v>
      </c>
      <c r="E8" s="25">
        <v>112.65408000000001</v>
      </c>
    </row>
    <row r="9" spans="2:14" x14ac:dyDescent="0.25">
      <c r="B9" s="22" t="s">
        <v>6</v>
      </c>
      <c r="C9" s="23" t="s">
        <v>28</v>
      </c>
      <c r="D9" s="23">
        <v>56</v>
      </c>
      <c r="E9" s="25">
        <v>90.123263999999992</v>
      </c>
    </row>
    <row r="10" spans="2:14" x14ac:dyDescent="0.25">
      <c r="B10" s="22" t="s">
        <v>2</v>
      </c>
      <c r="C10" s="23" t="s">
        <v>29</v>
      </c>
      <c r="D10" s="23">
        <v>150</v>
      </c>
      <c r="E10" s="25">
        <v>241.4016</v>
      </c>
    </row>
    <row r="11" spans="2:14" x14ac:dyDescent="0.25">
      <c r="B11" s="22" t="s">
        <v>10</v>
      </c>
      <c r="C11" s="23" t="s">
        <v>25</v>
      </c>
      <c r="D11" s="23">
        <v>20</v>
      </c>
      <c r="E11" s="25">
        <v>32.186880000000002</v>
      </c>
    </row>
    <row r="12" spans="2:14" ht="15.75" thickBot="1" x14ac:dyDescent="0.3">
      <c r="B12" s="26" t="s">
        <v>7</v>
      </c>
      <c r="C12" s="27" t="s">
        <v>24</v>
      </c>
      <c r="D12" s="27">
        <v>35</v>
      </c>
      <c r="E12" s="28">
        <v>56.327040000000004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E103-7344-457F-A89F-85ECF13F18EB}">
  <sheetPr codeName="Sheet11"/>
  <dimension ref="B1:D2"/>
  <sheetViews>
    <sheetView workbookViewId="0"/>
  </sheetViews>
  <sheetFormatPr defaultColWidth="8.85546875" defaultRowHeight="15" x14ac:dyDescent="0.25"/>
  <cols>
    <col min="1" max="1" width="2.140625" customWidth="1"/>
    <col min="2" max="2" width="27.28515625" bestFit="1" customWidth="1"/>
    <col min="3" max="3" width="6" customWidth="1"/>
    <col min="4" max="4" width="27" customWidth="1"/>
    <col min="5" max="5" width="5.42578125" customWidth="1"/>
  </cols>
  <sheetData>
    <row r="1" spans="2:4" ht="37.5" x14ac:dyDescent="0.3">
      <c r="B1" s="83" t="s">
        <v>81</v>
      </c>
      <c r="D1" s="83" t="s">
        <v>82</v>
      </c>
    </row>
    <row r="2" spans="2:4" ht="15.75" thickBot="1" x14ac:dyDescent="0.3">
      <c r="B2" s="54">
        <f ca="1">RAND()</f>
        <v>8.7284404112587199E-2</v>
      </c>
      <c r="D2" s="54">
        <f ca="1">RANDBETWEEN(100,500)</f>
        <v>446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757-04B1-44E3-8AFD-220FF91CF682}">
  <dimension ref="B1:I7"/>
  <sheetViews>
    <sheetView workbookViewId="0">
      <selection activeCell="I2" sqref="I2"/>
    </sheetView>
  </sheetViews>
  <sheetFormatPr defaultRowHeight="15" x14ac:dyDescent="0.25"/>
  <cols>
    <col min="1" max="1" width="2.28515625" customWidth="1"/>
    <col min="2" max="2" width="25" customWidth="1"/>
    <col min="3" max="3" width="6" customWidth="1"/>
    <col min="4" max="4" width="13.28515625" customWidth="1"/>
    <col min="5" max="5" width="13.140625" customWidth="1"/>
    <col min="6" max="6" width="6" customWidth="1"/>
    <col min="7" max="7" width="27.140625" customWidth="1"/>
    <col min="8" max="8" width="6" customWidth="1"/>
    <col min="9" max="9" width="26.5703125" bestFit="1" customWidth="1"/>
  </cols>
  <sheetData>
    <row r="1" spans="2:9" ht="37.5" x14ac:dyDescent="0.3">
      <c r="B1" s="83" t="s">
        <v>83</v>
      </c>
      <c r="D1" s="84" t="s">
        <v>86</v>
      </c>
      <c r="E1" s="85"/>
      <c r="G1" s="83" t="s">
        <v>84</v>
      </c>
      <c r="I1" s="83" t="s">
        <v>85</v>
      </c>
    </row>
    <row r="2" spans="2:9" x14ac:dyDescent="0.25">
      <c r="B2" s="53" cm="1">
        <f t="array" aca="1" ref="B2:B4" ca="1">_xlfn.RANDARRAY(3)</f>
        <v>7.6808863712929387E-4</v>
      </c>
      <c r="D2" s="56" cm="1">
        <f t="array" aca="1" ref="D2:E5" ca="1">_xlfn.RANDARRAY(4,2)</f>
        <v>0.73223118290630129</v>
      </c>
      <c r="E2" s="41">
        <f ca="1"/>
        <v>0.78374110765959415</v>
      </c>
      <c r="G2" s="53" cm="1">
        <f t="array" aca="1" ref="G2:G7" ca="1">_xlfn.RANDARRAY(6,1,100,500)</f>
        <v>178.31220023038338</v>
      </c>
      <c r="I2" s="53" cm="1">
        <f t="array" aca="1" ref="I2:I7" ca="1">_xlfn.RANDARRAY(6,1,100,500,TRUE)</f>
        <v>384</v>
      </c>
    </row>
    <row r="3" spans="2:9" x14ac:dyDescent="0.25">
      <c r="B3" s="55">
        <f ca="1"/>
        <v>0.28700294726898279</v>
      </c>
      <c r="D3" s="58">
        <f ca="1"/>
        <v>0.53436743316517732</v>
      </c>
      <c r="E3" s="41">
        <f ca="1"/>
        <v>0.28150891709082915</v>
      </c>
      <c r="G3" s="55">
        <f ca="1"/>
        <v>474.97519652202004</v>
      </c>
      <c r="I3" s="55">
        <f ca="1"/>
        <v>414</v>
      </c>
    </row>
    <row r="4" spans="2:9" ht="15.75" thickBot="1" x14ac:dyDescent="0.3">
      <c r="B4" s="79">
        <f ca="1"/>
        <v>0.60321217679830119</v>
      </c>
      <c r="D4" s="58">
        <f ca="1"/>
        <v>3.7955857644944357E-2</v>
      </c>
      <c r="E4" s="41">
        <f ca="1"/>
        <v>0.21168276602763059</v>
      </c>
      <c r="G4" s="55">
        <f ca="1"/>
        <v>432.48488928034965</v>
      </c>
      <c r="I4" s="55">
        <f ca="1"/>
        <v>245</v>
      </c>
    </row>
    <row r="5" spans="2:9" ht="15.75" thickBot="1" x14ac:dyDescent="0.3">
      <c r="B5" s="3"/>
      <c r="D5" s="66">
        <f ca="1"/>
        <v>1.6599494358788824E-2</v>
      </c>
      <c r="E5" s="32">
        <f ca="1"/>
        <v>0.41356464694299078</v>
      </c>
      <c r="G5" s="55">
        <f ca="1"/>
        <v>133.96981267800493</v>
      </c>
      <c r="I5" s="55">
        <f ca="1"/>
        <v>231</v>
      </c>
    </row>
    <row r="6" spans="2:9" x14ac:dyDescent="0.25">
      <c r="B6" s="3"/>
      <c r="D6" s="3"/>
      <c r="E6" s="3"/>
      <c r="G6" s="55">
        <f ca="1"/>
        <v>496.79299571107873</v>
      </c>
      <c r="I6" s="55">
        <f ca="1"/>
        <v>468</v>
      </c>
    </row>
    <row r="7" spans="2:9" ht="15.75" thickBot="1" x14ac:dyDescent="0.3">
      <c r="G7" s="79">
        <f ca="1"/>
        <v>141.23106621786752</v>
      </c>
      <c r="I7" s="79">
        <f ca="1"/>
        <v>145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VLOOKUP</vt:lpstr>
      <vt:lpstr>XLOOKUP vs. SUMIF</vt:lpstr>
      <vt:lpstr>XLOOKUP Error Handling</vt:lpstr>
      <vt:lpstr>XLOOKUP Approximate Matches</vt:lpstr>
      <vt:lpstr>XLOOKUP Monthly Sales</vt:lpstr>
      <vt:lpstr>XLOOKUP Search Mode</vt:lpstr>
      <vt:lpstr>XLOOKUP Multiple Columns</vt:lpstr>
      <vt:lpstr>INDEX-MATCH</vt:lpstr>
      <vt:lpstr>UNIQUE</vt:lpstr>
      <vt:lpstr>SORT</vt:lpstr>
      <vt:lpstr>FILTER</vt:lpstr>
      <vt:lpstr>Spilled Range Operator</vt:lpstr>
      <vt:lpstr>Dynamic Amortization Table</vt:lpstr>
      <vt:lpstr>#SPILL! and #CALC! Errors</vt:lpstr>
      <vt:lpstr>RAND and RANDBETWEEN</vt:lpstr>
      <vt:lpstr>RANDARRAY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2022-01-21T15:50:55Z</dcterms:created>
  <dcterms:modified xsi:type="dcterms:W3CDTF">2022-04-08T15:17:25Z</dcterms:modified>
</cp:coreProperties>
</file>