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c65cee9b45e64e/Documents/SMO/BOOKS/PACKT/FM BOOK BY SMO/2nd Edition/Example Files/For Buyers/"/>
    </mc:Choice>
  </mc:AlternateContent>
  <xr:revisionPtr revIDLastSave="0" documentId="8_{A19A06F7-38F0-4552-B989-549C275B98A2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Cover" sheetId="9" r:id="rId1"/>
    <sheet name="Financial Model" sheetId="4" r:id="rId2"/>
    <sheet name="Sheet1" sheetId="17" r:id="rId3"/>
    <sheet name="Valuation" sheetId="1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3">#REF!</definedName>
    <definedName name="a">#REF!</definedName>
    <definedName name="aa" localSheetId="0">#REF!</definedName>
    <definedName name="aa" localSheetId="3">#REF!</definedName>
    <definedName name="aa">#REF!</definedName>
    <definedName name="abc" localSheetId="0">#REF!</definedName>
    <definedName name="abc" localSheetId="3">#REF!</definedName>
    <definedName name="abc">#REF!</definedName>
    <definedName name="Apr" localSheetId="0">'[1]Intersector Operator'!$C$11:$G$11</definedName>
    <definedName name="Apr">'[1]Intersector Operator'!$C$11:$G$11</definedName>
    <definedName name="BoomName" localSheetId="0">[1]VLOOKUP!$B$31:$B$39</definedName>
    <definedName name="BoomName">[1]VLOOKUP!$B$31:$B$39</definedName>
    <definedName name="CCF" localSheetId="0">#REF!</definedName>
    <definedName name="CCF" localSheetId="3">#REF!</definedName>
    <definedName name="CCF">#REF!</definedName>
    <definedName name="CCFNew" localSheetId="0">#REF!</definedName>
    <definedName name="CCFNew" localSheetId="3">#REF!</definedName>
    <definedName name="CCFNew">#REF!</definedName>
    <definedName name="Costs_per_Unit" localSheetId="0">#REF!</definedName>
    <definedName name="Costs_per_Unit" localSheetId="3">#REF!</definedName>
    <definedName name="Costs_per_Unit">#REF!</definedName>
    <definedName name="coy" localSheetId="3">[2]Assumptions!$B$1</definedName>
    <definedName name="coy">'Financial Model'!#REF!</definedName>
    <definedName name="_xlnm.Criteria" localSheetId="0">'[3]Any-Column Lookup'!#REF!</definedName>
    <definedName name="_xlnm.Criteria" localSheetId="3">'[3]Any-Column Lookup'!#REF!</definedName>
    <definedName name="_xlnm.Criteria">'[3]Any-Column Lookup'!#REF!</definedName>
    <definedName name="_xlnm.Database" localSheetId="0">#REF!</definedName>
    <definedName name="_xlnm.Database" localSheetId="3">#REF!</definedName>
    <definedName name="_xlnm.Database">#REF!</definedName>
    <definedName name="Dept03" localSheetId="0">'[1]Intersector Operator'!$E$8:$E$19</definedName>
    <definedName name="Dept03">'[1]Intersector Operator'!$E$8:$E$19</definedName>
    <definedName name="Dept04" localSheetId="0">'[1]Intersector Operator'!$F$8:$F$19</definedName>
    <definedName name="Dept04">'[1]Intersector Operator'!$F$8:$F$19</definedName>
    <definedName name="Fac" localSheetId="0">#REF!</definedName>
    <definedName name="Fac" localSheetId="3">#REF!</definedName>
    <definedName name="Fac">#REF!</definedName>
    <definedName name="FebSales" localSheetId="0">#REF!</definedName>
    <definedName name="FebSales" localSheetId="3">#REF!</definedName>
    <definedName name="FebSales">#REF!</definedName>
    <definedName name="iemr" localSheetId="0">#REF!</definedName>
    <definedName name="iemr" localSheetId="3">#REF!</definedName>
    <definedName name="iemr">#REF!</definedName>
    <definedName name="JanSales" localSheetId="0">#REF!</definedName>
    <definedName name="JanSales" localSheetId="3">#REF!</definedName>
    <definedName name="JanSales">#REF!</definedName>
    <definedName name="k" localSheetId="0">Cover!p</definedName>
    <definedName name="k" localSheetId="3">[0]!p</definedName>
    <definedName name="k">[0]!p</definedName>
    <definedName name="MarSales" localSheetId="0">#REF!</definedName>
    <definedName name="MarSales" localSheetId="3">#REF!</definedName>
    <definedName name="MarSales">#REF!</definedName>
    <definedName name="Max_CFA" localSheetId="0">#REF!</definedName>
    <definedName name="Max_CFA" localSheetId="3">#REF!</definedName>
    <definedName name="Max_CFA">#REF!</definedName>
    <definedName name="Max_FRMPRM" localSheetId="0">#REF!</definedName>
    <definedName name="Max_FRMPRM" localSheetId="3">#REF!</definedName>
    <definedName name="Max_FRMPRM">#REF!</definedName>
    <definedName name="May" localSheetId="0">'[1]Intersector Operator'!$C$12:$G$12</definedName>
    <definedName name="May">'[1]Intersector Operator'!$C$12:$G$12</definedName>
    <definedName name="NAME" localSheetId="0">[1]Table1!$A$1:$B$4</definedName>
    <definedName name="NAME">[1]Table1!$A$1:$B$4</definedName>
    <definedName name="NFB" localSheetId="0">#REF!</definedName>
    <definedName name="NFB" localSheetId="3">#REF!</definedName>
    <definedName name="NFB">#REF!</definedName>
    <definedName name="p" localSheetId="0">INDEX(#REF!,MATCH(#REF!,#REF!,0),1)</definedName>
    <definedName name="p" localSheetId="3">INDEX(#REF!,MATCH(#REF!,#REF!,0),1)</definedName>
    <definedName name="p">INDEX(#REF!,MATCH(#REF!,#REF!,0),1)</definedName>
    <definedName name="Pristine_Course" localSheetId="0">#REF!</definedName>
    <definedName name="Pristine_Course" localSheetId="3">#REF!</definedName>
    <definedName name="Pristine_Course">#REF!</definedName>
    <definedName name="Pristine_Month" localSheetId="0">'[4]D-I'!$K$3:$K$5</definedName>
    <definedName name="Pristine_Month">'[4]D-I'!$K$3:$K$5</definedName>
    <definedName name="Pristine_product" localSheetId="0">'[5]D-I'!$I$3:$I$6</definedName>
    <definedName name="Pristine_product">'[5]D-I'!$I$3:$I$6</definedName>
    <definedName name="pristine_region" localSheetId="0">'[5]D-I'!$G$3:$G$7</definedName>
    <definedName name="pristine_region">'[5]D-I'!$G$3:$G$7</definedName>
    <definedName name="product" localSheetId="0">#REF!</definedName>
    <definedName name="product" localSheetId="3">#REF!</definedName>
    <definedName name="product">#REF!</definedName>
    <definedName name="Product_Flex">OFFSET('[6]Dynamic Chart - Offset'!$A$2,,,'[6]Dynamic Chart - Offset'!$D$2,1)</definedName>
    <definedName name="Prov" localSheetId="0">#REF!</definedName>
    <definedName name="Prov" localSheetId="3">#REF!</definedName>
    <definedName name="Prov">#REF!</definedName>
    <definedName name="RAROC" localSheetId="0">#REF!</definedName>
    <definedName name="RAROC" localSheetId="3">#REF!</definedName>
    <definedName name="RAROC">#REF!</definedName>
    <definedName name="Rating" localSheetId="0">#REF!</definedName>
    <definedName name="Rating" localSheetId="3">#REF!</definedName>
    <definedName name="Rating">#REF!</definedName>
    <definedName name="region" localSheetId="0">#REF!</definedName>
    <definedName name="region" localSheetId="3">#REF!</definedName>
    <definedName name="region">#REF!</definedName>
    <definedName name="RR" localSheetId="0">#REF!</definedName>
    <definedName name="RR" localSheetId="3">#REF!</definedName>
    <definedName name="RR">#REF!</definedName>
    <definedName name="RW" localSheetId="0">#REF!</definedName>
    <definedName name="RW" localSheetId="3">#REF!</definedName>
    <definedName name="RW">#REF!</definedName>
    <definedName name="Sales_Flex">OFFSET('[6]Dynamic Chart - Offset'!$B$2,,,'[6]Dynamic Chart - Offset'!$D$2,1)</definedName>
    <definedName name="ss" localSheetId="0">#REF!</definedName>
    <definedName name="ss" localSheetId="3">#REF!</definedName>
    <definedName name="ss">#REF!</definedName>
    <definedName name="Tax" localSheetId="0">[1]VLOOKUP!$I$70:$M$77</definedName>
    <definedName name="Tax">[1]VLOOKUP!$I$70:$M$77</definedName>
    <definedName name="Tenor" localSheetId="0">#REF!</definedName>
    <definedName name="Tenor" localSheetId="3">#REF!</definedName>
    <definedName name="Tenor">#REF!</definedName>
    <definedName name="test" localSheetId="0">'[7]Scroll Bars and Spinners'!#REF!</definedName>
    <definedName name="test" localSheetId="3">'[7]Scroll Bars and Spinners'!#REF!</definedName>
    <definedName name="test">'[7]Scroll Bars and Spinners'!#REF!</definedName>
    <definedName name="TL" localSheetId="0">#REF!</definedName>
    <definedName name="TL" localSheetId="3">#REF!</definedName>
    <definedName name="TL">#REF!</definedName>
    <definedName name="Total_Costs" localSheetId="0">'[8]Break Even (Solver)'!$B$10:$C$10</definedName>
    <definedName name="Total_Costs">'[8]Break Even (Solver)'!$B$10:$C$10</definedName>
    <definedName name="Total_Revenue" localSheetId="0">#REF!</definedName>
    <definedName name="Total_Revenue" localSheetId="3">#REF!</definedName>
    <definedName name="Total_Revenue">#REF!</definedName>
    <definedName name="valuevx">42.314159</definedName>
    <definedName name="WC" localSheetId="0">#REF!</definedName>
    <definedName name="WC" localSheetId="3">#REF!</definedName>
    <definedName name="WC">#REF!</definedName>
    <definedName name="WCFB" localSheetId="0">#REF!</definedName>
    <definedName name="WCFB" localSheetId="3">#REF!</definedName>
    <definedName name="WCFB">#REF!</definedName>
    <definedName name="years" localSheetId="3">[2]Assumptions!$E$3:$L$3</definedName>
    <definedName name="years">'Financial Model'!$E$6:$L$6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0" i="4" l="1"/>
  <c r="G220" i="4"/>
  <c r="E226" i="4"/>
  <c r="F226" i="4"/>
  <c r="E227" i="4"/>
  <c r="F227" i="4"/>
  <c r="G227" i="4"/>
  <c r="E228" i="4"/>
  <c r="F228" i="4"/>
  <c r="G228" i="4"/>
  <c r="E229" i="4"/>
  <c r="F229" i="4"/>
  <c r="G229" i="4"/>
  <c r="E202" i="4"/>
  <c r="F202" i="4"/>
  <c r="G202" i="4"/>
  <c r="H202" i="4"/>
  <c r="I202" i="4"/>
  <c r="J202" i="4"/>
  <c r="K202" i="4"/>
  <c r="L202" i="4"/>
  <c r="E189" i="4"/>
  <c r="F189" i="4"/>
  <c r="G189" i="4"/>
  <c r="H189" i="4"/>
  <c r="I189" i="4"/>
  <c r="J189" i="4"/>
  <c r="K189" i="4"/>
  <c r="L189" i="4"/>
  <c r="D190" i="4"/>
  <c r="D191" i="4"/>
  <c r="E194" i="4"/>
  <c r="F194" i="4"/>
  <c r="G194" i="4"/>
  <c r="H194" i="4"/>
  <c r="I194" i="4"/>
  <c r="J194" i="4"/>
  <c r="K194" i="4"/>
  <c r="L194" i="4"/>
  <c r="E157" i="4"/>
  <c r="I161" i="4" s="1"/>
  <c r="F157" i="4"/>
  <c r="F173" i="4" s="1"/>
  <c r="G157" i="4"/>
  <c r="G173" i="4" s="1"/>
  <c r="H157" i="4"/>
  <c r="L164" i="4" s="1"/>
  <c r="I157" i="4"/>
  <c r="I173" i="4" s="1"/>
  <c r="J157" i="4"/>
  <c r="J173" i="4" s="1"/>
  <c r="K157" i="4"/>
  <c r="K173" i="4" s="1"/>
  <c r="L157" i="4"/>
  <c r="L173" i="4" s="1"/>
  <c r="F161" i="4"/>
  <c r="F169" i="4" s="1"/>
  <c r="F179" i="4" s="1"/>
  <c r="F117" i="4"/>
  <c r="G117" i="4"/>
  <c r="F118" i="4"/>
  <c r="G118" i="4"/>
  <c r="F121" i="4"/>
  <c r="G121" i="4"/>
  <c r="F122" i="4"/>
  <c r="G122" i="4"/>
  <c r="F123" i="4"/>
  <c r="G123" i="4"/>
  <c r="F132" i="4"/>
  <c r="G132" i="4"/>
  <c r="F140" i="4"/>
  <c r="G140" i="4"/>
  <c r="F146" i="4"/>
  <c r="G96" i="4"/>
  <c r="G97" i="4" s="1"/>
  <c r="G102" i="4" s="1"/>
  <c r="G107" i="4" s="1"/>
  <c r="G110" i="4" s="1"/>
  <c r="G116" i="4" s="1"/>
  <c r="E97" i="4"/>
  <c r="E102" i="4" s="1"/>
  <c r="E107" i="4" s="1"/>
  <c r="E110" i="4" s="1"/>
  <c r="E208" i="4" s="1"/>
  <c r="E209" i="4" s="1"/>
  <c r="F207" i="4" s="1"/>
  <c r="F97" i="4"/>
  <c r="F102" i="4" s="1"/>
  <c r="F107" i="4" s="1"/>
  <c r="F110" i="4" s="1"/>
  <c r="F116" i="4" s="1"/>
  <c r="E64" i="4"/>
  <c r="F64" i="4"/>
  <c r="G64" i="4"/>
  <c r="E69" i="4"/>
  <c r="F69" i="4"/>
  <c r="G69" i="4"/>
  <c r="E73" i="4"/>
  <c r="F73" i="4"/>
  <c r="G73" i="4"/>
  <c r="F80" i="4"/>
  <c r="G80" i="4" s="1"/>
  <c r="G82" i="4" s="1"/>
  <c r="E82" i="4"/>
  <c r="E86" i="4"/>
  <c r="F86" i="4"/>
  <c r="G86" i="4"/>
  <c r="F232" i="4" l="1"/>
  <c r="G232" i="4"/>
  <c r="E232" i="4"/>
  <c r="E240" i="4"/>
  <c r="G240" i="4"/>
  <c r="E215" i="4"/>
  <c r="F217" i="4"/>
  <c r="G235" i="4"/>
  <c r="F242" i="4"/>
  <c r="E217" i="4"/>
  <c r="E242" i="4"/>
  <c r="F216" i="4"/>
  <c r="E216" i="4"/>
  <c r="F215" i="4"/>
  <c r="E241" i="4"/>
  <c r="I191" i="4"/>
  <c r="H161" i="4"/>
  <c r="G161" i="4"/>
  <c r="G169" i="4" s="1"/>
  <c r="G179" i="4" s="1"/>
  <c r="G222" i="4"/>
  <c r="F221" i="4"/>
  <c r="G226" i="4"/>
  <c r="G223" i="4"/>
  <c r="F222" i="4"/>
  <c r="F223" i="4"/>
  <c r="G241" i="4"/>
  <c r="G221" i="4"/>
  <c r="F235" i="4"/>
  <c r="G242" i="4"/>
  <c r="G217" i="4"/>
  <c r="G216" i="4"/>
  <c r="G215" i="4"/>
  <c r="F190" i="4"/>
  <c r="G208" i="4"/>
  <c r="F208" i="4"/>
  <c r="F209" i="4" s="1"/>
  <c r="G207" i="4" s="1"/>
  <c r="L190" i="4"/>
  <c r="K190" i="4"/>
  <c r="E192" i="4"/>
  <c r="J190" i="4"/>
  <c r="L191" i="4"/>
  <c r="I190" i="4"/>
  <c r="K191" i="4"/>
  <c r="H190" i="4"/>
  <c r="J191" i="4"/>
  <c r="G190" i="4"/>
  <c r="E161" i="4"/>
  <c r="E169" i="4" s="1"/>
  <c r="E179" i="4" s="1"/>
  <c r="E180" i="4" s="1"/>
  <c r="F178" i="4" s="1"/>
  <c r="F180" i="4" s="1"/>
  <c r="G178" i="4" s="1"/>
  <c r="H173" i="4"/>
  <c r="L161" i="4"/>
  <c r="L169" i="4" s="1"/>
  <c r="L179" i="4" s="1"/>
  <c r="K161" i="4"/>
  <c r="I164" i="4"/>
  <c r="I169" i="4" s="1"/>
  <c r="I179" i="4" s="1"/>
  <c r="J161" i="4"/>
  <c r="K164" i="4"/>
  <c r="J164" i="4"/>
  <c r="H164" i="4"/>
  <c r="E173" i="4"/>
  <c r="E175" i="4" s="1"/>
  <c r="E88" i="4"/>
  <c r="F75" i="4"/>
  <c r="F77" i="4" s="1"/>
  <c r="F82" i="4"/>
  <c r="G88" i="4"/>
  <c r="G124" i="4"/>
  <c r="G126" i="4" s="1"/>
  <c r="G75" i="4"/>
  <c r="G77" i="4" s="1"/>
  <c r="F124" i="4"/>
  <c r="F126" i="4" s="1"/>
  <c r="E75" i="4"/>
  <c r="E77" i="4" s="1"/>
  <c r="G32" i="4"/>
  <c r="G11" i="4"/>
  <c r="H12" i="4" s="1"/>
  <c r="F44" i="16"/>
  <c r="H137" i="4"/>
  <c r="I137" i="4"/>
  <c r="J137" i="4"/>
  <c r="K137" i="4"/>
  <c r="L137" i="4"/>
  <c r="E46" i="4"/>
  <c r="E201" i="4" s="1"/>
  <c r="E203" i="4" s="1"/>
  <c r="F46" i="4"/>
  <c r="F201" i="4" s="1"/>
  <c r="F203" i="4" s="1"/>
  <c r="G46" i="4"/>
  <c r="G201" i="4" s="1"/>
  <c r="G203" i="4" s="1"/>
  <c r="H201" i="4" s="1"/>
  <c r="H203" i="4" s="1"/>
  <c r="I201" i="4" s="1"/>
  <c r="I203" i="4" s="1"/>
  <c r="J201" i="4" s="1"/>
  <c r="J203" i="4" s="1"/>
  <c r="K201" i="4" s="1"/>
  <c r="K203" i="4" s="1"/>
  <c r="L201" i="4" s="1"/>
  <c r="L203" i="4" s="1"/>
  <c r="H46" i="4"/>
  <c r="I46" i="4"/>
  <c r="J46" i="4"/>
  <c r="K46" i="4"/>
  <c r="L46" i="4"/>
  <c r="F129" i="4"/>
  <c r="F133" i="4" s="1"/>
  <c r="G129" i="4"/>
  <c r="G133" i="4" s="1"/>
  <c r="H129" i="4"/>
  <c r="J129" i="4"/>
  <c r="L129" i="4"/>
  <c r="F137" i="4"/>
  <c r="G137" i="4"/>
  <c r="H33" i="4"/>
  <c r="H81" i="4" s="1"/>
  <c r="I33" i="4"/>
  <c r="I81" i="4" s="1"/>
  <c r="J33" i="4"/>
  <c r="J81" i="4" s="1"/>
  <c r="K33" i="4"/>
  <c r="K81" i="4" s="1"/>
  <c r="L33" i="4"/>
  <c r="L81" i="4" s="1"/>
  <c r="H14" i="4"/>
  <c r="H13" i="4" s="1"/>
  <c r="H96" i="4" s="1"/>
  <c r="I14" i="4"/>
  <c r="J14" i="4"/>
  <c r="K14" i="4"/>
  <c r="L14" i="4"/>
  <c r="H35" i="4"/>
  <c r="H105" i="4" s="1"/>
  <c r="I35" i="4"/>
  <c r="I105" i="4" s="1"/>
  <c r="J35" i="4"/>
  <c r="J105" i="4" s="1"/>
  <c r="K35" i="4"/>
  <c r="K105" i="4" s="1"/>
  <c r="L35" i="4"/>
  <c r="L105" i="4" s="1"/>
  <c r="H23" i="4"/>
  <c r="H103" i="4" s="1"/>
  <c r="F29" i="4"/>
  <c r="F28" i="4"/>
  <c r="G28" i="4"/>
  <c r="F27" i="4"/>
  <c r="F21" i="4"/>
  <c r="E21" i="4"/>
  <c r="F19" i="4"/>
  <c r="E19" i="4"/>
  <c r="E17" i="4"/>
  <c r="F17" i="4"/>
  <c r="G14" i="4"/>
  <c r="F14" i="4"/>
  <c r="F12" i="4"/>
  <c r="G29" i="4"/>
  <c r="G27" i="4"/>
  <c r="G180" i="4" l="1"/>
  <c r="H178" i="4" s="1"/>
  <c r="G237" i="4"/>
  <c r="F237" i="4"/>
  <c r="H169" i="4"/>
  <c r="H179" i="4" s="1"/>
  <c r="F88" i="4"/>
  <c r="G236" i="4" s="1"/>
  <c r="F240" i="4"/>
  <c r="F241" i="4"/>
  <c r="G209" i="4"/>
  <c r="H207" i="4" s="1"/>
  <c r="F188" i="4"/>
  <c r="F192" i="4" s="1"/>
  <c r="F195" i="4" s="1"/>
  <c r="E195" i="4"/>
  <c r="J169" i="4"/>
  <c r="J179" i="4" s="1"/>
  <c r="K169" i="4"/>
  <c r="K179" i="4" s="1"/>
  <c r="E182" i="4"/>
  <c r="F172" i="4"/>
  <c r="F175" i="4" s="1"/>
  <c r="G4" i="4"/>
  <c r="E4" i="4"/>
  <c r="I27" i="4"/>
  <c r="K129" i="4"/>
  <c r="J29" i="4"/>
  <c r="I129" i="4"/>
  <c r="K28" i="4"/>
  <c r="H28" i="4"/>
  <c r="L27" i="4"/>
  <c r="J28" i="4"/>
  <c r="G12" i="4"/>
  <c r="I28" i="4"/>
  <c r="L28" i="4"/>
  <c r="L12" i="4"/>
  <c r="G21" i="4"/>
  <c r="J21" i="4" s="1"/>
  <c r="G17" i="4"/>
  <c r="H17" i="4" s="1"/>
  <c r="I13" i="4"/>
  <c r="H84" i="4"/>
  <c r="F138" i="4"/>
  <c r="F141" i="4" s="1"/>
  <c r="F143" i="4" s="1"/>
  <c r="F147" i="4" s="1"/>
  <c r="I138" i="4"/>
  <c r="H138" i="4"/>
  <c r="J27" i="4"/>
  <c r="J32" i="4"/>
  <c r="J63" i="4" s="1"/>
  <c r="I32" i="4"/>
  <c r="H32" i="4"/>
  <c r="L32" i="4"/>
  <c r="L63" i="4" s="1"/>
  <c r="H27" i="4"/>
  <c r="H66" i="4" s="1"/>
  <c r="H122" i="4" s="1"/>
  <c r="K27" i="4"/>
  <c r="I29" i="4"/>
  <c r="K29" i="4"/>
  <c r="H29" i="4"/>
  <c r="H71" i="4" s="1"/>
  <c r="H121" i="4" s="1"/>
  <c r="L29" i="4"/>
  <c r="K32" i="4"/>
  <c r="K63" i="4" s="1"/>
  <c r="I100" i="4"/>
  <c r="I117" i="4" s="1"/>
  <c r="I23" i="4"/>
  <c r="I103" i="4" s="1"/>
  <c r="G138" i="4"/>
  <c r="G141" i="4" s="1"/>
  <c r="G143" i="4" s="1"/>
  <c r="G147" i="4" s="1"/>
  <c r="G19" i="4"/>
  <c r="L19" i="4" s="1"/>
  <c r="I12" i="4"/>
  <c r="J12" i="4"/>
  <c r="H11" i="4"/>
  <c r="H95" i="4" s="1"/>
  <c r="K12" i="4"/>
  <c r="F148" i="4" l="1"/>
  <c r="G146" i="4" s="1"/>
  <c r="G148" i="4" s="1"/>
  <c r="H146" i="4" s="1"/>
  <c r="H180" i="4"/>
  <c r="I178" i="4" s="1"/>
  <c r="I180" i="4" s="1"/>
  <c r="J178" i="4" s="1"/>
  <c r="J180" i="4" s="1"/>
  <c r="K178" i="4" s="1"/>
  <c r="K180" i="4" s="1"/>
  <c r="L178" i="4" s="1"/>
  <c r="L180" i="4" s="1"/>
  <c r="F4" i="4"/>
  <c r="F236" i="4"/>
  <c r="H100" i="4"/>
  <c r="H117" i="4" s="1"/>
  <c r="H97" i="4"/>
  <c r="H220" i="4"/>
  <c r="H226" i="4"/>
  <c r="G188" i="4"/>
  <c r="G192" i="4" s="1"/>
  <c r="F182" i="4"/>
  <c r="G172" i="4"/>
  <c r="G175" i="4" s="1"/>
  <c r="K138" i="4"/>
  <c r="H21" i="4"/>
  <c r="H20" i="4" s="1"/>
  <c r="H101" i="4" s="1"/>
  <c r="H229" i="4" s="1"/>
  <c r="K132" i="4"/>
  <c r="K133" i="4" s="1"/>
  <c r="L138" i="4"/>
  <c r="J138" i="4"/>
  <c r="L132" i="4"/>
  <c r="L133" i="4" s="1"/>
  <c r="J13" i="4"/>
  <c r="J96" i="4" s="1"/>
  <c r="I96" i="4"/>
  <c r="I17" i="4"/>
  <c r="L17" i="4"/>
  <c r="K21" i="4"/>
  <c r="H63" i="4"/>
  <c r="H132" i="4" s="1"/>
  <c r="H133" i="4" s="1"/>
  <c r="I63" i="4"/>
  <c r="L100" i="4"/>
  <c r="L117" i="4" s="1"/>
  <c r="L21" i="4"/>
  <c r="I21" i="4"/>
  <c r="K17" i="4"/>
  <c r="J17" i="4"/>
  <c r="I19" i="4"/>
  <c r="H19" i="4"/>
  <c r="H18" i="4" s="1"/>
  <c r="H99" i="4" s="1"/>
  <c r="H228" i="4" s="1"/>
  <c r="I84" i="4"/>
  <c r="H16" i="4"/>
  <c r="H98" i="4" s="1"/>
  <c r="H227" i="4" s="1"/>
  <c r="H67" i="4"/>
  <c r="H123" i="4" s="1"/>
  <c r="H124" i="4" s="1"/>
  <c r="I11" i="4"/>
  <c r="J19" i="4"/>
  <c r="K19" i="4"/>
  <c r="J23" i="4"/>
  <c r="J103" i="4" s="1"/>
  <c r="I95" i="4" l="1"/>
  <c r="I220" i="4" s="1"/>
  <c r="J11" i="4"/>
  <c r="J95" i="4" s="1"/>
  <c r="I66" i="4"/>
  <c r="I122" i="4" s="1"/>
  <c r="H188" i="4"/>
  <c r="H192" i="4" s="1"/>
  <c r="G195" i="4"/>
  <c r="G182" i="4"/>
  <c r="H172" i="4"/>
  <c r="H175" i="4" s="1"/>
  <c r="I97" i="4"/>
  <c r="I132" i="4"/>
  <c r="I133" i="4" s="1"/>
  <c r="I71" i="4"/>
  <c r="I121" i="4" s="1"/>
  <c r="K13" i="4"/>
  <c r="K96" i="4" s="1"/>
  <c r="J132" i="4"/>
  <c r="J133" i="4" s="1"/>
  <c r="H102" i="4"/>
  <c r="J100" i="4"/>
  <c r="J117" i="4" s="1"/>
  <c r="K100" i="4"/>
  <c r="K117" i="4" s="1"/>
  <c r="I20" i="4"/>
  <c r="I101" i="4" s="1"/>
  <c r="I229" i="4" s="1"/>
  <c r="I16" i="4"/>
  <c r="I98" i="4" s="1"/>
  <c r="I227" i="4" s="1"/>
  <c r="I18" i="4"/>
  <c r="K23" i="4"/>
  <c r="K103" i="4" s="1"/>
  <c r="I67" i="4" l="1"/>
  <c r="I123" i="4" s="1"/>
  <c r="I124" i="4" s="1"/>
  <c r="I226" i="4"/>
  <c r="J66" i="4"/>
  <c r="J122" i="4" s="1"/>
  <c r="J97" i="4"/>
  <c r="J220" i="4"/>
  <c r="J226" i="4"/>
  <c r="I188" i="4"/>
  <c r="I192" i="4" s="1"/>
  <c r="H195" i="4"/>
  <c r="J71" i="4"/>
  <c r="J121" i="4" s="1"/>
  <c r="I172" i="4"/>
  <c r="I175" i="4" s="1"/>
  <c r="H182" i="4"/>
  <c r="H62" i="4" s="1"/>
  <c r="H64" i="4" s="1"/>
  <c r="L13" i="4"/>
  <c r="L96" i="4" s="1"/>
  <c r="I99" i="4"/>
  <c r="K84" i="4"/>
  <c r="J84" i="4"/>
  <c r="H80" i="4"/>
  <c r="H82" i="4" s="1"/>
  <c r="J20" i="4"/>
  <c r="J16" i="4"/>
  <c r="K11" i="4"/>
  <c r="K95" i="4" s="1"/>
  <c r="J18" i="4"/>
  <c r="L23" i="4"/>
  <c r="L103" i="4" s="1"/>
  <c r="J67" i="4" l="1"/>
  <c r="J123" i="4" s="1"/>
  <c r="J124" i="4" s="1"/>
  <c r="K66" i="4"/>
  <c r="L66" i="4" s="1"/>
  <c r="L122" i="4" s="1"/>
  <c r="K97" i="4"/>
  <c r="K220" i="4"/>
  <c r="I102" i="4"/>
  <c r="I228" i="4"/>
  <c r="K226" i="4"/>
  <c r="K71" i="4"/>
  <c r="K121" i="4" s="1"/>
  <c r="J188" i="4"/>
  <c r="J192" i="4" s="1"/>
  <c r="I195" i="4"/>
  <c r="I182" i="4"/>
  <c r="I62" i="4" s="1"/>
  <c r="I64" i="4" s="1"/>
  <c r="J172" i="4"/>
  <c r="J175" i="4" s="1"/>
  <c r="H104" i="4"/>
  <c r="H140" i="4" s="1"/>
  <c r="H141" i="4" s="1"/>
  <c r="J99" i="4"/>
  <c r="J228" i="4" s="1"/>
  <c r="J98" i="4"/>
  <c r="J227" i="4" s="1"/>
  <c r="J101" i="4"/>
  <c r="J229" i="4" s="1"/>
  <c r="L84" i="4"/>
  <c r="I80" i="4"/>
  <c r="I82" i="4" s="1"/>
  <c r="K16" i="4"/>
  <c r="K98" i="4" s="1"/>
  <c r="K227" i="4" s="1"/>
  <c r="L11" i="4"/>
  <c r="L95" i="4" s="1"/>
  <c r="K18" i="4"/>
  <c r="K99" i="4" s="1"/>
  <c r="K228" i="4" s="1"/>
  <c r="K20" i="4"/>
  <c r="K67" i="4" l="1"/>
  <c r="K123" i="4" s="1"/>
  <c r="L71" i="4"/>
  <c r="L121" i="4" s="1"/>
  <c r="K122" i="4"/>
  <c r="L97" i="4"/>
  <c r="L220" i="4"/>
  <c r="L226" i="4"/>
  <c r="K188" i="4"/>
  <c r="K192" i="4" s="1"/>
  <c r="J195" i="4"/>
  <c r="K172" i="4"/>
  <c r="K175" i="4" s="1"/>
  <c r="J182" i="4"/>
  <c r="J62" i="4" s="1"/>
  <c r="J64" i="4" s="1"/>
  <c r="H118" i="4"/>
  <c r="H107" i="4"/>
  <c r="I104" i="4"/>
  <c r="K101" i="4"/>
  <c r="J102" i="4"/>
  <c r="J80" i="4"/>
  <c r="J82" i="4" s="1"/>
  <c r="L67" i="4"/>
  <c r="L123" i="4" s="1"/>
  <c r="L18" i="4"/>
  <c r="L99" i="4" s="1"/>
  <c r="L228" i="4" s="1"/>
  <c r="L20" i="4"/>
  <c r="L101" i="4" s="1"/>
  <c r="L229" i="4" s="1"/>
  <c r="L16" i="4"/>
  <c r="L98" i="4" s="1"/>
  <c r="L227" i="4" s="1"/>
  <c r="K124" i="4" l="1"/>
  <c r="L124" i="4"/>
  <c r="H108" i="4"/>
  <c r="H110" i="4" s="1"/>
  <c r="H215" i="4"/>
  <c r="H216" i="4"/>
  <c r="H242" i="4"/>
  <c r="H222" i="4"/>
  <c r="H221" i="4"/>
  <c r="H241" i="4"/>
  <c r="K102" i="4"/>
  <c r="K229" i="4"/>
  <c r="L188" i="4"/>
  <c r="L192" i="4" s="1"/>
  <c r="L195" i="4" s="1"/>
  <c r="K195" i="4"/>
  <c r="K104" i="4" s="1"/>
  <c r="K182" i="4"/>
  <c r="K62" i="4" s="1"/>
  <c r="K64" i="4" s="1"/>
  <c r="L172" i="4"/>
  <c r="L175" i="4" s="1"/>
  <c r="L182" i="4" s="1"/>
  <c r="L62" i="4" s="1"/>
  <c r="L64" i="4" s="1"/>
  <c r="I107" i="4"/>
  <c r="I118" i="4"/>
  <c r="I140" i="4"/>
  <c r="I141" i="4" s="1"/>
  <c r="L102" i="4"/>
  <c r="K80" i="4"/>
  <c r="K82" i="4" s="1"/>
  <c r="J104" i="4"/>
  <c r="I221" i="4" l="1"/>
  <c r="I216" i="4"/>
  <c r="I242" i="4"/>
  <c r="I222" i="4"/>
  <c r="I215" i="4"/>
  <c r="I241" i="4"/>
  <c r="H217" i="4"/>
  <c r="H223" i="4"/>
  <c r="H208" i="4"/>
  <c r="H209" i="4" s="1"/>
  <c r="H116" i="4"/>
  <c r="H126" i="4" s="1"/>
  <c r="H143" i="4" s="1"/>
  <c r="H147" i="4" s="1"/>
  <c r="I108" i="4"/>
  <c r="I110" i="4" s="1"/>
  <c r="K107" i="4"/>
  <c r="K241" i="4" s="1"/>
  <c r="K118" i="4"/>
  <c r="K140" i="4"/>
  <c r="K141" i="4" s="1"/>
  <c r="J107" i="4"/>
  <c r="J140" i="4"/>
  <c r="J141" i="4" s="1"/>
  <c r="J118" i="4"/>
  <c r="L80" i="4"/>
  <c r="L82" i="4" s="1"/>
  <c r="H148" i="4" l="1"/>
  <c r="I146" i="4" s="1"/>
  <c r="I217" i="4"/>
  <c r="I223" i="4"/>
  <c r="J108" i="4"/>
  <c r="J110" i="4" s="1"/>
  <c r="J208" i="4" s="1"/>
  <c r="J222" i="4"/>
  <c r="J216" i="4"/>
  <c r="J221" i="4"/>
  <c r="J215" i="4"/>
  <c r="J242" i="4"/>
  <c r="J241" i="4"/>
  <c r="I207" i="4"/>
  <c r="H85" i="4"/>
  <c r="H86" i="4" s="1"/>
  <c r="K221" i="4"/>
  <c r="K222" i="4"/>
  <c r="K215" i="4"/>
  <c r="K216" i="4"/>
  <c r="K242" i="4"/>
  <c r="I116" i="4"/>
  <c r="I126" i="4" s="1"/>
  <c r="I143" i="4" s="1"/>
  <c r="I147" i="4" s="1"/>
  <c r="I208" i="4"/>
  <c r="K108" i="4"/>
  <c r="K110" i="4" s="1"/>
  <c r="I148" i="4" l="1"/>
  <c r="J146" i="4" s="1"/>
  <c r="H68" i="4"/>
  <c r="H69" i="4" s="1"/>
  <c r="H72" i="4"/>
  <c r="H73" i="4" s="1"/>
  <c r="I209" i="4"/>
  <c r="J207" i="4" s="1"/>
  <c r="J209" i="4" s="1"/>
  <c r="K207" i="4" s="1"/>
  <c r="H88" i="4"/>
  <c r="H240" i="4"/>
  <c r="H235" i="4"/>
  <c r="J217" i="4"/>
  <c r="J223" i="4"/>
  <c r="J116" i="4"/>
  <c r="J126" i="4" s="1"/>
  <c r="J143" i="4" s="1"/>
  <c r="J147" i="4" s="1"/>
  <c r="K223" i="4"/>
  <c r="K217" i="4"/>
  <c r="K116" i="4"/>
  <c r="K126" i="4" s="1"/>
  <c r="K143" i="4" s="1"/>
  <c r="K147" i="4" s="1"/>
  <c r="K208" i="4"/>
  <c r="L104" i="4"/>
  <c r="I68" i="4" l="1"/>
  <c r="I69" i="4" s="1"/>
  <c r="I72" i="4"/>
  <c r="I73" i="4" s="1"/>
  <c r="H232" i="4"/>
  <c r="H75" i="4"/>
  <c r="H77" i="4" s="1"/>
  <c r="H237" i="4" s="1"/>
  <c r="J148" i="4"/>
  <c r="K146" i="4" s="1"/>
  <c r="K148" i="4" s="1"/>
  <c r="L146" i="4" s="1"/>
  <c r="I85" i="4"/>
  <c r="I86" i="4" s="1"/>
  <c r="I235" i="4" s="1"/>
  <c r="K209" i="4"/>
  <c r="L207" i="4" s="1"/>
  <c r="H236" i="4"/>
  <c r="J85" i="4"/>
  <c r="J86" i="4" s="1"/>
  <c r="L140" i="4"/>
  <c r="L141" i="4" s="1"/>
  <c r="L118" i="4"/>
  <c r="L107" i="4"/>
  <c r="J68" i="4" l="1"/>
  <c r="J69" i="4" s="1"/>
  <c r="J72" i="4"/>
  <c r="J73" i="4" s="1"/>
  <c r="I232" i="4"/>
  <c r="I75" i="4"/>
  <c r="I77" i="4" s="1"/>
  <c r="I237" i="4" s="1"/>
  <c r="H4" i="4"/>
  <c r="I240" i="4"/>
  <c r="I88" i="4"/>
  <c r="I236" i="4" s="1"/>
  <c r="J235" i="4"/>
  <c r="J88" i="4"/>
  <c r="J240" i="4"/>
  <c r="L222" i="4"/>
  <c r="L221" i="4"/>
  <c r="L215" i="4"/>
  <c r="L216" i="4"/>
  <c r="L242" i="4"/>
  <c r="K85" i="4"/>
  <c r="K86" i="4" s="1"/>
  <c r="K235" i="4" s="1"/>
  <c r="L108" i="4"/>
  <c r="L110" i="4" s="1"/>
  <c r="K68" i="4"/>
  <c r="K69" i="4" s="1"/>
  <c r="K72" i="4"/>
  <c r="K73" i="4" s="1"/>
  <c r="J75" i="4" l="1"/>
  <c r="J77" i="4" s="1"/>
  <c r="J237" i="4" s="1"/>
  <c r="J232" i="4"/>
  <c r="J236" i="4"/>
  <c r="I4" i="4"/>
  <c r="K232" i="4"/>
  <c r="L223" i="4"/>
  <c r="L217" i="4"/>
  <c r="K88" i="4"/>
  <c r="K236" i="4" s="1"/>
  <c r="K240" i="4"/>
  <c r="L116" i="4"/>
  <c r="L126" i="4" s="1"/>
  <c r="L143" i="4" s="1"/>
  <c r="L147" i="4" s="1"/>
  <c r="L148" i="4" s="1"/>
  <c r="L208" i="4"/>
  <c r="L209" i="4" s="1"/>
  <c r="K75" i="4"/>
  <c r="K77" i="4" s="1"/>
  <c r="J4" i="4" l="1"/>
  <c r="K4" i="4"/>
  <c r="K237" i="4"/>
  <c r="L85" i="4"/>
  <c r="L86" i="4" s="1"/>
  <c r="L72" i="4"/>
  <c r="L73" i="4" s="1"/>
  <c r="L68" i="4"/>
  <c r="L69" i="4" s="1"/>
  <c r="L232" i="4" l="1"/>
  <c r="L88" i="4"/>
  <c r="L236" i="4" s="1"/>
  <c r="L240" i="4"/>
  <c r="L235" i="4"/>
  <c r="L75" i="4"/>
  <c r="L77" i="4" s="1"/>
  <c r="L4" i="4" l="1"/>
  <c r="L237" i="4"/>
</calcChain>
</file>

<file path=xl/sharedStrings.xml><?xml version="1.0" encoding="utf-8"?>
<sst xmlns="http://schemas.openxmlformats.org/spreadsheetml/2006/main" count="240" uniqueCount="178">
  <si>
    <t>ASSETS</t>
  </si>
  <si>
    <t>Property, plant and equipment</t>
  </si>
  <si>
    <t>Investments</t>
  </si>
  <si>
    <t>Current assets</t>
  </si>
  <si>
    <t>Non current assets</t>
  </si>
  <si>
    <t>Inventories</t>
  </si>
  <si>
    <t>Trade and other receivables</t>
  </si>
  <si>
    <t>Cash and cash equivalents</t>
  </si>
  <si>
    <t>Total non current assets</t>
  </si>
  <si>
    <t>Total current assets</t>
  </si>
  <si>
    <t>Equity</t>
  </si>
  <si>
    <t>Share capital</t>
  </si>
  <si>
    <t>Retained earnings</t>
  </si>
  <si>
    <t>Current liabilities</t>
  </si>
  <si>
    <t>Trade and other payables</t>
  </si>
  <si>
    <t>Total current liabilites</t>
  </si>
  <si>
    <t>Net current assets</t>
  </si>
  <si>
    <t>Total Assets less current liasbilities</t>
  </si>
  <si>
    <t>Non current liabilities</t>
  </si>
  <si>
    <t>Unsecured loans</t>
  </si>
  <si>
    <t>Total non current liabilities</t>
  </si>
  <si>
    <t>Total equity</t>
  </si>
  <si>
    <t>Total equity and non current liabilities</t>
  </si>
  <si>
    <t>Y03A</t>
  </si>
  <si>
    <t>Y02A</t>
  </si>
  <si>
    <t>Y01A</t>
  </si>
  <si>
    <t>Overdraft</t>
  </si>
  <si>
    <t>Other non current liabilities</t>
  </si>
  <si>
    <t>Revenue</t>
  </si>
  <si>
    <t>Cost of sales</t>
  </si>
  <si>
    <t>GROSS PROFIT</t>
  </si>
  <si>
    <t>Sales and marketing expenses</t>
  </si>
  <si>
    <t>General and administration expenses</t>
  </si>
  <si>
    <t>Other expenses</t>
  </si>
  <si>
    <t>Depreciation</t>
  </si>
  <si>
    <t>Units</t>
  </si>
  <si>
    <t>PROFIT BEFORE TAX</t>
  </si>
  <si>
    <t>Income tax expense</t>
  </si>
  <si>
    <t>PROFIT AFTER TAX</t>
  </si>
  <si>
    <t>Growth %</t>
  </si>
  <si>
    <t>Y04F</t>
  </si>
  <si>
    <t>Y05F</t>
  </si>
  <si>
    <t>Y06F</t>
  </si>
  <si>
    <t>Y07F</t>
  </si>
  <si>
    <t>OPERATING PROFIT</t>
  </si>
  <si>
    <t>(Unless otherwise specified, all financials are in N '000)</t>
  </si>
  <si>
    <t>Other income</t>
  </si>
  <si>
    <t>Y08F</t>
  </si>
  <si>
    <t>Advanced MS Excel and Financial Modeling</t>
  </si>
  <si>
    <t>Working File 2</t>
  </si>
  <si>
    <t>Balance Check</t>
  </si>
  <si>
    <t>Interest</t>
  </si>
  <si>
    <t>Other Finance cost</t>
  </si>
  <si>
    <t>Income tax</t>
  </si>
  <si>
    <t>Revenue Assumptions</t>
  </si>
  <si>
    <t>Sales and mktng exps as a % of Revenue</t>
  </si>
  <si>
    <t>Gen &amp; admin exps as a % of Revenue</t>
  </si>
  <si>
    <t>Other exps as a % of Revenue</t>
  </si>
  <si>
    <t>Balance Sheet Assumptions</t>
  </si>
  <si>
    <t>Key Ratios</t>
  </si>
  <si>
    <t>Inventories (Days of cost of sales)</t>
  </si>
  <si>
    <t>Trade and other receivables (Days of sales)</t>
  </si>
  <si>
    <t>Trade and other payables (Days of cost of sales</t>
  </si>
  <si>
    <t>Depreciation Method</t>
  </si>
  <si>
    <t>SLM</t>
  </si>
  <si>
    <t>Asset Life</t>
  </si>
  <si>
    <t>Years</t>
  </si>
  <si>
    <t>Disposal of Assets</t>
  </si>
  <si>
    <t>N Mn</t>
  </si>
  <si>
    <t>Capex</t>
  </si>
  <si>
    <t>Depreciation Schedule</t>
  </si>
  <si>
    <t>YO8F</t>
  </si>
  <si>
    <t>Total Depreciation</t>
  </si>
  <si>
    <t>Opening Balance</t>
  </si>
  <si>
    <t>Add: Capex</t>
  </si>
  <si>
    <t>Less: Assets Sold/ Disposed</t>
  </si>
  <si>
    <t>Closing Balance</t>
  </si>
  <si>
    <t>Accumulated Depreciation</t>
  </si>
  <si>
    <t>Add: Depreciation during current year</t>
  </si>
  <si>
    <t>Net Book Value</t>
  </si>
  <si>
    <t>CAPEX</t>
  </si>
  <si>
    <t>Unsecured Loans</t>
  </si>
  <si>
    <t>Opening</t>
  </si>
  <si>
    <t>Additions</t>
  </si>
  <si>
    <t xml:space="preserve">Repayments 0n 40M </t>
  </si>
  <si>
    <t xml:space="preserve">Repayments 0n 250M </t>
  </si>
  <si>
    <t>Closing</t>
  </si>
  <si>
    <t>New loans</t>
  </si>
  <si>
    <t>Interest rate</t>
  </si>
  <si>
    <t>Tenor</t>
  </si>
  <si>
    <t>`</t>
  </si>
  <si>
    <t>New issues</t>
  </si>
  <si>
    <t>``</t>
  </si>
  <si>
    <t>Result for the year - PAT</t>
  </si>
  <si>
    <t>Cashflow from Operating Activities</t>
  </si>
  <si>
    <t>PAT</t>
  </si>
  <si>
    <t>Add: Depreciation</t>
  </si>
  <si>
    <t>Add: Interest Expense</t>
  </si>
  <si>
    <t>Net Change in Working Capital</t>
  </si>
  <si>
    <t>Add: Increase in Accounts payable</t>
  </si>
  <si>
    <t>Less: Increase in Inventory</t>
  </si>
  <si>
    <t>Less: Increase in Account Receivables</t>
  </si>
  <si>
    <t>Cashflow from Operations</t>
  </si>
  <si>
    <t>Cashflow from Investment Activities</t>
  </si>
  <si>
    <t>Less: Capex</t>
  </si>
  <si>
    <t>Add: Proceeds from Disposal of Assets</t>
  </si>
  <si>
    <t>Less: Increase in WIP</t>
  </si>
  <si>
    <t>Less: Increase in Investments</t>
  </si>
  <si>
    <t>Cashflow from Financing Activities</t>
  </si>
  <si>
    <t>Add: New Equity Raised</t>
  </si>
  <si>
    <t>Add: New Unsecured Loans Raised</t>
  </si>
  <si>
    <t>Less: Unsecured Loans Repaid</t>
  </si>
  <si>
    <t>Less: Dividends Paid</t>
  </si>
  <si>
    <t>Less: Interest Expense</t>
  </si>
  <si>
    <t>Net Cashflow</t>
  </si>
  <si>
    <t>Cash Balance</t>
  </si>
  <si>
    <t>EBIT</t>
  </si>
  <si>
    <t>Interest Coverage</t>
  </si>
  <si>
    <t>Debt/ EBITDA</t>
  </si>
  <si>
    <t>Debt/ Equity</t>
  </si>
  <si>
    <t>Leverage Ratios</t>
  </si>
  <si>
    <t>ROAA</t>
  </si>
  <si>
    <t>ROACE</t>
  </si>
  <si>
    <t>ROAE</t>
  </si>
  <si>
    <t>Rate of Returns</t>
  </si>
  <si>
    <t>Quick Ratio</t>
  </si>
  <si>
    <t>Liquidity Ratios</t>
  </si>
  <si>
    <t>As % of Sales</t>
  </si>
  <si>
    <t>PBT</t>
  </si>
  <si>
    <t>Growth Rate</t>
  </si>
  <si>
    <t>PAT Margin</t>
  </si>
  <si>
    <t>PBT Margin</t>
  </si>
  <si>
    <t>EBIT Margin</t>
  </si>
  <si>
    <t>Profitability Ratios</t>
  </si>
  <si>
    <t>DCF Valuation using FCFF</t>
  </si>
  <si>
    <t>Tax Rate (%)</t>
  </si>
  <si>
    <t>EBIT*(1-t)</t>
  </si>
  <si>
    <t>Less: Increase in Working Capital</t>
  </si>
  <si>
    <t>Less: Capex and increase in WIP</t>
  </si>
  <si>
    <t>Free Cashflow to the Firm (FCFF)</t>
  </si>
  <si>
    <t>Risk free rate</t>
  </si>
  <si>
    <t>Beta</t>
  </si>
  <si>
    <t>Expected return from market</t>
  </si>
  <si>
    <t>Cost of equity</t>
  </si>
  <si>
    <t>RFR + BETA * (MR-RFR)</t>
  </si>
  <si>
    <t>Cost of debt</t>
  </si>
  <si>
    <t>Post tax cost of debt</t>
  </si>
  <si>
    <t>Target debt: capital ratio</t>
  </si>
  <si>
    <t>WACC</t>
  </si>
  <si>
    <t>cost of equity * Wt + cost of debt * wt</t>
  </si>
  <si>
    <t>Terminal Growth Rate</t>
  </si>
  <si>
    <t>Terminal Value</t>
  </si>
  <si>
    <t>FINAL YEAR FCFF * (1+TGR)/(WACC-TGR)</t>
  </si>
  <si>
    <t>No. of Years</t>
  </si>
  <si>
    <t>Discount Factor</t>
  </si>
  <si>
    <t>Present Value of FCFF</t>
  </si>
  <si>
    <t>Present Value of Terminal Value</t>
  </si>
  <si>
    <t>Enterprise Value</t>
  </si>
  <si>
    <t>Less: Total Debt</t>
  </si>
  <si>
    <t>Add: Total Cash</t>
  </si>
  <si>
    <t>Less: Any Contingent Liabilities</t>
  </si>
  <si>
    <t xml:space="preserve">Equity Value </t>
  </si>
  <si>
    <t>No. of Shares</t>
  </si>
  <si>
    <t>Share Price (NAIRA)</t>
  </si>
  <si>
    <t>TERMINAL GROWTH RATE</t>
  </si>
  <si>
    <t>Valuation Assumptions</t>
  </si>
  <si>
    <t>ASSUMPTIONS</t>
  </si>
  <si>
    <t>BALANCE SHEET</t>
  </si>
  <si>
    <t>PROFIT &amp; LOSS</t>
  </si>
  <si>
    <t>CASH FLOW STATEMENT</t>
  </si>
  <si>
    <t>ASSET SCHEDULE</t>
  </si>
  <si>
    <t>DEBT SCHEDULE</t>
  </si>
  <si>
    <t>RATIOS</t>
  </si>
  <si>
    <t>SOCIE - OTHER CALCN</t>
  </si>
  <si>
    <t>Cost</t>
  </si>
  <si>
    <t>Circuit breaker cell</t>
  </si>
  <si>
    <t>OFF or 1 = Allow circular reference; ON or 0 = Zero out circularity cells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</si>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</sst>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(* #,##0.00_);_(* \(#,##0.00\);_(* &quot;-&quot;??_);_(@_)"/>
    <numFmt numFmtId="165" formatCode="#,##0;\(#,##0\);&quot;-&quot;"/>
    <numFmt numFmtId="166" formatCode="0.0%"/>
    <numFmt numFmtId="167" formatCode="_(* #,##0_);_(* \(#,##0\);_(* &quot;-&quot;??_);_(@_)"/>
    <numFmt numFmtId="168" formatCode="_(&quot;$&quot;* #,##0.00_);_(&quot;$&quot;* \(#,##0.00\);_(&quot;$&quot;* &quot;-&quot;??_);_(@_)"/>
    <numFmt numFmtId="169" formatCode="[$-14009]d/m/yy;@"/>
    <numFmt numFmtId="170" formatCode="_([$€-2]* #,##0.00_);_([$€-2]* \(#,##0.00\);_([$€-2]* &quot;-&quot;??_)"/>
    <numFmt numFmtId="171" formatCode="0\ &quot;yrs&quot;"/>
    <numFmt numFmtId="172" formatCode="0.0"/>
    <numFmt numFmtId="173" formatCode="_(* #,##0.0_);_(* \(#,##0.0\);_(* &quot;-&quot;??_);_(@_)"/>
  </numFmts>
  <fonts count="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color indexed="8"/>
      <name val="Verdana"/>
      <family val="2"/>
    </font>
    <font>
      <sz val="8"/>
      <name val="Verdana"/>
      <family val="2"/>
    </font>
    <font>
      <sz val="8"/>
      <color indexed="53"/>
      <name val="Verdana"/>
      <family val="2"/>
    </font>
    <font>
      <sz val="8"/>
      <name val="Comic Sans MS"/>
      <family val="4"/>
    </font>
    <font>
      <b/>
      <sz val="8"/>
      <name val="Comic Sans MS"/>
      <family val="4"/>
    </font>
    <font>
      <sz val="10"/>
      <color indexed="55"/>
      <name val="Arial"/>
      <family val="2"/>
    </font>
    <font>
      <b/>
      <sz val="10"/>
      <color indexed="9"/>
      <name val="Verdana"/>
      <family val="2"/>
    </font>
    <font>
      <sz val="10"/>
      <name val="Tahoma"/>
      <family val="2"/>
    </font>
    <font>
      <b/>
      <sz val="9"/>
      <color indexed="23"/>
      <name val="Verdana"/>
      <family val="2"/>
    </font>
    <font>
      <sz val="9"/>
      <color indexed="23"/>
      <name val="Verdana"/>
      <family val="2"/>
    </font>
    <font>
      <sz val="14"/>
      <color indexed="23"/>
      <name val="Verdana"/>
      <family val="2"/>
    </font>
    <font>
      <b/>
      <sz val="10"/>
      <color indexed="23"/>
      <name val="Verdana"/>
      <family val="2"/>
    </font>
    <font>
      <b/>
      <sz val="10"/>
      <name val="Comic Sans MS"/>
      <family val="4"/>
    </font>
    <font>
      <sz val="10"/>
      <name val="Calibri"/>
      <family val="2"/>
      <scheme val="minor"/>
    </font>
    <font>
      <b/>
      <sz val="18"/>
      <color rgb="FF4F81BD"/>
      <name val="Calibri"/>
      <family val="2"/>
      <scheme val="minor"/>
    </font>
    <font>
      <b/>
      <i/>
      <sz val="18"/>
      <color rgb="FF4F81BD"/>
      <name val="Calibri"/>
      <family val="2"/>
      <scheme val="minor"/>
    </font>
    <font>
      <sz val="11"/>
      <color rgb="FF4F81BD"/>
      <name val="Calibri"/>
      <family val="2"/>
      <scheme val="minor"/>
    </font>
    <font>
      <sz val="14"/>
      <color rgb="FF4F81BD"/>
      <name val="Calibri"/>
      <family val="2"/>
      <scheme val="minor"/>
    </font>
    <font>
      <b/>
      <sz val="11"/>
      <color rgb="FF7F7F7F"/>
      <name val="Calibri"/>
      <family val="2"/>
      <scheme val="minor"/>
    </font>
    <font>
      <b/>
      <sz val="10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color indexed="48"/>
      <name val="Arial"/>
      <family val="2"/>
    </font>
    <font>
      <sz val="11"/>
      <color theme="8" tint="-0.249977111117893"/>
      <name val="Calibri"/>
      <family val="2"/>
      <scheme val="minor"/>
    </font>
    <font>
      <i/>
      <sz val="9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10"/>
      <color theme="0" tint="-0.249977111117893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</patternFill>
    </fill>
    <fill>
      <patternFill patternType="solid">
        <fgColor indexed="8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/>
      <right/>
      <top style="thin">
        <color indexed="23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50">
    <xf numFmtId="0" fontId="0" fillId="0" borderId="0"/>
    <xf numFmtId="9" fontId="2" fillId="0" borderId="0" applyFont="0" applyFill="0" applyBorder="0" applyAlignment="0" applyProtection="0"/>
    <xf numFmtId="0" fontId="6" fillId="0" borderId="0"/>
    <xf numFmtId="0" fontId="10" fillId="4" borderId="0">
      <alignment horizontal="center"/>
    </xf>
    <xf numFmtId="4" fontId="11" fillId="5" borderId="0" applyBorder="0" applyAlignment="0" applyProtection="0"/>
    <xf numFmtId="4" fontId="12" fillId="6" borderId="0" applyBorder="0" applyAlignment="0" applyProtection="0"/>
    <xf numFmtId="4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13" fillId="0" borderId="0" applyNumberFormat="0">
      <alignment vertical="top" wrapText="1"/>
    </xf>
    <xf numFmtId="0" fontId="13" fillId="0" borderId="0" applyNumberFormat="0">
      <alignment vertical="top"/>
    </xf>
    <xf numFmtId="0" fontId="14" fillId="0" borderId="0" applyNumberFormat="0">
      <alignment vertical="top" wrapText="1"/>
    </xf>
    <xf numFmtId="0" fontId="15" fillId="0" borderId="0" applyNumberFormat="0">
      <alignment vertical="top" wrapText="1"/>
    </xf>
    <xf numFmtId="0" fontId="16" fillId="0" borderId="0" applyNumberFormat="0">
      <alignment vertical="top" wrapText="1"/>
    </xf>
    <xf numFmtId="4" fontId="10" fillId="7" borderId="0" applyBorder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3" fontId="11" fillId="8" borderId="0" applyNumberFormat="0" applyBorder="0" applyAlignment="0" applyProtection="0"/>
    <xf numFmtId="170" fontId="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9" borderId="0" applyNumberFormat="0" applyProtection="0">
      <alignment horizontal="right"/>
    </xf>
    <xf numFmtId="0" fontId="8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2" fillId="0" borderId="0"/>
    <xf numFmtId="0" fontId="11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0" fillId="0" borderId="7">
      <alignment horizontal="right"/>
    </xf>
    <xf numFmtId="0" fontId="20" fillId="7" borderId="7">
      <alignment horizontal="right"/>
    </xf>
    <xf numFmtId="0" fontId="21" fillId="0" borderId="8"/>
    <xf numFmtId="4" fontId="18" fillId="10" borderId="0" applyBorder="0" applyProtection="0"/>
    <xf numFmtId="0" fontId="22" fillId="0" borderId="9"/>
    <xf numFmtId="0" fontId="23" fillId="0" borderId="0" applyNumberFormat="0" applyAlignment="0" applyProtection="0"/>
    <xf numFmtId="0" fontId="23" fillId="0" borderId="8"/>
    <xf numFmtId="0" fontId="24" fillId="0" borderId="0" applyNumberFormat="0" applyFill="0" applyBorder="0" applyProtection="0">
      <alignment horizontal="left"/>
    </xf>
    <xf numFmtId="164" fontId="6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165" fontId="0" fillId="0" borderId="0" xfId="0" applyNumberFormat="1"/>
    <xf numFmtId="165" fontId="3" fillId="0" borderId="0" xfId="0" applyNumberFormat="1" applyFont="1"/>
    <xf numFmtId="9" fontId="0" fillId="0" borderId="0" xfId="1" applyFont="1"/>
    <xf numFmtId="0" fontId="4" fillId="0" borderId="0" xfId="0" applyFont="1"/>
    <xf numFmtId="166" fontId="0" fillId="0" borderId="0" xfId="0" applyNumberFormat="1"/>
    <xf numFmtId="0" fontId="5" fillId="0" borderId="0" xfId="0" applyFont="1"/>
    <xf numFmtId="0" fontId="7" fillId="0" borderId="0" xfId="0" applyFont="1"/>
    <xf numFmtId="167" fontId="0" fillId="0" borderId="0" xfId="0" applyNumberFormat="1"/>
    <xf numFmtId="165" fontId="0" fillId="0" borderId="6" xfId="0" applyNumberFormat="1" applyBorder="1"/>
    <xf numFmtId="165" fontId="0" fillId="0" borderId="3" xfId="0" applyNumberFormat="1" applyBorder="1"/>
    <xf numFmtId="165" fontId="0" fillId="0" borderId="1" xfId="0" applyNumberFormat="1" applyBorder="1"/>
    <xf numFmtId="0" fontId="25" fillId="3" borderId="10" xfId="30" applyFont="1" applyFill="1" applyBorder="1"/>
    <xf numFmtId="0" fontId="25" fillId="3" borderId="11" xfId="30" applyFont="1" applyFill="1" applyBorder="1"/>
    <xf numFmtId="0" fontId="25" fillId="0" borderId="11" xfId="30" applyFont="1" applyBorder="1"/>
    <xf numFmtId="0" fontId="25" fillId="3" borderId="12" xfId="30" applyFont="1" applyFill="1" applyBorder="1"/>
    <xf numFmtId="0" fontId="25" fillId="3" borderId="0" xfId="30" applyFont="1" applyFill="1"/>
    <xf numFmtId="0" fontId="25" fillId="3" borderId="13" xfId="30" applyFont="1" applyFill="1" applyBorder="1"/>
    <xf numFmtId="0" fontId="25" fillId="3" borderId="14" xfId="30" applyFont="1" applyFill="1" applyBorder="1"/>
    <xf numFmtId="0" fontId="25" fillId="0" borderId="0" xfId="30" applyFont="1"/>
    <xf numFmtId="0" fontId="28" fillId="0" borderId="0" xfId="30" applyFont="1" applyAlignment="1">
      <alignment horizontal="left" vertical="center"/>
    </xf>
    <xf numFmtId="0" fontId="25" fillId="3" borderId="13" xfId="30" applyFont="1" applyFill="1" applyBorder="1" applyAlignment="1">
      <alignment vertical="center"/>
    </xf>
    <xf numFmtId="0" fontId="25" fillId="3" borderId="0" xfId="30" applyFont="1" applyFill="1" applyAlignment="1">
      <alignment vertical="center"/>
    </xf>
    <xf numFmtId="0" fontId="30" fillId="0" borderId="0" xfId="30" applyFont="1" applyAlignment="1">
      <alignment horizontal="left"/>
    </xf>
    <xf numFmtId="0" fontId="8" fillId="3" borderId="0" xfId="27" applyFill="1" applyAlignment="1" applyProtection="1"/>
    <xf numFmtId="0" fontId="31" fillId="3" borderId="0" xfId="30" applyFont="1" applyFill="1"/>
    <xf numFmtId="0" fontId="32" fillId="3" borderId="0" xfId="30" applyFont="1" applyFill="1"/>
    <xf numFmtId="0" fontId="33" fillId="3" borderId="0" xfId="27" applyFont="1" applyFill="1" applyAlignment="1" applyProtection="1"/>
    <xf numFmtId="165" fontId="4" fillId="0" borderId="0" xfId="0" applyNumberFormat="1" applyFont="1"/>
    <xf numFmtId="9" fontId="3" fillId="0" borderId="0" xfId="0" applyNumberFormat="1" applyFont="1"/>
    <xf numFmtId="165" fontId="34" fillId="0" borderId="1" xfId="0" applyNumberFormat="1" applyFont="1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65" fontId="0" fillId="0" borderId="4" xfId="0" applyNumberFormat="1" applyBorder="1"/>
    <xf numFmtId="165" fontId="0" fillId="0" borderId="2" xfId="0" applyNumberFormat="1" applyBorder="1"/>
    <xf numFmtId="165" fontId="35" fillId="0" borderId="0" xfId="0" applyNumberFormat="1" applyFont="1"/>
    <xf numFmtId="0" fontId="0" fillId="3" borderId="0" xfId="0" applyFill="1"/>
    <xf numFmtId="0" fontId="36" fillId="3" borderId="0" xfId="0" applyFont="1" applyFill="1"/>
    <xf numFmtId="167" fontId="0" fillId="3" borderId="0" xfId="49" applyNumberFormat="1" applyFont="1" applyFill="1"/>
    <xf numFmtId="0" fontId="6" fillId="3" borderId="0" xfId="0" applyFont="1" applyFill="1"/>
    <xf numFmtId="0" fontId="36" fillId="3" borderId="3" xfId="0" applyFont="1" applyFill="1" applyBorder="1"/>
    <xf numFmtId="167" fontId="36" fillId="3" borderId="3" xfId="0" applyNumberFormat="1" applyFont="1" applyFill="1" applyBorder="1"/>
    <xf numFmtId="167" fontId="37" fillId="3" borderId="0" xfId="49" applyNumberFormat="1" applyFont="1" applyFill="1"/>
    <xf numFmtId="0" fontId="0" fillId="3" borderId="6" xfId="0" applyFill="1" applyBorder="1"/>
    <xf numFmtId="167" fontId="0" fillId="3" borderId="6" xfId="49" applyNumberFormat="1" applyFont="1" applyFill="1" applyBorder="1"/>
    <xf numFmtId="167" fontId="36" fillId="3" borderId="0" xfId="49" applyNumberFormat="1" applyFont="1" applyFill="1"/>
    <xf numFmtId="0" fontId="1" fillId="3" borderId="0" xfId="0" applyFont="1" applyFill="1"/>
    <xf numFmtId="167" fontId="0" fillId="3" borderId="0" xfId="0" applyNumberFormat="1" applyFill="1"/>
    <xf numFmtId="165" fontId="34" fillId="0" borderId="0" xfId="0" applyNumberFormat="1" applyFont="1"/>
    <xf numFmtId="167" fontId="3" fillId="0" borderId="0" xfId="0" applyNumberFormat="1" applyFont="1"/>
    <xf numFmtId="167" fontId="35" fillId="0" borderId="0" xfId="0" applyNumberFormat="1" applyFont="1"/>
    <xf numFmtId="9" fontId="0" fillId="0" borderId="0" xfId="0" applyNumberFormat="1"/>
    <xf numFmtId="0" fontId="38" fillId="0" borderId="0" xfId="0" applyFont="1"/>
    <xf numFmtId="171" fontId="35" fillId="0" borderId="0" xfId="0" applyNumberFormat="1" applyFont="1"/>
    <xf numFmtId="167" fontId="0" fillId="0" borderId="0" xfId="49" applyNumberFormat="1" applyFont="1"/>
    <xf numFmtId="167" fontId="6" fillId="0" borderId="0" xfId="49" applyNumberFormat="1" applyFont="1"/>
    <xf numFmtId="167" fontId="36" fillId="0" borderId="0" xfId="0" applyNumberFormat="1" applyFont="1"/>
    <xf numFmtId="167" fontId="36" fillId="0" borderId="0" xfId="49" applyNumberFormat="1" applyFont="1"/>
    <xf numFmtId="167" fontId="0" fillId="0" borderId="6" xfId="49" applyNumberFormat="1" applyFont="1" applyBorder="1"/>
    <xf numFmtId="167" fontId="6" fillId="0" borderId="6" xfId="49" applyNumberFormat="1" applyFont="1" applyBorder="1"/>
    <xf numFmtId="0" fontId="0" fillId="0" borderId="6" xfId="0" applyBorder="1"/>
    <xf numFmtId="0" fontId="36" fillId="3" borderId="0" xfId="2" applyFont="1" applyFill="1"/>
    <xf numFmtId="0" fontId="6" fillId="0" borderId="0" xfId="2"/>
    <xf numFmtId="0" fontId="6" fillId="3" borderId="0" xfId="2" applyFill="1"/>
    <xf numFmtId="0" fontId="6" fillId="3" borderId="0" xfId="2" applyFill="1" applyAlignment="1">
      <alignment horizontal="left" indent="1"/>
    </xf>
    <xf numFmtId="0" fontId="36" fillId="3" borderId="3" xfId="2" applyFont="1" applyFill="1" applyBorder="1" applyAlignment="1">
      <alignment horizontal="left" indent="1"/>
    </xf>
    <xf numFmtId="0" fontId="0" fillId="0" borderId="3" xfId="0" applyBorder="1"/>
    <xf numFmtId="0" fontId="6" fillId="3" borderId="6" xfId="2" applyFill="1" applyBorder="1"/>
    <xf numFmtId="0" fontId="4" fillId="3" borderId="0" xfId="0" applyFont="1" applyFill="1"/>
    <xf numFmtId="165" fontId="1" fillId="0" borderId="0" xfId="0" applyNumberFormat="1" applyFont="1"/>
    <xf numFmtId="0" fontId="39" fillId="3" borderId="6" xfId="28" applyFont="1" applyFill="1" applyBorder="1"/>
    <xf numFmtId="0" fontId="6" fillId="3" borderId="6" xfId="28" applyFill="1" applyBorder="1"/>
    <xf numFmtId="0" fontId="36" fillId="3" borderId="6" xfId="28" applyFont="1" applyFill="1" applyBorder="1" applyAlignment="1">
      <alignment horizontal="right"/>
    </xf>
    <xf numFmtId="0" fontId="36" fillId="3" borderId="0" xfId="28" applyFont="1" applyFill="1"/>
    <xf numFmtId="0" fontId="6" fillId="3" borderId="0" xfId="28" applyFill="1"/>
    <xf numFmtId="167" fontId="6" fillId="2" borderId="5" xfId="48" applyNumberFormat="1" applyFill="1" applyBorder="1"/>
    <xf numFmtId="166" fontId="0" fillId="3" borderId="0" xfId="38" applyNumberFormat="1" applyFont="1" applyFill="1"/>
    <xf numFmtId="167" fontId="0" fillId="3" borderId="0" xfId="48" applyNumberFormat="1" applyFont="1" applyFill="1"/>
    <xf numFmtId="0" fontId="33" fillId="3" borderId="0" xfId="28" applyFont="1" applyFill="1"/>
    <xf numFmtId="167" fontId="36" fillId="2" borderId="5" xfId="48" applyNumberFormat="1" applyFont="1" applyFill="1" applyBorder="1"/>
    <xf numFmtId="166" fontId="35" fillId="3" borderId="0" xfId="38" applyNumberFormat="1" applyFont="1" applyFill="1"/>
    <xf numFmtId="0" fontId="40" fillId="3" borderId="0" xfId="28" applyFont="1" applyFill="1"/>
    <xf numFmtId="164" fontId="35" fillId="3" borderId="0" xfId="48" applyFont="1" applyFill="1"/>
    <xf numFmtId="166" fontId="6" fillId="2" borderId="5" xfId="38" applyNumberFormat="1" applyFill="1" applyBorder="1"/>
    <xf numFmtId="164" fontId="6" fillId="2" borderId="5" xfId="48" applyFill="1" applyBorder="1"/>
    <xf numFmtId="164" fontId="4" fillId="3" borderId="0" xfId="48" applyFont="1" applyFill="1"/>
    <xf numFmtId="164" fontId="0" fillId="3" borderId="0" xfId="48" applyFont="1" applyFill="1"/>
    <xf numFmtId="167" fontId="36" fillId="2" borderId="5" xfId="28" applyNumberFormat="1" applyFont="1" applyFill="1" applyBorder="1"/>
    <xf numFmtId="0" fontId="41" fillId="3" borderId="0" xfId="28" applyFont="1" applyFill="1"/>
    <xf numFmtId="167" fontId="37" fillId="2" borderId="5" xfId="48" applyNumberFormat="1" applyFont="1" applyFill="1" applyBorder="1"/>
    <xf numFmtId="167" fontId="42" fillId="3" borderId="0" xfId="48" applyNumberFormat="1" applyFont="1" applyFill="1"/>
    <xf numFmtId="173" fontId="36" fillId="2" borderId="5" xfId="48" applyNumberFormat="1" applyFont="1" applyFill="1" applyBorder="1"/>
    <xf numFmtId="173" fontId="43" fillId="3" borderId="5" xfId="28" applyNumberFormat="1" applyFont="1" applyFill="1" applyBorder="1"/>
    <xf numFmtId="172" fontId="6" fillId="3" borderId="5" xfId="28" applyNumberFormat="1" applyFill="1" applyBorder="1"/>
    <xf numFmtId="2" fontId="0" fillId="0" borderId="0" xfId="0" applyNumberFormat="1"/>
    <xf numFmtId="172" fontId="0" fillId="0" borderId="6" xfId="0" applyNumberFormat="1" applyBorder="1"/>
    <xf numFmtId="9" fontId="0" fillId="0" borderId="6" xfId="0" applyNumberFormat="1" applyBorder="1"/>
    <xf numFmtId="0" fontId="44" fillId="3" borderId="0" xfId="28" applyFont="1" applyFill="1"/>
    <xf numFmtId="166" fontId="0" fillId="2" borderId="5" xfId="38" applyNumberFormat="1" applyFont="1" applyFill="1" applyBorder="1"/>
    <xf numFmtId="166" fontId="37" fillId="3" borderId="0" xfId="38" applyNumberFormat="1" applyFont="1" applyFill="1"/>
    <xf numFmtId="164" fontId="37" fillId="3" borderId="0" xfId="48" applyFont="1" applyFill="1"/>
    <xf numFmtId="0" fontId="45" fillId="11" borderId="0" xfId="28" applyFont="1" applyFill="1"/>
    <xf numFmtId="0" fontId="46" fillId="11" borderId="0" xfId="28" applyFont="1" applyFill="1"/>
    <xf numFmtId="9" fontId="6" fillId="12" borderId="5" xfId="28" applyNumberFormat="1" applyFill="1" applyBorder="1"/>
    <xf numFmtId="10" fontId="6" fillId="12" borderId="5" xfId="28" applyNumberFormat="1" applyFill="1" applyBorder="1"/>
    <xf numFmtId="165" fontId="0" fillId="13" borderId="0" xfId="0" applyNumberFormat="1" applyFill="1"/>
    <xf numFmtId="165" fontId="0" fillId="13" borderId="3" xfId="0" applyNumberFormat="1" applyFill="1" applyBorder="1"/>
    <xf numFmtId="165" fontId="1" fillId="13" borderId="0" xfId="0" applyNumberFormat="1" applyFont="1" applyFill="1"/>
    <xf numFmtId="165" fontId="0" fillId="13" borderId="6" xfId="0" applyNumberFormat="1" applyFill="1" applyBorder="1"/>
    <xf numFmtId="165" fontId="49" fillId="0" borderId="0" xfId="0" applyNumberFormat="1" applyFont="1"/>
    <xf numFmtId="0" fontId="48" fillId="14" borderId="0" xfId="0" applyFont="1" applyFill="1"/>
    <xf numFmtId="0" fontId="47" fillId="14" borderId="0" xfId="0" applyFont="1" applyFill="1"/>
    <xf numFmtId="0" fontId="1" fillId="0" borderId="6" xfId="0" applyFont="1" applyBorder="1"/>
    <xf numFmtId="0" fontId="26" fillId="0" borderId="0" xfId="30" applyFont="1" applyAlignment="1">
      <alignment horizontal="left" vertical="center"/>
    </xf>
    <xf numFmtId="0" fontId="27" fillId="0" borderId="0" xfId="30" applyFont="1" applyAlignment="1">
      <alignment horizontal="left" vertical="center"/>
    </xf>
    <xf numFmtId="0" fontId="29" fillId="0" borderId="0" xfId="30" applyFont="1" applyAlignment="1">
      <alignment horizontal="left" vertical="center"/>
    </xf>
  </cellXfs>
  <cellStyles count="50">
    <cellStyle name="bullet" xfId="3" xr:uid="{00000000-0005-0000-0000-000000000000}"/>
    <cellStyle name="calc1" xfId="4" xr:uid="{00000000-0005-0000-0000-000001000000}"/>
    <cellStyle name="calc2" xfId="5" xr:uid="{00000000-0005-0000-0000-000002000000}"/>
    <cellStyle name="Comma" xfId="49" builtinId="3"/>
    <cellStyle name="Comma 2" xfId="7" xr:uid="{00000000-0005-0000-0000-000004000000}"/>
    <cellStyle name="Comma 2 2" xfId="8" xr:uid="{00000000-0005-0000-0000-000005000000}"/>
    <cellStyle name="Comma 3" xfId="9" xr:uid="{00000000-0005-0000-0000-000006000000}"/>
    <cellStyle name="Comma 4" xfId="10" xr:uid="{00000000-0005-0000-0000-000007000000}"/>
    <cellStyle name="Comma 5" xfId="6" xr:uid="{00000000-0005-0000-0000-000008000000}"/>
    <cellStyle name="Comma 6" xfId="48" xr:uid="{00000000-0005-0000-0000-000009000000}"/>
    <cellStyle name="comment1" xfId="11" xr:uid="{00000000-0005-0000-0000-00000A000000}"/>
    <cellStyle name="comment1flat" xfId="12" xr:uid="{00000000-0005-0000-0000-00000B000000}"/>
    <cellStyle name="comment1orange" xfId="13" xr:uid="{00000000-0005-0000-0000-00000C000000}"/>
    <cellStyle name="comment2" xfId="14" xr:uid="{00000000-0005-0000-0000-00000D000000}"/>
    <cellStyle name="comment2bold" xfId="15" xr:uid="{00000000-0005-0000-0000-00000E000000}"/>
    <cellStyle name="conclusion" xfId="16" xr:uid="{00000000-0005-0000-0000-00000F000000}"/>
    <cellStyle name="Currency 2" xfId="17" xr:uid="{00000000-0005-0000-0000-000010000000}"/>
    <cellStyle name="Currency 2 2" xfId="18" xr:uid="{00000000-0005-0000-0000-000011000000}"/>
    <cellStyle name="Currency 2 2 2" xfId="19" xr:uid="{00000000-0005-0000-0000-000012000000}"/>
    <cellStyle name="Currency 2 3" xfId="20" xr:uid="{00000000-0005-0000-0000-000013000000}"/>
    <cellStyle name="Currency 2 4" xfId="21" xr:uid="{00000000-0005-0000-0000-000014000000}"/>
    <cellStyle name="Currency 3" xfId="22" xr:uid="{00000000-0005-0000-0000-000015000000}"/>
    <cellStyle name="data" xfId="23" xr:uid="{00000000-0005-0000-0000-000016000000}"/>
    <cellStyle name="Euro" xfId="24" xr:uid="{00000000-0005-0000-0000-000017000000}"/>
    <cellStyle name="fade" xfId="25" xr:uid="{00000000-0005-0000-0000-000018000000}"/>
    <cellStyle name="head" xfId="26" xr:uid="{00000000-0005-0000-0000-000019000000}"/>
    <cellStyle name="Hyperlink 2" xfId="27" xr:uid="{00000000-0005-0000-0000-00001A000000}"/>
    <cellStyle name="Normal" xfId="0" builtinId="0"/>
    <cellStyle name="Normal 2" xfId="28" xr:uid="{00000000-0005-0000-0000-00001C000000}"/>
    <cellStyle name="Normal 2 2" xfId="29" xr:uid="{00000000-0005-0000-0000-00001D000000}"/>
    <cellStyle name="Normal 2 2 2" xfId="30" xr:uid="{00000000-0005-0000-0000-00001E000000}"/>
    <cellStyle name="Normal 3" xfId="31" xr:uid="{00000000-0005-0000-0000-00001F000000}"/>
    <cellStyle name="Normal 3 2" xfId="32" xr:uid="{00000000-0005-0000-0000-000020000000}"/>
    <cellStyle name="Normal 4" xfId="33" xr:uid="{00000000-0005-0000-0000-000021000000}"/>
    <cellStyle name="Normal 4 2" xfId="34" xr:uid="{00000000-0005-0000-0000-000022000000}"/>
    <cellStyle name="Normal 5" xfId="35" xr:uid="{00000000-0005-0000-0000-000023000000}"/>
    <cellStyle name="Normal 6" xfId="36" xr:uid="{00000000-0005-0000-0000-000024000000}"/>
    <cellStyle name="Normal 7" xfId="2" xr:uid="{00000000-0005-0000-0000-000025000000}"/>
    <cellStyle name="Percent" xfId="1" builtinId="5"/>
    <cellStyle name="Percent 2" xfId="38" xr:uid="{00000000-0005-0000-0000-000027000000}"/>
    <cellStyle name="Percent 3" xfId="39" xr:uid="{00000000-0005-0000-0000-000028000000}"/>
    <cellStyle name="Percent 4" xfId="37" xr:uid="{00000000-0005-0000-0000-000029000000}"/>
    <cellStyle name="qtag" xfId="40" xr:uid="{00000000-0005-0000-0000-00002A000000}"/>
    <cellStyle name="qtagorange" xfId="41" xr:uid="{00000000-0005-0000-0000-00002B000000}"/>
    <cellStyle name="qtext" xfId="42" xr:uid="{00000000-0005-0000-0000-00002C000000}"/>
    <cellStyle name="result" xfId="43" xr:uid="{00000000-0005-0000-0000-00002D000000}"/>
    <cellStyle name="section" xfId="44" xr:uid="{00000000-0005-0000-0000-00002E000000}"/>
    <cellStyle name="subsection" xfId="45" xr:uid="{00000000-0005-0000-0000-00002F000000}"/>
    <cellStyle name="subtitle" xfId="46" xr:uid="{00000000-0005-0000-0000-000030000000}"/>
    <cellStyle name="text" xfId="47" xr:uid="{00000000-0005-0000-0000-000031000000}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</xdr:colOff>
      <xdr:row>2</xdr:row>
      <xdr:rowOff>59531</xdr:rowOff>
    </xdr:from>
    <xdr:to>
      <xdr:col>10</xdr:col>
      <xdr:colOff>500062</xdr:colOff>
      <xdr:row>2</xdr:row>
      <xdr:rowOff>59531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45CA6FD-EE00-4789-B569-558BDDBEA467}"/>
            </a:ext>
          </a:extLst>
        </xdr:cNvPr>
        <xdr:cNvCxnSpPr/>
      </xdr:nvCxnSpPr>
      <xdr:spPr>
        <a:xfrm>
          <a:off x="2424112" y="1745456"/>
          <a:ext cx="4086225" cy="0"/>
        </a:xfrm>
        <a:prstGeom prst="line">
          <a:avLst/>
        </a:prstGeom>
        <a:ln w="69850" cmpd="thinThick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hmuel/Documents/OneDrive/1.%20Documents/1.%20SMO/1.%20SMO%20Tutorials/Abuja%20Electricity/C:/Users/PD/Documents/Downloads/ExcelLookupFunctionsSeries1-15%20Finish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hmuel/Documents/OneDrive/1.%20Documents/1.%20SMO/1.%20SMO%20Tutorials/Abuja%20Electricity/C:/Users/Shmuel/Desktop/TRUSTED%20EDGE/DANGOTE/Sample%20Coy%20-%20ADV%20F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hmuel/Documents/OneDrive/1.%20Documents/1.%20SMO/1.%20SMO%20Tutorials/Abuja%20Electricity/C:/Users/PRISTINE/AppData/Local/Temp/Rar$DI29.6424/exercise-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hmuel/Documents/OneDrive/1.%20Documents/1.%20SMO/1.%20SMO%20Tutorials/Abuja%20Electricity/C:/Documents%20and%20Settings/PRISTINE_PC/Desktop/PD/Mizuho/Day7/Ques-Day7-v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hmuel/Documents/OneDrive/1.%20Documents/1.%20SMO/MASKORET/C:/Documents%20and%20Settings/PRISTINE_PC/Desktop/PD/Mizuho/Day7/Answers-Day7-v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hmuel/Documents/OneDrive/1.%20Documents/1.%20SMO/1.%20SMO%20Tutorials/Abuja%20Electricity/C:/Users/admin/Desktop/Rupinder/Excel%20VBA%20Introduction/New%20-%20Macros/Ins-Charting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hmuel/Documents/OneDrive/1.%20Documents/1.%20SMO/1.%20SMO%20Tutorials/Abuja%20Electricity/C:/Documents%20and%20Settings/PRISTINE_PC/Desktop/PD/Mizuho/Day5/Ques-Day5-v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hmuel/Documents/OneDrive/1.%20Documents/1.%20SMO/1.%20SMO%20Tutorials/Abuja%20Electricity/C:/pd/HP%20Laptop/PD/HSBC%20v2/Excel%20Books/Excel/examples%202003/Excel%20ExamplesConverted/Chapter14/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sector Operator"/>
      <sheetName val="VLOOKUP"/>
      <sheetName val="Table1"/>
      <sheetName val="LookupDetails"/>
      <sheetName val="HLOOKUP"/>
      <sheetName val="LOOKUP"/>
      <sheetName val="MATCH"/>
      <sheetName val="INDEX"/>
      <sheetName val="MATCH &amp; INDEX"/>
      <sheetName val="CHOOSE"/>
    </sheetNames>
    <sheetDataSet>
      <sheetData sheetId="0" refreshError="1">
        <row r="8">
          <cell r="E8">
            <v>2709</v>
          </cell>
          <cell r="F8">
            <v>1623</v>
          </cell>
        </row>
        <row r="9">
          <cell r="E9">
            <v>3629</v>
          </cell>
          <cell r="F9">
            <v>2750</v>
          </cell>
        </row>
        <row r="10">
          <cell r="E10">
            <v>4783</v>
          </cell>
          <cell r="F10">
            <v>3708</v>
          </cell>
        </row>
        <row r="11">
          <cell r="C11">
            <v>7659</v>
          </cell>
          <cell r="D11">
            <v>6812</v>
          </cell>
          <cell r="E11">
            <v>5626</v>
          </cell>
          <cell r="F11">
            <v>5000</v>
          </cell>
          <cell r="G11">
            <v>3650</v>
          </cell>
        </row>
        <row r="12">
          <cell r="C12">
            <v>8816</v>
          </cell>
          <cell r="D12">
            <v>7938</v>
          </cell>
          <cell r="E12">
            <v>6596</v>
          </cell>
          <cell r="F12">
            <v>5864</v>
          </cell>
          <cell r="G12">
            <v>4679</v>
          </cell>
        </row>
        <row r="13">
          <cell r="E13">
            <v>7992</v>
          </cell>
          <cell r="F13">
            <v>6900</v>
          </cell>
        </row>
        <row r="14">
          <cell r="E14">
            <v>8761</v>
          </cell>
          <cell r="F14">
            <v>7914</v>
          </cell>
        </row>
        <row r="15">
          <cell r="E15">
            <v>9782</v>
          </cell>
          <cell r="F15">
            <v>8736</v>
          </cell>
        </row>
        <row r="16">
          <cell r="E16">
            <v>10937</v>
          </cell>
          <cell r="F16">
            <v>9746</v>
          </cell>
        </row>
        <row r="17">
          <cell r="E17">
            <v>11732</v>
          </cell>
          <cell r="F17">
            <v>10792</v>
          </cell>
        </row>
        <row r="18">
          <cell r="E18">
            <v>12904</v>
          </cell>
          <cell r="F18">
            <v>11667</v>
          </cell>
        </row>
        <row r="19">
          <cell r="E19">
            <v>13840</v>
          </cell>
          <cell r="F19">
            <v>12792</v>
          </cell>
        </row>
      </sheetData>
      <sheetData sheetId="1" refreshError="1">
        <row r="20">
          <cell r="B20" t="str">
            <v>Product 1</v>
          </cell>
        </row>
        <row r="31">
          <cell r="B31" t="str">
            <v>Boom01</v>
          </cell>
        </row>
        <row r="32">
          <cell r="B32" t="str">
            <v>Boom02</v>
          </cell>
        </row>
        <row r="33">
          <cell r="B33" t="str">
            <v>Boom03</v>
          </cell>
        </row>
        <row r="34">
          <cell r="B34" t="str">
            <v>Boom04</v>
          </cell>
        </row>
        <row r="35">
          <cell r="B35" t="str">
            <v>Boom05</v>
          </cell>
        </row>
        <row r="36">
          <cell r="B36" t="str">
            <v>Boom06</v>
          </cell>
        </row>
        <row r="37">
          <cell r="B37" t="str">
            <v>Boom07</v>
          </cell>
        </row>
        <row r="38">
          <cell r="B38" t="str">
            <v>Boom08</v>
          </cell>
        </row>
        <row r="39">
          <cell r="B39" t="str">
            <v>Boom09</v>
          </cell>
        </row>
        <row r="70">
          <cell r="I70">
            <v>0</v>
          </cell>
          <cell r="J70">
            <v>0</v>
          </cell>
          <cell r="K70">
            <v>50000</v>
          </cell>
          <cell r="M70">
            <v>0.15</v>
          </cell>
        </row>
        <row r="71">
          <cell r="I71">
            <v>50001</v>
          </cell>
          <cell r="J71">
            <v>50000</v>
          </cell>
          <cell r="K71">
            <v>75000</v>
          </cell>
          <cell r="L71">
            <v>7500</v>
          </cell>
          <cell r="M71">
            <v>0.25</v>
          </cell>
        </row>
        <row r="72">
          <cell r="I72">
            <v>75001</v>
          </cell>
          <cell r="J72">
            <v>75000</v>
          </cell>
          <cell r="K72">
            <v>100000</v>
          </cell>
          <cell r="L72">
            <v>13750</v>
          </cell>
          <cell r="M72">
            <v>0.34</v>
          </cell>
        </row>
        <row r="73">
          <cell r="I73">
            <v>100001</v>
          </cell>
          <cell r="J73">
            <v>100000</v>
          </cell>
          <cell r="K73">
            <v>335000</v>
          </cell>
          <cell r="L73">
            <v>22250</v>
          </cell>
          <cell r="M73">
            <v>0.39</v>
          </cell>
        </row>
        <row r="74">
          <cell r="I74">
            <v>335001</v>
          </cell>
          <cell r="J74">
            <v>335000</v>
          </cell>
          <cell r="K74">
            <v>10000000</v>
          </cell>
          <cell r="L74">
            <v>113900</v>
          </cell>
          <cell r="M74">
            <v>0.34</v>
          </cell>
        </row>
        <row r="75">
          <cell r="I75">
            <v>10000001</v>
          </cell>
          <cell r="J75">
            <v>10000000</v>
          </cell>
          <cell r="K75">
            <v>15000000</v>
          </cell>
          <cell r="L75">
            <v>3400000.0000000005</v>
          </cell>
          <cell r="M75">
            <v>0.35</v>
          </cell>
        </row>
        <row r="76">
          <cell r="I76">
            <v>15000001</v>
          </cell>
          <cell r="J76">
            <v>15000000</v>
          </cell>
          <cell r="K76">
            <v>18333333</v>
          </cell>
          <cell r="L76">
            <v>5150000</v>
          </cell>
          <cell r="M76">
            <v>0.38</v>
          </cell>
        </row>
        <row r="77">
          <cell r="I77">
            <v>18333334</v>
          </cell>
          <cell r="J77">
            <v>18333333</v>
          </cell>
          <cell r="L77">
            <v>6416666.54</v>
          </cell>
          <cell r="M77">
            <v>0.35</v>
          </cell>
        </row>
      </sheetData>
      <sheetData sheetId="2" refreshError="1">
        <row r="1">
          <cell r="A1">
            <v>1</v>
          </cell>
          <cell r="B1" t="str">
            <v>Suix</v>
          </cell>
        </row>
        <row r="2">
          <cell r="A2">
            <v>2</v>
          </cell>
          <cell r="B2" t="str">
            <v>Fred</v>
          </cell>
        </row>
        <row r="3">
          <cell r="A3">
            <v>3</v>
          </cell>
          <cell r="B3" t="str">
            <v>Chin</v>
          </cell>
        </row>
        <row r="4">
          <cell r="A4">
            <v>4</v>
          </cell>
          <cell r="B4" t="str">
            <v>Sheliadawn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y-Column Lookup"/>
      <sheetName val="Formatting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-I"/>
      <sheetName val="A"/>
      <sheetName val="B"/>
      <sheetName val="C"/>
      <sheetName val="DJan"/>
      <sheetName val="DFeb"/>
      <sheetName val="DMar"/>
      <sheetName val="DConsolidated"/>
      <sheetName val="E"/>
      <sheetName val="G"/>
      <sheetName val="H"/>
      <sheetName val="I"/>
      <sheetName val="J"/>
      <sheetName val="J-I"/>
      <sheetName val="J-II"/>
      <sheetName val="J-III"/>
      <sheetName val="J-IV"/>
      <sheetName val="J-V"/>
    </sheetNames>
    <sheetDataSet>
      <sheetData sheetId="0" refreshError="1">
        <row r="3">
          <cell r="K3" t="str">
            <v>Jan</v>
          </cell>
        </row>
        <row r="4">
          <cell r="K4" t="str">
            <v>Feb</v>
          </cell>
        </row>
        <row r="5">
          <cell r="K5" t="str">
            <v>Mar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-I"/>
      <sheetName val="B"/>
      <sheetName val="C"/>
      <sheetName val="DJan"/>
      <sheetName val="DFeb"/>
      <sheetName val="DMar"/>
      <sheetName val="DConsolidated"/>
      <sheetName val="E"/>
      <sheetName val="G"/>
      <sheetName val="H"/>
      <sheetName val="I"/>
      <sheetName val="J"/>
      <sheetName val="J-I"/>
      <sheetName val="J-II"/>
      <sheetName val="J-III"/>
      <sheetName val="J-IV"/>
      <sheetName val="J-V"/>
    </sheetNames>
    <sheetDataSet>
      <sheetData sheetId="0" refreshError="1">
        <row r="3">
          <cell r="G3" t="str">
            <v>Bombay</v>
          </cell>
          <cell r="I3" t="str">
            <v>FRM Comprehensive</v>
          </cell>
        </row>
        <row r="4">
          <cell r="G4" t="str">
            <v>Delhi</v>
          </cell>
          <cell r="I4" t="str">
            <v>CFA Comprehensive</v>
          </cell>
        </row>
        <row r="5">
          <cell r="G5" t="str">
            <v>Bangalore</v>
          </cell>
          <cell r="I5" t="str">
            <v>VisualizeFRM</v>
          </cell>
        </row>
        <row r="6">
          <cell r="G6" t="str">
            <v>Singapore</v>
          </cell>
          <cell r="I6" t="str">
            <v>Corporate Training</v>
          </cell>
        </row>
        <row r="7">
          <cell r="G7" t="str">
            <v>Online</v>
          </cell>
        </row>
      </sheetData>
      <sheetData sheetId="1" refreshError="1"/>
      <sheetData sheetId="2">
        <row r="3">
          <cell r="G3" t="str">
            <v>Bombay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Chart - Offset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roll Bars and Spinners"/>
      <sheetName val="A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K Answer"/>
      <sheetName val="K Sensitivity"/>
      <sheetName val="K Limits"/>
      <sheetName val="L"/>
      <sheetName val="L-Sol"/>
      <sheetName val="M"/>
      <sheetName val="N"/>
      <sheetName val="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>
        <row r="7">
          <cell r="C7">
            <v>7200</v>
          </cell>
        </row>
      </sheetData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eak Even (Solver)"/>
      <sheetName val="Future Value"/>
      <sheetName val="Future Value (Data Table)"/>
      <sheetName val="Future Value (2-Inputs)"/>
      <sheetName val="Trend"/>
      <sheetName val="Iterate"/>
      <sheetName val="Correlation"/>
      <sheetName val="Descriptive"/>
      <sheetName val="Histogram"/>
      <sheetName val="Random (Dice Roll)"/>
      <sheetName val="Rank &amp; Percentile"/>
      <sheetName val="Goal Seek"/>
      <sheetName val="Margin"/>
      <sheetName val="Break Even"/>
      <sheetName val="Equations"/>
      <sheetName val="Chart Goal Seek"/>
      <sheetName val="Break Even (Goal Seek)"/>
      <sheetName val="Sheet14"/>
      <sheetName val="Sheet15"/>
      <sheetName val="Sheet16"/>
    </sheetNames>
    <sheetDataSet>
      <sheetData sheetId="0" refreshError="1">
        <row r="10">
          <cell r="B10">
            <v>193224.57293287982</v>
          </cell>
          <cell r="C10">
            <v>135149.68966776197</v>
          </cell>
        </row>
      </sheetData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VS40"/>
  <sheetViews>
    <sheetView showGridLines="0" workbookViewId="0">
      <selection activeCell="C15" sqref="C15"/>
    </sheetView>
  </sheetViews>
  <sheetFormatPr defaultColWidth="0" defaultRowHeight="12.75" customHeight="1" zeroHeight="1" x14ac:dyDescent="0.3"/>
  <cols>
    <col min="1" max="1" width="4.36328125" style="17" customWidth="1"/>
    <col min="2" max="2" width="10.1796875" style="17" customWidth="1"/>
    <col min="3" max="3" width="10.36328125" style="17" customWidth="1"/>
    <col min="4" max="4" width="10.1796875" style="17" customWidth="1"/>
    <col min="5" max="11" width="9.1796875" style="17" customWidth="1"/>
    <col min="12" max="256" width="0" style="17" hidden="1"/>
    <col min="257" max="267" width="9.1796875" style="17" hidden="1" customWidth="1"/>
    <col min="268" max="512" width="0" style="17" hidden="1"/>
    <col min="513" max="523" width="9.1796875" style="17" hidden="1" customWidth="1"/>
    <col min="524" max="768" width="0" style="17" hidden="1"/>
    <col min="769" max="779" width="9.1796875" style="17" hidden="1" customWidth="1"/>
    <col min="780" max="1024" width="0" style="17" hidden="1"/>
    <col min="1025" max="1035" width="9.1796875" style="17" hidden="1" customWidth="1"/>
    <col min="1036" max="1280" width="0" style="17" hidden="1"/>
    <col min="1281" max="1291" width="9.1796875" style="17" hidden="1" customWidth="1"/>
    <col min="1292" max="1536" width="0" style="17" hidden="1"/>
    <col min="1537" max="1547" width="9.1796875" style="17" hidden="1" customWidth="1"/>
    <col min="1548" max="1792" width="0" style="17" hidden="1"/>
    <col min="1793" max="1803" width="9.1796875" style="17" hidden="1" customWidth="1"/>
    <col min="1804" max="2048" width="0" style="17" hidden="1"/>
    <col min="2049" max="2059" width="9.1796875" style="17" hidden="1" customWidth="1"/>
    <col min="2060" max="2304" width="0" style="17" hidden="1"/>
    <col min="2305" max="2315" width="9.1796875" style="17" hidden="1" customWidth="1"/>
    <col min="2316" max="2560" width="0" style="17" hidden="1"/>
    <col min="2561" max="2571" width="9.1796875" style="17" hidden="1" customWidth="1"/>
    <col min="2572" max="2816" width="0" style="17" hidden="1"/>
    <col min="2817" max="2827" width="9.1796875" style="17" hidden="1" customWidth="1"/>
    <col min="2828" max="3072" width="0" style="17" hidden="1"/>
    <col min="3073" max="3083" width="9.1796875" style="17" hidden="1" customWidth="1"/>
    <col min="3084" max="3328" width="0" style="17" hidden="1"/>
    <col min="3329" max="3339" width="9.1796875" style="17" hidden="1" customWidth="1"/>
    <col min="3340" max="3584" width="0" style="17" hidden="1"/>
    <col min="3585" max="3595" width="9.1796875" style="17" hidden="1" customWidth="1"/>
    <col min="3596" max="3840" width="0" style="17" hidden="1"/>
    <col min="3841" max="3851" width="9.1796875" style="17" hidden="1" customWidth="1"/>
    <col min="3852" max="4096" width="0" style="17" hidden="1"/>
    <col min="4097" max="4107" width="9.1796875" style="17" hidden="1" customWidth="1"/>
    <col min="4108" max="4352" width="0" style="17" hidden="1"/>
    <col min="4353" max="4363" width="9.1796875" style="17" hidden="1" customWidth="1"/>
    <col min="4364" max="4608" width="0" style="17" hidden="1"/>
    <col min="4609" max="4619" width="9.1796875" style="17" hidden="1" customWidth="1"/>
    <col min="4620" max="4864" width="0" style="17" hidden="1"/>
    <col min="4865" max="4875" width="9.1796875" style="17" hidden="1" customWidth="1"/>
    <col min="4876" max="5120" width="0" style="17" hidden="1"/>
    <col min="5121" max="5131" width="9.1796875" style="17" hidden="1" customWidth="1"/>
    <col min="5132" max="5376" width="0" style="17" hidden="1"/>
    <col min="5377" max="5387" width="9.1796875" style="17" hidden="1" customWidth="1"/>
    <col min="5388" max="5632" width="0" style="17" hidden="1"/>
    <col min="5633" max="5643" width="9.1796875" style="17" hidden="1" customWidth="1"/>
    <col min="5644" max="5888" width="0" style="17" hidden="1"/>
    <col min="5889" max="5899" width="9.1796875" style="17" hidden="1" customWidth="1"/>
    <col min="5900" max="6144" width="0" style="17" hidden="1"/>
    <col min="6145" max="6155" width="9.1796875" style="17" hidden="1" customWidth="1"/>
    <col min="6156" max="6400" width="0" style="17" hidden="1"/>
    <col min="6401" max="6411" width="9.1796875" style="17" hidden="1" customWidth="1"/>
    <col min="6412" max="6656" width="0" style="17" hidden="1"/>
    <col min="6657" max="6667" width="9.1796875" style="17" hidden="1" customWidth="1"/>
    <col min="6668" max="6912" width="0" style="17" hidden="1"/>
    <col min="6913" max="6923" width="9.1796875" style="17" hidden="1" customWidth="1"/>
    <col min="6924" max="7168" width="0" style="17" hidden="1"/>
    <col min="7169" max="7179" width="9.1796875" style="17" hidden="1" customWidth="1"/>
    <col min="7180" max="7424" width="0" style="17" hidden="1"/>
    <col min="7425" max="7435" width="9.1796875" style="17" hidden="1" customWidth="1"/>
    <col min="7436" max="7680" width="0" style="17" hidden="1"/>
    <col min="7681" max="7691" width="9.1796875" style="17" hidden="1" customWidth="1"/>
    <col min="7692" max="7936" width="0" style="17" hidden="1"/>
    <col min="7937" max="7947" width="9.1796875" style="17" hidden="1" customWidth="1"/>
    <col min="7948" max="8192" width="0" style="17" hidden="1"/>
    <col min="8193" max="8203" width="9.1796875" style="17" hidden="1" customWidth="1"/>
    <col min="8204" max="8448" width="0" style="17" hidden="1"/>
    <col min="8449" max="8459" width="9.1796875" style="17" hidden="1" customWidth="1"/>
    <col min="8460" max="8704" width="0" style="17" hidden="1"/>
    <col min="8705" max="8715" width="9.1796875" style="17" hidden="1" customWidth="1"/>
    <col min="8716" max="8960" width="0" style="17" hidden="1"/>
    <col min="8961" max="8971" width="9.1796875" style="17" hidden="1" customWidth="1"/>
    <col min="8972" max="9216" width="0" style="17" hidden="1"/>
    <col min="9217" max="9227" width="9.1796875" style="17" hidden="1" customWidth="1"/>
    <col min="9228" max="9472" width="0" style="17" hidden="1"/>
    <col min="9473" max="9483" width="9.1796875" style="17" hidden="1" customWidth="1"/>
    <col min="9484" max="9728" width="0" style="17" hidden="1"/>
    <col min="9729" max="9739" width="9.1796875" style="17" hidden="1" customWidth="1"/>
    <col min="9740" max="9984" width="0" style="17" hidden="1"/>
    <col min="9985" max="9995" width="9.1796875" style="17" hidden="1" customWidth="1"/>
    <col min="9996" max="10240" width="0" style="17" hidden="1"/>
    <col min="10241" max="10251" width="9.1796875" style="17" hidden="1" customWidth="1"/>
    <col min="10252" max="10496" width="0" style="17" hidden="1"/>
    <col min="10497" max="10507" width="9.1796875" style="17" hidden="1" customWidth="1"/>
    <col min="10508" max="10752" width="0" style="17" hidden="1"/>
    <col min="10753" max="10763" width="9.1796875" style="17" hidden="1" customWidth="1"/>
    <col min="10764" max="11008" width="0" style="17" hidden="1"/>
    <col min="11009" max="11019" width="9.1796875" style="17" hidden="1" customWidth="1"/>
    <col min="11020" max="11264" width="0" style="17" hidden="1"/>
    <col min="11265" max="11275" width="9.1796875" style="17" hidden="1" customWidth="1"/>
    <col min="11276" max="11520" width="0" style="17" hidden="1"/>
    <col min="11521" max="11531" width="9.1796875" style="17" hidden="1" customWidth="1"/>
    <col min="11532" max="11776" width="0" style="17" hidden="1"/>
    <col min="11777" max="11787" width="9.1796875" style="17" hidden="1" customWidth="1"/>
    <col min="11788" max="12032" width="0" style="17" hidden="1"/>
    <col min="12033" max="12043" width="9.1796875" style="17" hidden="1" customWidth="1"/>
    <col min="12044" max="12288" width="0" style="17" hidden="1"/>
    <col min="12289" max="12299" width="9.1796875" style="17" hidden="1" customWidth="1"/>
    <col min="12300" max="12544" width="0" style="17" hidden="1"/>
    <col min="12545" max="12555" width="9.1796875" style="17" hidden="1" customWidth="1"/>
    <col min="12556" max="12800" width="0" style="17" hidden="1"/>
    <col min="12801" max="12811" width="9.1796875" style="17" hidden="1" customWidth="1"/>
    <col min="12812" max="13056" width="0" style="17" hidden="1"/>
    <col min="13057" max="13067" width="9.1796875" style="17" hidden="1" customWidth="1"/>
    <col min="13068" max="13312" width="0" style="17" hidden="1"/>
    <col min="13313" max="13323" width="9.1796875" style="17" hidden="1" customWidth="1"/>
    <col min="13324" max="13568" width="0" style="17" hidden="1"/>
    <col min="13569" max="13579" width="9.1796875" style="17" hidden="1" customWidth="1"/>
    <col min="13580" max="13824" width="0" style="17" hidden="1"/>
    <col min="13825" max="13835" width="9.1796875" style="17" hidden="1" customWidth="1"/>
    <col min="13836" max="14080" width="0" style="17" hidden="1"/>
    <col min="14081" max="14091" width="9.1796875" style="17" hidden="1" customWidth="1"/>
    <col min="14092" max="14336" width="0" style="17" hidden="1"/>
    <col min="14337" max="14347" width="9.1796875" style="17" hidden="1" customWidth="1"/>
    <col min="14348" max="14592" width="0" style="17" hidden="1"/>
    <col min="14593" max="14603" width="9.1796875" style="17" hidden="1" customWidth="1"/>
    <col min="14604" max="14848" width="0" style="17" hidden="1"/>
    <col min="14849" max="14859" width="9.1796875" style="17" hidden="1" customWidth="1"/>
    <col min="14860" max="15104" width="0" style="17" hidden="1"/>
    <col min="15105" max="15115" width="9.1796875" style="17" hidden="1" customWidth="1"/>
    <col min="15116" max="15360" width="0" style="17" hidden="1"/>
    <col min="15361" max="15371" width="9.1796875" style="17" hidden="1" customWidth="1"/>
    <col min="15372" max="15616" width="0" style="17" hidden="1"/>
    <col min="15617" max="15627" width="9.1796875" style="17" hidden="1" customWidth="1"/>
    <col min="15628" max="15872" width="0" style="17" hidden="1"/>
    <col min="15873" max="15883" width="9.1796875" style="17" hidden="1" customWidth="1"/>
    <col min="15884" max="16128" width="0" style="17" hidden="1"/>
    <col min="16129" max="16139" width="9.1796875" style="17" hidden="1" customWidth="1"/>
    <col min="16140" max="16384" width="0" style="17" hidden="1"/>
  </cols>
  <sheetData>
    <row r="1" spans="1:11" ht="13" x14ac:dyDescent="0.3">
      <c r="A1" s="13"/>
      <c r="B1" s="14"/>
      <c r="C1" s="14"/>
      <c r="D1" s="14"/>
      <c r="E1" s="14"/>
      <c r="F1" s="15"/>
      <c r="G1" s="14"/>
      <c r="H1" s="14"/>
      <c r="I1" s="14"/>
      <c r="J1" s="14"/>
      <c r="K1" s="16"/>
    </row>
    <row r="2" spans="1:11" ht="120" customHeight="1" x14ac:dyDescent="0.3">
      <c r="A2" s="18"/>
      <c r="K2" s="19"/>
    </row>
    <row r="3" spans="1:11" ht="19.5" customHeight="1" x14ac:dyDescent="0.3">
      <c r="A3" s="18"/>
    </row>
    <row r="4" spans="1:11" ht="23.5" x14ac:dyDescent="0.3">
      <c r="A4" s="18"/>
      <c r="E4" s="114" t="s">
        <v>48</v>
      </c>
      <c r="F4" s="114"/>
      <c r="G4" s="114"/>
      <c r="H4" s="114"/>
      <c r="I4" s="114"/>
      <c r="J4" s="114"/>
      <c r="K4" s="114"/>
    </row>
    <row r="5" spans="1:11" ht="23.5" x14ac:dyDescent="0.3">
      <c r="A5" s="18"/>
      <c r="D5" s="20"/>
      <c r="E5" s="115" t="s">
        <v>49</v>
      </c>
      <c r="F5" s="115"/>
      <c r="G5" s="115"/>
      <c r="H5" s="115"/>
      <c r="I5" s="115"/>
      <c r="J5" s="115"/>
      <c r="K5" s="115"/>
    </row>
    <row r="6" spans="1:11" ht="14.5" x14ac:dyDescent="0.3">
      <c r="A6" s="18"/>
      <c r="D6" s="20"/>
      <c r="E6" s="21"/>
      <c r="F6" s="21"/>
      <c r="G6" s="21"/>
      <c r="H6" s="21"/>
      <c r="I6" s="21"/>
      <c r="J6" s="21"/>
      <c r="K6" s="21"/>
    </row>
    <row r="7" spans="1:11" ht="18" customHeight="1" x14ac:dyDescent="0.3">
      <c r="A7" s="18"/>
      <c r="D7" s="20"/>
      <c r="E7" s="116"/>
      <c r="F7" s="116"/>
      <c r="G7" s="116"/>
      <c r="H7" s="116"/>
      <c r="I7" s="116"/>
      <c r="J7" s="116"/>
      <c r="K7" s="116"/>
    </row>
    <row r="8" spans="1:11" ht="12.75" customHeight="1" x14ac:dyDescent="0.3">
      <c r="A8" s="18"/>
    </row>
    <row r="9" spans="1:11" s="23" customFormat="1" ht="51.75" customHeight="1" x14ac:dyDescent="0.35">
      <c r="A9" s="22"/>
    </row>
    <row r="10" spans="1:11" ht="13" x14ac:dyDescent="0.3">
      <c r="A10" s="18"/>
    </row>
    <row r="11" spans="1:11" ht="13" x14ac:dyDescent="0.3">
      <c r="A11" s="18"/>
    </row>
    <row r="12" spans="1:11" ht="13" x14ac:dyDescent="0.3">
      <c r="A12" s="18"/>
      <c r="K12" s="19"/>
    </row>
    <row r="13" spans="1:11" ht="14.5" x14ac:dyDescent="0.35">
      <c r="A13" s="18"/>
      <c r="E13" s="24"/>
      <c r="K13" s="19"/>
    </row>
    <row r="14" spans="1:11" ht="13" x14ac:dyDescent="0.3">
      <c r="A14" s="18"/>
      <c r="F14" s="25"/>
      <c r="K14" s="19"/>
    </row>
    <row r="15" spans="1:11" ht="13" x14ac:dyDescent="0.3">
      <c r="A15" s="18"/>
      <c r="F15" s="25"/>
      <c r="K15" s="19"/>
    </row>
    <row r="16" spans="1:11" ht="13" x14ac:dyDescent="0.3">
      <c r="A16" s="26"/>
      <c r="K16" s="19"/>
    </row>
    <row r="17" spans="1:11" ht="13" x14ac:dyDescent="0.3">
      <c r="A17" s="27"/>
      <c r="F17" s="25"/>
      <c r="K17" s="19"/>
    </row>
    <row r="18" spans="1:11" ht="13" x14ac:dyDescent="0.3">
      <c r="A18" s="27"/>
      <c r="F18" s="25"/>
      <c r="K18" s="19"/>
    </row>
    <row r="19" spans="1:11" ht="14" x14ac:dyDescent="0.3">
      <c r="D19" s="28"/>
      <c r="K19" s="19"/>
    </row>
    <row r="20" spans="1:11" ht="13" hidden="1" x14ac:dyDescent="0.3">
      <c r="K20" s="19"/>
    </row>
    <row r="21" spans="1:11" ht="13" hidden="1" x14ac:dyDescent="0.3">
      <c r="K21" s="19"/>
    </row>
    <row r="22" spans="1:11" ht="13" hidden="1" x14ac:dyDescent="0.3">
      <c r="K22" s="19"/>
    </row>
    <row r="38" ht="12.75" customHeight="1" x14ac:dyDescent="0.3"/>
    <row r="39" ht="12.75" customHeight="1" x14ac:dyDescent="0.3"/>
    <row r="40" ht="12.75" customHeight="1" x14ac:dyDescent="0.3"/>
  </sheetData>
  <sheetProtection selectLockedCells="1" selectUnlockedCells="1"/>
  <mergeCells count="3">
    <mergeCell ref="E4:K4"/>
    <mergeCell ref="E5:K5"/>
    <mergeCell ref="E7:K7"/>
  </mergeCell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43"/>
  <sheetViews>
    <sheetView showGridLines="0" tabSelected="1" zoomScale="85" zoomScaleNormal="85" workbookViewId="0">
      <pane ySplit="6" topLeftCell="A7" activePane="bottomLeft" state="frozen"/>
      <selection pane="bottomLeft" activeCell="B4" sqref="B4"/>
    </sheetView>
  </sheetViews>
  <sheetFormatPr defaultColWidth="8.81640625" defaultRowHeight="14.5" outlineLevelRow="1" x14ac:dyDescent="0.35"/>
  <cols>
    <col min="1" max="2" width="3.36328125" customWidth="1"/>
    <col min="3" max="3" width="28.36328125" customWidth="1"/>
    <col min="5" max="5" width="11.36328125" customWidth="1"/>
    <col min="6" max="7" width="11.81640625" bestFit="1" customWidth="1"/>
    <col min="8" max="12" width="12.26953125" bestFit="1" customWidth="1"/>
  </cols>
  <sheetData>
    <row r="2" spans="1:13" ht="21" x14ac:dyDescent="0.5">
      <c r="A2" s="7"/>
    </row>
    <row r="4" spans="1:13" x14ac:dyDescent="0.35">
      <c r="B4" s="1" t="s">
        <v>50</v>
      </c>
      <c r="E4" s="110" t="b">
        <f t="shared" ref="E4:L4" si="0">ROUND(E77,0)=ROUND(E88,0)</f>
        <v>1</v>
      </c>
      <c r="F4" s="110" t="b">
        <f t="shared" si="0"/>
        <v>1</v>
      </c>
      <c r="G4" s="110" t="b">
        <f t="shared" si="0"/>
        <v>1</v>
      </c>
      <c r="H4" s="110" t="b">
        <f t="shared" si="0"/>
        <v>1</v>
      </c>
      <c r="I4" s="110" t="b">
        <f t="shared" si="0"/>
        <v>1</v>
      </c>
      <c r="J4" s="110" t="b">
        <f t="shared" si="0"/>
        <v>1</v>
      </c>
      <c r="K4" s="110" t="b">
        <f t="shared" si="0"/>
        <v>1</v>
      </c>
      <c r="L4" s="110" t="b">
        <f t="shared" si="0"/>
        <v>1</v>
      </c>
    </row>
    <row r="5" spans="1:13" x14ac:dyDescent="0.35">
      <c r="B5" s="1"/>
    </row>
    <row r="6" spans="1:13" x14ac:dyDescent="0.35">
      <c r="A6" s="8" t="s">
        <v>45</v>
      </c>
      <c r="D6" t="s">
        <v>35</v>
      </c>
      <c r="E6" t="s">
        <v>25</v>
      </c>
      <c r="F6" t="s">
        <v>24</v>
      </c>
      <c r="G6" t="s">
        <v>23</v>
      </c>
      <c r="H6" t="s">
        <v>40</v>
      </c>
      <c r="I6" t="s">
        <v>41</v>
      </c>
      <c r="J6" t="s">
        <v>42</v>
      </c>
      <c r="K6" t="s">
        <v>43</v>
      </c>
      <c r="L6" t="s">
        <v>47</v>
      </c>
    </row>
    <row r="8" spans="1:13" x14ac:dyDescent="0.35">
      <c r="A8" s="112" t="s">
        <v>166</v>
      </c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</row>
    <row r="9" spans="1:13" hidden="1" outlineLevel="1" x14ac:dyDescent="0.35">
      <c r="A9" s="1"/>
    </row>
    <row r="10" spans="1:13" ht="21" hidden="1" outlineLevel="1" x14ac:dyDescent="0.5">
      <c r="A10" s="1" t="s">
        <v>54</v>
      </c>
      <c r="B10" s="1"/>
      <c r="C10" s="1"/>
      <c r="F10" s="5"/>
      <c r="H10" s="7"/>
    </row>
    <row r="11" spans="1:13" hidden="1" outlineLevel="1" x14ac:dyDescent="0.35">
      <c r="A11" s="1"/>
      <c r="B11" s="1" t="s">
        <v>28</v>
      </c>
      <c r="E11" s="3">
        <v>260810</v>
      </c>
      <c r="F11" s="3">
        <v>272241</v>
      </c>
      <c r="G11" s="3">
        <f>245009+40000</f>
        <v>285009</v>
      </c>
      <c r="H11" s="2">
        <f>G11*(1+H12)</f>
        <v>297937.89288246597</v>
      </c>
      <c r="I11" s="2">
        <f>H11*(1+I12)</f>
        <v>311453.28047620872</v>
      </c>
      <c r="J11" s="2">
        <f>I11*(1+J12)</f>
        <v>325581.7680017589</v>
      </c>
      <c r="K11" s="2">
        <f>J11*(1+K12)</f>
        <v>340351.16757503076</v>
      </c>
      <c r="L11" s="2">
        <f>K11*(1+L12)</f>
        <v>355790.55295584264</v>
      </c>
      <c r="M11" s="9"/>
    </row>
    <row r="12" spans="1:13" hidden="1" outlineLevel="1" x14ac:dyDescent="0.35">
      <c r="A12" s="1"/>
      <c r="B12" s="32"/>
      <c r="C12" t="s">
        <v>39</v>
      </c>
      <c r="F12" s="4">
        <f>F11/E11-1</f>
        <v>4.3828840918676448E-2</v>
      </c>
      <c r="G12" s="4">
        <f>G11/F11-1</f>
        <v>4.6899622026072452E-2</v>
      </c>
      <c r="H12" s="6">
        <f>($G$11/$E$11)^(1/2)-1</f>
        <v>4.5363103910634361E-2</v>
      </c>
      <c r="I12" s="6">
        <f>($G$11/$E$11)^(1/2)-1</f>
        <v>4.5363103910634361E-2</v>
      </c>
      <c r="J12" s="6">
        <f>($G$11/$E$11)^(1/2)-1</f>
        <v>4.5363103910634361E-2</v>
      </c>
      <c r="K12" s="6">
        <f>($G$11/$E$11)^(1/2)-1</f>
        <v>4.5363103910634361E-2</v>
      </c>
      <c r="L12" s="6">
        <f>($G$11/$E$11)^(1/2)-1</f>
        <v>4.5363103910634361E-2</v>
      </c>
      <c r="M12" s="9"/>
    </row>
    <row r="13" spans="1:13" hidden="1" outlineLevel="1" x14ac:dyDescent="0.35">
      <c r="A13" s="1"/>
      <c r="B13" s="1" t="s">
        <v>29</v>
      </c>
      <c r="E13" s="3">
        <v>177782</v>
      </c>
      <c r="F13" s="3">
        <v>184703</v>
      </c>
      <c r="G13" s="3">
        <v>179052</v>
      </c>
      <c r="H13" s="2">
        <f>G13*(1+H14)</f>
        <v>179690.39809038417</v>
      </c>
      <c r="I13" s="2">
        <f>H13*(1+I14)</f>
        <v>180331.07234703179</v>
      </c>
      <c r="J13" s="2">
        <f>I13*(1+J14)</f>
        <v>180974.03088546349</v>
      </c>
      <c r="K13" s="2">
        <f>J13*(1+K14)</f>
        <v>181619.28185013522</v>
      </c>
      <c r="L13" s="2">
        <f>K13*(1+L14)</f>
        <v>182266.83341454147</v>
      </c>
      <c r="M13" s="9"/>
    </row>
    <row r="14" spans="1:13" hidden="1" outlineLevel="1" x14ac:dyDescent="0.35">
      <c r="A14" s="1"/>
      <c r="B14" s="32"/>
      <c r="C14" t="s">
        <v>39</v>
      </c>
      <c r="F14" s="4">
        <f>F13/E13-1</f>
        <v>3.8929700419614965E-2</v>
      </c>
      <c r="G14" s="4">
        <f>G13/F13-1</f>
        <v>-3.0595063426149038E-2</v>
      </c>
      <c r="H14" s="6">
        <f>($G$13/$E$13)^(1/2)-1</f>
        <v>3.5654340101431981E-3</v>
      </c>
      <c r="I14" s="6">
        <f>($G$13/$E$13)^(1/2)-1</f>
        <v>3.5654340101431981E-3</v>
      </c>
      <c r="J14" s="6">
        <f>($G$13/$E$13)^(1/2)-1</f>
        <v>3.5654340101431981E-3</v>
      </c>
      <c r="K14" s="6">
        <f>($G$13/$E$13)^(1/2)-1</f>
        <v>3.5654340101431981E-3</v>
      </c>
      <c r="L14" s="6">
        <f>($G$13/$E$13)^(1/2)-1</f>
        <v>3.5654340101431981E-3</v>
      </c>
      <c r="M14" s="9"/>
    </row>
    <row r="15" spans="1:13" hidden="1" outlineLevel="1" x14ac:dyDescent="0.35">
      <c r="A15" s="1"/>
      <c r="B15" s="32"/>
      <c r="F15" s="4"/>
      <c r="G15" s="4"/>
      <c r="H15" s="6"/>
      <c r="I15" s="6"/>
      <c r="J15" s="6"/>
      <c r="K15" s="6"/>
      <c r="L15" s="6"/>
      <c r="M15" s="9"/>
    </row>
    <row r="16" spans="1:13" hidden="1" outlineLevel="1" x14ac:dyDescent="0.35">
      <c r="A16" s="1"/>
      <c r="B16" s="1" t="s">
        <v>31</v>
      </c>
      <c r="E16" s="3">
        <v>9204</v>
      </c>
      <c r="F16" s="3">
        <v>10521</v>
      </c>
      <c r="G16" s="3">
        <v>11099</v>
      </c>
      <c r="H16" s="2">
        <f>H$11*H17</f>
        <v>11210.270092510496</v>
      </c>
      <c r="I16" s="2">
        <f>I$11*I17</f>
        <v>11718.802739583327</v>
      </c>
      <c r="J16" s="2">
        <f>J$11*J17</f>
        <v>12250.40400596727</v>
      </c>
      <c r="K16" s="2">
        <f>K$11*K17</f>
        <v>12806.120355837216</v>
      </c>
      <c r="L16" s="2">
        <f>L$11*L17</f>
        <v>13387.04572423115</v>
      </c>
    </row>
    <row r="17" spans="1:15" hidden="1" outlineLevel="1" x14ac:dyDescent="0.35">
      <c r="A17" s="1"/>
      <c r="C17" s="33" t="s">
        <v>55</v>
      </c>
      <c r="E17" s="4">
        <f>E16/E$11</f>
        <v>3.5290057896553047E-2</v>
      </c>
      <c r="F17" s="4">
        <f>F16/F$11</f>
        <v>3.8645905649773549E-2</v>
      </c>
      <c r="G17" s="4">
        <f>G16/G$11</f>
        <v>3.894262988186338E-2</v>
      </c>
      <c r="H17" s="6">
        <f>AVERAGE($E$17:$G$17)</f>
        <v>3.7626197809396654E-2</v>
      </c>
      <c r="I17" s="6">
        <f>AVERAGE($E$17:$G$17)</f>
        <v>3.7626197809396654E-2</v>
      </c>
      <c r="J17" s="6">
        <f>AVERAGE($E$17:$G$17)</f>
        <v>3.7626197809396654E-2</v>
      </c>
      <c r="K17" s="6">
        <f>AVERAGE($E$17:$G$17)</f>
        <v>3.7626197809396654E-2</v>
      </c>
      <c r="L17" s="6">
        <f>AVERAGE($E$17:$G$17)</f>
        <v>3.7626197809396654E-2</v>
      </c>
    </row>
    <row r="18" spans="1:15" hidden="1" outlineLevel="1" x14ac:dyDescent="0.35">
      <c r="A18" s="1"/>
      <c r="B18" s="1" t="s">
        <v>32</v>
      </c>
      <c r="E18" s="3">
        <v>25145</v>
      </c>
      <c r="F18" s="3">
        <v>26402</v>
      </c>
      <c r="G18" s="3">
        <v>21751.686000000002</v>
      </c>
      <c r="H18" s="2">
        <f>H$11*H19</f>
        <v>26785.681683258965</v>
      </c>
      <c r="I18" s="2">
        <f>I$11*I19</f>
        <v>28000.763344773815</v>
      </c>
      <c r="J18" s="2">
        <f>J$11*J19</f>
        <v>29270.96488195987</v>
      </c>
      <c r="K18" s="2">
        <f>K$11*K19</f>
        <v>30598.78670346475</v>
      </c>
      <c r="L18" s="2">
        <f>L$11*L19</f>
        <v>31986.842644233358</v>
      </c>
    </row>
    <row r="19" spans="1:15" hidden="1" outlineLevel="1" x14ac:dyDescent="0.35">
      <c r="A19" s="1"/>
      <c r="B19" s="32"/>
      <c r="C19" s="33" t="s">
        <v>56</v>
      </c>
      <c r="E19" s="4">
        <f>E18/E$11</f>
        <v>9.6411180552892911E-2</v>
      </c>
      <c r="F19" s="4">
        <f>F18/F$11</f>
        <v>9.6980249117509854E-2</v>
      </c>
      <c r="G19" s="4">
        <f>G18/G$11</f>
        <v>7.6319295180152208E-2</v>
      </c>
      <c r="H19" s="6">
        <f>AVERAGE($E$19:$G$19)</f>
        <v>8.9903574950184986E-2</v>
      </c>
      <c r="I19" s="6">
        <f>AVERAGE($E$19:$G$19)</f>
        <v>8.9903574950184986E-2</v>
      </c>
      <c r="J19" s="6">
        <f>AVERAGE($E$19:$G$19)</f>
        <v>8.9903574950184986E-2</v>
      </c>
      <c r="K19" s="6">
        <f>AVERAGE($E$19:$G$19)</f>
        <v>8.9903574950184986E-2</v>
      </c>
      <c r="L19" s="6">
        <f>AVERAGE($E$19:$G$19)</f>
        <v>8.9903574950184986E-2</v>
      </c>
    </row>
    <row r="20" spans="1:15" hidden="1" outlineLevel="1" x14ac:dyDescent="0.35">
      <c r="A20" s="1"/>
      <c r="B20" s="1" t="s">
        <v>33</v>
      </c>
      <c r="E20" s="3">
        <v>5675</v>
      </c>
      <c r="F20" s="3">
        <v>13342</v>
      </c>
      <c r="G20" s="3">
        <v>4394.28</v>
      </c>
      <c r="H20" s="2">
        <f>H$11*H21</f>
        <v>8559.2811913643854</v>
      </c>
      <c r="I20" s="2">
        <f>I$11*I21</f>
        <v>8947.5567534485854</v>
      </c>
      <c r="J20" s="2">
        <f>J$11*J21</f>
        <v>9353.4457002015715</v>
      </c>
      <c r="K20" s="2">
        <f>K$11*K21</f>
        <v>9777.7470294222931</v>
      </c>
      <c r="L20" s="2">
        <f>L$11*L21</f>
        <v>10221.295983929873</v>
      </c>
    </row>
    <row r="21" spans="1:15" hidden="1" outlineLevel="1" x14ac:dyDescent="0.35">
      <c r="A21" s="1"/>
      <c r="B21" s="32"/>
      <c r="C21" s="33" t="s">
        <v>57</v>
      </c>
      <c r="E21" s="4">
        <f>E20/E$11</f>
        <v>2.1759135002492234E-2</v>
      </c>
      <c r="F21" s="4">
        <f>F20/F$11</f>
        <v>4.9008048016279691E-2</v>
      </c>
      <c r="G21" s="4">
        <f>G20/G$11</f>
        <v>1.5418039430333779E-2</v>
      </c>
      <c r="H21" s="6">
        <f>AVERAGE($E$21:$G$21)</f>
        <v>2.8728407483035234E-2</v>
      </c>
      <c r="I21" s="6">
        <f>AVERAGE($E$21:$G$21)</f>
        <v>2.8728407483035234E-2</v>
      </c>
      <c r="J21" s="6">
        <f>AVERAGE($E$21:$G$21)</f>
        <v>2.8728407483035234E-2</v>
      </c>
      <c r="K21" s="6">
        <f>AVERAGE($E$21:$G$21)</f>
        <v>2.8728407483035234E-2</v>
      </c>
      <c r="L21" s="6">
        <f>AVERAGE($E$21:$G$21)</f>
        <v>2.8728407483035234E-2</v>
      </c>
      <c r="O21" s="6"/>
    </row>
    <row r="22" spans="1:15" ht="18.5" hidden="1" outlineLevel="1" x14ac:dyDescent="0.45">
      <c r="A22" s="1"/>
      <c r="N22" s="5"/>
    </row>
    <row r="23" spans="1:15" hidden="1" outlineLevel="1" x14ac:dyDescent="0.35">
      <c r="A23" s="1"/>
      <c r="B23" t="s">
        <v>46</v>
      </c>
      <c r="E23" s="3">
        <v>3333</v>
      </c>
      <c r="F23" s="3">
        <v>2183</v>
      </c>
      <c r="G23" s="3">
        <v>2156</v>
      </c>
      <c r="H23" s="2">
        <f>G23</f>
        <v>2156</v>
      </c>
      <c r="I23" s="2">
        <f>H23</f>
        <v>2156</v>
      </c>
      <c r="J23" s="2">
        <f>I23</f>
        <v>2156</v>
      </c>
      <c r="K23" s="2">
        <f>J23</f>
        <v>2156</v>
      </c>
      <c r="L23" s="2">
        <f>K23</f>
        <v>2156</v>
      </c>
      <c r="M23" s="9"/>
    </row>
    <row r="24" spans="1:15" hidden="1" outlineLevel="1" x14ac:dyDescent="0.35">
      <c r="A24" s="1"/>
    </row>
    <row r="25" spans="1:15" hidden="1" outlineLevel="1" x14ac:dyDescent="0.35">
      <c r="A25" s="1" t="s">
        <v>58</v>
      </c>
      <c r="B25" s="1"/>
    </row>
    <row r="26" spans="1:15" hidden="1" outlineLevel="1" x14ac:dyDescent="0.35">
      <c r="A26" s="1"/>
      <c r="B26" s="1" t="s">
        <v>59</v>
      </c>
    </row>
    <row r="27" spans="1:15" hidden="1" outlineLevel="1" x14ac:dyDescent="0.35">
      <c r="A27" s="1"/>
      <c r="C27" t="s">
        <v>60</v>
      </c>
      <c r="E27" s="2"/>
      <c r="F27" s="2">
        <f>AVERAGE('Financial Model'!E66:F66)/('Financial Model'!F96/365)</f>
        <v>33.151816700324304</v>
      </c>
      <c r="G27" s="2">
        <f>AVERAGE('Financial Model'!F66:G66)/('Financial Model'!G96/365)</f>
        <v>40.503233697473355</v>
      </c>
      <c r="H27" s="2">
        <f>AVERAGE($F$27:$G$27)</f>
        <v>36.827525198898826</v>
      </c>
      <c r="I27" s="2">
        <f>AVERAGE($F$27:$G$27)</f>
        <v>36.827525198898826</v>
      </c>
      <c r="J27" s="2">
        <f>AVERAGE($F$27:$G$27)</f>
        <v>36.827525198898826</v>
      </c>
      <c r="K27" s="2">
        <f>AVERAGE($F$27:$G$27)</f>
        <v>36.827525198898826</v>
      </c>
      <c r="L27" s="2">
        <f>AVERAGE($F$27:$G$27)</f>
        <v>36.827525198898826</v>
      </c>
      <c r="M27" s="9"/>
    </row>
    <row r="28" spans="1:15" hidden="1" outlineLevel="1" x14ac:dyDescent="0.35">
      <c r="A28" s="1"/>
      <c r="C28" t="s">
        <v>61</v>
      </c>
      <c r="E28" s="2"/>
      <c r="F28" s="2">
        <f>AVERAGE('Financial Model'!E67:F67)/('Financial Model'!F95/365)</f>
        <v>35.148416292916934</v>
      </c>
      <c r="G28" s="2">
        <f>AVERAGE('Financial Model'!F67:G67)/('Financial Model'!G95/365)</f>
        <v>50.255674281352931</v>
      </c>
      <c r="H28" s="2">
        <f>AVERAGE($F$28:$G$28)</f>
        <v>42.702045287134936</v>
      </c>
      <c r="I28" s="2">
        <f>AVERAGE($F$28:$G$28)</f>
        <v>42.702045287134936</v>
      </c>
      <c r="J28" s="2">
        <f>AVERAGE($F$28:$G$28)</f>
        <v>42.702045287134936</v>
      </c>
      <c r="K28" s="2">
        <f>AVERAGE($F$28:$G$28)</f>
        <v>42.702045287134936</v>
      </c>
      <c r="L28" s="2">
        <f>AVERAGE($F$28:$G$28)</f>
        <v>42.702045287134936</v>
      </c>
      <c r="M28" s="9"/>
    </row>
    <row r="29" spans="1:15" hidden="1" outlineLevel="1" x14ac:dyDescent="0.35">
      <c r="A29" s="1"/>
      <c r="C29" t="s">
        <v>62</v>
      </c>
      <c r="E29" s="2"/>
      <c r="F29" s="2">
        <f>AVERAGE('Financial Model'!E71:F71)/('Financial Model'!F96/365)</f>
        <v>28.243071309074569</v>
      </c>
      <c r="G29" s="2">
        <f>AVERAGE('Financial Model'!F71:G71)/('Financial Model'!G96/365)</f>
        <v>32.499008667873021</v>
      </c>
      <c r="H29" s="2">
        <f>AVERAGE($F$29:$G$29)</f>
        <v>30.371039988473797</v>
      </c>
      <c r="I29" s="2">
        <f>AVERAGE($F$29:$G$29)</f>
        <v>30.371039988473797</v>
      </c>
      <c r="J29" s="2">
        <f>AVERAGE($F$29:$G$29)</f>
        <v>30.371039988473797</v>
      </c>
      <c r="K29" s="2">
        <f>AVERAGE($F$29:$G$29)</f>
        <v>30.371039988473797</v>
      </c>
      <c r="L29" s="2">
        <f>AVERAGE($F$29:$G$29)</f>
        <v>30.371039988473797</v>
      </c>
      <c r="M29" s="9"/>
    </row>
    <row r="30" spans="1:15" hidden="1" outlineLevel="1" x14ac:dyDescent="0.35">
      <c r="A30" s="1"/>
    </row>
    <row r="31" spans="1:15" hidden="1" outlineLevel="1" x14ac:dyDescent="0.35">
      <c r="A31" s="1"/>
      <c r="E31" s="9"/>
      <c r="F31" s="9"/>
      <c r="G31" s="9"/>
      <c r="H31" s="9"/>
      <c r="I31" s="9"/>
      <c r="J31" s="9"/>
      <c r="K31" s="9"/>
      <c r="L31" s="9"/>
      <c r="M31" s="9"/>
    </row>
    <row r="32" spans="1:15" hidden="1" outlineLevel="1" x14ac:dyDescent="0.35">
      <c r="A32" s="1"/>
      <c r="B32" s="1" t="s">
        <v>2</v>
      </c>
      <c r="E32" s="3">
        <v>12197</v>
      </c>
      <c r="F32" s="3">
        <v>11549</v>
      </c>
      <c r="G32" s="3">
        <f>18106+40000</f>
        <v>58106</v>
      </c>
      <c r="H32" s="36">
        <f t="shared" ref="H32:L33" si="1">$G32</f>
        <v>58106</v>
      </c>
      <c r="I32" s="36">
        <f t="shared" si="1"/>
        <v>58106</v>
      </c>
      <c r="J32" s="36">
        <f t="shared" si="1"/>
        <v>58106</v>
      </c>
      <c r="K32" s="36">
        <f t="shared" si="1"/>
        <v>58106</v>
      </c>
      <c r="L32" s="36">
        <f t="shared" si="1"/>
        <v>58106</v>
      </c>
      <c r="M32" s="9"/>
    </row>
    <row r="33" spans="1:13" hidden="1" outlineLevel="1" x14ac:dyDescent="0.35">
      <c r="A33" s="1"/>
      <c r="B33" s="1" t="s">
        <v>27</v>
      </c>
      <c r="E33" s="3">
        <v>5000</v>
      </c>
      <c r="F33" s="3">
        <v>5000</v>
      </c>
      <c r="G33" s="3">
        <v>5000</v>
      </c>
      <c r="H33" s="36">
        <f t="shared" si="1"/>
        <v>5000</v>
      </c>
      <c r="I33" s="36">
        <f t="shared" si="1"/>
        <v>5000</v>
      </c>
      <c r="J33" s="36">
        <f t="shared" si="1"/>
        <v>5000</v>
      </c>
      <c r="K33" s="36">
        <f t="shared" si="1"/>
        <v>5000</v>
      </c>
      <c r="L33" s="36">
        <f t="shared" si="1"/>
        <v>5000</v>
      </c>
      <c r="M33" s="9"/>
    </row>
    <row r="34" spans="1:13" hidden="1" outlineLevel="1" x14ac:dyDescent="0.35">
      <c r="A34" s="1"/>
      <c r="B34" s="1"/>
      <c r="E34" s="9"/>
      <c r="F34" s="9"/>
      <c r="G34" s="9"/>
      <c r="H34" s="9"/>
      <c r="I34" s="9"/>
      <c r="J34" s="9"/>
      <c r="K34" s="9"/>
      <c r="L34" s="9"/>
      <c r="M34" s="9"/>
    </row>
    <row r="35" spans="1:13" hidden="1" outlineLevel="1" x14ac:dyDescent="0.35">
      <c r="A35" s="1"/>
      <c r="B35" s="1" t="s">
        <v>52</v>
      </c>
      <c r="E35" s="3">
        <v>9265</v>
      </c>
      <c r="F35" s="3">
        <v>9644</v>
      </c>
      <c r="G35" s="3">
        <v>9848</v>
      </c>
      <c r="H35" s="9">
        <f>AVERAGE($E$35:$G$35)</f>
        <v>9585.6666666666661</v>
      </c>
      <c r="I35" s="9">
        <f>AVERAGE($E$35:$G$35)</f>
        <v>9585.6666666666661</v>
      </c>
      <c r="J35" s="9">
        <f>AVERAGE($E$35:$G$35)</f>
        <v>9585.6666666666661</v>
      </c>
      <c r="K35" s="9">
        <f>AVERAGE($E$35:$G$35)</f>
        <v>9585.6666666666661</v>
      </c>
      <c r="L35" s="9">
        <f>AVERAGE($E$35:$G$35)</f>
        <v>9585.6666666666661</v>
      </c>
      <c r="M35" s="9"/>
    </row>
    <row r="36" spans="1:13" hidden="1" outlineLevel="1" x14ac:dyDescent="0.35">
      <c r="A36" s="1"/>
      <c r="E36" s="9"/>
      <c r="F36" s="9"/>
      <c r="G36" s="9"/>
      <c r="H36" s="9"/>
      <c r="I36" s="9"/>
      <c r="J36" s="9"/>
      <c r="K36" s="9"/>
      <c r="L36" s="9"/>
      <c r="M36" s="9"/>
    </row>
    <row r="37" spans="1:13" hidden="1" outlineLevel="1" x14ac:dyDescent="0.35">
      <c r="A37" s="1"/>
      <c r="B37" t="s">
        <v>53</v>
      </c>
      <c r="D37" s="9"/>
      <c r="E37" s="9"/>
      <c r="F37" s="9"/>
      <c r="G37" s="30"/>
      <c r="H37" s="30">
        <v>0.3</v>
      </c>
      <c r="I37" s="30">
        <v>0.3</v>
      </c>
      <c r="J37" s="30">
        <v>0.3</v>
      </c>
      <c r="K37" s="30">
        <v>0.3</v>
      </c>
      <c r="L37" s="30">
        <v>0.3</v>
      </c>
      <c r="M37" s="9"/>
    </row>
    <row r="38" spans="1:13" hidden="1" outlineLevel="1" x14ac:dyDescent="0.35">
      <c r="A38" s="1"/>
    </row>
    <row r="39" spans="1:13" hidden="1" outlineLevel="1" x14ac:dyDescent="0.35">
      <c r="A39" s="1"/>
      <c r="B39" s="2" t="s">
        <v>80</v>
      </c>
      <c r="C39" s="2"/>
      <c r="D39" s="2"/>
      <c r="E39" s="3">
        <v>100000</v>
      </c>
      <c r="F39" s="2"/>
      <c r="G39" s="2"/>
      <c r="H39" s="3">
        <v>200000</v>
      </c>
      <c r="I39" s="2"/>
      <c r="J39" s="2"/>
      <c r="K39" s="2"/>
      <c r="L39" s="2"/>
    </row>
    <row r="40" spans="1:13" hidden="1" outlineLevel="1" x14ac:dyDescent="0.35">
      <c r="A40" s="1"/>
      <c r="E40" t="s">
        <v>92</v>
      </c>
    </row>
    <row r="41" spans="1:13" hidden="1" outlineLevel="1" x14ac:dyDescent="0.35">
      <c r="A41" s="1"/>
      <c r="B41" s="37" t="s">
        <v>19</v>
      </c>
      <c r="C41" s="37"/>
      <c r="E41" s="9"/>
      <c r="F41" s="9"/>
      <c r="G41" s="9"/>
      <c r="H41" s="9"/>
      <c r="I41" s="9"/>
      <c r="J41" s="9"/>
      <c r="K41" s="9"/>
      <c r="L41" s="9"/>
    </row>
    <row r="42" spans="1:13" hidden="1" outlineLevel="1" x14ac:dyDescent="0.35">
      <c r="A42" s="1"/>
      <c r="B42" s="37" t="s">
        <v>87</v>
      </c>
      <c r="C42" s="37"/>
      <c r="E42" s="50">
        <v>40000</v>
      </c>
      <c r="F42" s="50">
        <v>0</v>
      </c>
      <c r="G42" s="50">
        <v>0</v>
      </c>
      <c r="H42" s="50">
        <v>250000</v>
      </c>
      <c r="I42" s="51">
        <v>0</v>
      </c>
      <c r="J42" s="51">
        <v>0</v>
      </c>
      <c r="K42" s="51">
        <v>0</v>
      </c>
      <c r="L42" s="51">
        <v>0</v>
      </c>
    </row>
    <row r="43" spans="1:13" hidden="1" outlineLevel="1" x14ac:dyDescent="0.35">
      <c r="A43" s="1"/>
      <c r="B43" t="s">
        <v>51</v>
      </c>
      <c r="E43" s="30">
        <v>0.1</v>
      </c>
      <c r="F43" s="30">
        <v>0.1</v>
      </c>
      <c r="G43" s="30">
        <v>0.1</v>
      </c>
      <c r="H43" s="52">
        <v>0.1</v>
      </c>
      <c r="I43" s="52">
        <v>0.1</v>
      </c>
      <c r="J43" s="52">
        <v>0.1</v>
      </c>
      <c r="K43" s="52">
        <v>0.1</v>
      </c>
      <c r="L43" s="52">
        <v>0.1</v>
      </c>
    </row>
    <row r="44" spans="1:13" hidden="1" outlineLevel="1" x14ac:dyDescent="0.35">
      <c r="A44" s="1"/>
      <c r="B44" t="s">
        <v>89</v>
      </c>
      <c r="D44" t="s">
        <v>66</v>
      </c>
      <c r="E44" s="53">
        <v>8</v>
      </c>
      <c r="H44">
        <v>10</v>
      </c>
    </row>
    <row r="45" spans="1:13" hidden="1" outlineLevel="1" x14ac:dyDescent="0.35">
      <c r="A45" s="1"/>
      <c r="H45" t="s">
        <v>90</v>
      </c>
    </row>
    <row r="46" spans="1:13" hidden="1" outlineLevel="1" x14ac:dyDescent="0.35">
      <c r="A46" s="1"/>
      <c r="B46" t="s">
        <v>10</v>
      </c>
      <c r="E46" s="2">
        <f t="shared" ref="E46:L46" si="2">70000</f>
        <v>70000</v>
      </c>
      <c r="F46" s="2">
        <f t="shared" si="2"/>
        <v>70000</v>
      </c>
      <c r="G46" s="2">
        <f t="shared" si="2"/>
        <v>70000</v>
      </c>
      <c r="H46" s="2">
        <f t="shared" si="2"/>
        <v>70000</v>
      </c>
      <c r="I46" s="2">
        <f t="shared" si="2"/>
        <v>70000</v>
      </c>
      <c r="J46" s="2">
        <f t="shared" si="2"/>
        <v>70000</v>
      </c>
      <c r="K46" s="2">
        <f t="shared" si="2"/>
        <v>70000</v>
      </c>
      <c r="L46" s="2">
        <f t="shared" si="2"/>
        <v>70000</v>
      </c>
    </row>
    <row r="47" spans="1:13" hidden="1" outlineLevel="1" x14ac:dyDescent="0.35">
      <c r="A47" s="1"/>
      <c r="B47" t="s">
        <v>91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</row>
    <row r="48" spans="1:13" hidden="1" outlineLevel="1" x14ac:dyDescent="0.35">
      <c r="A48" s="1"/>
    </row>
    <row r="49" spans="1:12" hidden="1" outlineLevel="1" x14ac:dyDescent="0.35">
      <c r="A49" s="38" t="s">
        <v>165</v>
      </c>
      <c r="B49" s="37"/>
      <c r="C49" s="37"/>
      <c r="D49" s="37"/>
    </row>
    <row r="50" spans="1:12" hidden="1" outlineLevel="1" x14ac:dyDescent="0.35">
      <c r="A50" s="47"/>
      <c r="B50" s="37" t="s">
        <v>140</v>
      </c>
      <c r="C50" s="37"/>
      <c r="D50" s="100">
        <v>0.08</v>
      </c>
    </row>
    <row r="51" spans="1:12" hidden="1" outlineLevel="1" x14ac:dyDescent="0.35">
      <c r="A51" s="47"/>
      <c r="B51" s="37" t="s">
        <v>141</v>
      </c>
      <c r="C51" s="37"/>
      <c r="D51" s="101">
        <v>0.7</v>
      </c>
    </row>
    <row r="52" spans="1:12" hidden="1" outlineLevel="1" x14ac:dyDescent="0.35">
      <c r="A52" s="47"/>
      <c r="B52" s="37" t="s">
        <v>142</v>
      </c>
      <c r="C52" s="37"/>
      <c r="D52" s="100">
        <v>0.15</v>
      </c>
    </row>
    <row r="53" spans="1:12" hidden="1" outlineLevel="1" x14ac:dyDescent="0.35">
      <c r="A53" s="47"/>
      <c r="B53" s="37" t="s">
        <v>145</v>
      </c>
      <c r="C53" s="37"/>
      <c r="D53" s="100">
        <v>0.1</v>
      </c>
    </row>
    <row r="54" spans="1:12" hidden="1" outlineLevel="1" x14ac:dyDescent="0.35">
      <c r="A54" s="47"/>
      <c r="B54" s="37" t="s">
        <v>147</v>
      </c>
      <c r="C54" s="37"/>
      <c r="D54" s="101">
        <v>0.4</v>
      </c>
    </row>
    <row r="55" spans="1:12" hidden="1" outlineLevel="1" x14ac:dyDescent="0.35">
      <c r="A55" s="47"/>
      <c r="B55" s="37" t="s">
        <v>150</v>
      </c>
      <c r="C55" s="37"/>
      <c r="D55" s="100">
        <v>0.05</v>
      </c>
    </row>
    <row r="56" spans="1:12" s="61" customFormat="1" hidden="1" outlineLevel="1" x14ac:dyDescent="0.35">
      <c r="A56" s="113"/>
    </row>
    <row r="57" spans="1:12" collapsed="1" x14ac:dyDescent="0.35">
      <c r="A57" s="1"/>
    </row>
    <row r="58" spans="1:12" x14ac:dyDescent="0.35">
      <c r="A58" s="112" t="s">
        <v>167</v>
      </c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</row>
    <row r="59" spans="1:12" hidden="1" outlineLevel="1" x14ac:dyDescent="0.35">
      <c r="A59" s="1"/>
    </row>
    <row r="60" spans="1:12" hidden="1" outlineLevel="1" x14ac:dyDescent="0.35">
      <c r="A60" s="1"/>
      <c r="B60" s="1" t="s">
        <v>0</v>
      </c>
    </row>
    <row r="61" spans="1:12" hidden="1" outlineLevel="1" x14ac:dyDescent="0.35">
      <c r="A61" s="1"/>
      <c r="B61" s="1" t="s">
        <v>4</v>
      </c>
    </row>
    <row r="62" spans="1:12" hidden="1" outlineLevel="1" x14ac:dyDescent="0.35">
      <c r="A62" s="1"/>
      <c r="B62" t="s">
        <v>1</v>
      </c>
      <c r="E62" s="2">
        <v>90000</v>
      </c>
      <c r="F62" s="2">
        <v>80000</v>
      </c>
      <c r="G62" s="2">
        <v>70000</v>
      </c>
      <c r="H62" s="2">
        <f>'Financial Model'!H182</f>
        <v>240000</v>
      </c>
      <c r="I62" s="2">
        <f>'Financial Model'!I182</f>
        <v>210000</v>
      </c>
      <c r="J62" s="2">
        <f>'Financial Model'!J182</f>
        <v>180000</v>
      </c>
      <c r="K62" s="2">
        <f>'Financial Model'!K182</f>
        <v>150000</v>
      </c>
      <c r="L62" s="2">
        <f>'Financial Model'!L182</f>
        <v>120000</v>
      </c>
    </row>
    <row r="63" spans="1:12" hidden="1" outlineLevel="1" x14ac:dyDescent="0.35">
      <c r="A63" s="1"/>
      <c r="B63" t="s">
        <v>2</v>
      </c>
      <c r="E63" s="2">
        <v>12197</v>
      </c>
      <c r="F63" s="2">
        <v>11549</v>
      </c>
      <c r="G63" s="2">
        <v>18106</v>
      </c>
      <c r="H63" s="10">
        <f>'Financial Model'!H32</f>
        <v>58106</v>
      </c>
      <c r="I63" s="10">
        <f>'Financial Model'!I32</f>
        <v>58106</v>
      </c>
      <c r="J63" s="10">
        <f>'Financial Model'!J32</f>
        <v>58106</v>
      </c>
      <c r="K63" s="10">
        <f>'Financial Model'!K32</f>
        <v>58106</v>
      </c>
      <c r="L63" s="10">
        <f>'Financial Model'!L32</f>
        <v>58106</v>
      </c>
    </row>
    <row r="64" spans="1:12" hidden="1" outlineLevel="1" x14ac:dyDescent="0.35">
      <c r="A64" s="1"/>
      <c r="B64" s="1" t="s">
        <v>8</v>
      </c>
      <c r="E64" s="12">
        <f t="shared" ref="E64:L64" si="3">SUM(E62:E63)</f>
        <v>102197</v>
      </c>
      <c r="F64" s="12">
        <f t="shared" si="3"/>
        <v>91549</v>
      </c>
      <c r="G64" s="12">
        <f t="shared" si="3"/>
        <v>88106</v>
      </c>
      <c r="H64" s="12">
        <f t="shared" si="3"/>
        <v>298106</v>
      </c>
      <c r="I64" s="12">
        <f t="shared" si="3"/>
        <v>268106</v>
      </c>
      <c r="J64" s="12">
        <f t="shared" si="3"/>
        <v>238106</v>
      </c>
      <c r="K64" s="12">
        <f t="shared" si="3"/>
        <v>208106</v>
      </c>
      <c r="L64" s="12">
        <f t="shared" si="3"/>
        <v>178106</v>
      </c>
    </row>
    <row r="65" spans="1:12" ht="18.5" hidden="1" outlineLevel="1" x14ac:dyDescent="0.45">
      <c r="A65" s="1"/>
      <c r="B65" s="1" t="s">
        <v>3</v>
      </c>
      <c r="E65" s="2"/>
      <c r="F65" s="2"/>
      <c r="G65" s="2"/>
      <c r="H65" s="29"/>
      <c r="I65" s="2"/>
      <c r="J65" s="2"/>
      <c r="K65" s="2"/>
      <c r="L65" s="2"/>
    </row>
    <row r="66" spans="1:12" hidden="1" outlineLevel="1" x14ac:dyDescent="0.35">
      <c r="A66" s="1"/>
      <c r="B66" t="s">
        <v>5</v>
      </c>
      <c r="E66" s="2">
        <v>15545</v>
      </c>
      <c r="F66" s="2">
        <v>18007</v>
      </c>
      <c r="G66" s="2">
        <v>21731</v>
      </c>
      <c r="H66" s="2">
        <f>2*'Financial Model'!H27*'Financial Model'!H96/365-G66</f>
        <v>14529.562540678271</v>
      </c>
      <c r="I66" s="2">
        <f>2*'Financial Model'!I27*'Financial Model'!I96/365-H66</f>
        <v>21860.284642909457</v>
      </c>
      <c r="J66" s="2">
        <f>2*'Financial Model'!J27*'Financial Model'!J96/365-I66</f>
        <v>14659.30813945055</v>
      </c>
      <c r="K66" s="2">
        <f>2*'Financial Model'!K27*'Financial Model'!K96/365-J66</f>
        <v>21990.492841052263</v>
      </c>
      <c r="L66" s="2">
        <f>2*'Financial Model'!L27*'Financial Model'!L96/365-K66</f>
        <v>14789.98058633141</v>
      </c>
    </row>
    <row r="67" spans="1:12" hidden="1" outlineLevel="1" x14ac:dyDescent="0.35">
      <c r="A67" s="1"/>
      <c r="B67" t="s">
        <v>6</v>
      </c>
      <c r="E67" s="2">
        <v>20864</v>
      </c>
      <c r="F67" s="2">
        <v>31568</v>
      </c>
      <c r="G67" s="2">
        <v>35901</v>
      </c>
      <c r="H67" s="2">
        <f>'Financial Model'!H28*2*'Financial Model'!H95/365-G67</f>
        <v>33811.643258195181</v>
      </c>
      <c r="I67" s="2">
        <f>'Financial Model'!I28*2*'Financial Model'!I95/365-H67</f>
        <v>39063.381880006491</v>
      </c>
      <c r="J67" s="2">
        <f>'Financial Model'!J28*2*'Financial Model'!J95/365-I67</f>
        <v>37117.480596029505</v>
      </c>
      <c r="K67" s="2">
        <f>'Financial Model'!K28*2*'Financial Model'!K95/365-J67</f>
        <v>42519.182260508664</v>
      </c>
      <c r="L67" s="2">
        <f>'Financial Model'!L28*2*'Financial Model'!L95/365-K67</f>
        <v>40730.046808286803</v>
      </c>
    </row>
    <row r="68" spans="1:12" hidden="1" outlineLevel="1" x14ac:dyDescent="0.35">
      <c r="A68" s="1"/>
      <c r="B68" t="s">
        <v>7</v>
      </c>
      <c r="E68" s="2">
        <v>7459</v>
      </c>
      <c r="F68" s="2">
        <v>17252</v>
      </c>
      <c r="G68" s="2">
        <v>9265</v>
      </c>
      <c r="H68" s="10">
        <f>MAX(0,'Financial Model'!H148)</f>
        <v>65106.120241774581</v>
      </c>
      <c r="I68" s="10">
        <f>MAX(0,'Financial Model'!I148)</f>
        <v>67706.595993493189</v>
      </c>
      <c r="J68" s="10">
        <f>MAX(0,'Financial Model'!J148)</f>
        <v>98407.608456369489</v>
      </c>
      <c r="K68" s="10">
        <f>MAX(0,'Financial Model'!K148)</f>
        <v>121223.94250532213</v>
      </c>
      <c r="L68" s="10">
        <f>MAX(0,'Financial Model'!L148)</f>
        <v>172905.03660834132</v>
      </c>
    </row>
    <row r="69" spans="1:12" hidden="1" outlineLevel="1" x14ac:dyDescent="0.35">
      <c r="A69" s="1"/>
      <c r="B69" s="1" t="s">
        <v>9</v>
      </c>
      <c r="E69" s="12">
        <f t="shared" ref="E69:L69" si="4">SUM(E66:E68)</f>
        <v>43868</v>
      </c>
      <c r="F69" s="12">
        <f t="shared" si="4"/>
        <v>66827</v>
      </c>
      <c r="G69" s="12">
        <f t="shared" si="4"/>
        <v>66897</v>
      </c>
      <c r="H69" s="12">
        <f t="shared" si="4"/>
        <v>113447.32604064804</v>
      </c>
      <c r="I69" s="12">
        <f t="shared" si="4"/>
        <v>128630.26251640913</v>
      </c>
      <c r="J69" s="12">
        <f t="shared" si="4"/>
        <v>150184.39719184954</v>
      </c>
      <c r="K69" s="12">
        <f t="shared" si="4"/>
        <v>185733.61760688305</v>
      </c>
      <c r="L69" s="12">
        <f t="shared" si="4"/>
        <v>228425.06400295952</v>
      </c>
    </row>
    <row r="70" spans="1:12" ht="15.5" hidden="1" outlineLevel="1" x14ac:dyDescent="0.35">
      <c r="A70" s="1"/>
      <c r="B70" s="1" t="s">
        <v>13</v>
      </c>
      <c r="E70" s="2"/>
      <c r="F70" s="2"/>
      <c r="G70" s="2"/>
      <c r="H70" s="49"/>
      <c r="I70" s="2"/>
      <c r="J70" s="49"/>
      <c r="K70" s="2"/>
      <c r="L70" s="2"/>
    </row>
    <row r="71" spans="1:12" hidden="1" outlineLevel="1" x14ac:dyDescent="0.35">
      <c r="A71" s="1"/>
      <c r="B71" t="s">
        <v>14</v>
      </c>
      <c r="E71" s="2">
        <v>12530</v>
      </c>
      <c r="F71" s="2">
        <v>16054</v>
      </c>
      <c r="G71" s="2">
        <v>15831</v>
      </c>
      <c r="H71" s="2">
        <f>2*'Financial Model'!H29*'Financial Model'!H96/365-G71</f>
        <v>14072.475429851143</v>
      </c>
      <c r="I71" s="2">
        <f>2*'Financial Model'!I29*'Financial Model'!I96/365-H71</f>
        <v>15937.618868319067</v>
      </c>
      <c r="J71" s="2">
        <f>2*'Financial Model'!J29*'Financial Model'!J96/365-I71</f>
        <v>14179.474440709448</v>
      </c>
      <c r="K71" s="2">
        <f>2*'Financial Model'!K29*'Financial Model'!K96/365-J71</f>
        <v>16044.999377089731</v>
      </c>
      <c r="L71" s="2">
        <f>2*'Financial Model'!L29*'Financial Model'!L96/365-K71</f>
        <v>14287.237807598111</v>
      </c>
    </row>
    <row r="72" spans="1:12" hidden="1" outlineLevel="1" x14ac:dyDescent="0.35">
      <c r="A72" s="1"/>
      <c r="B72" t="s">
        <v>26</v>
      </c>
      <c r="E72" s="2">
        <v>0</v>
      </c>
      <c r="F72" s="2">
        <v>0</v>
      </c>
      <c r="G72" s="2">
        <v>0</v>
      </c>
      <c r="H72" s="10">
        <f>-MIN(0,'Financial Model'!H148)</f>
        <v>0</v>
      </c>
      <c r="I72" s="10">
        <f>-MIN(0,'Financial Model'!I148)</f>
        <v>0</v>
      </c>
      <c r="J72" s="10">
        <f>-MIN(0,'Financial Model'!J148)</f>
        <v>0</v>
      </c>
      <c r="K72" s="10">
        <f>-MIN(0,'Financial Model'!K148)</f>
        <v>0</v>
      </c>
      <c r="L72" s="10">
        <f>-MIN(0,'Financial Model'!L148)</f>
        <v>0</v>
      </c>
    </row>
    <row r="73" spans="1:12" hidden="1" outlineLevel="1" x14ac:dyDescent="0.35">
      <c r="A73" s="1"/>
      <c r="B73" s="1" t="s">
        <v>15</v>
      </c>
      <c r="E73" s="12">
        <f t="shared" ref="E73:L73" si="5">SUM(E71:E72)</f>
        <v>12530</v>
      </c>
      <c r="F73" s="12">
        <f t="shared" si="5"/>
        <v>16054</v>
      </c>
      <c r="G73" s="12">
        <f t="shared" si="5"/>
        <v>15831</v>
      </c>
      <c r="H73" s="12">
        <f t="shared" si="5"/>
        <v>14072.475429851143</v>
      </c>
      <c r="I73" s="12">
        <f t="shared" si="5"/>
        <v>15937.618868319067</v>
      </c>
      <c r="J73" s="12">
        <f t="shared" si="5"/>
        <v>14179.474440709448</v>
      </c>
      <c r="K73" s="12">
        <f t="shared" si="5"/>
        <v>16044.999377089731</v>
      </c>
      <c r="L73" s="12">
        <f t="shared" si="5"/>
        <v>14287.237807598111</v>
      </c>
    </row>
    <row r="74" spans="1:12" ht="15.5" hidden="1" outlineLevel="1" x14ac:dyDescent="0.35">
      <c r="A74" s="1"/>
      <c r="B74" s="1"/>
      <c r="E74" s="12"/>
      <c r="F74" s="12"/>
      <c r="G74" s="12"/>
      <c r="H74" s="31"/>
      <c r="I74" s="12"/>
      <c r="J74" s="12"/>
      <c r="K74" s="12"/>
      <c r="L74" s="12"/>
    </row>
    <row r="75" spans="1:12" hidden="1" outlineLevel="1" x14ac:dyDescent="0.35">
      <c r="A75" s="1"/>
      <c r="B75" s="1" t="s">
        <v>16</v>
      </c>
      <c r="E75" s="12">
        <f t="shared" ref="E75:L75" si="6">E69-E73</f>
        <v>31338</v>
      </c>
      <c r="F75" s="12">
        <f t="shared" si="6"/>
        <v>50773</v>
      </c>
      <c r="G75" s="12">
        <f t="shared" si="6"/>
        <v>51066</v>
      </c>
      <c r="H75" s="12">
        <f t="shared" si="6"/>
        <v>99374.850610796901</v>
      </c>
      <c r="I75" s="12">
        <f t="shared" si="6"/>
        <v>112692.64364809006</v>
      </c>
      <c r="J75" s="12">
        <f t="shared" si="6"/>
        <v>136004.92275114008</v>
      </c>
      <c r="K75" s="12">
        <f t="shared" si="6"/>
        <v>169688.61822979333</v>
      </c>
      <c r="L75" s="12">
        <f t="shared" si="6"/>
        <v>214137.82619536141</v>
      </c>
    </row>
    <row r="76" spans="1:12" hidden="1" outlineLevel="1" x14ac:dyDescent="0.35">
      <c r="A76" s="1"/>
      <c r="B76" s="1"/>
      <c r="E76" s="11"/>
      <c r="F76" s="11"/>
      <c r="G76" s="11"/>
      <c r="H76" s="2"/>
      <c r="I76" s="2"/>
      <c r="J76" s="2"/>
      <c r="K76" s="2"/>
      <c r="L76" s="2"/>
    </row>
    <row r="77" spans="1:12" ht="15" hidden="1" outlineLevel="1" thickBot="1" x14ac:dyDescent="0.4">
      <c r="A77" s="1"/>
      <c r="B77" s="1" t="s">
        <v>17</v>
      </c>
      <c r="E77" s="35">
        <f t="shared" ref="E77:L77" si="7">E64+E75</f>
        <v>133535</v>
      </c>
      <c r="F77" s="35">
        <f t="shared" si="7"/>
        <v>142322</v>
      </c>
      <c r="G77" s="35">
        <f t="shared" si="7"/>
        <v>139172</v>
      </c>
      <c r="H77" s="35">
        <f t="shared" si="7"/>
        <v>397480.85061079689</v>
      </c>
      <c r="I77" s="35">
        <f t="shared" si="7"/>
        <v>380798.64364809007</v>
      </c>
      <c r="J77" s="35">
        <f t="shared" si="7"/>
        <v>374110.92275114008</v>
      </c>
      <c r="K77" s="35">
        <f t="shared" si="7"/>
        <v>377794.61822979333</v>
      </c>
      <c r="L77" s="35">
        <f t="shared" si="7"/>
        <v>392243.82619536144</v>
      </c>
    </row>
    <row r="78" spans="1:12" hidden="1" outlineLevel="1" x14ac:dyDescent="0.35">
      <c r="A78" s="1"/>
      <c r="E78" s="2"/>
      <c r="F78" s="2"/>
      <c r="G78" s="2"/>
      <c r="H78" s="2"/>
      <c r="I78" s="2"/>
      <c r="J78" s="2"/>
      <c r="K78" s="2"/>
      <c r="L78" s="2"/>
    </row>
    <row r="79" spans="1:12" hidden="1" outlineLevel="1" x14ac:dyDescent="0.35">
      <c r="A79" s="1"/>
      <c r="B79" s="1" t="s">
        <v>18</v>
      </c>
      <c r="E79" s="2"/>
      <c r="F79" s="2"/>
      <c r="G79" s="2"/>
      <c r="H79" s="2"/>
      <c r="I79" s="2"/>
      <c r="J79" s="2"/>
      <c r="K79" s="2"/>
      <c r="L79" s="2"/>
    </row>
    <row r="80" spans="1:12" hidden="1" outlineLevel="1" x14ac:dyDescent="0.35">
      <c r="A80" s="1"/>
      <c r="B80" t="s">
        <v>19</v>
      </c>
      <c r="E80" s="2">
        <v>40000</v>
      </c>
      <c r="F80" s="2">
        <f>E80-5000</f>
        <v>35000</v>
      </c>
      <c r="G80" s="2">
        <f>F80-5000</f>
        <v>30000</v>
      </c>
      <c r="H80" s="2">
        <f>'Financial Model'!H192</f>
        <v>275000</v>
      </c>
      <c r="I80" s="2">
        <f>'Financial Model'!I192</f>
        <v>245000</v>
      </c>
      <c r="J80" s="2">
        <f>'Financial Model'!J192</f>
        <v>215000</v>
      </c>
      <c r="K80" s="2">
        <f>'Financial Model'!K192</f>
        <v>185000</v>
      </c>
      <c r="L80" s="2">
        <f>'Financial Model'!L192</f>
        <v>155000</v>
      </c>
    </row>
    <row r="81" spans="1:12" hidden="1" outlineLevel="1" x14ac:dyDescent="0.35">
      <c r="A81" s="1"/>
      <c r="B81" t="s">
        <v>27</v>
      </c>
      <c r="E81" s="2">
        <v>5000</v>
      </c>
      <c r="F81" s="2">
        <v>5000</v>
      </c>
      <c r="G81" s="2">
        <v>5000</v>
      </c>
      <c r="H81" s="2">
        <f>'Financial Model'!H33</f>
        <v>5000</v>
      </c>
      <c r="I81" s="2">
        <f>'Financial Model'!I33</f>
        <v>5000</v>
      </c>
      <c r="J81" s="2">
        <f>'Financial Model'!J33</f>
        <v>5000</v>
      </c>
      <c r="K81" s="2">
        <f>'Financial Model'!K33</f>
        <v>5000</v>
      </c>
      <c r="L81" s="2">
        <f>'Financial Model'!L33</f>
        <v>5000</v>
      </c>
    </row>
    <row r="82" spans="1:12" hidden="1" outlineLevel="1" x14ac:dyDescent="0.35">
      <c r="A82" s="1"/>
      <c r="B82" s="1" t="s">
        <v>20</v>
      </c>
      <c r="E82" s="12">
        <f t="shared" ref="E82:L82" si="8">SUM(E80:E81)</f>
        <v>45000</v>
      </c>
      <c r="F82" s="12">
        <f t="shared" si="8"/>
        <v>40000</v>
      </c>
      <c r="G82" s="12">
        <f t="shared" si="8"/>
        <v>35000</v>
      </c>
      <c r="H82" s="12">
        <f t="shared" si="8"/>
        <v>280000</v>
      </c>
      <c r="I82" s="12">
        <f t="shared" si="8"/>
        <v>250000</v>
      </c>
      <c r="J82" s="12">
        <f t="shared" si="8"/>
        <v>220000</v>
      </c>
      <c r="K82" s="12">
        <f t="shared" si="8"/>
        <v>190000</v>
      </c>
      <c r="L82" s="12">
        <f t="shared" si="8"/>
        <v>160000</v>
      </c>
    </row>
    <row r="83" spans="1:12" hidden="1" outlineLevel="1" x14ac:dyDescent="0.35">
      <c r="A83" s="1"/>
      <c r="B83" s="1" t="s">
        <v>10</v>
      </c>
      <c r="F83" s="2"/>
      <c r="G83" s="2"/>
      <c r="H83" s="2"/>
      <c r="I83" s="2"/>
      <c r="J83" s="2"/>
      <c r="K83" s="2"/>
      <c r="L83" s="2"/>
    </row>
    <row r="84" spans="1:12" hidden="1" outlineLevel="1" x14ac:dyDescent="0.35">
      <c r="A84" s="1"/>
      <c r="B84" t="s">
        <v>11</v>
      </c>
      <c r="E84" s="2">
        <v>70000</v>
      </c>
      <c r="F84" s="2">
        <v>70000</v>
      </c>
      <c r="G84" s="2">
        <v>70000</v>
      </c>
      <c r="H84" s="2">
        <f>'Financial Model'!H203</f>
        <v>70000</v>
      </c>
      <c r="I84" s="2">
        <f>'Financial Model'!I203</f>
        <v>70000</v>
      </c>
      <c r="J84" s="2">
        <f>'Financial Model'!J203</f>
        <v>70000</v>
      </c>
      <c r="K84" s="2">
        <f>'Financial Model'!K203</f>
        <v>70000</v>
      </c>
      <c r="L84" s="2">
        <f>'Financial Model'!L203</f>
        <v>70000</v>
      </c>
    </row>
    <row r="85" spans="1:12" hidden="1" outlineLevel="1" x14ac:dyDescent="0.35">
      <c r="A85" s="1"/>
      <c r="B85" t="s">
        <v>12</v>
      </c>
      <c r="E85" s="2">
        <v>18535</v>
      </c>
      <c r="F85" s="2">
        <v>32322</v>
      </c>
      <c r="G85" s="2">
        <v>34172.034</v>
      </c>
      <c r="H85" s="2">
        <f>'Financial Model'!H209</f>
        <v>47480.850610796893</v>
      </c>
      <c r="I85" s="2">
        <f>'Financial Model'!I209</f>
        <v>60798.643648090074</v>
      </c>
      <c r="J85" s="2">
        <f>'Financial Model'!J209</f>
        <v>84110.922751140097</v>
      </c>
      <c r="K85" s="2">
        <f>'Financial Model'!K209</f>
        <v>117794.61822979333</v>
      </c>
      <c r="L85" s="2">
        <f>'Financial Model'!L209</f>
        <v>162243.82619536141</v>
      </c>
    </row>
    <row r="86" spans="1:12" hidden="1" outlineLevel="1" x14ac:dyDescent="0.35">
      <c r="A86" s="1"/>
      <c r="B86" s="1" t="s">
        <v>21</v>
      </c>
      <c r="E86" s="12">
        <f t="shared" ref="E86:L86" si="9">SUM(E84:E85)</f>
        <v>88535</v>
      </c>
      <c r="F86" s="12">
        <f t="shared" si="9"/>
        <v>102322</v>
      </c>
      <c r="G86" s="12">
        <f t="shared" si="9"/>
        <v>104172.034</v>
      </c>
      <c r="H86" s="12">
        <f t="shared" si="9"/>
        <v>117480.85061079689</v>
      </c>
      <c r="I86" s="12">
        <f t="shared" si="9"/>
        <v>130798.64364809007</v>
      </c>
      <c r="J86" s="12">
        <f t="shared" si="9"/>
        <v>154110.92275114008</v>
      </c>
      <c r="K86" s="12">
        <f t="shared" si="9"/>
        <v>187794.61822979333</v>
      </c>
      <c r="L86" s="12">
        <f t="shared" si="9"/>
        <v>232243.82619536141</v>
      </c>
    </row>
    <row r="87" spans="1:12" hidden="1" outlineLevel="1" x14ac:dyDescent="0.35">
      <c r="A87" s="1"/>
      <c r="B87" s="1"/>
      <c r="E87" s="11"/>
      <c r="F87" s="11"/>
      <c r="G87" s="11"/>
      <c r="H87" s="10"/>
      <c r="I87" s="10"/>
      <c r="J87" s="10"/>
      <c r="K87" s="10"/>
      <c r="L87" s="10"/>
    </row>
    <row r="88" spans="1:12" ht="15" hidden="1" outlineLevel="1" thickBot="1" x14ac:dyDescent="0.4">
      <c r="A88" s="1"/>
      <c r="B88" s="1" t="s">
        <v>22</v>
      </c>
      <c r="E88" s="35">
        <f t="shared" ref="E88:L88" si="10">E82+E86</f>
        <v>133535</v>
      </c>
      <c r="F88" s="35">
        <f t="shared" si="10"/>
        <v>142322</v>
      </c>
      <c r="G88" s="35">
        <f t="shared" si="10"/>
        <v>139172.03399999999</v>
      </c>
      <c r="H88" s="35">
        <f t="shared" si="10"/>
        <v>397480.85061079689</v>
      </c>
      <c r="I88" s="35">
        <f t="shared" si="10"/>
        <v>380798.64364809007</v>
      </c>
      <c r="J88" s="35">
        <f t="shared" si="10"/>
        <v>374110.92275114008</v>
      </c>
      <c r="K88" s="35">
        <f t="shared" si="10"/>
        <v>377794.61822979333</v>
      </c>
      <c r="L88" s="35">
        <f t="shared" si="10"/>
        <v>392243.82619536144</v>
      </c>
    </row>
    <row r="89" spans="1:12" hidden="1" outlineLevel="1" x14ac:dyDescent="0.35">
      <c r="A89" s="1"/>
      <c r="E89" s="2"/>
      <c r="F89" s="2"/>
      <c r="G89" s="2"/>
      <c r="H89" s="2"/>
      <c r="I89" s="2"/>
      <c r="J89" s="2"/>
      <c r="K89" s="2"/>
      <c r="L89" s="2"/>
    </row>
    <row r="90" spans="1:12" hidden="1" outlineLevel="1" x14ac:dyDescent="0.35">
      <c r="A90" s="1"/>
    </row>
    <row r="91" spans="1:12" hidden="1" outlineLevel="1" x14ac:dyDescent="0.35">
      <c r="A91" s="1"/>
      <c r="E91" s="2"/>
      <c r="F91" s="2"/>
      <c r="G91" s="2"/>
      <c r="H91" s="2"/>
      <c r="I91" s="2"/>
      <c r="J91" s="2"/>
      <c r="K91" s="2"/>
      <c r="L91" s="2"/>
    </row>
    <row r="92" spans="1:12" collapsed="1" x14ac:dyDescent="0.35">
      <c r="A92" s="1"/>
    </row>
    <row r="93" spans="1:12" x14ac:dyDescent="0.35">
      <c r="A93" s="112" t="s">
        <v>168</v>
      </c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</row>
    <row r="94" spans="1:12" hidden="1" outlineLevel="1" x14ac:dyDescent="0.35">
      <c r="A94" s="1"/>
    </row>
    <row r="95" spans="1:12" hidden="1" outlineLevel="1" x14ac:dyDescent="0.35">
      <c r="A95" s="1"/>
      <c r="B95" t="s">
        <v>28</v>
      </c>
      <c r="E95" s="3">
        <v>260810</v>
      </c>
      <c r="F95" s="3">
        <v>272241</v>
      </c>
      <c r="G95" s="3">
        <v>245009</v>
      </c>
      <c r="H95" s="2">
        <f>'Financial Model'!H11</f>
        <v>297937.89288246597</v>
      </c>
      <c r="I95" s="2">
        <f>'Financial Model'!I11</f>
        <v>311453.28047620872</v>
      </c>
      <c r="J95" s="2">
        <f>'Financial Model'!J11</f>
        <v>325581.7680017589</v>
      </c>
      <c r="K95" s="2">
        <f>'Financial Model'!K11</f>
        <v>340351.16757503076</v>
      </c>
      <c r="L95" s="2">
        <f>'Financial Model'!L11</f>
        <v>355790.55295584264</v>
      </c>
    </row>
    <row r="96" spans="1:12" hidden="1" outlineLevel="1" x14ac:dyDescent="0.35">
      <c r="A96" s="1"/>
      <c r="B96" t="s">
        <v>29</v>
      </c>
      <c r="E96" s="3">
        <v>177782</v>
      </c>
      <c r="F96" s="3">
        <v>184703</v>
      </c>
      <c r="G96" s="3">
        <f>179052</f>
        <v>179052</v>
      </c>
      <c r="H96" s="10">
        <f>'Financial Model'!H13</f>
        <v>179690.39809038417</v>
      </c>
      <c r="I96" s="10">
        <f>'Financial Model'!I13</f>
        <v>180331.07234703179</v>
      </c>
      <c r="J96" s="10">
        <f>'Financial Model'!J13</f>
        <v>180974.03088546349</v>
      </c>
      <c r="K96" s="10">
        <f>'Financial Model'!K13</f>
        <v>181619.28185013522</v>
      </c>
      <c r="L96" s="10">
        <f>'Financial Model'!L13</f>
        <v>182266.83341454147</v>
      </c>
    </row>
    <row r="97" spans="1:12" hidden="1" outlineLevel="1" x14ac:dyDescent="0.35">
      <c r="A97" s="1"/>
      <c r="B97" t="s">
        <v>30</v>
      </c>
      <c r="E97" s="11">
        <f t="shared" ref="E97:L97" si="11">E95-E96</f>
        <v>83028</v>
      </c>
      <c r="F97" s="11">
        <f t="shared" si="11"/>
        <v>87538</v>
      </c>
      <c r="G97" s="11">
        <f t="shared" si="11"/>
        <v>65957</v>
      </c>
      <c r="H97" s="2">
        <f t="shared" si="11"/>
        <v>118247.49479208179</v>
      </c>
      <c r="I97" s="2">
        <f t="shared" si="11"/>
        <v>131122.20812917693</v>
      </c>
      <c r="J97" s="2">
        <f t="shared" si="11"/>
        <v>144607.73711629541</v>
      </c>
      <c r="K97" s="2">
        <f t="shared" si="11"/>
        <v>158731.88572489555</v>
      </c>
      <c r="L97" s="2">
        <f t="shared" si="11"/>
        <v>173523.71954130117</v>
      </c>
    </row>
    <row r="98" spans="1:12" hidden="1" outlineLevel="1" x14ac:dyDescent="0.35">
      <c r="A98" s="1"/>
      <c r="B98" t="s">
        <v>31</v>
      </c>
      <c r="E98" s="3">
        <v>9204</v>
      </c>
      <c r="F98" s="3">
        <v>10521</v>
      </c>
      <c r="G98" s="3">
        <v>11099</v>
      </c>
      <c r="H98" s="2">
        <f>'Financial Model'!H16</f>
        <v>11210.270092510496</v>
      </c>
      <c r="I98" s="2">
        <f>'Financial Model'!I16</f>
        <v>11718.802739583327</v>
      </c>
      <c r="J98" s="2">
        <f>'Financial Model'!J16</f>
        <v>12250.40400596727</v>
      </c>
      <c r="K98" s="2">
        <f>'Financial Model'!K16</f>
        <v>12806.120355837216</v>
      </c>
      <c r="L98" s="2">
        <f>'Financial Model'!L16</f>
        <v>13387.04572423115</v>
      </c>
    </row>
    <row r="99" spans="1:12" hidden="1" outlineLevel="1" x14ac:dyDescent="0.35">
      <c r="A99" s="1"/>
      <c r="B99" t="s">
        <v>32</v>
      </c>
      <c r="E99" s="3">
        <v>25145</v>
      </c>
      <c r="F99" s="3">
        <v>26402</v>
      </c>
      <c r="G99" s="3">
        <v>21751.686000000002</v>
      </c>
      <c r="H99" s="2">
        <f>'Financial Model'!H18</f>
        <v>26785.681683258965</v>
      </c>
      <c r="I99" s="2">
        <f>'Financial Model'!I18</f>
        <v>28000.763344773815</v>
      </c>
      <c r="J99" s="2">
        <f>'Financial Model'!J18</f>
        <v>29270.96488195987</v>
      </c>
      <c r="K99" s="2">
        <f>'Financial Model'!K18</f>
        <v>30598.78670346475</v>
      </c>
      <c r="L99" s="2">
        <f>'Financial Model'!L18</f>
        <v>31986.842644233358</v>
      </c>
    </row>
    <row r="100" spans="1:12" hidden="1" outlineLevel="1" x14ac:dyDescent="0.35">
      <c r="A100" s="1"/>
      <c r="B100" t="s">
        <v>34</v>
      </c>
      <c r="E100" s="3">
        <v>10000</v>
      </c>
      <c r="F100" s="3">
        <v>10000</v>
      </c>
      <c r="G100" s="3">
        <v>10000</v>
      </c>
      <c r="H100" s="2">
        <f>'Financial Model'!H169</f>
        <v>30000</v>
      </c>
      <c r="I100" s="2">
        <f>'Financial Model'!I169</f>
        <v>30000</v>
      </c>
      <c r="J100" s="2">
        <f>'Financial Model'!J169</f>
        <v>30000</v>
      </c>
      <c r="K100" s="2">
        <f>'Financial Model'!K169</f>
        <v>30000</v>
      </c>
      <c r="L100" s="2">
        <f>'Financial Model'!L169</f>
        <v>30000</v>
      </c>
    </row>
    <row r="101" spans="1:12" hidden="1" outlineLevel="1" x14ac:dyDescent="0.35">
      <c r="A101" s="1"/>
      <c r="B101" t="s">
        <v>33</v>
      </c>
      <c r="E101" s="3">
        <v>5675</v>
      </c>
      <c r="F101" s="3">
        <v>13342</v>
      </c>
      <c r="G101" s="3">
        <v>4394.28</v>
      </c>
      <c r="H101" s="10">
        <f>'Financial Model'!H20</f>
        <v>8559.2811913643854</v>
      </c>
      <c r="I101" s="10">
        <f>'Financial Model'!I20</f>
        <v>8947.5567534485854</v>
      </c>
      <c r="J101" s="10">
        <f>'Financial Model'!J20</f>
        <v>9353.4457002015715</v>
      </c>
      <c r="K101" s="10">
        <f>'Financial Model'!K20</f>
        <v>9777.7470294222931</v>
      </c>
      <c r="L101" s="10">
        <f>'Financial Model'!L20</f>
        <v>10221.295983929873</v>
      </c>
    </row>
    <row r="102" spans="1:12" hidden="1" outlineLevel="1" x14ac:dyDescent="0.35">
      <c r="A102" s="1"/>
      <c r="B102" t="s">
        <v>44</v>
      </c>
      <c r="E102" s="11">
        <f t="shared" ref="E102:L102" si="12">E97-SUM(E98:E101)</f>
        <v>33004</v>
      </c>
      <c r="F102" s="11">
        <f t="shared" si="12"/>
        <v>27273</v>
      </c>
      <c r="G102" s="11">
        <f t="shared" si="12"/>
        <v>18712.034</v>
      </c>
      <c r="H102" s="2">
        <f t="shared" si="12"/>
        <v>41692.261824947942</v>
      </c>
      <c r="I102" s="2">
        <f t="shared" si="12"/>
        <v>52455.085291371201</v>
      </c>
      <c r="J102" s="2">
        <f t="shared" si="12"/>
        <v>63732.922528166702</v>
      </c>
      <c r="K102" s="2">
        <f t="shared" si="12"/>
        <v>75549.231636171287</v>
      </c>
      <c r="L102" s="2">
        <f t="shared" si="12"/>
        <v>87928.535188906782</v>
      </c>
    </row>
    <row r="103" spans="1:12" hidden="1" outlineLevel="1" x14ac:dyDescent="0.35">
      <c r="A103" s="1"/>
      <c r="B103" t="s">
        <v>46</v>
      </c>
      <c r="E103" s="3">
        <v>3333</v>
      </c>
      <c r="F103" s="3">
        <v>2183</v>
      </c>
      <c r="G103" s="3">
        <v>2156</v>
      </c>
      <c r="H103" s="2">
        <f>'Financial Model'!H23</f>
        <v>2156</v>
      </c>
      <c r="I103" s="2">
        <f>'Financial Model'!I23</f>
        <v>2156</v>
      </c>
      <c r="J103" s="2">
        <f>'Financial Model'!J23</f>
        <v>2156</v>
      </c>
      <c r="K103" s="2">
        <f>'Financial Model'!K23</f>
        <v>2156</v>
      </c>
      <c r="L103" s="2">
        <f>'Financial Model'!L23</f>
        <v>2156</v>
      </c>
    </row>
    <row r="104" spans="1:12" hidden="1" outlineLevel="1" x14ac:dyDescent="0.35">
      <c r="A104" s="1"/>
      <c r="B104" t="s">
        <v>51</v>
      </c>
      <c r="E104" s="3">
        <v>2000</v>
      </c>
      <c r="F104" s="3">
        <v>3750</v>
      </c>
      <c r="G104" s="3">
        <v>3250</v>
      </c>
      <c r="H104" s="2">
        <f>'Financial Model'!H195</f>
        <v>15250</v>
      </c>
      <c r="I104" s="2">
        <f>'Financial Model'!I195</f>
        <v>26000</v>
      </c>
      <c r="J104" s="2">
        <f>'Financial Model'!J195</f>
        <v>23000</v>
      </c>
      <c r="K104" s="2">
        <f>'Financial Model'!K195</f>
        <v>20000</v>
      </c>
      <c r="L104" s="2">
        <f>'Financial Model'!L195</f>
        <v>17000</v>
      </c>
    </row>
    <row r="105" spans="1:12" hidden="1" outlineLevel="1" x14ac:dyDescent="0.35">
      <c r="A105" s="1"/>
      <c r="B105" t="s">
        <v>52</v>
      </c>
      <c r="E105" s="3">
        <v>9265</v>
      </c>
      <c r="F105" s="3">
        <v>9644</v>
      </c>
      <c r="G105" s="3">
        <v>9848</v>
      </c>
      <c r="H105" s="10">
        <f>'Financial Model'!H35</f>
        <v>9585.6666666666661</v>
      </c>
      <c r="I105" s="10">
        <f>'Financial Model'!I35</f>
        <v>9585.6666666666661</v>
      </c>
      <c r="J105" s="10">
        <f>'Financial Model'!J35</f>
        <v>9585.6666666666661</v>
      </c>
      <c r="K105" s="10">
        <f>'Financial Model'!K35</f>
        <v>9585.6666666666661</v>
      </c>
      <c r="L105" s="10">
        <f>'Financial Model'!L35</f>
        <v>9585.6666666666661</v>
      </c>
    </row>
    <row r="106" spans="1:12" hidden="1" outlineLevel="1" x14ac:dyDescent="0.35">
      <c r="A106" s="1"/>
      <c r="E106" s="11"/>
      <c r="F106" s="11"/>
      <c r="G106" s="11"/>
      <c r="H106" s="2"/>
      <c r="I106" s="2"/>
      <c r="J106" s="2"/>
      <c r="K106" s="2"/>
      <c r="L106" s="2"/>
    </row>
    <row r="107" spans="1:12" hidden="1" outlineLevel="1" x14ac:dyDescent="0.35">
      <c r="A107" s="1"/>
      <c r="B107" t="s">
        <v>36</v>
      </c>
      <c r="E107" s="2">
        <f t="shared" ref="E107:L107" si="13">E102+E103-E105-E104</f>
        <v>25072</v>
      </c>
      <c r="F107" s="2">
        <f t="shared" si="13"/>
        <v>16062</v>
      </c>
      <c r="G107" s="2">
        <f t="shared" si="13"/>
        <v>7770.0339999999997</v>
      </c>
      <c r="H107" s="2">
        <f t="shared" si="13"/>
        <v>19012.595158281278</v>
      </c>
      <c r="I107" s="2">
        <f t="shared" si="13"/>
        <v>19025.418624704536</v>
      </c>
      <c r="J107" s="2">
        <f t="shared" si="13"/>
        <v>33303.255861500038</v>
      </c>
      <c r="K107" s="2">
        <f t="shared" si="13"/>
        <v>48119.564969504616</v>
      </c>
      <c r="L107" s="2">
        <f t="shared" si="13"/>
        <v>63498.868522240111</v>
      </c>
    </row>
    <row r="108" spans="1:12" hidden="1" outlineLevel="1" x14ac:dyDescent="0.35">
      <c r="A108" s="1"/>
      <c r="B108" t="s">
        <v>37</v>
      </c>
      <c r="E108" s="3">
        <v>6537</v>
      </c>
      <c r="F108" s="3">
        <v>2275</v>
      </c>
      <c r="G108" s="3">
        <v>5920</v>
      </c>
      <c r="H108" s="10">
        <f>IF(H107&gt;0,H107*'Financial Model'!H37,0)</f>
        <v>5703.7785474843831</v>
      </c>
      <c r="I108" s="10">
        <f>IF(I107&gt;0,I107*'Financial Model'!I37,0)</f>
        <v>5707.6255874113604</v>
      </c>
      <c r="J108" s="10">
        <f>IF(J107&gt;0,J107*'Financial Model'!J37,0)</f>
        <v>9990.9767584500114</v>
      </c>
      <c r="K108" s="10">
        <f>IF(K107&gt;0,K107*'Financial Model'!K37,0)</f>
        <v>14435.869490851384</v>
      </c>
      <c r="L108" s="10">
        <f>IF(L107&gt;0,L107*'Financial Model'!L37,0)</f>
        <v>19049.660556672032</v>
      </c>
    </row>
    <row r="109" spans="1:12" hidden="1" outlineLevel="1" x14ac:dyDescent="0.35">
      <c r="A109" s="1"/>
      <c r="E109" s="11"/>
      <c r="F109" s="11"/>
      <c r="G109" s="11"/>
      <c r="H109" s="2"/>
      <c r="I109" s="2"/>
      <c r="J109" s="2"/>
      <c r="K109" s="2"/>
      <c r="L109" s="2"/>
    </row>
    <row r="110" spans="1:12" ht="15" hidden="1" outlineLevel="1" thickBot="1" x14ac:dyDescent="0.4">
      <c r="A110" s="1"/>
      <c r="B110" t="s">
        <v>38</v>
      </c>
      <c r="E110" s="34">
        <f t="shared" ref="E110:L110" si="14">E107-E108</f>
        <v>18535</v>
      </c>
      <c r="F110" s="34">
        <f t="shared" si="14"/>
        <v>13787</v>
      </c>
      <c r="G110" s="34">
        <f t="shared" si="14"/>
        <v>1850.0339999999997</v>
      </c>
      <c r="H110" s="34">
        <f t="shared" si="14"/>
        <v>13308.816610796894</v>
      </c>
      <c r="I110" s="34">
        <f t="shared" si="14"/>
        <v>13317.793037293177</v>
      </c>
      <c r="J110" s="34">
        <f t="shared" si="14"/>
        <v>23312.279103050027</v>
      </c>
      <c r="K110" s="34">
        <f t="shared" si="14"/>
        <v>33683.69547865323</v>
      </c>
      <c r="L110" s="34">
        <f t="shared" si="14"/>
        <v>44449.207965568079</v>
      </c>
    </row>
    <row r="111" spans="1:12" hidden="1" outlineLevel="1" x14ac:dyDescent="0.35">
      <c r="A111" s="1"/>
    </row>
    <row r="112" spans="1:12" collapsed="1" x14ac:dyDescent="0.35">
      <c r="A112" s="1"/>
    </row>
    <row r="113" spans="1:12" x14ac:dyDescent="0.35">
      <c r="A113" s="112" t="s">
        <v>169</v>
      </c>
      <c r="B113" s="111"/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</row>
    <row r="114" spans="1:12" hidden="1" outlineLevel="1" x14ac:dyDescent="0.35">
      <c r="A114" s="1"/>
    </row>
    <row r="115" spans="1:12" hidden="1" outlineLevel="1" x14ac:dyDescent="0.35">
      <c r="A115" s="1"/>
      <c r="B115" s="62" t="s">
        <v>94</v>
      </c>
      <c r="C115" s="63"/>
    </row>
    <row r="116" spans="1:12" hidden="1" outlineLevel="1" x14ac:dyDescent="0.35">
      <c r="A116" s="1"/>
      <c r="B116" s="63"/>
      <c r="C116" s="64" t="s">
        <v>95</v>
      </c>
      <c r="E116" s="106"/>
      <c r="F116" s="2">
        <f>'Financial Model'!F110</f>
        <v>13787</v>
      </c>
      <c r="G116" s="2">
        <f>'Financial Model'!G110</f>
        <v>1850.0339999999997</v>
      </c>
      <c r="H116" s="2">
        <f>'Financial Model'!H110</f>
        <v>13308.816610796894</v>
      </c>
      <c r="I116" s="2">
        <f>'Financial Model'!I110</f>
        <v>13317.793037293177</v>
      </c>
      <c r="J116" s="2">
        <f>'Financial Model'!J110</f>
        <v>23312.279103050027</v>
      </c>
      <c r="K116" s="2">
        <f>'Financial Model'!K110</f>
        <v>33683.69547865323</v>
      </c>
      <c r="L116" s="2">
        <f>'Financial Model'!L110</f>
        <v>44449.207965568079</v>
      </c>
    </row>
    <row r="117" spans="1:12" hidden="1" outlineLevel="1" x14ac:dyDescent="0.35">
      <c r="A117" s="1"/>
      <c r="B117" s="63"/>
      <c r="C117" s="64" t="s">
        <v>96</v>
      </c>
      <c r="E117" s="106"/>
      <c r="F117" s="2">
        <f>'Financial Model'!F100</f>
        <v>10000</v>
      </c>
      <c r="G117" s="2">
        <f>'Financial Model'!G100</f>
        <v>10000</v>
      </c>
      <c r="H117" s="2">
        <f>'Financial Model'!H100</f>
        <v>30000</v>
      </c>
      <c r="I117" s="2">
        <f>'Financial Model'!I100</f>
        <v>30000</v>
      </c>
      <c r="J117" s="2">
        <f>'Financial Model'!J100</f>
        <v>30000</v>
      </c>
      <c r="K117" s="2">
        <f>'Financial Model'!K100</f>
        <v>30000</v>
      </c>
      <c r="L117" s="2">
        <f>'Financial Model'!L100</f>
        <v>30000</v>
      </c>
    </row>
    <row r="118" spans="1:12" hidden="1" outlineLevel="1" x14ac:dyDescent="0.35">
      <c r="A118" s="1"/>
      <c r="B118" s="63"/>
      <c r="C118" s="64" t="s">
        <v>97</v>
      </c>
      <c r="E118" s="106"/>
      <c r="F118" s="2">
        <f>'Financial Model'!F104</f>
        <v>3750</v>
      </c>
      <c r="G118" s="2">
        <f>'Financial Model'!G104</f>
        <v>3250</v>
      </c>
      <c r="H118" s="2">
        <f>'Financial Model'!H104</f>
        <v>15250</v>
      </c>
      <c r="I118" s="2">
        <f>'Financial Model'!I104</f>
        <v>26000</v>
      </c>
      <c r="J118" s="2">
        <f>'Financial Model'!J104</f>
        <v>23000</v>
      </c>
      <c r="K118" s="2">
        <f>'Financial Model'!K104</f>
        <v>20000</v>
      </c>
      <c r="L118" s="2">
        <f>'Financial Model'!L104</f>
        <v>17000</v>
      </c>
    </row>
    <row r="119" spans="1:12" hidden="1" outlineLevel="1" x14ac:dyDescent="0.35">
      <c r="A119" s="1"/>
      <c r="E119" s="106"/>
    </row>
    <row r="120" spans="1:12" hidden="1" outlineLevel="1" x14ac:dyDescent="0.35">
      <c r="A120" s="1"/>
      <c r="B120" s="63"/>
      <c r="C120" s="62" t="s">
        <v>98</v>
      </c>
      <c r="E120" s="106"/>
      <c r="F120" s="2"/>
      <c r="G120" s="2"/>
      <c r="H120" s="2"/>
      <c r="I120" s="2"/>
      <c r="J120" s="2"/>
      <c r="K120" s="2"/>
      <c r="L120" s="2"/>
    </row>
    <row r="121" spans="1:12" hidden="1" outlineLevel="1" x14ac:dyDescent="0.35">
      <c r="A121" s="1"/>
      <c r="B121" s="63"/>
      <c r="C121" s="65" t="s">
        <v>99</v>
      </c>
      <c r="E121" s="106"/>
      <c r="F121" s="2">
        <f>'Financial Model'!F71-'Financial Model'!E71</f>
        <v>3524</v>
      </c>
      <c r="G121" s="2">
        <f>'Financial Model'!G71-'Financial Model'!F71</f>
        <v>-223</v>
      </c>
      <c r="H121" s="2">
        <f>'Financial Model'!H71-'Financial Model'!G71</f>
        <v>-1758.5245701488566</v>
      </c>
      <c r="I121" s="2">
        <f>'Financial Model'!I71-'Financial Model'!H71</f>
        <v>1865.1434384679233</v>
      </c>
      <c r="J121" s="2">
        <f>'Financial Model'!J71-'Financial Model'!I71</f>
        <v>-1758.144427609619</v>
      </c>
      <c r="K121" s="2">
        <f>'Financial Model'!K71-'Financial Model'!J71</f>
        <v>1865.5249363802832</v>
      </c>
      <c r="L121" s="2">
        <f>'Financial Model'!L71-'Financial Model'!K71</f>
        <v>-1757.7615694916203</v>
      </c>
    </row>
    <row r="122" spans="1:12" hidden="1" outlineLevel="1" x14ac:dyDescent="0.35">
      <c r="A122" s="1"/>
      <c r="B122" s="63"/>
      <c r="C122" s="65" t="s">
        <v>100</v>
      </c>
      <c r="E122" s="106"/>
      <c r="F122" s="2">
        <f>-('Financial Model'!F66-'Financial Model'!E66)</f>
        <v>-2462</v>
      </c>
      <c r="G122" s="2">
        <f>-('Financial Model'!G66-'Financial Model'!F66)</f>
        <v>-3724</v>
      </c>
      <c r="H122" s="2">
        <f>-('Financial Model'!H66-'Financial Model'!G66)</f>
        <v>7201.437459321729</v>
      </c>
      <c r="I122" s="2">
        <f>-('Financial Model'!I66-'Financial Model'!H66)</f>
        <v>-7330.722102231186</v>
      </c>
      <c r="J122" s="2">
        <f>-('Financial Model'!J66-'Financial Model'!I66)</f>
        <v>7200.9765034589072</v>
      </c>
      <c r="K122" s="2">
        <f>-('Financial Model'!K66-'Financial Model'!J66)</f>
        <v>-7331.1847016017127</v>
      </c>
      <c r="L122" s="2">
        <f>-('Financial Model'!L66-'Financial Model'!K66)</f>
        <v>7200.5122547208521</v>
      </c>
    </row>
    <row r="123" spans="1:12" hidden="1" outlineLevel="1" x14ac:dyDescent="0.35">
      <c r="A123" s="1"/>
      <c r="B123" s="63"/>
      <c r="C123" s="65" t="s">
        <v>101</v>
      </c>
      <c r="E123" s="106"/>
      <c r="F123" s="10">
        <f>-('Financial Model'!F67-'Financial Model'!E67)</f>
        <v>-10704</v>
      </c>
      <c r="G123" s="10">
        <f>-('Financial Model'!G67-'Financial Model'!F67)</f>
        <v>-4333</v>
      </c>
      <c r="H123" s="10">
        <f>-('Financial Model'!H67-'Financial Model'!G67)</f>
        <v>2089.3567418048187</v>
      </c>
      <c r="I123" s="10">
        <f>-('Financial Model'!I67-'Financial Model'!H67)</f>
        <v>-5251.7386218113097</v>
      </c>
      <c r="J123" s="10">
        <f>-('Financial Model'!J67-'Financial Model'!I67)</f>
        <v>1945.9012839769857</v>
      </c>
      <c r="K123" s="10">
        <f>-('Financial Model'!K67-'Financial Model'!J67)</f>
        <v>-5401.7016644791584</v>
      </c>
      <c r="L123" s="10">
        <f>-('Financial Model'!L67-'Financial Model'!K67)</f>
        <v>1789.1354522218608</v>
      </c>
    </row>
    <row r="124" spans="1:12" hidden="1" outlineLevel="1" x14ac:dyDescent="0.35">
      <c r="A124" s="1"/>
      <c r="B124" s="62"/>
      <c r="C124" s="66" t="s">
        <v>98</v>
      </c>
      <c r="D124" s="67"/>
      <c r="E124" s="107"/>
      <c r="F124" s="10">
        <f t="shared" ref="F124:L124" si="15">SUM(F121:F123)</f>
        <v>-9642</v>
      </c>
      <c r="G124" s="10">
        <f t="shared" si="15"/>
        <v>-8280</v>
      </c>
      <c r="H124" s="10">
        <f t="shared" si="15"/>
        <v>7532.2696309776911</v>
      </c>
      <c r="I124" s="10">
        <f t="shared" si="15"/>
        <v>-10717.317285574572</v>
      </c>
      <c r="J124" s="10">
        <f t="shared" si="15"/>
        <v>7388.733359826274</v>
      </c>
      <c r="K124" s="10">
        <f t="shared" si="15"/>
        <v>-10867.361429700588</v>
      </c>
      <c r="L124" s="10">
        <f t="shared" si="15"/>
        <v>7231.8861374510925</v>
      </c>
    </row>
    <row r="125" spans="1:12" hidden="1" outlineLevel="1" x14ac:dyDescent="0.35">
      <c r="A125" s="1"/>
      <c r="E125" s="106"/>
      <c r="F125" s="2"/>
      <c r="G125" s="2"/>
      <c r="H125" s="2"/>
      <c r="I125" s="2"/>
      <c r="J125" s="2"/>
      <c r="K125" s="2"/>
      <c r="L125" s="2"/>
    </row>
    <row r="126" spans="1:12" hidden="1" outlineLevel="1" x14ac:dyDescent="0.35">
      <c r="A126" s="1"/>
      <c r="B126" s="62"/>
      <c r="C126" s="62" t="s">
        <v>102</v>
      </c>
      <c r="D126" s="1"/>
      <c r="E126" s="108"/>
      <c r="F126" s="70">
        <f t="shared" ref="F126:L126" si="16">F124+SUM(F116:F118)</f>
        <v>17895</v>
      </c>
      <c r="G126" s="70">
        <f t="shared" si="16"/>
        <v>6820.0339999999997</v>
      </c>
      <c r="H126" s="2">
        <f t="shared" si="16"/>
        <v>66091.086241774581</v>
      </c>
      <c r="I126" s="2">
        <f t="shared" si="16"/>
        <v>58600.475751718601</v>
      </c>
      <c r="J126" s="2">
        <f t="shared" si="16"/>
        <v>83701.012462876301</v>
      </c>
      <c r="K126" s="2">
        <f t="shared" si="16"/>
        <v>72816.334048952645</v>
      </c>
      <c r="L126" s="2">
        <f t="shared" si="16"/>
        <v>98681.094103019175</v>
      </c>
    </row>
    <row r="127" spans="1:12" ht="18.5" hidden="1" outlineLevel="1" x14ac:dyDescent="0.45">
      <c r="A127" s="1"/>
      <c r="E127" s="106"/>
      <c r="F127" s="29"/>
      <c r="G127" s="2"/>
      <c r="H127" s="2"/>
      <c r="I127" s="2"/>
      <c r="J127" s="2"/>
      <c r="K127" s="2"/>
      <c r="L127" s="2"/>
    </row>
    <row r="128" spans="1:12" hidden="1" outlineLevel="1" x14ac:dyDescent="0.35">
      <c r="A128" s="1"/>
      <c r="B128" s="62" t="s">
        <v>103</v>
      </c>
      <c r="C128" s="63"/>
      <c r="E128" s="106"/>
      <c r="F128" s="2"/>
      <c r="G128" s="2"/>
      <c r="H128" s="2"/>
      <c r="I128" s="2"/>
      <c r="J128" s="2"/>
      <c r="K128" s="2"/>
      <c r="L128" s="2"/>
    </row>
    <row r="129" spans="1:12" hidden="1" outlineLevel="1" x14ac:dyDescent="0.35">
      <c r="A129" s="1"/>
      <c r="B129" s="63"/>
      <c r="C129" s="64" t="s">
        <v>104</v>
      </c>
      <c r="E129" s="106"/>
      <c r="F129" s="2">
        <f>-'Financial Model'!F157</f>
        <v>0</v>
      </c>
      <c r="G129" s="2">
        <f>-'Financial Model'!G157</f>
        <v>0</v>
      </c>
      <c r="H129" s="2">
        <f>-'Financial Model'!H157</f>
        <v>-200000</v>
      </c>
      <c r="I129" s="2">
        <f>-'Financial Model'!I157</f>
        <v>0</v>
      </c>
      <c r="J129" s="2">
        <f>-'Financial Model'!J157</f>
        <v>0</v>
      </c>
      <c r="K129" s="2">
        <f>-'Financial Model'!K157</f>
        <v>0</v>
      </c>
      <c r="L129" s="2">
        <f>-'Financial Model'!L157</f>
        <v>0</v>
      </c>
    </row>
    <row r="130" spans="1:12" hidden="1" outlineLevel="1" x14ac:dyDescent="0.35">
      <c r="A130" s="1"/>
      <c r="B130" s="63"/>
      <c r="C130" s="64" t="s">
        <v>105</v>
      </c>
      <c r="E130" s="106"/>
      <c r="F130" s="2"/>
      <c r="G130" s="2"/>
      <c r="H130" s="2"/>
      <c r="I130" s="2"/>
      <c r="J130" s="2"/>
      <c r="K130" s="2"/>
      <c r="L130" s="2"/>
    </row>
    <row r="131" spans="1:12" hidden="1" outlineLevel="1" x14ac:dyDescent="0.35">
      <c r="A131" s="1"/>
      <c r="B131" s="63"/>
      <c r="C131" s="64" t="s">
        <v>106</v>
      </c>
      <c r="E131" s="106"/>
      <c r="F131" s="2"/>
      <c r="G131" s="2"/>
      <c r="H131" s="2"/>
      <c r="I131" s="2"/>
      <c r="J131" s="2"/>
      <c r="K131" s="2"/>
      <c r="L131" s="2"/>
    </row>
    <row r="132" spans="1:12" hidden="1" outlineLevel="1" x14ac:dyDescent="0.35">
      <c r="A132" s="1"/>
      <c r="B132" s="63"/>
      <c r="C132" s="68" t="s">
        <v>107</v>
      </c>
      <c r="D132" s="61"/>
      <c r="E132" s="109"/>
      <c r="F132" s="10">
        <f>-('Financial Model'!F63-'Financial Model'!E63)</f>
        <v>648</v>
      </c>
      <c r="G132" s="10">
        <f>-('Financial Model'!G63-'Financial Model'!F63)</f>
        <v>-6557</v>
      </c>
      <c r="H132" s="10">
        <f>-('Financial Model'!H63-'Financial Model'!G63)</f>
        <v>-40000</v>
      </c>
      <c r="I132" s="10">
        <f>-('Financial Model'!I63-'Financial Model'!H63)</f>
        <v>0</v>
      </c>
      <c r="J132" s="10">
        <f>-('Financial Model'!J63-'Financial Model'!I63)</f>
        <v>0</v>
      </c>
      <c r="K132" s="10">
        <f>-('Financial Model'!K63-'Financial Model'!J63)</f>
        <v>0</v>
      </c>
      <c r="L132" s="10">
        <f>-('Financial Model'!L63-'Financial Model'!K63)</f>
        <v>0</v>
      </c>
    </row>
    <row r="133" spans="1:12" hidden="1" outlineLevel="1" x14ac:dyDescent="0.35">
      <c r="A133" s="1"/>
      <c r="B133" s="62"/>
      <c r="C133" s="62" t="s">
        <v>103</v>
      </c>
      <c r="D133" s="1"/>
      <c r="E133" s="108"/>
      <c r="F133" s="70">
        <f t="shared" ref="F133:L133" si="17">SUM(F129:F132)</f>
        <v>648</v>
      </c>
      <c r="G133" s="70">
        <f t="shared" si="17"/>
        <v>-6557</v>
      </c>
      <c r="H133" s="70">
        <f t="shared" si="17"/>
        <v>-240000</v>
      </c>
      <c r="I133" s="70">
        <f t="shared" si="17"/>
        <v>0</v>
      </c>
      <c r="J133" s="70">
        <f t="shared" si="17"/>
        <v>0</v>
      </c>
      <c r="K133" s="70">
        <f t="shared" si="17"/>
        <v>0</v>
      </c>
      <c r="L133" s="70">
        <f t="shared" si="17"/>
        <v>0</v>
      </c>
    </row>
    <row r="134" spans="1:12" hidden="1" outlineLevel="1" x14ac:dyDescent="0.35">
      <c r="A134" s="1"/>
      <c r="E134" s="106"/>
      <c r="F134" s="2"/>
      <c r="G134" s="2"/>
      <c r="H134" s="2"/>
      <c r="I134" s="2"/>
      <c r="J134" s="2"/>
      <c r="K134" s="2"/>
      <c r="L134" s="2"/>
    </row>
    <row r="135" spans="1:12" hidden="1" outlineLevel="1" x14ac:dyDescent="0.35">
      <c r="A135" s="1"/>
      <c r="B135" s="62" t="s">
        <v>108</v>
      </c>
      <c r="C135" s="63"/>
      <c r="E135" s="106"/>
      <c r="F135" s="2"/>
      <c r="G135" s="2"/>
      <c r="H135" s="2"/>
      <c r="I135" s="2"/>
      <c r="J135" s="2"/>
      <c r="K135" s="2"/>
      <c r="L135" s="2"/>
    </row>
    <row r="136" spans="1:12" hidden="1" outlineLevel="1" x14ac:dyDescent="0.35">
      <c r="A136" s="1"/>
      <c r="B136" s="63"/>
      <c r="C136" s="64" t="s">
        <v>109</v>
      </c>
      <c r="E136" s="106"/>
      <c r="F136" s="2"/>
      <c r="G136" s="2"/>
      <c r="H136" s="2"/>
      <c r="I136" s="2"/>
      <c r="J136" s="2"/>
      <c r="K136" s="2"/>
      <c r="L136" s="2"/>
    </row>
    <row r="137" spans="1:12" hidden="1" outlineLevel="1" x14ac:dyDescent="0.35">
      <c r="A137" s="1"/>
      <c r="B137" s="63"/>
      <c r="C137" s="64" t="s">
        <v>110</v>
      </c>
      <c r="E137" s="106"/>
      <c r="F137" s="2">
        <f>'Financial Model'!F189</f>
        <v>0</v>
      </c>
      <c r="G137" s="2">
        <f>'Financial Model'!G189</f>
        <v>0</v>
      </c>
      <c r="H137" s="2">
        <f>'Financial Model'!H189</f>
        <v>250000</v>
      </c>
      <c r="I137" s="2">
        <f>'Financial Model'!I189</f>
        <v>0</v>
      </c>
      <c r="J137" s="2">
        <f>'Financial Model'!J189</f>
        <v>0</v>
      </c>
      <c r="K137" s="2">
        <f>'Financial Model'!K189</f>
        <v>0</v>
      </c>
      <c r="L137" s="2">
        <f>'Financial Model'!L189</f>
        <v>0</v>
      </c>
    </row>
    <row r="138" spans="1:12" ht="18.5" hidden="1" outlineLevel="1" x14ac:dyDescent="0.45">
      <c r="A138" s="1"/>
      <c r="B138" s="63"/>
      <c r="C138" s="64" t="s">
        <v>111</v>
      </c>
      <c r="D138" s="5"/>
      <c r="E138" s="106"/>
      <c r="F138" s="2">
        <f>-'Financial Model'!F190-'Financial Model'!F191</f>
        <v>-5000</v>
      </c>
      <c r="G138" s="2">
        <f>-'Financial Model'!G190-'Financial Model'!G191</f>
        <v>-5000</v>
      </c>
      <c r="H138" s="2">
        <f>-'Financial Model'!H190-'Financial Model'!H191</f>
        <v>-5000</v>
      </c>
      <c r="I138" s="2">
        <f>-'Financial Model'!I190-'Financial Model'!I191</f>
        <v>-30000</v>
      </c>
      <c r="J138" s="2">
        <f>-'Financial Model'!J190-'Financial Model'!J191</f>
        <v>-30000</v>
      </c>
      <c r="K138" s="2">
        <f>-'Financial Model'!K190-'Financial Model'!K191</f>
        <v>-30000</v>
      </c>
      <c r="L138" s="2">
        <f>-'Financial Model'!L190-'Financial Model'!L191</f>
        <v>-30000</v>
      </c>
    </row>
    <row r="139" spans="1:12" hidden="1" outlineLevel="1" x14ac:dyDescent="0.35">
      <c r="A139" s="1"/>
      <c r="B139" s="63"/>
      <c r="C139" s="64" t="s">
        <v>112</v>
      </c>
      <c r="E139" s="106"/>
      <c r="F139" s="2"/>
      <c r="G139" s="2"/>
      <c r="H139" s="2"/>
      <c r="I139" s="2"/>
      <c r="J139" s="2"/>
      <c r="K139" s="2"/>
      <c r="L139" s="2"/>
    </row>
    <row r="140" spans="1:12" hidden="1" outlineLevel="1" x14ac:dyDescent="0.35">
      <c r="A140" s="1"/>
      <c r="B140" s="63"/>
      <c r="C140" s="68" t="s">
        <v>113</v>
      </c>
      <c r="D140" s="61"/>
      <c r="E140" s="109"/>
      <c r="F140" s="10">
        <f>-'Financial Model'!F104</f>
        <v>-3750</v>
      </c>
      <c r="G140" s="10">
        <f>-'Financial Model'!G104</f>
        <v>-3250</v>
      </c>
      <c r="H140" s="10">
        <f>-'Financial Model'!H104</f>
        <v>-15250</v>
      </c>
      <c r="I140" s="10">
        <f>-'Financial Model'!I104</f>
        <v>-26000</v>
      </c>
      <c r="J140" s="10">
        <f>-'Financial Model'!J104</f>
        <v>-23000</v>
      </c>
      <c r="K140" s="10">
        <f>-'Financial Model'!K104</f>
        <v>-20000</v>
      </c>
      <c r="L140" s="10">
        <f>-'Financial Model'!L104</f>
        <v>-17000</v>
      </c>
    </row>
    <row r="141" spans="1:12" hidden="1" outlineLevel="1" x14ac:dyDescent="0.35">
      <c r="A141" s="1"/>
      <c r="B141" s="62"/>
      <c r="C141" s="62" t="s">
        <v>108</v>
      </c>
      <c r="D141" s="1"/>
      <c r="E141" s="108"/>
      <c r="F141" s="70">
        <f t="shared" ref="F141:L141" si="18">SUM(F136:F140)</f>
        <v>-8750</v>
      </c>
      <c r="G141" s="70">
        <f t="shared" si="18"/>
        <v>-8250</v>
      </c>
      <c r="H141" s="70">
        <f t="shared" si="18"/>
        <v>229750</v>
      </c>
      <c r="I141" s="70">
        <f t="shared" si="18"/>
        <v>-56000</v>
      </c>
      <c r="J141" s="70">
        <f t="shared" si="18"/>
        <v>-53000</v>
      </c>
      <c r="K141" s="70">
        <f t="shared" si="18"/>
        <v>-50000</v>
      </c>
      <c r="L141" s="70">
        <f t="shared" si="18"/>
        <v>-47000</v>
      </c>
    </row>
    <row r="142" spans="1:12" hidden="1" outlineLevel="1" x14ac:dyDescent="0.35">
      <c r="A142" s="1"/>
      <c r="E142" s="106"/>
      <c r="F142" s="2"/>
      <c r="G142" s="2"/>
      <c r="H142" s="2"/>
      <c r="I142" s="2"/>
      <c r="J142" s="2"/>
      <c r="K142" s="2"/>
      <c r="L142" s="2"/>
    </row>
    <row r="143" spans="1:12" hidden="1" outlineLevel="1" x14ac:dyDescent="0.35">
      <c r="A143" s="1"/>
      <c r="B143" s="62"/>
      <c r="C143" s="62" t="s">
        <v>114</v>
      </c>
      <c r="E143" s="106"/>
      <c r="F143" s="70">
        <f t="shared" ref="F143:L143" si="19">F126+F133+F141</f>
        <v>9793</v>
      </c>
      <c r="G143" s="70">
        <f t="shared" si="19"/>
        <v>-7986.9660000000003</v>
      </c>
      <c r="H143" s="70">
        <f t="shared" si="19"/>
        <v>55841.086241774581</v>
      </c>
      <c r="I143" s="70">
        <f t="shared" si="19"/>
        <v>2600.4757517186008</v>
      </c>
      <c r="J143" s="70">
        <f t="shared" si="19"/>
        <v>30701.012462876301</v>
      </c>
      <c r="K143" s="70">
        <f t="shared" si="19"/>
        <v>22816.334048952645</v>
      </c>
      <c r="L143" s="70">
        <f t="shared" si="19"/>
        <v>51681.094103019175</v>
      </c>
    </row>
    <row r="144" spans="1:12" ht="18.5" hidden="1" outlineLevel="1" x14ac:dyDescent="0.45">
      <c r="A144" s="1"/>
      <c r="E144" s="106"/>
      <c r="F144" s="29"/>
      <c r="G144" s="2"/>
      <c r="H144" s="2"/>
      <c r="I144" s="2"/>
      <c r="J144" s="2"/>
      <c r="K144" s="2"/>
      <c r="L144" s="2"/>
    </row>
    <row r="145" spans="1:12" hidden="1" outlineLevel="1" x14ac:dyDescent="0.35">
      <c r="A145" s="1"/>
      <c r="B145" s="62" t="s">
        <v>115</v>
      </c>
      <c r="C145" s="63"/>
      <c r="E145" s="106"/>
      <c r="F145" s="2"/>
      <c r="G145" s="2"/>
      <c r="H145" s="2"/>
      <c r="I145" s="2"/>
      <c r="J145" s="2"/>
      <c r="K145" s="2"/>
      <c r="L145" s="2"/>
    </row>
    <row r="146" spans="1:12" hidden="1" outlineLevel="1" x14ac:dyDescent="0.35">
      <c r="A146" s="1"/>
      <c r="B146" s="63"/>
      <c r="C146" s="64" t="s">
        <v>73</v>
      </c>
      <c r="E146" s="106"/>
      <c r="F146" s="2">
        <f>'Financial Model'!E68-'Financial Model'!E72</f>
        <v>7459</v>
      </c>
      <c r="G146" s="2">
        <f t="shared" ref="G146:L146" si="20">F148</f>
        <v>17252</v>
      </c>
      <c r="H146" s="2">
        <f t="shared" si="20"/>
        <v>9265.0339999999997</v>
      </c>
      <c r="I146" s="2">
        <f t="shared" si="20"/>
        <v>65106.120241774581</v>
      </c>
      <c r="J146" s="2">
        <f t="shared" si="20"/>
        <v>67706.595993493189</v>
      </c>
      <c r="K146" s="2">
        <f t="shared" si="20"/>
        <v>98407.608456369489</v>
      </c>
      <c r="L146" s="2">
        <f t="shared" si="20"/>
        <v>121223.94250532213</v>
      </c>
    </row>
    <row r="147" spans="1:12" hidden="1" outlineLevel="1" x14ac:dyDescent="0.35">
      <c r="A147" s="1"/>
      <c r="B147" s="63"/>
      <c r="C147" s="68" t="s">
        <v>114</v>
      </c>
      <c r="D147" s="61"/>
      <c r="E147" s="109"/>
      <c r="F147" s="10">
        <f t="shared" ref="F147:L147" si="21">F143</f>
        <v>9793</v>
      </c>
      <c r="G147" s="10">
        <f t="shared" si="21"/>
        <v>-7986.9660000000003</v>
      </c>
      <c r="H147" s="10">
        <f t="shared" si="21"/>
        <v>55841.086241774581</v>
      </c>
      <c r="I147" s="10">
        <f t="shared" si="21"/>
        <v>2600.4757517186008</v>
      </c>
      <c r="J147" s="10">
        <f t="shared" si="21"/>
        <v>30701.012462876301</v>
      </c>
      <c r="K147" s="10">
        <f t="shared" si="21"/>
        <v>22816.334048952645</v>
      </c>
      <c r="L147" s="10">
        <f t="shared" si="21"/>
        <v>51681.094103019175</v>
      </c>
    </row>
    <row r="148" spans="1:12" hidden="1" outlineLevel="1" x14ac:dyDescent="0.35">
      <c r="A148" s="1"/>
      <c r="B148" s="62"/>
      <c r="C148" s="62" t="s">
        <v>76</v>
      </c>
      <c r="E148" s="106"/>
      <c r="F148" s="70">
        <f t="shared" ref="F148:L148" si="22">SUM(F146:F147)</f>
        <v>17252</v>
      </c>
      <c r="G148" s="70">
        <f t="shared" si="22"/>
        <v>9265.0339999999997</v>
      </c>
      <c r="H148" s="70">
        <f t="shared" si="22"/>
        <v>65106.120241774581</v>
      </c>
      <c r="I148" s="70">
        <f t="shared" si="22"/>
        <v>67706.595993493189</v>
      </c>
      <c r="J148" s="70">
        <f t="shared" si="22"/>
        <v>98407.608456369489</v>
      </c>
      <c r="K148" s="70">
        <f t="shared" si="22"/>
        <v>121223.94250532213</v>
      </c>
      <c r="L148" s="70">
        <f t="shared" si="22"/>
        <v>172905.03660834132</v>
      </c>
    </row>
    <row r="149" spans="1:12" hidden="1" outlineLevel="1" x14ac:dyDescent="0.35">
      <c r="A149" s="1"/>
    </row>
    <row r="150" spans="1:12" collapsed="1" x14ac:dyDescent="0.35">
      <c r="A150" s="1"/>
    </row>
    <row r="151" spans="1:12" x14ac:dyDescent="0.35">
      <c r="A151" s="112" t="s">
        <v>170</v>
      </c>
      <c r="B151" s="111"/>
      <c r="C151" s="111"/>
      <c r="D151" s="111"/>
      <c r="E151" s="111"/>
      <c r="F151" s="111"/>
      <c r="G151" s="111"/>
      <c r="H151" s="111"/>
      <c r="I151" s="111"/>
      <c r="J151" s="111"/>
      <c r="K151" s="111"/>
      <c r="L151" s="111"/>
    </row>
    <row r="152" spans="1:12" hidden="1" outlineLevel="1" x14ac:dyDescent="0.35">
      <c r="A152" s="1"/>
    </row>
    <row r="153" spans="1:12" hidden="1" outlineLevel="1" x14ac:dyDescent="0.35">
      <c r="A153" s="1"/>
      <c r="B153" s="37"/>
      <c r="C153" s="38" t="s">
        <v>63</v>
      </c>
      <c r="D153" s="38" t="s">
        <v>64</v>
      </c>
      <c r="E153" s="37"/>
      <c r="F153" s="37"/>
      <c r="G153" s="37"/>
      <c r="H153" s="37"/>
      <c r="I153" s="37"/>
      <c r="J153" s="37"/>
      <c r="K153" s="37"/>
      <c r="L153" s="37"/>
    </row>
    <row r="154" spans="1:12" hidden="1" outlineLevel="1" x14ac:dyDescent="0.35">
      <c r="A154" s="1"/>
      <c r="B154" s="37"/>
      <c r="C154" s="38" t="s">
        <v>65</v>
      </c>
      <c r="D154" s="37" t="s">
        <v>66</v>
      </c>
      <c r="E154" s="39">
        <v>10</v>
      </c>
      <c r="F154" s="39">
        <v>10</v>
      </c>
      <c r="G154" s="39">
        <v>10</v>
      </c>
      <c r="H154" s="39">
        <v>10</v>
      </c>
      <c r="I154" s="39">
        <v>10</v>
      </c>
      <c r="J154" s="39">
        <v>10</v>
      </c>
      <c r="K154" s="39">
        <v>10</v>
      </c>
      <c r="L154" s="39">
        <v>10</v>
      </c>
    </row>
    <row r="155" spans="1:12" hidden="1" outlineLevel="1" x14ac:dyDescent="0.35">
      <c r="A155" s="1"/>
      <c r="B155" s="37"/>
      <c r="C155" s="38" t="s">
        <v>67</v>
      </c>
      <c r="D155" s="40" t="s">
        <v>68</v>
      </c>
      <c r="E155" s="39">
        <v>0</v>
      </c>
      <c r="F155" s="39">
        <v>0</v>
      </c>
      <c r="G155" s="39">
        <v>0</v>
      </c>
      <c r="H155" s="39">
        <v>0</v>
      </c>
      <c r="I155" s="39">
        <v>0</v>
      </c>
      <c r="J155" s="39">
        <v>0</v>
      </c>
      <c r="K155" s="39">
        <v>0</v>
      </c>
      <c r="L155" s="39">
        <v>0</v>
      </c>
    </row>
    <row r="156" spans="1:12" hidden="1" outlineLevel="1" x14ac:dyDescent="0.35">
      <c r="A156" s="1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</row>
    <row r="157" spans="1:12" hidden="1" outlineLevel="1" x14ac:dyDescent="0.35">
      <c r="A157" s="1"/>
      <c r="B157" s="37"/>
      <c r="C157" s="38" t="s">
        <v>69</v>
      </c>
      <c r="D157" s="40" t="s">
        <v>68</v>
      </c>
      <c r="E157" s="55">
        <f>'Financial Model'!E39</f>
        <v>100000</v>
      </c>
      <c r="F157" s="55">
        <f>'Financial Model'!F39</f>
        <v>0</v>
      </c>
      <c r="G157" s="55">
        <f>'Financial Model'!G39</f>
        <v>0</v>
      </c>
      <c r="H157" s="55">
        <f>'Financial Model'!H39</f>
        <v>200000</v>
      </c>
      <c r="I157" s="55">
        <f>'Financial Model'!I39</f>
        <v>0</v>
      </c>
      <c r="J157" s="55">
        <f>'Financial Model'!J39</f>
        <v>0</v>
      </c>
      <c r="K157" s="55">
        <f>'Financial Model'!K39</f>
        <v>0</v>
      </c>
      <c r="L157" s="55">
        <f>'Financial Model'!L39</f>
        <v>0</v>
      </c>
    </row>
    <row r="158" spans="1:12" hidden="1" outlineLevel="1" x14ac:dyDescent="0.35">
      <c r="A158" s="1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</row>
    <row r="159" spans="1:12" hidden="1" outlineLevel="1" x14ac:dyDescent="0.35">
      <c r="A159" s="1"/>
      <c r="B159" s="38" t="s">
        <v>70</v>
      </c>
      <c r="C159" s="37"/>
      <c r="D159" s="37"/>
      <c r="E159" s="37"/>
      <c r="F159" s="37"/>
      <c r="G159" s="37"/>
      <c r="H159" s="37"/>
      <c r="I159" s="37"/>
      <c r="J159" s="37"/>
      <c r="K159" s="37"/>
      <c r="L159" s="37"/>
    </row>
    <row r="160" spans="1:12" hidden="1" outlineLevel="1" x14ac:dyDescent="0.35">
      <c r="A160" s="1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</row>
    <row r="161" spans="1:12" hidden="1" outlineLevel="1" x14ac:dyDescent="0.35">
      <c r="A161" s="1"/>
      <c r="B161" s="37"/>
      <c r="C161" t="s">
        <v>25</v>
      </c>
      <c r="D161" s="37"/>
      <c r="E161" s="39">
        <f t="shared" ref="E161:L161" si="23">$E$157/$E$154</f>
        <v>10000</v>
      </c>
      <c r="F161" s="39">
        <f t="shared" si="23"/>
        <v>10000</v>
      </c>
      <c r="G161" s="39">
        <f t="shared" si="23"/>
        <v>10000</v>
      </c>
      <c r="H161" s="39">
        <f t="shared" si="23"/>
        <v>10000</v>
      </c>
      <c r="I161" s="39">
        <f t="shared" si="23"/>
        <v>10000</v>
      </c>
      <c r="J161" s="39">
        <f t="shared" si="23"/>
        <v>10000</v>
      </c>
      <c r="K161" s="39">
        <f t="shared" si="23"/>
        <v>10000</v>
      </c>
      <c r="L161" s="39">
        <f t="shared" si="23"/>
        <v>10000</v>
      </c>
    </row>
    <row r="162" spans="1:12" hidden="1" outlineLevel="1" x14ac:dyDescent="0.35">
      <c r="A162" s="1"/>
      <c r="B162" s="37"/>
      <c r="C162" t="s">
        <v>24</v>
      </c>
      <c r="D162" s="37"/>
      <c r="E162" s="39"/>
      <c r="F162" s="39"/>
      <c r="G162" s="39"/>
      <c r="H162" s="39"/>
      <c r="I162" s="39"/>
      <c r="J162" s="39"/>
      <c r="K162" s="39"/>
      <c r="L162" s="39"/>
    </row>
    <row r="163" spans="1:12" hidden="1" outlineLevel="1" x14ac:dyDescent="0.35">
      <c r="A163" s="1"/>
      <c r="B163" s="37"/>
      <c r="C163" t="s">
        <v>23</v>
      </c>
      <c r="D163" s="37"/>
      <c r="E163" s="39"/>
      <c r="F163" s="39"/>
      <c r="G163" s="39"/>
      <c r="H163" s="39"/>
      <c r="I163" s="39"/>
      <c r="J163" s="39"/>
      <c r="K163" s="39"/>
      <c r="L163" s="39"/>
    </row>
    <row r="164" spans="1:12" hidden="1" outlineLevel="1" x14ac:dyDescent="0.35">
      <c r="A164" s="1"/>
      <c r="B164" s="37"/>
      <c r="C164" t="s">
        <v>40</v>
      </c>
      <c r="D164" s="37"/>
      <c r="E164" s="39"/>
      <c r="F164" s="9"/>
      <c r="G164" s="39"/>
      <c r="H164" s="55">
        <f>$H$157/$H$154</f>
        <v>20000</v>
      </c>
      <c r="I164" s="55">
        <f>$H$157/$H$154</f>
        <v>20000</v>
      </c>
      <c r="J164" s="55">
        <f>$H$157/$H$154</f>
        <v>20000</v>
      </c>
      <c r="K164" s="55">
        <f>$H$157/$H$154</f>
        <v>20000</v>
      </c>
      <c r="L164" s="55">
        <f>$H$157/$H$154</f>
        <v>20000</v>
      </c>
    </row>
    <row r="165" spans="1:12" hidden="1" outlineLevel="1" x14ac:dyDescent="0.35">
      <c r="A165" s="1"/>
      <c r="B165" s="37"/>
      <c r="C165" t="s">
        <v>41</v>
      </c>
      <c r="D165" s="37"/>
      <c r="E165" s="39"/>
      <c r="F165" s="39"/>
      <c r="G165" s="39"/>
      <c r="H165" s="55"/>
      <c r="I165" s="55"/>
      <c r="J165" s="55"/>
      <c r="K165" s="55"/>
      <c r="L165" s="55"/>
    </row>
    <row r="166" spans="1:12" hidden="1" outlineLevel="1" x14ac:dyDescent="0.35">
      <c r="A166" s="1"/>
      <c r="B166" s="37"/>
      <c r="C166" t="s">
        <v>42</v>
      </c>
      <c r="D166" s="37"/>
      <c r="E166" s="39"/>
      <c r="F166" s="39"/>
      <c r="G166" s="39"/>
      <c r="H166" s="55"/>
      <c r="I166" s="55"/>
      <c r="J166" s="56"/>
      <c r="K166" s="56"/>
      <c r="L166" s="56"/>
    </row>
    <row r="167" spans="1:12" hidden="1" outlineLevel="1" x14ac:dyDescent="0.35">
      <c r="A167" s="1"/>
      <c r="B167" s="37"/>
      <c r="C167" t="s">
        <v>43</v>
      </c>
      <c r="D167" s="37"/>
      <c r="E167" s="39"/>
      <c r="F167" s="39"/>
      <c r="G167" s="39"/>
      <c r="H167" s="55"/>
      <c r="I167" s="55"/>
      <c r="J167" s="56"/>
      <c r="K167" s="56"/>
      <c r="L167" s="56"/>
    </row>
    <row r="168" spans="1:12" hidden="1" outlineLevel="1" x14ac:dyDescent="0.35">
      <c r="A168" s="1"/>
      <c r="B168" s="37"/>
      <c r="C168" t="s">
        <v>71</v>
      </c>
      <c r="D168" s="37"/>
      <c r="E168" s="39"/>
      <c r="F168" s="39"/>
      <c r="G168" s="39"/>
      <c r="H168" s="59"/>
      <c r="I168" s="59"/>
      <c r="J168" s="60"/>
      <c r="K168" s="60"/>
      <c r="L168" s="60"/>
    </row>
    <row r="169" spans="1:12" hidden="1" outlineLevel="1" x14ac:dyDescent="0.35">
      <c r="A169" s="1"/>
      <c r="B169" s="38"/>
      <c r="C169" s="41" t="s">
        <v>72</v>
      </c>
      <c r="D169" s="41"/>
      <c r="E169" s="42">
        <f t="shared" ref="E169:L169" si="24">SUM(E161:E168)</f>
        <v>10000</v>
      </c>
      <c r="F169" s="42">
        <f t="shared" si="24"/>
        <v>10000</v>
      </c>
      <c r="G169" s="42">
        <f t="shared" si="24"/>
        <v>10000</v>
      </c>
      <c r="H169" s="57">
        <f t="shared" si="24"/>
        <v>30000</v>
      </c>
      <c r="I169" s="57">
        <f t="shared" si="24"/>
        <v>30000</v>
      </c>
      <c r="J169" s="57">
        <f t="shared" si="24"/>
        <v>30000</v>
      </c>
      <c r="K169" s="57">
        <f t="shared" si="24"/>
        <v>30000</v>
      </c>
      <c r="L169" s="57">
        <f t="shared" si="24"/>
        <v>30000</v>
      </c>
    </row>
    <row r="170" spans="1:12" hidden="1" outlineLevel="1" x14ac:dyDescent="0.35">
      <c r="A170" s="1"/>
      <c r="B170" s="37"/>
      <c r="C170" s="37"/>
      <c r="D170" s="37"/>
      <c r="E170" s="37"/>
      <c r="F170" s="37"/>
      <c r="G170" s="37"/>
    </row>
    <row r="171" spans="1:12" hidden="1" outlineLevel="1" x14ac:dyDescent="0.35">
      <c r="A171" s="1"/>
      <c r="B171" s="38" t="s">
        <v>174</v>
      </c>
      <c r="C171" s="37"/>
      <c r="D171" s="37"/>
      <c r="E171" s="37"/>
      <c r="F171" s="37"/>
      <c r="G171" s="37"/>
    </row>
    <row r="172" spans="1:12" hidden="1" outlineLevel="1" x14ac:dyDescent="0.35">
      <c r="A172" s="1"/>
      <c r="B172" s="37"/>
      <c r="C172" s="37" t="s">
        <v>73</v>
      </c>
      <c r="D172" s="37"/>
      <c r="E172" s="43">
        <v>0</v>
      </c>
      <c r="F172" s="39">
        <f t="shared" ref="F172:L172" si="25">E175</f>
        <v>100000</v>
      </c>
      <c r="G172" s="39">
        <f t="shared" si="25"/>
        <v>100000</v>
      </c>
      <c r="H172" s="55">
        <f t="shared" si="25"/>
        <v>100000</v>
      </c>
      <c r="I172" s="55">
        <f t="shared" si="25"/>
        <v>300000</v>
      </c>
      <c r="J172" s="55">
        <f t="shared" si="25"/>
        <v>300000</v>
      </c>
      <c r="K172" s="55">
        <f t="shared" si="25"/>
        <v>300000</v>
      </c>
      <c r="L172" s="55">
        <f t="shared" si="25"/>
        <v>300000</v>
      </c>
    </row>
    <row r="173" spans="1:12" hidden="1" outlineLevel="1" x14ac:dyDescent="0.35">
      <c r="A173" s="1"/>
      <c r="B173" s="37"/>
      <c r="C173" s="37" t="s">
        <v>74</v>
      </c>
      <c r="D173" s="37"/>
      <c r="E173" s="39">
        <f t="shared" ref="E173:L173" si="26">E157</f>
        <v>100000</v>
      </c>
      <c r="F173" s="39">
        <f t="shared" si="26"/>
        <v>0</v>
      </c>
      <c r="G173" s="39">
        <f t="shared" si="26"/>
        <v>0</v>
      </c>
      <c r="H173" s="55">
        <f t="shared" si="26"/>
        <v>200000</v>
      </c>
      <c r="I173" s="55">
        <f t="shared" si="26"/>
        <v>0</v>
      </c>
      <c r="J173" s="55">
        <f t="shared" si="26"/>
        <v>0</v>
      </c>
      <c r="K173" s="55">
        <f t="shared" si="26"/>
        <v>0</v>
      </c>
      <c r="L173" s="55">
        <f t="shared" si="26"/>
        <v>0</v>
      </c>
    </row>
    <row r="174" spans="1:12" hidden="1" outlineLevel="1" x14ac:dyDescent="0.35">
      <c r="A174" s="1"/>
      <c r="B174" s="37"/>
      <c r="C174" s="44" t="s">
        <v>75</v>
      </c>
      <c r="D174" s="44"/>
      <c r="E174" s="45">
        <v>0</v>
      </c>
      <c r="F174" s="45">
        <v>0</v>
      </c>
      <c r="G174" s="45">
        <v>0</v>
      </c>
      <c r="H174" s="59">
        <v>0</v>
      </c>
      <c r="I174" s="59">
        <v>0</v>
      </c>
      <c r="J174" s="59">
        <v>0</v>
      </c>
      <c r="K174" s="59">
        <v>0</v>
      </c>
      <c r="L174" s="59">
        <v>0</v>
      </c>
    </row>
    <row r="175" spans="1:12" hidden="1" outlineLevel="1" x14ac:dyDescent="0.35">
      <c r="A175" s="1"/>
      <c r="B175" s="37"/>
      <c r="C175" s="38" t="s">
        <v>76</v>
      </c>
      <c r="D175" s="38"/>
      <c r="E175" s="46">
        <f t="shared" ref="E175:L175" si="27">E172+E173-E174</f>
        <v>100000</v>
      </c>
      <c r="F175" s="46">
        <f t="shared" si="27"/>
        <v>100000</v>
      </c>
      <c r="G175" s="46">
        <f t="shared" si="27"/>
        <v>100000</v>
      </c>
      <c r="H175" s="58">
        <f t="shared" si="27"/>
        <v>300000</v>
      </c>
      <c r="I175" s="58">
        <f t="shared" si="27"/>
        <v>300000</v>
      </c>
      <c r="J175" s="58">
        <f t="shared" si="27"/>
        <v>300000</v>
      </c>
      <c r="K175" s="58">
        <f t="shared" si="27"/>
        <v>300000</v>
      </c>
      <c r="L175" s="58">
        <f t="shared" si="27"/>
        <v>300000</v>
      </c>
    </row>
    <row r="176" spans="1:12" hidden="1" outlineLevel="1" x14ac:dyDescent="0.35">
      <c r="A176" s="1"/>
      <c r="B176" s="37"/>
      <c r="C176" s="37"/>
      <c r="D176" s="37"/>
      <c r="E176" s="37"/>
      <c r="F176" s="37"/>
      <c r="G176" s="37"/>
    </row>
    <row r="177" spans="1:12" hidden="1" outlineLevel="1" x14ac:dyDescent="0.35">
      <c r="A177" s="1"/>
      <c r="B177" s="38" t="s">
        <v>77</v>
      </c>
      <c r="C177" s="37"/>
      <c r="D177" s="37"/>
      <c r="E177" s="37"/>
      <c r="F177" s="37"/>
      <c r="G177" s="37"/>
    </row>
    <row r="178" spans="1:12" hidden="1" outlineLevel="1" x14ac:dyDescent="0.35">
      <c r="A178" s="1"/>
      <c r="B178" s="37"/>
      <c r="C178" s="37" t="s">
        <v>73</v>
      </c>
      <c r="D178" s="37"/>
      <c r="E178" s="43">
        <v>0</v>
      </c>
      <c r="F178" s="39">
        <f t="shared" ref="F178:L178" si="28">E180</f>
        <v>10000</v>
      </c>
      <c r="G178" s="39">
        <f t="shared" si="28"/>
        <v>20000</v>
      </c>
      <c r="H178" s="55">
        <f t="shared" si="28"/>
        <v>30000</v>
      </c>
      <c r="I178" s="55">
        <f t="shared" si="28"/>
        <v>60000</v>
      </c>
      <c r="J178" s="55">
        <f t="shared" si="28"/>
        <v>90000</v>
      </c>
      <c r="K178" s="55">
        <f t="shared" si="28"/>
        <v>120000</v>
      </c>
      <c r="L178" s="55">
        <f t="shared" si="28"/>
        <v>150000</v>
      </c>
    </row>
    <row r="179" spans="1:12" hidden="1" outlineLevel="1" x14ac:dyDescent="0.35">
      <c r="A179" s="1"/>
      <c r="B179" s="37"/>
      <c r="C179" s="44" t="s">
        <v>78</v>
      </c>
      <c r="D179" s="44"/>
      <c r="E179" s="45">
        <f t="shared" ref="E179:L179" si="29">E169</f>
        <v>10000</v>
      </c>
      <c r="F179" s="45">
        <f t="shared" si="29"/>
        <v>10000</v>
      </c>
      <c r="G179" s="45">
        <f t="shared" si="29"/>
        <v>10000</v>
      </c>
      <c r="H179" s="59">
        <f t="shared" si="29"/>
        <v>30000</v>
      </c>
      <c r="I179" s="59">
        <f t="shared" si="29"/>
        <v>30000</v>
      </c>
      <c r="J179" s="59">
        <f t="shared" si="29"/>
        <v>30000</v>
      </c>
      <c r="K179" s="59">
        <f t="shared" si="29"/>
        <v>30000</v>
      </c>
      <c r="L179" s="59">
        <f t="shared" si="29"/>
        <v>30000</v>
      </c>
    </row>
    <row r="180" spans="1:12" hidden="1" outlineLevel="1" x14ac:dyDescent="0.35">
      <c r="A180" s="1"/>
      <c r="B180" s="37"/>
      <c r="C180" s="38" t="s">
        <v>76</v>
      </c>
      <c r="D180" s="38"/>
      <c r="E180" s="46">
        <f t="shared" ref="E180:L180" si="30">SUM(E178:E179)</f>
        <v>10000</v>
      </c>
      <c r="F180" s="46">
        <f t="shared" si="30"/>
        <v>20000</v>
      </c>
      <c r="G180" s="46">
        <f t="shared" si="30"/>
        <v>30000</v>
      </c>
      <c r="H180" s="58">
        <f t="shared" si="30"/>
        <v>60000</v>
      </c>
      <c r="I180" s="58">
        <f t="shared" si="30"/>
        <v>90000</v>
      </c>
      <c r="J180" s="58">
        <f t="shared" si="30"/>
        <v>120000</v>
      </c>
      <c r="K180" s="58">
        <f t="shared" si="30"/>
        <v>150000</v>
      </c>
      <c r="L180" s="58">
        <f t="shared" si="30"/>
        <v>180000</v>
      </c>
    </row>
    <row r="181" spans="1:12" hidden="1" outlineLevel="1" x14ac:dyDescent="0.35">
      <c r="A181" s="1"/>
      <c r="B181" s="37"/>
      <c r="C181" s="37"/>
      <c r="D181" s="37"/>
      <c r="E181" s="37"/>
      <c r="F181" s="37"/>
      <c r="G181" s="37"/>
    </row>
    <row r="182" spans="1:12" hidden="1" outlineLevel="1" x14ac:dyDescent="0.35">
      <c r="A182" s="1"/>
      <c r="B182" s="47" t="s">
        <v>79</v>
      </c>
      <c r="C182" s="37"/>
      <c r="D182" s="37"/>
      <c r="E182" s="48">
        <f t="shared" ref="E182:L182" si="31">E175-E180</f>
        <v>90000</v>
      </c>
      <c r="F182" s="48">
        <f t="shared" si="31"/>
        <v>80000</v>
      </c>
      <c r="G182" s="48">
        <f t="shared" si="31"/>
        <v>70000</v>
      </c>
      <c r="H182" s="9">
        <f t="shared" si="31"/>
        <v>240000</v>
      </c>
      <c r="I182" s="9">
        <f t="shared" si="31"/>
        <v>210000</v>
      </c>
      <c r="J182" s="9">
        <f t="shared" si="31"/>
        <v>180000</v>
      </c>
      <c r="K182" s="9">
        <f t="shared" si="31"/>
        <v>150000</v>
      </c>
      <c r="L182" s="9">
        <f t="shared" si="31"/>
        <v>120000</v>
      </c>
    </row>
    <row r="183" spans="1:12" hidden="1" outlineLevel="1" x14ac:dyDescent="0.35">
      <c r="A183" s="1"/>
    </row>
    <row r="184" spans="1:12" collapsed="1" x14ac:dyDescent="0.35">
      <c r="A184" s="1"/>
    </row>
    <row r="185" spans="1:12" x14ac:dyDescent="0.35">
      <c r="A185" s="112" t="s">
        <v>171</v>
      </c>
      <c r="B185" s="111"/>
      <c r="C185" s="111"/>
      <c r="D185" s="111"/>
      <c r="E185" s="111"/>
      <c r="F185" s="111"/>
      <c r="G185" s="111"/>
      <c r="H185" s="111"/>
      <c r="I185" s="111"/>
      <c r="J185" s="111"/>
      <c r="K185" s="111"/>
      <c r="L185" s="111"/>
    </row>
    <row r="186" spans="1:12" hidden="1" outlineLevel="1" x14ac:dyDescent="0.35">
      <c r="A186" s="1"/>
    </row>
    <row r="187" spans="1:12" hidden="1" outlineLevel="1" x14ac:dyDescent="0.35">
      <c r="A187" s="1"/>
      <c r="B187" t="s">
        <v>81</v>
      </c>
      <c r="H187" s="2"/>
      <c r="I187" s="2"/>
      <c r="J187" s="2"/>
      <c r="K187" s="2"/>
      <c r="L187" s="2"/>
    </row>
    <row r="188" spans="1:12" hidden="1" outlineLevel="1" x14ac:dyDescent="0.35">
      <c r="A188" s="1"/>
      <c r="B188" t="s">
        <v>82</v>
      </c>
      <c r="E188" s="2">
        <v>0</v>
      </c>
      <c r="F188" s="2">
        <f t="shared" ref="F188:L188" si="32">E192</f>
        <v>40000</v>
      </c>
      <c r="G188" s="2">
        <f t="shared" si="32"/>
        <v>35000</v>
      </c>
      <c r="H188" s="2">
        <f t="shared" si="32"/>
        <v>30000</v>
      </c>
      <c r="I188" s="2">
        <f t="shared" si="32"/>
        <v>275000</v>
      </c>
      <c r="J188" s="2">
        <f t="shared" si="32"/>
        <v>245000</v>
      </c>
      <c r="K188" s="2">
        <f t="shared" si="32"/>
        <v>215000</v>
      </c>
      <c r="L188" s="2">
        <f t="shared" si="32"/>
        <v>185000</v>
      </c>
    </row>
    <row r="189" spans="1:12" hidden="1" outlineLevel="1" x14ac:dyDescent="0.35">
      <c r="A189" s="1"/>
      <c r="B189" t="s">
        <v>83</v>
      </c>
      <c r="E189" s="2">
        <f>'Financial Model'!E42</f>
        <v>40000</v>
      </c>
      <c r="F189" s="2">
        <f>'Financial Model'!F42</f>
        <v>0</v>
      </c>
      <c r="G189" s="2">
        <f>'Financial Model'!G42</f>
        <v>0</v>
      </c>
      <c r="H189" s="2">
        <f>'Financial Model'!H42</f>
        <v>250000</v>
      </c>
      <c r="I189" s="2">
        <f>'Financial Model'!I42</f>
        <v>0</v>
      </c>
      <c r="J189" s="2">
        <f>'Financial Model'!J42</f>
        <v>0</v>
      </c>
      <c r="K189" s="2">
        <f>'Financial Model'!K42</f>
        <v>0</v>
      </c>
      <c r="L189" s="2">
        <f>'Financial Model'!L42</f>
        <v>0</v>
      </c>
    </row>
    <row r="190" spans="1:12" hidden="1" outlineLevel="1" x14ac:dyDescent="0.35">
      <c r="A190" s="1"/>
      <c r="B190" t="s">
        <v>84</v>
      </c>
      <c r="D190" s="54">
        <f>'Financial Model'!E44</f>
        <v>8</v>
      </c>
      <c r="E190" s="2"/>
      <c r="F190" s="2">
        <f t="shared" ref="F190:L190" si="33">$E$189/$D$190</f>
        <v>5000</v>
      </c>
      <c r="G190" s="2">
        <f t="shared" si="33"/>
        <v>5000</v>
      </c>
      <c r="H190" s="2">
        <f t="shared" si="33"/>
        <v>5000</v>
      </c>
      <c r="I190" s="2">
        <f t="shared" si="33"/>
        <v>5000</v>
      </c>
      <c r="J190" s="2">
        <f t="shared" si="33"/>
        <v>5000</v>
      </c>
      <c r="K190" s="2">
        <f t="shared" si="33"/>
        <v>5000</v>
      </c>
      <c r="L190" s="2">
        <f t="shared" si="33"/>
        <v>5000</v>
      </c>
    </row>
    <row r="191" spans="1:12" hidden="1" outlineLevel="1" x14ac:dyDescent="0.35">
      <c r="A191" s="1"/>
      <c r="B191" t="s">
        <v>85</v>
      </c>
      <c r="D191" s="54">
        <f>'Financial Model'!H44</f>
        <v>10</v>
      </c>
      <c r="E191" s="10"/>
      <c r="F191" s="10"/>
      <c r="G191" s="10"/>
      <c r="H191" s="2"/>
      <c r="I191" s="2">
        <f>$H$189/$D$191</f>
        <v>25000</v>
      </c>
      <c r="J191" s="2">
        <f>$H$189/$D$191</f>
        <v>25000</v>
      </c>
      <c r="K191" s="2">
        <f>$H$189/$D$191</f>
        <v>25000</v>
      </c>
      <c r="L191" s="2">
        <f>$H$189/$D$191</f>
        <v>25000</v>
      </c>
    </row>
    <row r="192" spans="1:12" ht="15" hidden="1" outlineLevel="1" thickBot="1" x14ac:dyDescent="0.4">
      <c r="A192" s="1"/>
      <c r="B192" t="s">
        <v>86</v>
      </c>
      <c r="D192">
        <v>0</v>
      </c>
      <c r="E192" s="35">
        <f>E188+E189-E191-E190</f>
        <v>40000</v>
      </c>
      <c r="F192" s="35">
        <f>F188+F189-F191-F190</f>
        <v>35000</v>
      </c>
      <c r="G192" s="35">
        <f>G188+G189-G191-G190</f>
        <v>30000</v>
      </c>
      <c r="H192" s="35">
        <f>H188+H189-H190-H191</f>
        <v>275000</v>
      </c>
      <c r="I192" s="35">
        <f>I188+I189-I190-I191</f>
        <v>245000</v>
      </c>
      <c r="J192" s="35">
        <f>J188+J189-J190-J191</f>
        <v>215000</v>
      </c>
      <c r="K192" s="35">
        <f>K188+K189-K190-K191</f>
        <v>185000</v>
      </c>
      <c r="L192" s="35">
        <f>L188+L189-L190-L191</f>
        <v>155000</v>
      </c>
    </row>
    <row r="193" spans="1:12" ht="18.5" hidden="1" outlineLevel="1" x14ac:dyDescent="0.45">
      <c r="A193" s="1"/>
      <c r="E193" s="29"/>
      <c r="F193" s="2"/>
      <c r="G193" s="2"/>
      <c r="H193" s="2"/>
      <c r="I193" s="2"/>
      <c r="J193" s="2"/>
      <c r="K193" s="2"/>
      <c r="L193" s="2"/>
    </row>
    <row r="194" spans="1:12" hidden="1" outlineLevel="1" x14ac:dyDescent="0.35">
      <c r="A194" s="1"/>
      <c r="B194" t="s">
        <v>88</v>
      </c>
      <c r="E194" s="52">
        <f>'Financial Model'!E43</f>
        <v>0.1</v>
      </c>
      <c r="F194" s="52">
        <f>'Financial Model'!F43</f>
        <v>0.1</v>
      </c>
      <c r="G194" s="52">
        <f>'Financial Model'!G43</f>
        <v>0.1</v>
      </c>
      <c r="H194" s="52">
        <f>'Financial Model'!H43</f>
        <v>0.1</v>
      </c>
      <c r="I194" s="52">
        <f>'Financial Model'!I43</f>
        <v>0.1</v>
      </c>
      <c r="J194" s="52">
        <f>'Financial Model'!J43</f>
        <v>0.1</v>
      </c>
      <c r="K194" s="52">
        <f>'Financial Model'!K43</f>
        <v>0.1</v>
      </c>
      <c r="L194" s="52">
        <f>'Financial Model'!L43</f>
        <v>0.1</v>
      </c>
    </row>
    <row r="195" spans="1:12" hidden="1" outlineLevel="1" x14ac:dyDescent="0.35">
      <c r="A195" s="1"/>
      <c r="B195" t="s">
        <v>51</v>
      </c>
      <c r="D195" s="30"/>
      <c r="E195" s="2">
        <f>AVERAGE(D192:E192)*$E194</f>
        <v>2000</v>
      </c>
      <c r="F195" s="2">
        <f>AVERAGE(E192:F192)*$E194</f>
        <v>3750</v>
      </c>
      <c r="G195" s="2">
        <f>AVERAGE(F192:G192)*$E194</f>
        <v>3250</v>
      </c>
      <c r="H195" s="2">
        <f>AVERAGE(G192:H192)*H194</f>
        <v>15250</v>
      </c>
      <c r="I195" s="2">
        <f>AVERAGE(H192:I192)*I194</f>
        <v>26000</v>
      </c>
      <c r="J195" s="2">
        <f>AVERAGE(I192:J192)*J194</f>
        <v>23000</v>
      </c>
      <c r="K195" s="2">
        <f>AVERAGE(J192:K192)*K194</f>
        <v>20000</v>
      </c>
      <c r="L195" s="2">
        <f>AVERAGE(K192:L192)*L194</f>
        <v>17000</v>
      </c>
    </row>
    <row r="196" spans="1:12" hidden="1" outlineLevel="1" x14ac:dyDescent="0.35">
      <c r="A196" s="1"/>
    </row>
    <row r="197" spans="1:12" collapsed="1" x14ac:dyDescent="0.35">
      <c r="A197" s="1"/>
    </row>
    <row r="198" spans="1:12" x14ac:dyDescent="0.35">
      <c r="A198" s="112" t="s">
        <v>173</v>
      </c>
      <c r="B198" s="111"/>
      <c r="C198" s="111"/>
      <c r="D198" s="111"/>
      <c r="E198" s="111"/>
      <c r="F198" s="111"/>
      <c r="G198" s="111"/>
      <c r="H198" s="111"/>
      <c r="I198" s="111"/>
      <c r="J198" s="111"/>
      <c r="K198" s="111"/>
      <c r="L198" s="111"/>
    </row>
    <row r="199" spans="1:12" hidden="1" outlineLevel="1" x14ac:dyDescent="0.35">
      <c r="A199" s="1"/>
    </row>
    <row r="200" spans="1:12" hidden="1" outlineLevel="1" x14ac:dyDescent="0.35">
      <c r="A200" s="1"/>
      <c r="B200" t="s">
        <v>10</v>
      </c>
      <c r="H200" s="2"/>
      <c r="I200" s="2"/>
      <c r="J200" s="2"/>
      <c r="K200" s="2"/>
      <c r="L200" s="2"/>
    </row>
    <row r="201" spans="1:12" hidden="1" outlineLevel="1" x14ac:dyDescent="0.35">
      <c r="A201" s="1"/>
      <c r="B201" t="s">
        <v>82</v>
      </c>
      <c r="E201" s="2">
        <f>'Financial Model'!E46</f>
        <v>70000</v>
      </c>
      <c r="F201" s="2">
        <f>'Financial Model'!F46</f>
        <v>70000</v>
      </c>
      <c r="G201" s="2">
        <f>'Financial Model'!G46</f>
        <v>70000</v>
      </c>
      <c r="H201" s="2">
        <f>G203</f>
        <v>70000</v>
      </c>
      <c r="I201" s="2">
        <f>H203</f>
        <v>70000</v>
      </c>
      <c r="J201" s="2">
        <f>I203</f>
        <v>70000</v>
      </c>
      <c r="K201" s="2">
        <f>J203</f>
        <v>70000</v>
      </c>
      <c r="L201" s="2">
        <f>K203</f>
        <v>70000</v>
      </c>
    </row>
    <row r="202" spans="1:12" hidden="1" outlineLevel="1" x14ac:dyDescent="0.35">
      <c r="A202" s="1"/>
      <c r="B202" t="s">
        <v>83</v>
      </c>
      <c r="E202" s="2">
        <f>'Financial Model'!E47</f>
        <v>0</v>
      </c>
      <c r="F202" s="2">
        <f>'Financial Model'!F47</f>
        <v>0</v>
      </c>
      <c r="G202" s="2">
        <f>'Financial Model'!G47</f>
        <v>0</v>
      </c>
      <c r="H202" s="2">
        <f>'Financial Model'!H47</f>
        <v>0</v>
      </c>
      <c r="I202" s="2">
        <f>'Financial Model'!I47</f>
        <v>0</v>
      </c>
      <c r="J202" s="2">
        <f>'Financial Model'!J47</f>
        <v>0</v>
      </c>
      <c r="K202" s="2">
        <f>'Financial Model'!K47</f>
        <v>0</v>
      </c>
      <c r="L202" s="2">
        <f>'Financial Model'!L47</f>
        <v>0</v>
      </c>
    </row>
    <row r="203" spans="1:12" ht="15" hidden="1" outlineLevel="1" thickBot="1" x14ac:dyDescent="0.4">
      <c r="A203" s="1"/>
      <c r="B203" t="s">
        <v>86</v>
      </c>
      <c r="E203" s="35">
        <f t="shared" ref="E203:L203" si="34">SUM(E201:E202)</f>
        <v>70000</v>
      </c>
      <c r="F203" s="35">
        <f t="shared" si="34"/>
        <v>70000</v>
      </c>
      <c r="G203" s="35">
        <f t="shared" si="34"/>
        <v>70000</v>
      </c>
      <c r="H203" s="35">
        <f t="shared" si="34"/>
        <v>70000</v>
      </c>
      <c r="I203" s="35">
        <f t="shared" si="34"/>
        <v>70000</v>
      </c>
      <c r="J203" s="35">
        <f t="shared" si="34"/>
        <v>70000</v>
      </c>
      <c r="K203" s="35">
        <f t="shared" si="34"/>
        <v>70000</v>
      </c>
      <c r="L203" s="35">
        <f t="shared" si="34"/>
        <v>70000</v>
      </c>
    </row>
    <row r="204" spans="1:12" ht="18.5" hidden="1" outlineLevel="1" x14ac:dyDescent="0.45">
      <c r="A204" s="1"/>
      <c r="E204" s="29"/>
      <c r="F204" s="2"/>
      <c r="G204" s="2"/>
      <c r="H204" s="2"/>
      <c r="I204" s="2"/>
      <c r="J204" s="2"/>
      <c r="K204" s="2"/>
      <c r="L204" s="2"/>
    </row>
    <row r="205" spans="1:12" hidden="1" outlineLevel="1" x14ac:dyDescent="0.35">
      <c r="A205" s="1"/>
    </row>
    <row r="206" spans="1:12" hidden="1" outlineLevel="1" x14ac:dyDescent="0.35">
      <c r="A206" s="1"/>
      <c r="B206" t="s">
        <v>12</v>
      </c>
    </row>
    <row r="207" spans="1:12" hidden="1" outlineLevel="1" x14ac:dyDescent="0.35">
      <c r="A207" s="1"/>
      <c r="B207" t="s">
        <v>82</v>
      </c>
      <c r="E207" s="2">
        <v>0</v>
      </c>
      <c r="F207" s="2">
        <f t="shared" ref="F207:L207" si="35">E209</f>
        <v>18535</v>
      </c>
      <c r="G207" s="2">
        <f t="shared" si="35"/>
        <v>32322</v>
      </c>
      <c r="H207" s="2">
        <f t="shared" si="35"/>
        <v>34172.034</v>
      </c>
      <c r="I207" s="2">
        <f t="shared" si="35"/>
        <v>47480.850610796893</v>
      </c>
      <c r="J207" s="2">
        <f t="shared" si="35"/>
        <v>60798.643648090074</v>
      </c>
      <c r="K207" s="2">
        <f t="shared" si="35"/>
        <v>84110.922751140097</v>
      </c>
      <c r="L207" s="2">
        <f t="shared" si="35"/>
        <v>117794.61822979333</v>
      </c>
    </row>
    <row r="208" spans="1:12" hidden="1" outlineLevel="1" x14ac:dyDescent="0.35">
      <c r="A208" s="1"/>
      <c r="B208" t="s">
        <v>93</v>
      </c>
      <c r="E208" s="10">
        <f>'Financial Model'!E110</f>
        <v>18535</v>
      </c>
      <c r="F208" s="10">
        <f>'Financial Model'!F110</f>
        <v>13787</v>
      </c>
      <c r="G208" s="10">
        <f>'Financial Model'!G110</f>
        <v>1850.0339999999997</v>
      </c>
      <c r="H208" s="2">
        <f>'Financial Model'!H110</f>
        <v>13308.816610796894</v>
      </c>
      <c r="I208" s="2">
        <f>'Financial Model'!I110</f>
        <v>13317.793037293177</v>
      </c>
      <c r="J208" s="2">
        <f>'Financial Model'!J110</f>
        <v>23312.279103050027</v>
      </c>
      <c r="K208" s="2">
        <f>'Financial Model'!K110</f>
        <v>33683.69547865323</v>
      </c>
      <c r="L208" s="2">
        <f>'Financial Model'!L110</f>
        <v>44449.207965568079</v>
      </c>
    </row>
    <row r="209" spans="1:12" ht="15" hidden="1" outlineLevel="1" thickBot="1" x14ac:dyDescent="0.4">
      <c r="A209" s="1"/>
      <c r="B209" t="s">
        <v>86</v>
      </c>
      <c r="E209" s="35">
        <f t="shared" ref="E209:L209" si="36">SUM(E207:E208)</f>
        <v>18535</v>
      </c>
      <c r="F209" s="35">
        <f t="shared" si="36"/>
        <v>32322</v>
      </c>
      <c r="G209" s="35">
        <f t="shared" si="36"/>
        <v>34172.034</v>
      </c>
      <c r="H209" s="35">
        <f t="shared" si="36"/>
        <v>47480.850610796893</v>
      </c>
      <c r="I209" s="35">
        <f t="shared" si="36"/>
        <v>60798.643648090074</v>
      </c>
      <c r="J209" s="35">
        <f t="shared" si="36"/>
        <v>84110.922751140097</v>
      </c>
      <c r="K209" s="35">
        <f t="shared" si="36"/>
        <v>117794.61822979333</v>
      </c>
      <c r="L209" s="35">
        <f t="shared" si="36"/>
        <v>162243.82619536141</v>
      </c>
    </row>
    <row r="210" spans="1:12" hidden="1" outlineLevel="1" x14ac:dyDescent="0.35">
      <c r="A210" s="1"/>
    </row>
    <row r="211" spans="1:12" collapsed="1" x14ac:dyDescent="0.35">
      <c r="A211" s="1"/>
    </row>
    <row r="212" spans="1:12" x14ac:dyDescent="0.35">
      <c r="A212" s="112" t="s">
        <v>172</v>
      </c>
      <c r="B212" s="111"/>
      <c r="C212" s="111"/>
      <c r="D212" s="111"/>
      <c r="E212" s="111"/>
      <c r="F212" s="111"/>
      <c r="G212" s="111"/>
      <c r="H212" s="111"/>
      <c r="I212" s="111"/>
      <c r="J212" s="111"/>
      <c r="K212" s="111"/>
      <c r="L212" s="111"/>
    </row>
    <row r="214" spans="1:12" outlineLevel="1" x14ac:dyDescent="0.35">
      <c r="B214" s="38" t="s">
        <v>133</v>
      </c>
      <c r="C214" s="37"/>
      <c r="D214" s="37"/>
    </row>
    <row r="215" spans="1:12" outlineLevel="1" x14ac:dyDescent="0.35">
      <c r="B215" s="37"/>
      <c r="C215" s="37" t="s">
        <v>132</v>
      </c>
      <c r="D215" s="37"/>
      <c r="E215" s="52">
        <f>('Financial Model'!E107+'Financial Model'!E104)/'Financial Model'!E95</f>
        <v>0.10379970093171274</v>
      </c>
      <c r="F215" s="52">
        <f>('Financial Model'!F107+'Financial Model'!F104)/'Financial Model'!F95</f>
        <v>7.2773755606245938E-2</v>
      </c>
      <c r="G215" s="52">
        <f>('Financial Model'!G107+'Financial Model'!G104)/'Financial Model'!G95</f>
        <v>4.4978078356305275E-2</v>
      </c>
      <c r="H215" s="52">
        <f>('Financial Model'!H107+'Financial Model'!H104)/'Financial Model'!H95</f>
        <v>0.11499911886601678</v>
      </c>
      <c r="I215" s="52">
        <f>('Financial Model'!I107+'Financial Model'!I104)/'Financial Model'!I95</f>
        <v>0.14456556230796849</v>
      </c>
      <c r="J215" s="52">
        <f>('Financial Model'!J107+'Financial Model'!J104)/'Financial Model'!J95</f>
        <v>0.1729312307843843</v>
      </c>
      <c r="K215" s="52">
        <f>('Financial Model'!K107+'Financial Model'!K104)/'Financial Model'!K95</f>
        <v>0.20014494280965728</v>
      </c>
      <c r="L215" s="52">
        <f>('Financial Model'!L107+'Financial Model'!L104)/'Financial Model'!L95</f>
        <v>0.22625352993065803</v>
      </c>
    </row>
    <row r="216" spans="1:12" outlineLevel="1" x14ac:dyDescent="0.35">
      <c r="B216" s="37"/>
      <c r="C216" s="37" t="s">
        <v>131</v>
      </c>
      <c r="D216" s="37"/>
      <c r="E216" s="52">
        <f>'Financial Model'!E107/'Financial Model'!E95</f>
        <v>9.613128330968905E-2</v>
      </c>
      <c r="F216" s="52">
        <f>'Financial Model'!F107/'Financial Model'!F95</f>
        <v>5.8999195565693635E-2</v>
      </c>
      <c r="G216" s="52">
        <f>'Financial Model'!G107/'Financial Model'!G95</f>
        <v>3.1713259512915849E-2</v>
      </c>
      <c r="H216" s="52">
        <f>'Financial Model'!H107/'Financial Model'!H95</f>
        <v>6.381395456059559E-2</v>
      </c>
      <c r="I216" s="52">
        <f>'Financial Model'!I107/'Financial Model'!I95</f>
        <v>6.1085947130224076E-2</v>
      </c>
      <c r="J216" s="52">
        <f>'Financial Model'!J107/'Financial Model'!J95</f>
        <v>0.10228845449761217</v>
      </c>
      <c r="K216" s="52">
        <f>'Financial Model'!K107/'Financial Model'!K95</f>
        <v>0.14138210634725268</v>
      </c>
      <c r="L216" s="52">
        <f>'Financial Model'!L107/'Financial Model'!L95</f>
        <v>0.17847260978320859</v>
      </c>
    </row>
    <row r="217" spans="1:12" outlineLevel="1" x14ac:dyDescent="0.35">
      <c r="B217" s="44"/>
      <c r="C217" s="44" t="s">
        <v>130</v>
      </c>
      <c r="D217" s="44"/>
      <c r="E217" s="97">
        <f>'Financial Model'!E110/'Financial Model'!E95</f>
        <v>7.1067060312104594E-2</v>
      </c>
      <c r="F217" s="97">
        <f>'Financial Model'!F110/'Financial Model'!F95</f>
        <v>5.0642629141091904E-2</v>
      </c>
      <c r="G217" s="97">
        <f>'Financial Model'!G110/'Financial Model'!G95</f>
        <v>7.5508818043418802E-3</v>
      </c>
      <c r="H217" s="97">
        <f>'Financial Model'!H110/'Financial Model'!H95</f>
        <v>4.4669768192416907E-2</v>
      </c>
      <c r="I217" s="97">
        <f>'Financial Model'!I110/'Financial Model'!I95</f>
        <v>4.2760162991156855E-2</v>
      </c>
      <c r="J217" s="97">
        <f>'Financial Model'!J110/'Financial Model'!J95</f>
        <v>7.1601918148328517E-2</v>
      </c>
      <c r="K217" s="97">
        <f>'Financial Model'!K110/'Financial Model'!K95</f>
        <v>9.8967474443076867E-2</v>
      </c>
      <c r="L217" s="97">
        <f>'Financial Model'!L110/'Financial Model'!L95</f>
        <v>0.12493082684824601</v>
      </c>
    </row>
    <row r="218" spans="1:12" outlineLevel="1" x14ac:dyDescent="0.35">
      <c r="B218" s="37"/>
      <c r="C218" s="37"/>
      <c r="D218" s="37"/>
    </row>
    <row r="219" spans="1:12" ht="18.5" outlineLevel="1" x14ac:dyDescent="0.45">
      <c r="B219" s="38" t="s">
        <v>129</v>
      </c>
      <c r="C219" s="37"/>
      <c r="D219" s="69"/>
    </row>
    <row r="220" spans="1:12" outlineLevel="1" x14ac:dyDescent="0.35">
      <c r="B220" s="37"/>
      <c r="C220" s="37" t="s">
        <v>28</v>
      </c>
      <c r="D220" s="37"/>
      <c r="F220" s="52">
        <f>'Financial Model'!F95/'Financial Model'!E95-1</f>
        <v>4.3828840918676448E-2</v>
      </c>
      <c r="G220" s="52">
        <f>'Financial Model'!G95/'Financial Model'!F95-1</f>
        <v>-0.10002901840648548</v>
      </c>
      <c r="H220" s="52">
        <f>'Financial Model'!H95/'Financial Model'!G95-1</f>
        <v>0.21602836174371531</v>
      </c>
      <c r="I220" s="52">
        <f>'Financial Model'!I95/'Financial Model'!H95-1</f>
        <v>4.5363103910634361E-2</v>
      </c>
      <c r="J220" s="52">
        <f>'Financial Model'!J95/'Financial Model'!I95-1</f>
        <v>4.5363103910634361E-2</v>
      </c>
      <c r="K220" s="52">
        <f>'Financial Model'!K95/'Financial Model'!J95-1</f>
        <v>4.5363103910634361E-2</v>
      </c>
      <c r="L220" s="52">
        <f>'Financial Model'!L95/'Financial Model'!K95-1</f>
        <v>4.5363103910634361E-2</v>
      </c>
    </row>
    <row r="221" spans="1:12" outlineLevel="1" x14ac:dyDescent="0.35">
      <c r="B221" s="37"/>
      <c r="C221" s="37" t="s">
        <v>116</v>
      </c>
      <c r="D221" s="37"/>
      <c r="F221" s="52">
        <f>('Financial Model'!F107+'Financial Model'!F104)/('Financial Model'!E107+'Financial Model'!E104)-1</f>
        <v>-0.26817375886524819</v>
      </c>
      <c r="G221" s="52">
        <f>('Financial Model'!G107+'Financial Model'!G104)/('Financial Model'!F107+'Financial Model'!F104)-1</f>
        <v>-0.44376973551383003</v>
      </c>
      <c r="H221" s="52">
        <f>('Financial Model'!H107+'Financial Model'!H104)/('Financial Model'!G107+'Financial Model'!G104)-1</f>
        <v>2.1091188247042867</v>
      </c>
      <c r="I221" s="52">
        <f>('Financial Model'!I107+'Financial Model'!I104)/('Financial Model'!H107+'Financial Model'!H104)-1</f>
        <v>0.31412750308909043</v>
      </c>
      <c r="J221" s="52">
        <f>('Financial Model'!J107+'Financial Model'!J104)/('Financial Model'!I107+'Financial Model'!I104)-1</f>
        <v>0.250477121174562</v>
      </c>
      <c r="K221" s="52">
        <f>('Financial Model'!K107+'Financial Model'!K104)/('Financial Model'!J107+'Financial Model'!J104)-1</f>
        <v>0.20986901960112969</v>
      </c>
      <c r="L221" s="52">
        <f>('Financial Model'!L107+'Financial Model'!L104)/('Financial Model'!K107+'Financial Model'!K104)-1</f>
        <v>0.18172904595438033</v>
      </c>
    </row>
    <row r="222" spans="1:12" outlineLevel="1" x14ac:dyDescent="0.35">
      <c r="B222" s="37"/>
      <c r="C222" s="37" t="s">
        <v>128</v>
      </c>
      <c r="D222" s="37"/>
      <c r="F222" s="52">
        <f>'Financial Model'!F107/'Financial Model'!E107-1</f>
        <v>-0.35936502871729414</v>
      </c>
      <c r="G222" s="52">
        <f>'Financial Model'!G107/'Financial Model'!F107-1</f>
        <v>-0.51624741626198478</v>
      </c>
      <c r="H222" s="52">
        <f>'Financial Model'!H107/'Financial Model'!G107-1</f>
        <v>1.4469127365827843</v>
      </c>
      <c r="I222" s="52">
        <f>'Financial Model'!I107/'Financial Model'!H107-1</f>
        <v>6.7447217576055429E-4</v>
      </c>
      <c r="J222" s="52">
        <f>'Financial Model'!J107/'Financial Model'!I107-1</f>
        <v>0.75046113404599191</v>
      </c>
      <c r="K222" s="52">
        <f>'Financial Model'!K107/'Financial Model'!J107-1</f>
        <v>0.44489070887308801</v>
      </c>
      <c r="L222" s="52">
        <f>'Financial Model'!L107/'Financial Model'!K107-1</f>
        <v>0.31960603888422523</v>
      </c>
    </row>
    <row r="223" spans="1:12" outlineLevel="1" x14ac:dyDescent="0.35">
      <c r="B223" s="44"/>
      <c r="C223" s="44" t="s">
        <v>95</v>
      </c>
      <c r="D223" s="44"/>
      <c r="E223" s="61"/>
      <c r="F223" s="97">
        <f>'Financial Model'!F110/'Financial Model'!E110-1</f>
        <v>-0.25616401402751554</v>
      </c>
      <c r="G223" s="97">
        <f>'Financial Model'!G110/'Financial Model'!F110-1</f>
        <v>-0.86581315732211506</v>
      </c>
      <c r="H223" s="97">
        <f>'Financial Model'!H110/'Financial Model'!G110-1</f>
        <v>6.1938227139592552</v>
      </c>
      <c r="I223" s="97">
        <f>'Financial Model'!I110/'Financial Model'!H110-1</f>
        <v>6.7447217576055429E-4</v>
      </c>
      <c r="J223" s="97">
        <f>'Financial Model'!J110/'Financial Model'!I110-1</f>
        <v>0.75046113404599168</v>
      </c>
      <c r="K223" s="97">
        <f>'Financial Model'!K110/'Financial Model'!J110-1</f>
        <v>0.44489070887308801</v>
      </c>
      <c r="L223" s="97">
        <f>'Financial Model'!L110/'Financial Model'!K110-1</f>
        <v>0.31960603888422545</v>
      </c>
    </row>
    <row r="224" spans="1:12" outlineLevel="1" x14ac:dyDescent="0.35">
      <c r="B224" s="37"/>
      <c r="C224" s="37"/>
      <c r="D224" s="37"/>
    </row>
    <row r="225" spans="2:12" outlineLevel="1" x14ac:dyDescent="0.35">
      <c r="B225" s="38" t="s">
        <v>127</v>
      </c>
      <c r="C225" s="37"/>
      <c r="D225" s="37"/>
    </row>
    <row r="226" spans="2:12" outlineLevel="1" x14ac:dyDescent="0.35">
      <c r="B226" s="37"/>
      <c r="C226" s="37" t="s">
        <v>29</v>
      </c>
      <c r="D226" s="37"/>
      <c r="E226" s="52">
        <f>'Financial Model'!E96/'Financial Model'!E95</f>
        <v>0.68165331083930836</v>
      </c>
      <c r="F226" s="52">
        <f>'Financial Model'!F96/'Financial Model'!F95</f>
        <v>0.67845401684536866</v>
      </c>
      <c r="G226" s="52">
        <f>'Financial Model'!G96/'Financial Model'!G95</f>
        <v>0.73079764416817339</v>
      </c>
      <c r="H226" s="52">
        <f>'Financial Model'!H96/'Financial Model'!H95</f>
        <v>0.6031136098598594</v>
      </c>
      <c r="I226" s="52">
        <f>'Financial Model'!I96/'Financial Model'!I95</f>
        <v>0.57899878938923843</v>
      </c>
      <c r="J226" s="52">
        <f>'Financial Model'!J96/'Financial Model'!J95</f>
        <v>0.55584817293726907</v>
      </c>
      <c r="K226" s="52">
        <f>'Financial Model'!K96/'Financial Model'!K95</f>
        <v>0.53362320788894324</v>
      </c>
      <c r="L226" s="52">
        <f>'Financial Model'!L96/'Financial Model'!L95</f>
        <v>0.5122868831122751</v>
      </c>
    </row>
    <row r="227" spans="2:12" outlineLevel="1" x14ac:dyDescent="0.35">
      <c r="B227" s="37"/>
      <c r="C227" t="s">
        <v>31</v>
      </c>
      <c r="D227" s="37"/>
      <c r="E227" s="52">
        <f>'Financial Model'!E98/'Financial Model'!E$95</f>
        <v>3.5290057896553047E-2</v>
      </c>
      <c r="F227" s="52">
        <f>'Financial Model'!F98/'Financial Model'!F$95</f>
        <v>3.8645905649773549E-2</v>
      </c>
      <c r="G227" s="52">
        <f>'Financial Model'!G98/'Financial Model'!G$95</f>
        <v>4.530037672085515E-2</v>
      </c>
      <c r="H227" s="52">
        <f>'Financial Model'!H98/'Financial Model'!H$95</f>
        <v>3.7626197809396654E-2</v>
      </c>
      <c r="I227" s="52">
        <f>'Financial Model'!I98/'Financial Model'!I$95</f>
        <v>3.7626197809396654E-2</v>
      </c>
      <c r="J227" s="52">
        <f>'Financial Model'!J98/'Financial Model'!J$95</f>
        <v>3.7626197809396654E-2</v>
      </c>
      <c r="K227" s="52">
        <f>'Financial Model'!K98/'Financial Model'!K$95</f>
        <v>3.7626197809396654E-2</v>
      </c>
      <c r="L227" s="52">
        <f>'Financial Model'!L98/'Financial Model'!L$95</f>
        <v>3.7626197809396654E-2</v>
      </c>
    </row>
    <row r="228" spans="2:12" outlineLevel="1" x14ac:dyDescent="0.35">
      <c r="B228" s="37"/>
      <c r="C228" t="s">
        <v>32</v>
      </c>
      <c r="D228" s="37"/>
      <c r="E228" s="52">
        <f>'Financial Model'!E99/'Financial Model'!E$95</f>
        <v>9.6411180552892911E-2</v>
      </c>
      <c r="F228" s="52">
        <f>'Financial Model'!F99/'Financial Model'!F$95</f>
        <v>9.6980249117509854E-2</v>
      </c>
      <c r="G228" s="52">
        <f>'Financial Model'!G99/'Financial Model'!G$95</f>
        <v>8.8779130562550768E-2</v>
      </c>
      <c r="H228" s="52">
        <f>'Financial Model'!H99/'Financial Model'!H$95</f>
        <v>8.9903574950184986E-2</v>
      </c>
      <c r="I228" s="52">
        <f>'Financial Model'!I99/'Financial Model'!I$95</f>
        <v>8.9903574950184986E-2</v>
      </c>
      <c r="J228" s="52">
        <f>'Financial Model'!J99/'Financial Model'!J$95</f>
        <v>8.9903574950184986E-2</v>
      </c>
      <c r="K228" s="52">
        <f>'Financial Model'!K99/'Financial Model'!K$95</f>
        <v>8.9903574950184986E-2</v>
      </c>
      <c r="L228" s="52">
        <f>'Financial Model'!L99/'Financial Model'!L$95</f>
        <v>8.9903574950184986E-2</v>
      </c>
    </row>
    <row r="229" spans="2:12" outlineLevel="1" x14ac:dyDescent="0.35">
      <c r="B229" s="44"/>
      <c r="C229" s="61" t="s">
        <v>33</v>
      </c>
      <c r="D229" s="44"/>
      <c r="E229" s="97">
        <f>'Financial Model'!E101/'Financial Model'!E$95</f>
        <v>2.1759135002492234E-2</v>
      </c>
      <c r="F229" s="97">
        <f>'Financial Model'!F101/'Financial Model'!F$95</f>
        <v>4.9008048016279691E-2</v>
      </c>
      <c r="G229" s="97">
        <f>'Financial Model'!G101/'Financial Model'!G$95</f>
        <v>1.7935177891424396E-2</v>
      </c>
      <c r="H229" s="97">
        <f>'Financial Model'!H101/'Financial Model'!H$95</f>
        <v>2.8728407483035234E-2</v>
      </c>
      <c r="I229" s="97">
        <f>'Financial Model'!I101/'Financial Model'!I$95</f>
        <v>2.8728407483035231E-2</v>
      </c>
      <c r="J229" s="97">
        <f>'Financial Model'!J101/'Financial Model'!J$95</f>
        <v>2.8728407483035234E-2</v>
      </c>
      <c r="K229" s="97">
        <f>'Financial Model'!K101/'Financial Model'!K$95</f>
        <v>2.8728407483035234E-2</v>
      </c>
      <c r="L229" s="97">
        <f>'Financial Model'!L101/'Financial Model'!L$95</f>
        <v>2.8728407483035234E-2</v>
      </c>
    </row>
    <row r="230" spans="2:12" outlineLevel="1" x14ac:dyDescent="0.35">
      <c r="B230" s="37"/>
      <c r="C230" s="37"/>
      <c r="D230" s="37"/>
    </row>
    <row r="231" spans="2:12" ht="18.5" outlineLevel="1" x14ac:dyDescent="0.45">
      <c r="B231" s="38" t="s">
        <v>126</v>
      </c>
      <c r="C231" s="37"/>
      <c r="D231" s="37"/>
      <c r="E231" s="5"/>
    </row>
    <row r="232" spans="2:12" outlineLevel="1" x14ac:dyDescent="0.35">
      <c r="B232" s="44"/>
      <c r="C232" s="44" t="s">
        <v>125</v>
      </c>
      <c r="D232" s="44"/>
      <c r="E232" s="96">
        <f>('Financial Model'!E69-'Financial Model'!E66)/'Financial Model'!E73</f>
        <v>2.2604150039904232</v>
      </c>
      <c r="F232" s="96">
        <f>('Financial Model'!F69-'Financial Model'!F66)/'Financial Model'!F73</f>
        <v>3.0409866699887877</v>
      </c>
      <c r="G232" s="96">
        <f>('Financial Model'!G69-'Financial Model'!G66)/'Financial Model'!G73</f>
        <v>2.8530099172509633</v>
      </c>
      <c r="H232" s="96">
        <f>('Financial Model'!H69-'Financial Model'!H66)/'Financial Model'!H73</f>
        <v>7.0291658346150756</v>
      </c>
      <c r="I232" s="96">
        <f>('Financial Model'!I69-'Financial Model'!I66)/'Financial Model'!I73</f>
        <v>6.6992427636563665</v>
      </c>
      <c r="J232" s="96">
        <f>('Financial Model'!J69-'Financial Model'!J66)/'Financial Model'!J73</f>
        <v>9.5578358435701087</v>
      </c>
      <c r="K232" s="96">
        <f>('Financial Model'!K69-'Financial Model'!K66)/'Financial Model'!K73</f>
        <v>10.205243447976423</v>
      </c>
      <c r="L232" s="96">
        <f>('Financial Model'!L69-'Financial Model'!L66)/'Financial Model'!L73</f>
        <v>14.952861168378861</v>
      </c>
    </row>
    <row r="233" spans="2:12" ht="18.5" outlineLevel="1" x14ac:dyDescent="0.45">
      <c r="B233" s="37"/>
      <c r="C233" s="37"/>
      <c r="D233" s="69"/>
    </row>
    <row r="234" spans="2:12" ht="18.5" outlineLevel="1" x14ac:dyDescent="0.45">
      <c r="B234" s="38" t="s">
        <v>124</v>
      </c>
      <c r="C234" s="37"/>
      <c r="D234" s="69"/>
    </row>
    <row r="235" spans="2:12" outlineLevel="1" x14ac:dyDescent="0.35">
      <c r="B235" s="37"/>
      <c r="C235" s="37" t="s">
        <v>123</v>
      </c>
      <c r="D235" s="37"/>
      <c r="F235" s="52">
        <f>'Financial Model'!F110/AVERAGE('Financial Model'!E86:F86)</f>
        <v>0.14447465903791845</v>
      </c>
      <c r="G235" s="52">
        <f>'Financial Model'!G110/AVERAGE('Financial Model'!F86:G86)</f>
        <v>1.7918522527386915E-2</v>
      </c>
      <c r="H235" s="52">
        <f>'Financial Model'!H110/AVERAGE('Financial Model'!G86:H86)</f>
        <v>0.12008701474078277</v>
      </c>
      <c r="I235" s="52">
        <f>'Financial Model'!I110/AVERAGE('Financial Model'!H86:I86)</f>
        <v>0.10728065221049948</v>
      </c>
      <c r="J235" s="52">
        <f>'Financial Model'!J110/AVERAGE('Financial Model'!I86:J86)</f>
        <v>0.1636468680057141</v>
      </c>
      <c r="K235" s="52">
        <f>'Financial Model'!K110/AVERAGE('Financial Model'!J86:K86)</f>
        <v>0.19703509561157784</v>
      </c>
      <c r="L235" s="52">
        <f>'Financial Model'!L110/AVERAGE('Financial Model'!K86:L86)</f>
        <v>0.2116435224228069</v>
      </c>
    </row>
    <row r="236" spans="2:12" outlineLevel="1" x14ac:dyDescent="0.35">
      <c r="B236" s="37"/>
      <c r="C236" s="37" t="s">
        <v>122</v>
      </c>
      <c r="D236" s="37"/>
      <c r="F236" s="52">
        <f>'Financial Model'!F110/AVERAGE('Financial Model'!E88:F88)</f>
        <v>9.9957586720655994E-2</v>
      </c>
      <c r="G236" s="52">
        <f>'Financial Model'!G110/AVERAGE('Financial Model'!F88:G88)</f>
        <v>1.3144392253798173E-2</v>
      </c>
      <c r="H236" s="52">
        <f>'Financial Model'!H110/AVERAGE('Financial Model'!G88:H88)</f>
        <v>4.9599348079341847E-2</v>
      </c>
      <c r="I236" s="52">
        <f>'Financial Model'!I110/AVERAGE('Financial Model'!H88:I88)</f>
        <v>3.4223677060835282E-2</v>
      </c>
      <c r="J236" s="52">
        <f>'Financial Model'!J110/AVERAGE('Financial Model'!I88:J88)</f>
        <v>6.176177953140799E-2</v>
      </c>
      <c r="K236" s="52">
        <f>'Financial Model'!K110/AVERAGE('Financial Model'!J88:K88)</f>
        <v>8.9595550618524755E-2</v>
      </c>
      <c r="L236" s="52">
        <f>'Financial Model'!L110/AVERAGE('Financial Model'!K88:L88)</f>
        <v>0.11544672421842543</v>
      </c>
    </row>
    <row r="237" spans="2:12" outlineLevel="1" x14ac:dyDescent="0.35">
      <c r="B237" s="44"/>
      <c r="C237" s="44" t="s">
        <v>121</v>
      </c>
      <c r="D237" s="44"/>
      <c r="E237" s="61"/>
      <c r="F237" s="97">
        <f>'Financial Model'!F110/AVERAGE('Financial Model'!F77+'Financial Model'!F73,'Financial Model'!E77+'Financial Model'!E75)</f>
        <v>8.5302661415812581E-2</v>
      </c>
      <c r="G237" s="97">
        <f>'Financial Model'!G110/AVERAGE('Financial Model'!G77+'Financial Model'!G73,'Financial Model'!F77+'Financial Model'!F75)</f>
        <v>1.0629385977512078E-2</v>
      </c>
      <c r="H237" s="97">
        <f>'Financial Model'!H110/AVERAGE('Financial Model'!H77+'Financial Model'!H73,'Financial Model'!G77+'Financial Model'!G75)</f>
        <v>4.4230669452679845E-2</v>
      </c>
      <c r="I237" s="97">
        <f>'Financial Model'!I110/AVERAGE('Financial Model'!I77+'Financial Model'!I73,'Financial Model'!H77+'Financial Model'!H75)</f>
        <v>2.9807324993352095E-2</v>
      </c>
      <c r="J237" s="97">
        <f>'Financial Model'!J110/AVERAGE('Financial Model'!J77+'Financial Model'!J73,'Financial Model'!I77+'Financial Model'!I75)</f>
        <v>5.2875398782149446E-2</v>
      </c>
      <c r="K237" s="97">
        <f>'Financial Model'!K110/AVERAGE('Financial Model'!K77+'Financial Model'!K73,'Financial Model'!J77+'Financial Model'!J75)</f>
        <v>7.4525121763848512E-2</v>
      </c>
      <c r="L237" s="97">
        <f>'Financial Model'!L110/AVERAGE('Financial Model'!L77+'Financial Model'!L73,'Financial Model'!K77+'Financial Model'!K75)</f>
        <v>9.3183525538384979E-2</v>
      </c>
    </row>
    <row r="238" spans="2:12" outlineLevel="1" x14ac:dyDescent="0.35">
      <c r="B238" s="37"/>
      <c r="C238" s="37"/>
      <c r="D238" s="37"/>
    </row>
    <row r="239" spans="2:12" outlineLevel="1" x14ac:dyDescent="0.35">
      <c r="B239" s="38" t="s">
        <v>120</v>
      </c>
      <c r="C239" s="37"/>
      <c r="D239" s="37"/>
    </row>
    <row r="240" spans="2:12" outlineLevel="1" x14ac:dyDescent="0.35">
      <c r="B240" s="37"/>
      <c r="C240" s="37" t="s">
        <v>119</v>
      </c>
      <c r="D240" s="37"/>
      <c r="E240" s="52">
        <f>'Financial Model'!E82/'Financial Model'!E86</f>
        <v>0.50827356412718139</v>
      </c>
      <c r="F240" s="52">
        <f>'Financial Model'!F82/'Financial Model'!F86</f>
        <v>0.39092277320615315</v>
      </c>
      <c r="G240" s="52">
        <f>'Financial Model'!G82/'Financial Model'!G86</f>
        <v>0.3359826880216239</v>
      </c>
      <c r="H240" s="52">
        <f>'Financial Model'!H82/'Financial Model'!H86</f>
        <v>2.3833671491502382</v>
      </c>
      <c r="I240" s="52">
        <f>'Financial Model'!I82/'Financial Model'!I86</f>
        <v>1.911334804607131</v>
      </c>
      <c r="J240" s="52">
        <f>'Financial Model'!J82/'Financial Model'!J86</f>
        <v>1.4275432011737303</v>
      </c>
      <c r="K240" s="52">
        <f>'Financial Model'!K82/'Financial Model'!K86</f>
        <v>1.0117435834476793</v>
      </c>
      <c r="L240" s="52">
        <f>'Financial Model'!L82/'Financial Model'!L86</f>
        <v>0.68893112304053006</v>
      </c>
    </row>
    <row r="241" spans="2:12" outlineLevel="1" x14ac:dyDescent="0.35">
      <c r="B241" s="37"/>
      <c r="C241" s="37" t="s">
        <v>118</v>
      </c>
      <c r="D241" s="37"/>
      <c r="E241" s="95">
        <f>'Financial Model'!E82/('Financial Model'!E107+'Financial Model'!E104+'Financial Model'!E100)</f>
        <v>1.2138541217091066</v>
      </c>
      <c r="F241" s="95">
        <f>'Financial Model'!F82/('Financial Model'!F107+'Financial Model'!F104+'Financial Model'!F100)</f>
        <v>1.341741580571582</v>
      </c>
      <c r="G241" s="95">
        <f>'Financial Model'!G82/('Financial Model'!G107+'Financial Model'!G104+'Financial Model'!G100)</f>
        <v>1.6650781820809615</v>
      </c>
      <c r="H241" s="95">
        <f>'Financial Model'!H82/('Financial Model'!H107+'Financial Model'!H104+'Financial Model'!H100)</f>
        <v>4.3571225113201404</v>
      </c>
      <c r="I241" s="95">
        <f>'Financial Model'!I82/('Financial Model'!I107+'Financial Model'!I104+'Financial Model'!I100)</f>
        <v>3.3322039994279948</v>
      </c>
      <c r="J241" s="95">
        <f>'Financial Model'!J82/('Financial Model'!J107+'Financial Model'!J104+'Financial Model'!J100)</f>
        <v>2.5491506410031302</v>
      </c>
      <c r="K241" s="95">
        <f>'Financial Model'!K82/('Financial Model'!K107+'Financial Model'!K104+'Financial Model'!K100)</f>
        <v>1.9364129881645078</v>
      </c>
      <c r="L241" s="95"/>
    </row>
    <row r="242" spans="2:12" outlineLevel="1" x14ac:dyDescent="0.35">
      <c r="B242" s="44"/>
      <c r="C242" s="44" t="s">
        <v>117</v>
      </c>
      <c r="D242" s="44"/>
      <c r="E242" s="96">
        <f>('Financial Model'!E107+'Financial Model'!E104)/'Financial Model'!E104</f>
        <v>13.536</v>
      </c>
      <c r="F242" s="96">
        <f>('Financial Model'!F107+'Financial Model'!F104)/'Financial Model'!F104</f>
        <v>5.2831999999999999</v>
      </c>
      <c r="G242" s="96">
        <f>('Financial Model'!G107+'Financial Model'!G104)/'Financial Model'!G104</f>
        <v>3.3907796923076923</v>
      </c>
      <c r="H242" s="96">
        <f>('Financial Model'!H107+'Financial Model'!H104)/'Financial Model'!H104</f>
        <v>2.2467275513627065</v>
      </c>
      <c r="I242" s="96">
        <f>('Financial Model'!I107+'Financial Model'!I104)/'Financial Model'!I104</f>
        <v>1.7317468701809438</v>
      </c>
      <c r="J242" s="96">
        <f>('Financial Model'!J107+'Financial Model'!J104)/'Financial Model'!J104</f>
        <v>2.4479676461521755</v>
      </c>
      <c r="K242" s="96">
        <f>('Financial Model'!K107+'Financial Model'!K104)/'Financial Model'!K104</f>
        <v>3.4059782484752308</v>
      </c>
      <c r="L242" s="96">
        <f>('Financial Model'!L107+'Financial Model'!L104)/'Financial Model'!L104</f>
        <v>4.7352275601317713</v>
      </c>
    </row>
    <row r="243" spans="2:12" outlineLevel="1" x14ac:dyDescent="0.35"/>
  </sheetData>
  <conditionalFormatting sqref="E4:L4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horizontalDpi="300" verticalDpi="0" r:id="rId1"/>
  <ignoredErrors>
    <ignoredError sqref="F27:G29" formulaRange="1"/>
    <ignoredError sqref="H12 I12:L26 H17:H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8BF73-CD36-44BB-A3EB-826A72E6E313}">
  <dimension ref="C3:F6"/>
  <sheetViews>
    <sheetView workbookViewId="0">
      <selection activeCell="F6" sqref="F6"/>
    </sheetView>
  </sheetViews>
  <sheetFormatPr defaultRowHeight="14.5" x14ac:dyDescent="0.35"/>
  <sheetData>
    <row r="3" spans="3:6" x14ac:dyDescent="0.35">
      <c r="C3">
        <v>23</v>
      </c>
    </row>
    <row r="4" spans="3:6" x14ac:dyDescent="0.35">
      <c r="C4">
        <v>34</v>
      </c>
    </row>
    <row r="5" spans="3:6" x14ac:dyDescent="0.35">
      <c r="C5">
        <v>32</v>
      </c>
      <c r="E5" t="s">
        <v>177</v>
      </c>
      <c r="F5" t="s">
        <v>175</v>
      </c>
    </row>
    <row r="6" spans="3:6" x14ac:dyDescent="0.35">
      <c r="C6">
        <v>53</v>
      </c>
      <c r="F6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M48"/>
  <sheetViews>
    <sheetView zoomScale="130" zoomScaleNormal="130" zoomScalePageLayoutView="130" workbookViewId="0">
      <selection activeCell="A2" sqref="A2"/>
    </sheetView>
  </sheetViews>
  <sheetFormatPr defaultColWidth="8.81640625" defaultRowHeight="12.5" x14ac:dyDescent="0.25"/>
  <cols>
    <col min="1" max="1" width="2.81640625" style="75" customWidth="1"/>
    <col min="2" max="2" width="29.54296875" style="75" customWidth="1"/>
    <col min="3" max="3" width="3.36328125" style="75" customWidth="1"/>
    <col min="4" max="4" width="8.81640625" style="75"/>
    <col min="5" max="12" width="12.54296875" style="75" customWidth="1"/>
    <col min="13" max="254" width="8.81640625" style="75"/>
    <col min="255" max="255" width="2.81640625" style="75" customWidth="1"/>
    <col min="256" max="256" width="29.54296875" style="75" customWidth="1"/>
    <col min="257" max="257" width="3" style="75" customWidth="1"/>
    <col min="258" max="258" width="8.81640625" style="75"/>
    <col min="259" max="268" width="12.54296875" style="75" customWidth="1"/>
    <col min="269" max="510" width="8.81640625" style="75"/>
    <col min="511" max="511" width="2.81640625" style="75" customWidth="1"/>
    <col min="512" max="512" width="29.54296875" style="75" customWidth="1"/>
    <col min="513" max="513" width="3" style="75" customWidth="1"/>
    <col min="514" max="514" width="8.81640625" style="75"/>
    <col min="515" max="524" width="12.54296875" style="75" customWidth="1"/>
    <col min="525" max="766" width="8.81640625" style="75"/>
    <col min="767" max="767" width="2.81640625" style="75" customWidth="1"/>
    <col min="768" max="768" width="29.54296875" style="75" customWidth="1"/>
    <col min="769" max="769" width="3" style="75" customWidth="1"/>
    <col min="770" max="770" width="8.81640625" style="75"/>
    <col min="771" max="780" width="12.54296875" style="75" customWidth="1"/>
    <col min="781" max="1022" width="8.81640625" style="75"/>
    <col min="1023" max="1023" width="2.81640625" style="75" customWidth="1"/>
    <col min="1024" max="1024" width="29.54296875" style="75" customWidth="1"/>
    <col min="1025" max="1025" width="3" style="75" customWidth="1"/>
    <col min="1026" max="1026" width="8.81640625" style="75"/>
    <col min="1027" max="1036" width="12.54296875" style="75" customWidth="1"/>
    <col min="1037" max="1278" width="8.81640625" style="75"/>
    <col min="1279" max="1279" width="2.81640625" style="75" customWidth="1"/>
    <col min="1280" max="1280" width="29.54296875" style="75" customWidth="1"/>
    <col min="1281" max="1281" width="3" style="75" customWidth="1"/>
    <col min="1282" max="1282" width="8.81640625" style="75"/>
    <col min="1283" max="1292" width="12.54296875" style="75" customWidth="1"/>
    <col min="1293" max="1534" width="8.81640625" style="75"/>
    <col min="1535" max="1535" width="2.81640625" style="75" customWidth="1"/>
    <col min="1536" max="1536" width="29.54296875" style="75" customWidth="1"/>
    <col min="1537" max="1537" width="3" style="75" customWidth="1"/>
    <col min="1538" max="1538" width="8.81640625" style="75"/>
    <col min="1539" max="1548" width="12.54296875" style="75" customWidth="1"/>
    <col min="1549" max="1790" width="8.81640625" style="75"/>
    <col min="1791" max="1791" width="2.81640625" style="75" customWidth="1"/>
    <col min="1792" max="1792" width="29.54296875" style="75" customWidth="1"/>
    <col min="1793" max="1793" width="3" style="75" customWidth="1"/>
    <col min="1794" max="1794" width="8.81640625" style="75"/>
    <col min="1795" max="1804" width="12.54296875" style="75" customWidth="1"/>
    <col min="1805" max="2046" width="8.81640625" style="75"/>
    <col min="2047" max="2047" width="2.81640625" style="75" customWidth="1"/>
    <col min="2048" max="2048" width="29.54296875" style="75" customWidth="1"/>
    <col min="2049" max="2049" width="3" style="75" customWidth="1"/>
    <col min="2050" max="2050" width="8.81640625" style="75"/>
    <col min="2051" max="2060" width="12.54296875" style="75" customWidth="1"/>
    <col min="2061" max="2302" width="8.81640625" style="75"/>
    <col min="2303" max="2303" width="2.81640625" style="75" customWidth="1"/>
    <col min="2304" max="2304" width="29.54296875" style="75" customWidth="1"/>
    <col min="2305" max="2305" width="3" style="75" customWidth="1"/>
    <col min="2306" max="2306" width="8.81640625" style="75"/>
    <col min="2307" max="2316" width="12.54296875" style="75" customWidth="1"/>
    <col min="2317" max="2558" width="8.81640625" style="75"/>
    <col min="2559" max="2559" width="2.81640625" style="75" customWidth="1"/>
    <col min="2560" max="2560" width="29.54296875" style="75" customWidth="1"/>
    <col min="2561" max="2561" width="3" style="75" customWidth="1"/>
    <col min="2562" max="2562" width="8.81640625" style="75"/>
    <col min="2563" max="2572" width="12.54296875" style="75" customWidth="1"/>
    <col min="2573" max="2814" width="8.81640625" style="75"/>
    <col min="2815" max="2815" width="2.81640625" style="75" customWidth="1"/>
    <col min="2816" max="2816" width="29.54296875" style="75" customWidth="1"/>
    <col min="2817" max="2817" width="3" style="75" customWidth="1"/>
    <col min="2818" max="2818" width="8.81640625" style="75"/>
    <col min="2819" max="2828" width="12.54296875" style="75" customWidth="1"/>
    <col min="2829" max="3070" width="8.81640625" style="75"/>
    <col min="3071" max="3071" width="2.81640625" style="75" customWidth="1"/>
    <col min="3072" max="3072" width="29.54296875" style="75" customWidth="1"/>
    <col min="3073" max="3073" width="3" style="75" customWidth="1"/>
    <col min="3074" max="3074" width="8.81640625" style="75"/>
    <col min="3075" max="3084" width="12.54296875" style="75" customWidth="1"/>
    <col min="3085" max="3326" width="8.81640625" style="75"/>
    <col min="3327" max="3327" width="2.81640625" style="75" customWidth="1"/>
    <col min="3328" max="3328" width="29.54296875" style="75" customWidth="1"/>
    <col min="3329" max="3329" width="3" style="75" customWidth="1"/>
    <col min="3330" max="3330" width="8.81640625" style="75"/>
    <col min="3331" max="3340" width="12.54296875" style="75" customWidth="1"/>
    <col min="3341" max="3582" width="8.81640625" style="75"/>
    <col min="3583" max="3583" width="2.81640625" style="75" customWidth="1"/>
    <col min="3584" max="3584" width="29.54296875" style="75" customWidth="1"/>
    <col min="3585" max="3585" width="3" style="75" customWidth="1"/>
    <col min="3586" max="3586" width="8.81640625" style="75"/>
    <col min="3587" max="3596" width="12.54296875" style="75" customWidth="1"/>
    <col min="3597" max="3838" width="8.81640625" style="75"/>
    <col min="3839" max="3839" width="2.81640625" style="75" customWidth="1"/>
    <col min="3840" max="3840" width="29.54296875" style="75" customWidth="1"/>
    <col min="3841" max="3841" width="3" style="75" customWidth="1"/>
    <col min="3842" max="3842" width="8.81640625" style="75"/>
    <col min="3843" max="3852" width="12.54296875" style="75" customWidth="1"/>
    <col min="3853" max="4094" width="8.81640625" style="75"/>
    <col min="4095" max="4095" width="2.81640625" style="75" customWidth="1"/>
    <col min="4096" max="4096" width="29.54296875" style="75" customWidth="1"/>
    <col min="4097" max="4097" width="3" style="75" customWidth="1"/>
    <col min="4098" max="4098" width="8.81640625" style="75"/>
    <col min="4099" max="4108" width="12.54296875" style="75" customWidth="1"/>
    <col min="4109" max="4350" width="8.81640625" style="75"/>
    <col min="4351" max="4351" width="2.81640625" style="75" customWidth="1"/>
    <col min="4352" max="4352" width="29.54296875" style="75" customWidth="1"/>
    <col min="4353" max="4353" width="3" style="75" customWidth="1"/>
    <col min="4354" max="4354" width="8.81640625" style="75"/>
    <col min="4355" max="4364" width="12.54296875" style="75" customWidth="1"/>
    <col min="4365" max="4606" width="8.81640625" style="75"/>
    <col min="4607" max="4607" width="2.81640625" style="75" customWidth="1"/>
    <col min="4608" max="4608" width="29.54296875" style="75" customWidth="1"/>
    <col min="4609" max="4609" width="3" style="75" customWidth="1"/>
    <col min="4610" max="4610" width="8.81640625" style="75"/>
    <col min="4611" max="4620" width="12.54296875" style="75" customWidth="1"/>
    <col min="4621" max="4862" width="8.81640625" style="75"/>
    <col min="4863" max="4863" width="2.81640625" style="75" customWidth="1"/>
    <col min="4864" max="4864" width="29.54296875" style="75" customWidth="1"/>
    <col min="4865" max="4865" width="3" style="75" customWidth="1"/>
    <col min="4866" max="4866" width="8.81640625" style="75"/>
    <col min="4867" max="4876" width="12.54296875" style="75" customWidth="1"/>
    <col min="4877" max="5118" width="8.81640625" style="75"/>
    <col min="5119" max="5119" width="2.81640625" style="75" customWidth="1"/>
    <col min="5120" max="5120" width="29.54296875" style="75" customWidth="1"/>
    <col min="5121" max="5121" width="3" style="75" customWidth="1"/>
    <col min="5122" max="5122" width="8.81640625" style="75"/>
    <col min="5123" max="5132" width="12.54296875" style="75" customWidth="1"/>
    <col min="5133" max="5374" width="8.81640625" style="75"/>
    <col min="5375" max="5375" width="2.81640625" style="75" customWidth="1"/>
    <col min="5376" max="5376" width="29.54296875" style="75" customWidth="1"/>
    <col min="5377" max="5377" width="3" style="75" customWidth="1"/>
    <col min="5378" max="5378" width="8.81640625" style="75"/>
    <col min="5379" max="5388" width="12.54296875" style="75" customWidth="1"/>
    <col min="5389" max="5630" width="8.81640625" style="75"/>
    <col min="5631" max="5631" width="2.81640625" style="75" customWidth="1"/>
    <col min="5632" max="5632" width="29.54296875" style="75" customWidth="1"/>
    <col min="5633" max="5633" width="3" style="75" customWidth="1"/>
    <col min="5634" max="5634" width="8.81640625" style="75"/>
    <col min="5635" max="5644" width="12.54296875" style="75" customWidth="1"/>
    <col min="5645" max="5886" width="8.81640625" style="75"/>
    <col min="5887" max="5887" width="2.81640625" style="75" customWidth="1"/>
    <col min="5888" max="5888" width="29.54296875" style="75" customWidth="1"/>
    <col min="5889" max="5889" width="3" style="75" customWidth="1"/>
    <col min="5890" max="5890" width="8.81640625" style="75"/>
    <col min="5891" max="5900" width="12.54296875" style="75" customWidth="1"/>
    <col min="5901" max="6142" width="8.81640625" style="75"/>
    <col min="6143" max="6143" width="2.81640625" style="75" customWidth="1"/>
    <col min="6144" max="6144" width="29.54296875" style="75" customWidth="1"/>
    <col min="6145" max="6145" width="3" style="75" customWidth="1"/>
    <col min="6146" max="6146" width="8.81640625" style="75"/>
    <col min="6147" max="6156" width="12.54296875" style="75" customWidth="1"/>
    <col min="6157" max="6398" width="8.81640625" style="75"/>
    <col min="6399" max="6399" width="2.81640625" style="75" customWidth="1"/>
    <col min="6400" max="6400" width="29.54296875" style="75" customWidth="1"/>
    <col min="6401" max="6401" width="3" style="75" customWidth="1"/>
    <col min="6402" max="6402" width="8.81640625" style="75"/>
    <col min="6403" max="6412" width="12.54296875" style="75" customWidth="1"/>
    <col min="6413" max="6654" width="8.81640625" style="75"/>
    <col min="6655" max="6655" width="2.81640625" style="75" customWidth="1"/>
    <col min="6656" max="6656" width="29.54296875" style="75" customWidth="1"/>
    <col min="6657" max="6657" width="3" style="75" customWidth="1"/>
    <col min="6658" max="6658" width="8.81640625" style="75"/>
    <col min="6659" max="6668" width="12.54296875" style="75" customWidth="1"/>
    <col min="6669" max="6910" width="8.81640625" style="75"/>
    <col min="6911" max="6911" width="2.81640625" style="75" customWidth="1"/>
    <col min="6912" max="6912" width="29.54296875" style="75" customWidth="1"/>
    <col min="6913" max="6913" width="3" style="75" customWidth="1"/>
    <col min="6914" max="6914" width="8.81640625" style="75"/>
    <col min="6915" max="6924" width="12.54296875" style="75" customWidth="1"/>
    <col min="6925" max="7166" width="8.81640625" style="75"/>
    <col min="7167" max="7167" width="2.81640625" style="75" customWidth="1"/>
    <col min="7168" max="7168" width="29.54296875" style="75" customWidth="1"/>
    <col min="7169" max="7169" width="3" style="75" customWidth="1"/>
    <col min="7170" max="7170" width="8.81640625" style="75"/>
    <col min="7171" max="7180" width="12.54296875" style="75" customWidth="1"/>
    <col min="7181" max="7422" width="8.81640625" style="75"/>
    <col min="7423" max="7423" width="2.81640625" style="75" customWidth="1"/>
    <col min="7424" max="7424" width="29.54296875" style="75" customWidth="1"/>
    <col min="7425" max="7425" width="3" style="75" customWidth="1"/>
    <col min="7426" max="7426" width="8.81640625" style="75"/>
    <col min="7427" max="7436" width="12.54296875" style="75" customWidth="1"/>
    <col min="7437" max="7678" width="8.81640625" style="75"/>
    <col min="7679" max="7679" width="2.81640625" style="75" customWidth="1"/>
    <col min="7680" max="7680" width="29.54296875" style="75" customWidth="1"/>
    <col min="7681" max="7681" width="3" style="75" customWidth="1"/>
    <col min="7682" max="7682" width="8.81640625" style="75"/>
    <col min="7683" max="7692" width="12.54296875" style="75" customWidth="1"/>
    <col min="7693" max="7934" width="8.81640625" style="75"/>
    <col min="7935" max="7935" width="2.81640625" style="75" customWidth="1"/>
    <col min="7936" max="7936" width="29.54296875" style="75" customWidth="1"/>
    <col min="7937" max="7937" width="3" style="75" customWidth="1"/>
    <col min="7938" max="7938" width="8.81640625" style="75"/>
    <col min="7939" max="7948" width="12.54296875" style="75" customWidth="1"/>
    <col min="7949" max="8190" width="8.81640625" style="75"/>
    <col min="8191" max="8191" width="2.81640625" style="75" customWidth="1"/>
    <col min="8192" max="8192" width="29.54296875" style="75" customWidth="1"/>
    <col min="8193" max="8193" width="3" style="75" customWidth="1"/>
    <col min="8194" max="8194" width="8.81640625" style="75"/>
    <col min="8195" max="8204" width="12.54296875" style="75" customWidth="1"/>
    <col min="8205" max="8446" width="8.81640625" style="75"/>
    <col min="8447" max="8447" width="2.81640625" style="75" customWidth="1"/>
    <col min="8448" max="8448" width="29.54296875" style="75" customWidth="1"/>
    <col min="8449" max="8449" width="3" style="75" customWidth="1"/>
    <col min="8450" max="8450" width="8.81640625" style="75"/>
    <col min="8451" max="8460" width="12.54296875" style="75" customWidth="1"/>
    <col min="8461" max="8702" width="8.81640625" style="75"/>
    <col min="8703" max="8703" width="2.81640625" style="75" customWidth="1"/>
    <col min="8704" max="8704" width="29.54296875" style="75" customWidth="1"/>
    <col min="8705" max="8705" width="3" style="75" customWidth="1"/>
    <col min="8706" max="8706" width="8.81640625" style="75"/>
    <col min="8707" max="8716" width="12.54296875" style="75" customWidth="1"/>
    <col min="8717" max="8958" width="8.81640625" style="75"/>
    <col min="8959" max="8959" width="2.81640625" style="75" customWidth="1"/>
    <col min="8960" max="8960" width="29.54296875" style="75" customWidth="1"/>
    <col min="8961" max="8961" width="3" style="75" customWidth="1"/>
    <col min="8962" max="8962" width="8.81640625" style="75"/>
    <col min="8963" max="8972" width="12.54296875" style="75" customWidth="1"/>
    <col min="8973" max="9214" width="8.81640625" style="75"/>
    <col min="9215" max="9215" width="2.81640625" style="75" customWidth="1"/>
    <col min="9216" max="9216" width="29.54296875" style="75" customWidth="1"/>
    <col min="9217" max="9217" width="3" style="75" customWidth="1"/>
    <col min="9218" max="9218" width="8.81640625" style="75"/>
    <col min="9219" max="9228" width="12.54296875" style="75" customWidth="1"/>
    <col min="9229" max="9470" width="8.81640625" style="75"/>
    <col min="9471" max="9471" width="2.81640625" style="75" customWidth="1"/>
    <col min="9472" max="9472" width="29.54296875" style="75" customWidth="1"/>
    <col min="9473" max="9473" width="3" style="75" customWidth="1"/>
    <col min="9474" max="9474" width="8.81640625" style="75"/>
    <col min="9475" max="9484" width="12.54296875" style="75" customWidth="1"/>
    <col min="9485" max="9726" width="8.81640625" style="75"/>
    <col min="9727" max="9727" width="2.81640625" style="75" customWidth="1"/>
    <col min="9728" max="9728" width="29.54296875" style="75" customWidth="1"/>
    <col min="9729" max="9729" width="3" style="75" customWidth="1"/>
    <col min="9730" max="9730" width="8.81640625" style="75"/>
    <col min="9731" max="9740" width="12.54296875" style="75" customWidth="1"/>
    <col min="9741" max="9982" width="8.81640625" style="75"/>
    <col min="9983" max="9983" width="2.81640625" style="75" customWidth="1"/>
    <col min="9984" max="9984" width="29.54296875" style="75" customWidth="1"/>
    <col min="9985" max="9985" width="3" style="75" customWidth="1"/>
    <col min="9986" max="9986" width="8.81640625" style="75"/>
    <col min="9987" max="9996" width="12.54296875" style="75" customWidth="1"/>
    <col min="9997" max="10238" width="8.81640625" style="75"/>
    <col min="10239" max="10239" width="2.81640625" style="75" customWidth="1"/>
    <col min="10240" max="10240" width="29.54296875" style="75" customWidth="1"/>
    <col min="10241" max="10241" width="3" style="75" customWidth="1"/>
    <col min="10242" max="10242" width="8.81640625" style="75"/>
    <col min="10243" max="10252" width="12.54296875" style="75" customWidth="1"/>
    <col min="10253" max="10494" width="8.81640625" style="75"/>
    <col min="10495" max="10495" width="2.81640625" style="75" customWidth="1"/>
    <col min="10496" max="10496" width="29.54296875" style="75" customWidth="1"/>
    <col min="10497" max="10497" width="3" style="75" customWidth="1"/>
    <col min="10498" max="10498" width="8.81640625" style="75"/>
    <col min="10499" max="10508" width="12.54296875" style="75" customWidth="1"/>
    <col min="10509" max="10750" width="8.81640625" style="75"/>
    <col min="10751" max="10751" width="2.81640625" style="75" customWidth="1"/>
    <col min="10752" max="10752" width="29.54296875" style="75" customWidth="1"/>
    <col min="10753" max="10753" width="3" style="75" customWidth="1"/>
    <col min="10754" max="10754" width="8.81640625" style="75"/>
    <col min="10755" max="10764" width="12.54296875" style="75" customWidth="1"/>
    <col min="10765" max="11006" width="8.81640625" style="75"/>
    <col min="11007" max="11007" width="2.81640625" style="75" customWidth="1"/>
    <col min="11008" max="11008" width="29.54296875" style="75" customWidth="1"/>
    <col min="11009" max="11009" width="3" style="75" customWidth="1"/>
    <col min="11010" max="11010" width="8.81640625" style="75"/>
    <col min="11011" max="11020" width="12.54296875" style="75" customWidth="1"/>
    <col min="11021" max="11262" width="8.81640625" style="75"/>
    <col min="11263" max="11263" width="2.81640625" style="75" customWidth="1"/>
    <col min="11264" max="11264" width="29.54296875" style="75" customWidth="1"/>
    <col min="11265" max="11265" width="3" style="75" customWidth="1"/>
    <col min="11266" max="11266" width="8.81640625" style="75"/>
    <col min="11267" max="11276" width="12.54296875" style="75" customWidth="1"/>
    <col min="11277" max="11518" width="8.81640625" style="75"/>
    <col min="11519" max="11519" width="2.81640625" style="75" customWidth="1"/>
    <col min="11520" max="11520" width="29.54296875" style="75" customWidth="1"/>
    <col min="11521" max="11521" width="3" style="75" customWidth="1"/>
    <col min="11522" max="11522" width="8.81640625" style="75"/>
    <col min="11523" max="11532" width="12.54296875" style="75" customWidth="1"/>
    <col min="11533" max="11774" width="8.81640625" style="75"/>
    <col min="11775" max="11775" width="2.81640625" style="75" customWidth="1"/>
    <col min="11776" max="11776" width="29.54296875" style="75" customWidth="1"/>
    <col min="11777" max="11777" width="3" style="75" customWidth="1"/>
    <col min="11778" max="11778" width="8.81640625" style="75"/>
    <col min="11779" max="11788" width="12.54296875" style="75" customWidth="1"/>
    <col min="11789" max="12030" width="8.81640625" style="75"/>
    <col min="12031" max="12031" width="2.81640625" style="75" customWidth="1"/>
    <col min="12032" max="12032" width="29.54296875" style="75" customWidth="1"/>
    <col min="12033" max="12033" width="3" style="75" customWidth="1"/>
    <col min="12034" max="12034" width="8.81640625" style="75"/>
    <col min="12035" max="12044" width="12.54296875" style="75" customWidth="1"/>
    <col min="12045" max="12286" width="8.81640625" style="75"/>
    <col min="12287" max="12287" width="2.81640625" style="75" customWidth="1"/>
    <col min="12288" max="12288" width="29.54296875" style="75" customWidth="1"/>
    <col min="12289" max="12289" width="3" style="75" customWidth="1"/>
    <col min="12290" max="12290" width="8.81640625" style="75"/>
    <col min="12291" max="12300" width="12.54296875" style="75" customWidth="1"/>
    <col min="12301" max="12542" width="8.81640625" style="75"/>
    <col min="12543" max="12543" width="2.81640625" style="75" customWidth="1"/>
    <col min="12544" max="12544" width="29.54296875" style="75" customWidth="1"/>
    <col min="12545" max="12545" width="3" style="75" customWidth="1"/>
    <col min="12546" max="12546" width="8.81640625" style="75"/>
    <col min="12547" max="12556" width="12.54296875" style="75" customWidth="1"/>
    <col min="12557" max="12798" width="8.81640625" style="75"/>
    <col min="12799" max="12799" width="2.81640625" style="75" customWidth="1"/>
    <col min="12800" max="12800" width="29.54296875" style="75" customWidth="1"/>
    <col min="12801" max="12801" width="3" style="75" customWidth="1"/>
    <col min="12802" max="12802" width="8.81640625" style="75"/>
    <col min="12803" max="12812" width="12.54296875" style="75" customWidth="1"/>
    <col min="12813" max="13054" width="8.81640625" style="75"/>
    <col min="13055" max="13055" width="2.81640625" style="75" customWidth="1"/>
    <col min="13056" max="13056" width="29.54296875" style="75" customWidth="1"/>
    <col min="13057" max="13057" width="3" style="75" customWidth="1"/>
    <col min="13058" max="13058" width="8.81640625" style="75"/>
    <col min="13059" max="13068" width="12.54296875" style="75" customWidth="1"/>
    <col min="13069" max="13310" width="8.81640625" style="75"/>
    <col min="13311" max="13311" width="2.81640625" style="75" customWidth="1"/>
    <col min="13312" max="13312" width="29.54296875" style="75" customWidth="1"/>
    <col min="13313" max="13313" width="3" style="75" customWidth="1"/>
    <col min="13314" max="13314" width="8.81640625" style="75"/>
    <col min="13315" max="13324" width="12.54296875" style="75" customWidth="1"/>
    <col min="13325" max="13566" width="8.81640625" style="75"/>
    <col min="13567" max="13567" width="2.81640625" style="75" customWidth="1"/>
    <col min="13568" max="13568" width="29.54296875" style="75" customWidth="1"/>
    <col min="13569" max="13569" width="3" style="75" customWidth="1"/>
    <col min="13570" max="13570" width="8.81640625" style="75"/>
    <col min="13571" max="13580" width="12.54296875" style="75" customWidth="1"/>
    <col min="13581" max="13822" width="8.81640625" style="75"/>
    <col min="13823" max="13823" width="2.81640625" style="75" customWidth="1"/>
    <col min="13824" max="13824" width="29.54296875" style="75" customWidth="1"/>
    <col min="13825" max="13825" width="3" style="75" customWidth="1"/>
    <col min="13826" max="13826" width="8.81640625" style="75"/>
    <col min="13827" max="13836" width="12.54296875" style="75" customWidth="1"/>
    <col min="13837" max="14078" width="8.81640625" style="75"/>
    <col min="14079" max="14079" width="2.81640625" style="75" customWidth="1"/>
    <col min="14080" max="14080" width="29.54296875" style="75" customWidth="1"/>
    <col min="14081" max="14081" width="3" style="75" customWidth="1"/>
    <col min="14082" max="14082" width="8.81640625" style="75"/>
    <col min="14083" max="14092" width="12.54296875" style="75" customWidth="1"/>
    <col min="14093" max="14334" width="8.81640625" style="75"/>
    <col min="14335" max="14335" width="2.81640625" style="75" customWidth="1"/>
    <col min="14336" max="14336" width="29.54296875" style="75" customWidth="1"/>
    <col min="14337" max="14337" width="3" style="75" customWidth="1"/>
    <col min="14338" max="14338" width="8.81640625" style="75"/>
    <col min="14339" max="14348" width="12.54296875" style="75" customWidth="1"/>
    <col min="14349" max="14590" width="8.81640625" style="75"/>
    <col min="14591" max="14591" width="2.81640625" style="75" customWidth="1"/>
    <col min="14592" max="14592" width="29.54296875" style="75" customWidth="1"/>
    <col min="14593" max="14593" width="3" style="75" customWidth="1"/>
    <col min="14594" max="14594" width="8.81640625" style="75"/>
    <col min="14595" max="14604" width="12.54296875" style="75" customWidth="1"/>
    <col min="14605" max="14846" width="8.81640625" style="75"/>
    <col min="14847" max="14847" width="2.81640625" style="75" customWidth="1"/>
    <col min="14848" max="14848" width="29.54296875" style="75" customWidth="1"/>
    <col min="14849" max="14849" width="3" style="75" customWidth="1"/>
    <col min="14850" max="14850" width="8.81640625" style="75"/>
    <col min="14851" max="14860" width="12.54296875" style="75" customWidth="1"/>
    <col min="14861" max="15102" width="8.81640625" style="75"/>
    <col min="15103" max="15103" width="2.81640625" style="75" customWidth="1"/>
    <col min="15104" max="15104" width="29.54296875" style="75" customWidth="1"/>
    <col min="15105" max="15105" width="3" style="75" customWidth="1"/>
    <col min="15106" max="15106" width="8.81640625" style="75"/>
    <col min="15107" max="15116" width="12.54296875" style="75" customWidth="1"/>
    <col min="15117" max="15358" width="8.81640625" style="75"/>
    <col min="15359" max="15359" width="2.81640625" style="75" customWidth="1"/>
    <col min="15360" max="15360" width="29.54296875" style="75" customWidth="1"/>
    <col min="15361" max="15361" width="3" style="75" customWidth="1"/>
    <col min="15362" max="15362" width="8.81640625" style="75"/>
    <col min="15363" max="15372" width="12.54296875" style="75" customWidth="1"/>
    <col min="15373" max="15614" width="8.81640625" style="75"/>
    <col min="15615" max="15615" width="2.81640625" style="75" customWidth="1"/>
    <col min="15616" max="15616" width="29.54296875" style="75" customWidth="1"/>
    <col min="15617" max="15617" width="3" style="75" customWidth="1"/>
    <col min="15618" max="15618" width="8.81640625" style="75"/>
    <col min="15619" max="15628" width="12.54296875" style="75" customWidth="1"/>
    <col min="15629" max="15870" width="8.81640625" style="75"/>
    <col min="15871" max="15871" width="2.81640625" style="75" customWidth="1"/>
    <col min="15872" max="15872" width="29.54296875" style="75" customWidth="1"/>
    <col min="15873" max="15873" width="3" style="75" customWidth="1"/>
    <col min="15874" max="15874" width="8.81640625" style="75"/>
    <col min="15875" max="15884" width="12.54296875" style="75" customWidth="1"/>
    <col min="15885" max="16126" width="8.81640625" style="75"/>
    <col min="16127" max="16127" width="2.81640625" style="75" customWidth="1"/>
    <col min="16128" max="16128" width="29.54296875" style="75" customWidth="1"/>
    <col min="16129" max="16129" width="3" style="75" customWidth="1"/>
    <col min="16130" max="16130" width="8.81640625" style="75"/>
    <col min="16131" max="16140" width="12.54296875" style="75" customWidth="1"/>
    <col min="16141" max="16384" width="8.81640625" style="75"/>
  </cols>
  <sheetData>
    <row r="2" spans="1:12" s="72" customFormat="1" ht="13" x14ac:dyDescent="0.3">
      <c r="A2" s="71" t="s">
        <v>45</v>
      </c>
      <c r="E2" s="73" t="s">
        <v>25</v>
      </c>
      <c r="F2" s="73" t="s">
        <v>24</v>
      </c>
      <c r="G2" s="73" t="s">
        <v>23</v>
      </c>
      <c r="H2" s="73" t="s">
        <v>40</v>
      </c>
      <c r="I2" s="73" t="s">
        <v>41</v>
      </c>
      <c r="J2" s="73" t="s">
        <v>42</v>
      </c>
      <c r="K2" s="73" t="s">
        <v>43</v>
      </c>
      <c r="L2" s="73" t="s">
        <v>47</v>
      </c>
    </row>
    <row r="4" spans="1:12" ht="13" x14ac:dyDescent="0.3">
      <c r="B4" s="74" t="s">
        <v>134</v>
      </c>
    </row>
    <row r="6" spans="1:12" x14ac:dyDescent="0.25">
      <c r="B6" s="75" t="s">
        <v>116</v>
      </c>
      <c r="H6" s="76"/>
      <c r="I6" s="76"/>
      <c r="J6" s="76"/>
      <c r="K6" s="76"/>
      <c r="L6" s="76"/>
    </row>
    <row r="7" spans="1:12" ht="14.5" x14ac:dyDescent="0.35">
      <c r="B7" s="75" t="s">
        <v>135</v>
      </c>
      <c r="D7" s="77">
        <v>0.3</v>
      </c>
      <c r="H7" s="78"/>
      <c r="I7" s="78"/>
      <c r="J7" s="78"/>
      <c r="K7" s="78"/>
      <c r="L7" s="78"/>
    </row>
    <row r="8" spans="1:12" ht="14" x14ac:dyDescent="0.3">
      <c r="B8" s="75" t="s">
        <v>136</v>
      </c>
      <c r="F8" s="79"/>
      <c r="H8" s="76"/>
      <c r="I8" s="76"/>
      <c r="J8" s="76"/>
      <c r="K8" s="76"/>
      <c r="L8" s="76"/>
    </row>
    <row r="9" spans="1:12" x14ac:dyDescent="0.25">
      <c r="B9" s="75" t="s">
        <v>96</v>
      </c>
      <c r="H9" s="76"/>
      <c r="I9" s="76"/>
      <c r="J9" s="76"/>
      <c r="K9" s="76"/>
      <c r="L9" s="76"/>
    </row>
    <row r="10" spans="1:12" x14ac:dyDescent="0.25">
      <c r="B10" s="75" t="s">
        <v>137</v>
      </c>
      <c r="H10" s="76"/>
      <c r="I10" s="76"/>
      <c r="J10" s="76"/>
      <c r="K10" s="76"/>
      <c r="L10" s="76"/>
    </row>
    <row r="11" spans="1:12" x14ac:dyDescent="0.25">
      <c r="B11" s="72" t="s">
        <v>138</v>
      </c>
      <c r="C11" s="72"/>
      <c r="D11" s="72"/>
      <c r="E11" s="72"/>
      <c r="F11" s="72"/>
      <c r="G11" s="72"/>
      <c r="H11" s="76"/>
      <c r="I11" s="76"/>
      <c r="J11" s="76"/>
      <c r="K11" s="76"/>
      <c r="L11" s="76"/>
    </row>
    <row r="12" spans="1:12" ht="13" x14ac:dyDescent="0.3">
      <c r="A12" s="74"/>
      <c r="B12" s="74" t="s">
        <v>139</v>
      </c>
      <c r="C12" s="74"/>
      <c r="D12" s="74"/>
      <c r="E12" s="74"/>
      <c r="F12" s="74"/>
      <c r="G12" s="74"/>
      <c r="H12" s="80"/>
      <c r="I12" s="80"/>
      <c r="J12" s="80"/>
      <c r="K12" s="80"/>
      <c r="L12" s="80"/>
    </row>
    <row r="14" spans="1:12" ht="15.5" x14ac:dyDescent="0.35">
      <c r="B14" s="75" t="s">
        <v>140</v>
      </c>
      <c r="D14" s="81">
        <v>0.08</v>
      </c>
      <c r="E14" s="82"/>
    </row>
    <row r="15" spans="1:12" ht="15.5" x14ac:dyDescent="0.35">
      <c r="B15" s="75" t="s">
        <v>141</v>
      </c>
      <c r="D15" s="83">
        <v>0.7</v>
      </c>
      <c r="E15" s="82"/>
    </row>
    <row r="16" spans="1:12" ht="15.5" x14ac:dyDescent="0.35">
      <c r="B16" s="75" t="s">
        <v>142</v>
      </c>
      <c r="D16" s="81">
        <v>0.15</v>
      </c>
      <c r="E16" s="82"/>
    </row>
    <row r="17" spans="1:13" ht="15.5" x14ac:dyDescent="0.35">
      <c r="B17" s="75" t="s">
        <v>143</v>
      </c>
      <c r="D17" s="84"/>
      <c r="E17" s="82"/>
      <c r="F17" s="98" t="s">
        <v>144</v>
      </c>
    </row>
    <row r="18" spans="1:13" ht="14.5" x14ac:dyDescent="0.35">
      <c r="B18" s="75" t="s">
        <v>145</v>
      </c>
      <c r="D18" s="77">
        <v>0.1</v>
      </c>
    </row>
    <row r="19" spans="1:13" ht="15.5" x14ac:dyDescent="0.35">
      <c r="B19" s="75" t="s">
        <v>146</v>
      </c>
      <c r="D19" s="84"/>
      <c r="E19" s="82"/>
    </row>
    <row r="20" spans="1:13" ht="14.5" x14ac:dyDescent="0.35">
      <c r="B20" s="75" t="s">
        <v>147</v>
      </c>
      <c r="D20" s="77">
        <v>0.4</v>
      </c>
    </row>
    <row r="21" spans="1:13" ht="15.5" x14ac:dyDescent="0.35">
      <c r="B21" s="74" t="s">
        <v>148</v>
      </c>
      <c r="C21" s="74"/>
      <c r="D21" s="99"/>
      <c r="E21" s="82"/>
      <c r="F21" s="98" t="s">
        <v>149</v>
      </c>
    </row>
    <row r="22" spans="1:13" ht="14.5" x14ac:dyDescent="0.35">
      <c r="D22" s="77"/>
    </row>
    <row r="23" spans="1:13" ht="14.5" x14ac:dyDescent="0.35">
      <c r="B23" s="75" t="s">
        <v>150</v>
      </c>
      <c r="D23" s="77">
        <v>0.05</v>
      </c>
    </row>
    <row r="24" spans="1:13" ht="14" x14ac:dyDescent="0.3">
      <c r="J24" s="79"/>
    </row>
    <row r="25" spans="1:13" ht="14.5" x14ac:dyDescent="0.35">
      <c r="A25" s="74"/>
      <c r="B25" s="74" t="s">
        <v>151</v>
      </c>
      <c r="C25" s="74"/>
      <c r="D25" s="74"/>
      <c r="E25" s="74"/>
      <c r="F25" s="74"/>
      <c r="G25" s="74"/>
      <c r="H25" s="74"/>
      <c r="I25" s="74" t="s">
        <v>152</v>
      </c>
      <c r="J25" s="74"/>
      <c r="K25" s="74"/>
      <c r="L25" s="80"/>
      <c r="M25" s="9"/>
    </row>
    <row r="27" spans="1:13" ht="14.5" x14ac:dyDescent="0.35">
      <c r="B27" s="75" t="s">
        <v>153</v>
      </c>
      <c r="H27" s="76"/>
      <c r="I27" s="76"/>
      <c r="J27" s="76"/>
      <c r="K27" s="76"/>
      <c r="L27" s="76"/>
      <c r="M27" s="9"/>
    </row>
    <row r="28" spans="1:13" ht="14.5" x14ac:dyDescent="0.35">
      <c r="B28" s="75" t="s">
        <v>154</v>
      </c>
      <c r="H28" s="85"/>
      <c r="I28" s="85"/>
      <c r="J28" s="85"/>
      <c r="K28" s="85"/>
      <c r="L28" s="85"/>
      <c r="M28" s="9"/>
    </row>
    <row r="29" spans="1:13" ht="18.5" x14ac:dyDescent="0.45">
      <c r="H29" s="86"/>
      <c r="I29" s="87"/>
      <c r="J29" s="87"/>
      <c r="K29" s="87"/>
      <c r="L29" s="87"/>
    </row>
    <row r="30" spans="1:13" ht="18.5" x14ac:dyDescent="0.45">
      <c r="A30" s="74"/>
      <c r="B30" s="74" t="s">
        <v>155</v>
      </c>
      <c r="C30" s="74"/>
      <c r="D30" s="74"/>
      <c r="E30" s="74"/>
      <c r="F30" s="74"/>
      <c r="G30" s="86"/>
      <c r="H30" s="80"/>
      <c r="I30" s="80"/>
      <c r="J30" s="80"/>
      <c r="K30" s="80"/>
      <c r="L30" s="80"/>
      <c r="M30" s="9"/>
    </row>
    <row r="31" spans="1:13" ht="14.5" x14ac:dyDescent="0.35">
      <c r="A31" s="74"/>
      <c r="B31" s="74" t="s">
        <v>156</v>
      </c>
      <c r="C31" s="74"/>
      <c r="D31" s="74"/>
      <c r="E31" s="74"/>
      <c r="F31" s="74"/>
      <c r="G31" s="74"/>
      <c r="I31" s="74"/>
      <c r="J31" s="74"/>
      <c r="K31" s="74"/>
      <c r="L31" s="80"/>
      <c r="M31" s="9"/>
    </row>
    <row r="32" spans="1:13" ht="15.5" x14ac:dyDescent="0.35">
      <c r="K32" s="82"/>
    </row>
    <row r="33" spans="1:12" ht="15.5" x14ac:dyDescent="0.35">
      <c r="A33" s="74"/>
      <c r="B33" s="74" t="s">
        <v>157</v>
      </c>
      <c r="C33" s="74"/>
      <c r="D33" s="74"/>
      <c r="E33" s="74"/>
      <c r="F33" s="74"/>
      <c r="G33" s="88"/>
      <c r="H33" s="89"/>
      <c r="I33" s="74"/>
      <c r="J33" s="74"/>
      <c r="K33" s="74"/>
      <c r="L33" s="74"/>
    </row>
    <row r="34" spans="1:12" ht="14.5" x14ac:dyDescent="0.35">
      <c r="B34" s="75" t="s">
        <v>158</v>
      </c>
      <c r="G34" s="76"/>
      <c r="H34" s="9"/>
    </row>
    <row r="35" spans="1:12" ht="14.5" x14ac:dyDescent="0.35">
      <c r="B35" s="75" t="s">
        <v>159</v>
      </c>
      <c r="G35" s="76"/>
      <c r="H35" s="9"/>
    </row>
    <row r="36" spans="1:12" x14ac:dyDescent="0.25">
      <c r="B36" s="75" t="s">
        <v>160</v>
      </c>
      <c r="G36" s="90"/>
    </row>
    <row r="37" spans="1:12" ht="14.5" x14ac:dyDescent="0.35">
      <c r="A37" s="74"/>
      <c r="B37" s="74" t="s">
        <v>161</v>
      </c>
      <c r="C37" s="74"/>
      <c r="D37" s="74"/>
      <c r="E37" s="74"/>
      <c r="F37" s="74"/>
      <c r="G37" s="88"/>
      <c r="H37" s="9"/>
      <c r="I37" s="74"/>
      <c r="J37" s="74"/>
      <c r="K37" s="74"/>
      <c r="L37" s="74"/>
    </row>
    <row r="38" spans="1:12" x14ac:dyDescent="0.25">
      <c r="B38" s="75" t="s">
        <v>162</v>
      </c>
      <c r="E38" s="91">
        <v>10000000</v>
      </c>
    </row>
    <row r="39" spans="1:12" ht="15.5" x14ac:dyDescent="0.35">
      <c r="B39" s="74" t="s">
        <v>163</v>
      </c>
      <c r="C39" s="74"/>
      <c r="D39" s="92"/>
      <c r="E39" s="82"/>
    </row>
    <row r="43" spans="1:12" ht="13" x14ac:dyDescent="0.3">
      <c r="E43" s="102"/>
      <c r="F43" s="102"/>
      <c r="G43" s="103" t="s">
        <v>164</v>
      </c>
      <c r="H43" s="103"/>
      <c r="I43" s="102"/>
      <c r="J43" s="102"/>
    </row>
    <row r="44" spans="1:12" x14ac:dyDescent="0.25">
      <c r="E44" s="102"/>
      <c r="F44" s="93">
        <f>D39</f>
        <v>0</v>
      </c>
      <c r="G44" s="104">
        <v>0.04</v>
      </c>
      <c r="H44" s="104">
        <v>0.05</v>
      </c>
      <c r="I44" s="104">
        <v>0.06</v>
      </c>
      <c r="J44" s="104">
        <v>7.0000000000000007E-2</v>
      </c>
    </row>
    <row r="45" spans="1:12" x14ac:dyDescent="0.25">
      <c r="E45" s="102"/>
      <c r="F45" s="104">
        <v>0.09</v>
      </c>
      <c r="G45" s="94"/>
      <c r="H45" s="94"/>
      <c r="I45" s="94"/>
      <c r="J45" s="94"/>
    </row>
    <row r="46" spans="1:12" ht="13" x14ac:dyDescent="0.3">
      <c r="E46" s="103" t="s">
        <v>148</v>
      </c>
      <c r="F46" s="105">
        <v>0.105</v>
      </c>
      <c r="G46" s="94"/>
      <c r="H46" s="94"/>
      <c r="I46" s="94"/>
      <c r="J46" s="94"/>
    </row>
    <row r="47" spans="1:12" x14ac:dyDescent="0.25">
      <c r="E47" s="102"/>
      <c r="F47" s="104">
        <v>0.11</v>
      </c>
      <c r="G47" s="94"/>
      <c r="H47" s="94"/>
      <c r="I47" s="94"/>
      <c r="J47" s="94"/>
    </row>
    <row r="48" spans="1:12" x14ac:dyDescent="0.25">
      <c r="E48" s="102"/>
      <c r="F48" s="104">
        <v>0.12</v>
      </c>
      <c r="G48" s="94"/>
      <c r="H48" s="94"/>
      <c r="I48" s="94"/>
      <c r="J48" s="94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</vt:lpstr>
      <vt:lpstr>Financial Model</vt:lpstr>
      <vt:lpstr>Sheet1</vt:lpstr>
      <vt:lpstr>Valuation</vt:lpstr>
      <vt:lpstr>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Shmuel Oluwa</dc:creator>
  <cp:lastModifiedBy>Shmuel Oluwa</cp:lastModifiedBy>
  <dcterms:created xsi:type="dcterms:W3CDTF">2017-05-21T22:00:10Z</dcterms:created>
  <dcterms:modified xsi:type="dcterms:W3CDTF">2024-02-12T10:31:44Z</dcterms:modified>
</cp:coreProperties>
</file>