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c65cee9b45e64e/Documents/SMO/FM BOOK BY SMO/"/>
    </mc:Choice>
  </mc:AlternateContent>
  <xr:revisionPtr revIDLastSave="0" documentId="14_{923AA4CC-3ACA-4670-9A95-4CFC6FD4C23C}" xr6:coauthVersionLast="43" xr6:coauthVersionMax="43" xr10:uidLastSave="{00000000-0000-0000-0000-000000000000}"/>
  <bookViews>
    <workbookView xWindow="890" yWindow="600" windowWidth="18310" windowHeight="10200" activeTab="1" xr2:uid="{00000000-000D-0000-FFFF-FFFF00000000}"/>
  </bookViews>
  <sheets>
    <sheet name="Cover" sheetId="9" r:id="rId1"/>
    <sheet name="Financial Model" sheetId="4" r:id="rId2"/>
    <sheet name="Valuation" sheetId="16" state="hidden" r:id="rId3"/>
    <sheet name="scenarios" sheetId="19" r:id="rId4"/>
    <sheet name="Sheet1" sheetId="17" r:id="rId5"/>
    <sheet name="comps" sheetId="18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a" localSheetId="2">#REF!</definedName>
    <definedName name="a">#REF!</definedName>
    <definedName name="aa" localSheetId="0">#REF!</definedName>
    <definedName name="aa" localSheetId="2">#REF!</definedName>
    <definedName name="aa">#REF!</definedName>
    <definedName name="abc" localSheetId="0">#REF!</definedName>
    <definedName name="abc" localSheetId="2">#REF!</definedName>
    <definedName name="abc">#REF!</definedName>
    <definedName name="Apr" localSheetId="0">'[1]Intersector Operator'!$C$11:$G$11</definedName>
    <definedName name="Apr">'[1]Intersector Operator'!$C$11:$G$11</definedName>
    <definedName name="BoomName" localSheetId="0">[1]VLOOKUP!$B$31:$B$39</definedName>
    <definedName name="BoomName">[1]VLOOKUP!$B$31:$B$39</definedName>
    <definedName name="CCF" localSheetId="0">#REF!</definedName>
    <definedName name="CCF" localSheetId="2">#REF!</definedName>
    <definedName name="CCF">#REF!</definedName>
    <definedName name="CCFNew" localSheetId="0">#REF!</definedName>
    <definedName name="CCFNew" localSheetId="2">#REF!</definedName>
    <definedName name="CCFNew">#REF!</definedName>
    <definedName name="Costs_per_Unit" localSheetId="0">#REF!</definedName>
    <definedName name="Costs_per_Unit" localSheetId="2">#REF!</definedName>
    <definedName name="Costs_per_Unit">#REF!</definedName>
    <definedName name="coy" localSheetId="2">[2]Assumptions!$B$1</definedName>
    <definedName name="coy">'Financial Model'!#REF!</definedName>
    <definedName name="_xlnm.Criteria" localSheetId="0">'[3]Any-Column Lookup'!#REF!</definedName>
    <definedName name="_xlnm.Criteria" localSheetId="2">'[3]Any-Column Lookup'!#REF!</definedName>
    <definedName name="_xlnm.Criteria">'[3]Any-Column Lookup'!#REF!</definedName>
    <definedName name="_xlnm.Database" localSheetId="0">#REF!</definedName>
    <definedName name="_xlnm.Database" localSheetId="2">#REF!</definedName>
    <definedName name="_xlnm.Database">#REF!</definedName>
    <definedName name="Dept03" localSheetId="0">'[1]Intersector Operator'!$E$8:$E$19</definedName>
    <definedName name="Dept03">'[1]Intersector Operator'!$E$8:$E$19</definedName>
    <definedName name="Dept04" localSheetId="0">'[1]Intersector Operator'!$F$8:$F$19</definedName>
    <definedName name="Dept04">'[1]Intersector Operator'!$F$8:$F$19</definedName>
    <definedName name="Fac" localSheetId="0">#REF!</definedName>
    <definedName name="Fac" localSheetId="2">#REF!</definedName>
    <definedName name="Fac">#REF!</definedName>
    <definedName name="FebSales" localSheetId="0">#REF!</definedName>
    <definedName name="FebSales" localSheetId="2">#REF!</definedName>
    <definedName name="FebSales">#REF!</definedName>
    <definedName name="iemr" localSheetId="0">#REF!</definedName>
    <definedName name="iemr" localSheetId="2">#REF!</definedName>
    <definedName name="iemr">#REF!</definedName>
    <definedName name="JanSales" localSheetId="0">#REF!</definedName>
    <definedName name="JanSales" localSheetId="2">#REF!</definedName>
    <definedName name="JanSales">#REF!</definedName>
    <definedName name="k" localSheetId="0">Cover!p</definedName>
    <definedName name="k" localSheetId="2">[4]!p</definedName>
    <definedName name="k">[4]!p</definedName>
    <definedName name="MarSales" localSheetId="0">#REF!</definedName>
    <definedName name="MarSales" localSheetId="2">#REF!</definedName>
    <definedName name="MarSales">#REF!</definedName>
    <definedName name="Max_CFA" localSheetId="0">#REF!</definedName>
    <definedName name="Max_CFA" localSheetId="2">#REF!</definedName>
    <definedName name="Max_CFA">#REF!</definedName>
    <definedName name="Max_FRMPRM" localSheetId="0">#REF!</definedName>
    <definedName name="Max_FRMPRM" localSheetId="2">#REF!</definedName>
    <definedName name="Max_FRMPRM">#REF!</definedName>
    <definedName name="May" localSheetId="0">'[1]Intersector Operator'!$C$12:$G$12</definedName>
    <definedName name="May">'[1]Intersector Operator'!$C$12:$G$12</definedName>
    <definedName name="NAME" localSheetId="0">[1]Table1!$A$1:$B$4</definedName>
    <definedName name="NAME">[1]Table1!$A$1:$B$4</definedName>
    <definedName name="NFB" localSheetId="0">#REF!</definedName>
    <definedName name="NFB" localSheetId="2">#REF!</definedName>
    <definedName name="NFB">#REF!</definedName>
    <definedName name="p" localSheetId="0">INDEX(#REF!,MATCH(#REF!,#REF!,0),1)</definedName>
    <definedName name="p" localSheetId="2">INDEX(#REF!,MATCH(#REF!,#REF!,0),1)</definedName>
    <definedName name="p">INDEX(#REF!,MATCH(#REF!,#REF!,0),1)</definedName>
    <definedName name="Pristine_Course" localSheetId="0">#REF!</definedName>
    <definedName name="Pristine_Course" localSheetId="2">#REF!</definedName>
    <definedName name="Pristine_Course">#REF!</definedName>
    <definedName name="Pristine_Month" localSheetId="0">'[5]D-I'!$K$3:$K$5</definedName>
    <definedName name="Pristine_Month">'[5]D-I'!$K$3:$K$5</definedName>
    <definedName name="Pristine_product" localSheetId="0">'[6]D-I'!$I$3:$I$6</definedName>
    <definedName name="Pristine_product">'[6]D-I'!$I$3:$I$6</definedName>
    <definedName name="pristine_region" localSheetId="0">'[6]D-I'!$G$3:$G$7</definedName>
    <definedName name="pristine_region">'[6]D-I'!$G$3:$G$7</definedName>
    <definedName name="product" localSheetId="0">#REF!</definedName>
    <definedName name="product" localSheetId="2">#REF!</definedName>
    <definedName name="product">#REF!</definedName>
    <definedName name="Product_Flex">OFFSET('[7]Dynamic Chart - Offset'!$A$2,,,'[7]Dynamic Chart - Offset'!$D$2,1)</definedName>
    <definedName name="Prov" localSheetId="0">#REF!</definedName>
    <definedName name="Prov" localSheetId="2">#REF!</definedName>
    <definedName name="Prov">#REF!</definedName>
    <definedName name="RAROC" localSheetId="0">#REF!</definedName>
    <definedName name="RAROC" localSheetId="2">#REF!</definedName>
    <definedName name="RAROC">#REF!</definedName>
    <definedName name="Rating" localSheetId="0">#REF!</definedName>
    <definedName name="Rating" localSheetId="2">#REF!</definedName>
    <definedName name="Rating">#REF!</definedName>
    <definedName name="region" localSheetId="0">#REF!</definedName>
    <definedName name="region" localSheetId="2">#REF!</definedName>
    <definedName name="region">#REF!</definedName>
    <definedName name="RR" localSheetId="0">#REF!</definedName>
    <definedName name="RR" localSheetId="2">#REF!</definedName>
    <definedName name="RR">#REF!</definedName>
    <definedName name="RW" localSheetId="0">#REF!</definedName>
    <definedName name="RW" localSheetId="2">#REF!</definedName>
    <definedName name="RW">#REF!</definedName>
    <definedName name="Sales_Flex">OFFSET('[7]Dynamic Chart - Offset'!$B$2,,,'[7]Dynamic Chart - Offset'!$D$2,1)</definedName>
    <definedName name="ss" localSheetId="0">#REF!</definedName>
    <definedName name="ss" localSheetId="2">#REF!</definedName>
    <definedName name="ss">#REF!</definedName>
    <definedName name="Tax" localSheetId="0">[1]VLOOKUP!$I$70:$M$77</definedName>
    <definedName name="Tax">[1]VLOOKUP!$I$70:$M$77</definedName>
    <definedName name="Tenor" localSheetId="0">#REF!</definedName>
    <definedName name="Tenor" localSheetId="2">#REF!</definedName>
    <definedName name="Tenor">#REF!</definedName>
    <definedName name="test" localSheetId="0">'[8]Scroll Bars and Spinners'!#REF!</definedName>
    <definedName name="test" localSheetId="2">'[8]Scroll Bars and Spinners'!#REF!</definedName>
    <definedName name="test">'[8]Scroll Bars and Spinners'!#REF!</definedName>
    <definedName name="TL" localSheetId="0">#REF!</definedName>
    <definedName name="TL" localSheetId="2">#REF!</definedName>
    <definedName name="TL">#REF!</definedName>
    <definedName name="Total_Costs" localSheetId="0">'[9]Break Even (Solver)'!$B$10:$C$10</definedName>
    <definedName name="Total_Costs">'[9]Break Even (Solver)'!$B$10:$C$10</definedName>
    <definedName name="Total_Revenue" localSheetId="0">#REF!</definedName>
    <definedName name="Total_Revenue" localSheetId="2">#REF!</definedName>
    <definedName name="Total_Revenue">#REF!</definedName>
    <definedName name="valuevx">42.314159</definedName>
    <definedName name="WC" localSheetId="0">#REF!</definedName>
    <definedName name="WC" localSheetId="2">#REF!</definedName>
    <definedName name="WC">#REF!</definedName>
    <definedName name="WCFB" localSheetId="0">#REF!</definedName>
    <definedName name="WCFB" localSheetId="2">#REF!</definedName>
    <definedName name="WCFB">#REF!</definedName>
    <definedName name="years" localSheetId="2">[2]Assumptions!$E$3:$L$3</definedName>
    <definedName name="years">'Financial Model'!$E$5:$N$5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7" i="4" l="1"/>
  <c r="J10" i="4"/>
  <c r="F23" i="19" l="1"/>
  <c r="G23" i="19"/>
  <c r="H23" i="19"/>
  <c r="I23" i="19"/>
  <c r="J23" i="19"/>
  <c r="K23" i="19"/>
  <c r="L23" i="19"/>
  <c r="M23" i="19"/>
  <c r="N23" i="19"/>
  <c r="I23" i="17" l="1"/>
  <c r="I22" i="17" a="1"/>
  <c r="I22" i="17" s="1"/>
  <c r="J21" i="4" l="1"/>
  <c r="K21" i="4"/>
  <c r="L21" i="4"/>
  <c r="M21" i="4"/>
  <c r="N21" i="4"/>
  <c r="F114" i="4"/>
  <c r="G114" i="4"/>
  <c r="H114" i="4"/>
  <c r="I114" i="4"/>
  <c r="J20" i="4"/>
  <c r="J19" i="4"/>
  <c r="F18" i="4"/>
  <c r="G18" i="4"/>
  <c r="H18" i="4"/>
  <c r="I18" i="4"/>
  <c r="F17" i="4"/>
  <c r="F16" i="4"/>
  <c r="G16" i="4"/>
  <c r="J82" i="4"/>
  <c r="E76" i="4"/>
  <c r="E81" i="4" s="1"/>
  <c r="F76" i="4"/>
  <c r="F81" i="4" s="1"/>
  <c r="H74" i="4"/>
  <c r="H76" i="4" s="1"/>
  <c r="H81" i="4" s="1"/>
  <c r="C285" i="4"/>
  <c r="C284" i="4"/>
  <c r="C283" i="4"/>
  <c r="J267" i="4"/>
  <c r="K267" i="4" s="1"/>
  <c r="L267" i="4" s="1"/>
  <c r="M267" i="4" s="1"/>
  <c r="J235" i="4"/>
  <c r="K235" i="4"/>
  <c r="L235" i="4"/>
  <c r="M235" i="4"/>
  <c r="N235" i="4"/>
  <c r="D241" i="4"/>
  <c r="D243" i="4"/>
  <c r="I259" i="4"/>
  <c r="H269" i="4"/>
  <c r="H271" i="4" s="1"/>
  <c r="H272" i="4" s="1"/>
  <c r="H17" i="4" l="1"/>
  <c r="D245" i="4"/>
  <c r="J252" i="4" s="1"/>
  <c r="F36" i="18"/>
  <c r="D48" i="18" s="1"/>
  <c r="E36" i="18"/>
  <c r="D44" i="18" s="1"/>
  <c r="D36" i="18"/>
  <c r="D40" i="18" s="1"/>
  <c r="F35" i="18"/>
  <c r="E35" i="18"/>
  <c r="D35" i="18"/>
  <c r="C2" i="18"/>
  <c r="G16" i="18"/>
  <c r="D25" i="18" s="1"/>
  <c r="F16" i="18"/>
  <c r="D22" i="18" s="1"/>
  <c r="E16" i="18"/>
  <c r="D19" i="18" s="1"/>
  <c r="G15" i="18"/>
  <c r="F15" i="18"/>
  <c r="E15" i="18"/>
  <c r="K252" i="4" l="1"/>
  <c r="L252" i="4"/>
  <c r="N252" i="4"/>
  <c r="M252" i="4"/>
  <c r="K82" i="4"/>
  <c r="L82" i="4" s="1"/>
  <c r="M82" i="4" s="1"/>
  <c r="N82" i="4" s="1"/>
  <c r="I74" i="4"/>
  <c r="J18" i="17"/>
  <c r="H47" i="4"/>
  <c r="I122" i="4"/>
  <c r="J113" i="4"/>
  <c r="I113" i="4"/>
  <c r="J112" i="4"/>
  <c r="I112" i="4"/>
  <c r="I99" i="4"/>
  <c r="I100" i="4"/>
  <c r="I207" i="4"/>
  <c r="I139" i="4"/>
  <c r="I155" i="4" s="1"/>
  <c r="J139" i="4"/>
  <c r="J155" i="4" s="1"/>
  <c r="K139" i="4"/>
  <c r="K155" i="4" s="1"/>
  <c r="L139" i="4"/>
  <c r="L155" i="4" s="1"/>
  <c r="M139" i="4"/>
  <c r="M155" i="4" s="1"/>
  <c r="N139" i="4"/>
  <c r="N155" i="4" s="1"/>
  <c r="I171" i="4"/>
  <c r="J171" i="4"/>
  <c r="K171" i="4"/>
  <c r="L171" i="4"/>
  <c r="M171" i="4"/>
  <c r="N171" i="4"/>
  <c r="I176" i="4"/>
  <c r="J176" i="4"/>
  <c r="K176" i="4"/>
  <c r="L176" i="4"/>
  <c r="M176" i="4"/>
  <c r="N176" i="4"/>
  <c r="I201" i="4"/>
  <c r="I208" i="4"/>
  <c r="I209" i="4"/>
  <c r="I210" i="4"/>
  <c r="I184" i="4"/>
  <c r="J184" i="4"/>
  <c r="K184" i="4"/>
  <c r="L184" i="4"/>
  <c r="M184" i="4"/>
  <c r="N184" i="4"/>
  <c r="J44" i="4"/>
  <c r="J114" i="4" s="1"/>
  <c r="K19" i="4"/>
  <c r="K44" i="4" s="1"/>
  <c r="L19" i="4"/>
  <c r="L44" i="4" s="1"/>
  <c r="M19" i="4"/>
  <c r="M44" i="4" s="1"/>
  <c r="N19" i="4"/>
  <c r="N44" i="4" s="1"/>
  <c r="J62" i="4"/>
  <c r="K20" i="4"/>
  <c r="K62" i="4" s="1"/>
  <c r="L20" i="4"/>
  <c r="L62" i="4" s="1"/>
  <c r="M20" i="4"/>
  <c r="M62" i="4" s="1"/>
  <c r="N20" i="4"/>
  <c r="N62" i="4" s="1"/>
  <c r="J83" i="4"/>
  <c r="K83" i="4"/>
  <c r="L83" i="4"/>
  <c r="M83" i="4"/>
  <c r="N83" i="4"/>
  <c r="I28" i="4"/>
  <c r="J28" i="4"/>
  <c r="K28" i="4"/>
  <c r="L28" i="4"/>
  <c r="M28" i="4"/>
  <c r="N28" i="4"/>
  <c r="I17" i="4" l="1"/>
  <c r="H16" i="4"/>
  <c r="I16" i="4"/>
  <c r="I76" i="4"/>
  <c r="I81" i="4" s="1"/>
  <c r="I85" i="4" s="1"/>
  <c r="I87" i="4" s="1"/>
  <c r="J74" i="4"/>
  <c r="K114" i="4"/>
  <c r="J111" i="4"/>
  <c r="J115" i="4" s="1"/>
  <c r="I111" i="4"/>
  <c r="I115" i="4" s="1"/>
  <c r="I45" i="4"/>
  <c r="N10" i="4"/>
  <c r="L10" i="4"/>
  <c r="K10" i="4"/>
  <c r="M10" i="4"/>
  <c r="K74" i="4" l="1"/>
  <c r="L74" i="4" s="1"/>
  <c r="M74" i="4" s="1"/>
  <c r="N74" i="4" s="1"/>
  <c r="J201" i="4"/>
  <c r="E19" i="18"/>
  <c r="F19" i="18" s="1"/>
  <c r="E40" i="18"/>
  <c r="F40" i="18" s="1"/>
  <c r="I92" i="4"/>
  <c r="I98" i="4" s="1"/>
  <c r="I197" i="4"/>
  <c r="I223" i="4"/>
  <c r="I196" i="4"/>
  <c r="K201" i="4" l="1"/>
  <c r="I198" i="4"/>
  <c r="I190" i="4"/>
  <c r="L201" i="4" l="1"/>
  <c r="N201" i="4" l="1"/>
  <c r="M201" i="4"/>
  <c r="D9" i="17" l="1"/>
  <c r="D13" i="17"/>
  <c r="A11" i="17"/>
  <c r="E6" i="17"/>
  <c r="F6" i="17" s="1"/>
  <c r="G6" i="17" s="1"/>
  <c r="H6" i="17" s="1"/>
  <c r="I6" i="17" s="1"/>
  <c r="J6" i="17" s="1"/>
  <c r="K6" i="17" s="1"/>
  <c r="L6" i="17" s="1"/>
  <c r="M6" i="17" s="1"/>
  <c r="N6" i="17" s="1"/>
  <c r="O6" i="17" s="1"/>
  <c r="E7" i="17"/>
  <c r="F7" i="17" s="1"/>
  <c r="G7" i="17" s="1"/>
  <c r="H7" i="17" s="1"/>
  <c r="I7" i="17" s="1"/>
  <c r="J7" i="17" s="1"/>
  <c r="K7" i="17" s="1"/>
  <c r="L7" i="17" s="1"/>
  <c r="M7" i="17" s="1"/>
  <c r="N7" i="17" s="1"/>
  <c r="O7" i="17" s="1"/>
  <c r="E8" i="17"/>
  <c r="P8" i="17" s="1"/>
  <c r="F8" i="17"/>
  <c r="G8" i="17" s="1"/>
  <c r="H8" i="17" s="1"/>
  <c r="I8" i="17" s="1"/>
  <c r="J8" i="17" s="1"/>
  <c r="K8" i="17" s="1"/>
  <c r="L8" i="17" s="1"/>
  <c r="M8" i="17" s="1"/>
  <c r="N8" i="17" s="1"/>
  <c r="O8" i="17" s="1"/>
  <c r="E5" i="17"/>
  <c r="F5" i="17" s="1"/>
  <c r="G5" i="17" s="1"/>
  <c r="H5" i="17" s="1"/>
  <c r="I5" i="17" s="1"/>
  <c r="J5" i="17" s="1"/>
  <c r="K5" i="17" s="1"/>
  <c r="L5" i="17" s="1"/>
  <c r="M5" i="17" s="1"/>
  <c r="N5" i="17" s="1"/>
  <c r="O5" i="17" s="1"/>
  <c r="E4" i="17"/>
  <c r="F4" i="17" s="1"/>
  <c r="F13" i="17"/>
  <c r="G4" i="17" l="1"/>
  <c r="F9" i="17"/>
  <c r="P6" i="17"/>
  <c r="P5" i="17"/>
  <c r="E9" i="17"/>
  <c r="P7" i="17"/>
  <c r="G66" i="4"/>
  <c r="H4" i="17" l="1"/>
  <c r="G9" i="17"/>
  <c r="F201" i="4"/>
  <c r="G201" i="4"/>
  <c r="E207" i="4"/>
  <c r="F207" i="4"/>
  <c r="E208" i="4"/>
  <c r="F208" i="4"/>
  <c r="G208" i="4"/>
  <c r="E209" i="4"/>
  <c r="F209" i="4"/>
  <c r="G209" i="4"/>
  <c r="E210" i="4"/>
  <c r="F210" i="4"/>
  <c r="G210" i="4"/>
  <c r="E184" i="4"/>
  <c r="F184" i="4"/>
  <c r="G184" i="4"/>
  <c r="H184" i="4"/>
  <c r="E171" i="4"/>
  <c r="F171" i="4"/>
  <c r="G171" i="4"/>
  <c r="H171" i="4"/>
  <c r="D172" i="4"/>
  <c r="D173" i="4"/>
  <c r="E176" i="4"/>
  <c r="F176" i="4"/>
  <c r="G176" i="4"/>
  <c r="H176" i="4"/>
  <c r="F139" i="4"/>
  <c r="F155" i="4" s="1"/>
  <c r="G139" i="4"/>
  <c r="G155" i="4" s="1"/>
  <c r="F99" i="4"/>
  <c r="G99" i="4"/>
  <c r="F100" i="4"/>
  <c r="G100" i="4"/>
  <c r="F103" i="4"/>
  <c r="G103" i="4"/>
  <c r="F104" i="4"/>
  <c r="G104" i="4"/>
  <c r="F105" i="4"/>
  <c r="G105" i="4"/>
  <c r="F122" i="4"/>
  <c r="G122" i="4"/>
  <c r="F128" i="4"/>
  <c r="E85" i="4"/>
  <c r="F85" i="4"/>
  <c r="E45" i="4"/>
  <c r="F45" i="4"/>
  <c r="G45" i="4"/>
  <c r="E50" i="4"/>
  <c r="F50" i="4"/>
  <c r="G50" i="4"/>
  <c r="E54" i="4"/>
  <c r="F54" i="4"/>
  <c r="G54" i="4"/>
  <c r="F61" i="4"/>
  <c r="G61" i="4" s="1"/>
  <c r="G63" i="4" s="1"/>
  <c r="E63" i="4"/>
  <c r="E67" i="4"/>
  <c r="F67" i="4"/>
  <c r="G67" i="4"/>
  <c r="E92" i="4" l="1"/>
  <c r="E190" i="4" s="1"/>
  <c r="E191" i="4" s="1"/>
  <c r="F189" i="4" s="1"/>
  <c r="E87" i="4"/>
  <c r="F92" i="4"/>
  <c r="F98" i="4" s="1"/>
  <c r="F87" i="4"/>
  <c r="I143" i="4"/>
  <c r="J143" i="4"/>
  <c r="L143" i="4"/>
  <c r="K143" i="4"/>
  <c r="M143" i="4"/>
  <c r="N143" i="4"/>
  <c r="I172" i="4"/>
  <c r="I120" i="4" s="1"/>
  <c r="I123" i="4" s="1"/>
  <c r="L172" i="4"/>
  <c r="J172" i="4"/>
  <c r="J120" i="4" s="1"/>
  <c r="K172" i="4"/>
  <c r="K120" i="4" s="1"/>
  <c r="M172" i="4"/>
  <c r="N172" i="4"/>
  <c r="K146" i="4"/>
  <c r="J146" i="4"/>
  <c r="L146" i="4"/>
  <c r="N146" i="4"/>
  <c r="M146" i="4"/>
  <c r="I146" i="4"/>
  <c r="I4" i="17"/>
  <c r="H9" i="17"/>
  <c r="F143" i="4"/>
  <c r="F151" i="4" s="1"/>
  <c r="F161" i="4" s="1"/>
  <c r="E221" i="4"/>
  <c r="E197" i="4"/>
  <c r="G213" i="4"/>
  <c r="F213" i="4"/>
  <c r="E213" i="4"/>
  <c r="E222" i="4"/>
  <c r="G221" i="4"/>
  <c r="F223" i="4"/>
  <c r="F196" i="4"/>
  <c r="E196" i="4"/>
  <c r="E223" i="4"/>
  <c r="F197" i="4"/>
  <c r="H143" i="4"/>
  <c r="G143" i="4"/>
  <c r="G151" i="4" s="1"/>
  <c r="G161" i="4" s="1"/>
  <c r="F202" i="4"/>
  <c r="G207" i="4"/>
  <c r="F203" i="4"/>
  <c r="F172" i="4"/>
  <c r="E174" i="4"/>
  <c r="H172" i="4"/>
  <c r="G172" i="4"/>
  <c r="E143" i="4"/>
  <c r="E151" i="4" s="1"/>
  <c r="E161" i="4" s="1"/>
  <c r="E162" i="4" s="1"/>
  <c r="F160" i="4" s="1"/>
  <c r="H155" i="4"/>
  <c r="H146" i="4"/>
  <c r="E155" i="4"/>
  <c r="E157" i="4" s="1"/>
  <c r="E69" i="4"/>
  <c r="F56" i="4"/>
  <c r="F58" i="4" s="1"/>
  <c r="F63" i="4"/>
  <c r="G69" i="4"/>
  <c r="G106" i="4"/>
  <c r="G56" i="4"/>
  <c r="G58" i="4" s="1"/>
  <c r="F106" i="4"/>
  <c r="E56" i="4"/>
  <c r="E58" i="4" s="1"/>
  <c r="G74" i="4"/>
  <c r="H119" i="4"/>
  <c r="K119" i="4"/>
  <c r="L119" i="4"/>
  <c r="M119" i="4"/>
  <c r="N119" i="4"/>
  <c r="E28" i="4"/>
  <c r="E183" i="4" s="1"/>
  <c r="E185" i="4" s="1"/>
  <c r="F28" i="4"/>
  <c r="F183" i="4" s="1"/>
  <c r="F185" i="4" s="1"/>
  <c r="G28" i="4"/>
  <c r="G183" i="4" s="1"/>
  <c r="G185" i="4" s="1"/>
  <c r="H183" i="4" s="1"/>
  <c r="H185" i="4" s="1"/>
  <c r="I183" i="4" s="1"/>
  <c r="I185" i="4" s="1"/>
  <c r="H28" i="4"/>
  <c r="F111" i="4"/>
  <c r="F115" i="4" s="1"/>
  <c r="G111" i="4"/>
  <c r="G115" i="4" s="1"/>
  <c r="H111" i="4"/>
  <c r="L111" i="4"/>
  <c r="N111" i="4"/>
  <c r="F119" i="4"/>
  <c r="G119" i="4"/>
  <c r="G17" i="4" l="1"/>
  <c r="N14" i="4"/>
  <c r="M13" i="4"/>
  <c r="M12" i="4"/>
  <c r="M77" i="4" s="1"/>
  <c r="M208" i="4" s="1"/>
  <c r="N12" i="4"/>
  <c r="M14" i="4"/>
  <c r="N13" i="4"/>
  <c r="N78" i="4" s="1"/>
  <c r="N209" i="4" s="1"/>
  <c r="J13" i="4"/>
  <c r="L14" i="4"/>
  <c r="J12" i="4"/>
  <c r="L12" i="4"/>
  <c r="L13" i="4"/>
  <c r="K14" i="4"/>
  <c r="K12" i="4"/>
  <c r="J14" i="4"/>
  <c r="K13" i="4"/>
  <c r="G76" i="4"/>
  <c r="G81" i="4" s="1"/>
  <c r="G85" i="4" s="1"/>
  <c r="G87" i="4" s="1"/>
  <c r="F190" i="4"/>
  <c r="F191" i="4" s="1"/>
  <c r="G189" i="4" s="1"/>
  <c r="F108" i="4"/>
  <c r="F216" i="4"/>
  <c r="E198" i="4"/>
  <c r="F204" i="4"/>
  <c r="F198" i="4"/>
  <c r="L151" i="4"/>
  <c r="L233" i="4" s="1"/>
  <c r="K151" i="4"/>
  <c r="I151" i="4"/>
  <c r="I161" i="4" s="1"/>
  <c r="J183" i="4"/>
  <c r="J185" i="4" s="1"/>
  <c r="I65" i="4"/>
  <c r="N151" i="4"/>
  <c r="N233" i="4" s="1"/>
  <c r="M151" i="4"/>
  <c r="M233" i="4" s="1"/>
  <c r="J151" i="4"/>
  <c r="J233" i="4" s="1"/>
  <c r="J4" i="17"/>
  <c r="I9" i="17"/>
  <c r="F162" i="4"/>
  <c r="G160" i="4" s="1"/>
  <c r="G162" i="4" s="1"/>
  <c r="H160" i="4" s="1"/>
  <c r="F218" i="4"/>
  <c r="H151" i="4"/>
  <c r="F69" i="4"/>
  <c r="F221" i="4"/>
  <c r="F222" i="4"/>
  <c r="F170" i="4"/>
  <c r="F174" i="4" s="1"/>
  <c r="F177" i="4" s="1"/>
  <c r="E177" i="4"/>
  <c r="E164" i="4"/>
  <c r="F154" i="4"/>
  <c r="F157" i="4" s="1"/>
  <c r="G3" i="4"/>
  <c r="E3" i="4"/>
  <c r="M111" i="4"/>
  <c r="K111" i="4"/>
  <c r="K115" i="4" s="1"/>
  <c r="H65" i="4"/>
  <c r="F120" i="4"/>
  <c r="F123" i="4" s="1"/>
  <c r="H120" i="4"/>
  <c r="G120" i="4"/>
  <c r="G123" i="4" s="1"/>
  <c r="G92" i="4" l="1"/>
  <c r="G98" i="4" s="1"/>
  <c r="G108" i="4" s="1"/>
  <c r="G125" i="4" s="1"/>
  <c r="G129" i="4" s="1"/>
  <c r="G196" i="4"/>
  <c r="G203" i="4"/>
  <c r="G197" i="4"/>
  <c r="G222" i="4"/>
  <c r="G202" i="4"/>
  <c r="G223" i="4"/>
  <c r="F125" i="4"/>
  <c r="F129" i="4" s="1"/>
  <c r="F130" i="4" s="1"/>
  <c r="G128" i="4" s="1"/>
  <c r="K79" i="4"/>
  <c r="K99" i="4" s="1"/>
  <c r="K233" i="4"/>
  <c r="K161" i="4"/>
  <c r="L79" i="4"/>
  <c r="L99" i="4" s="1"/>
  <c r="L161" i="4"/>
  <c r="K78" i="4"/>
  <c r="K209" i="4" s="1"/>
  <c r="L78" i="4"/>
  <c r="L209" i="4" s="1"/>
  <c r="K183" i="4"/>
  <c r="K185" i="4" s="1"/>
  <c r="J65" i="4"/>
  <c r="J78" i="4"/>
  <c r="J209" i="4" s="1"/>
  <c r="K77" i="4"/>
  <c r="K208" i="4" s="1"/>
  <c r="M78" i="4"/>
  <c r="M209" i="4" s="1"/>
  <c r="J161" i="4"/>
  <c r="J79" i="4"/>
  <c r="J99" i="4" s="1"/>
  <c r="J77" i="4"/>
  <c r="J208" i="4" s="1"/>
  <c r="M161" i="4"/>
  <c r="M79" i="4"/>
  <c r="M99" i="4" s="1"/>
  <c r="L77" i="4"/>
  <c r="L208" i="4" s="1"/>
  <c r="N77" i="4"/>
  <c r="N208" i="4" s="1"/>
  <c r="N161" i="4"/>
  <c r="N79" i="4"/>
  <c r="N99" i="4" s="1"/>
  <c r="K4" i="17"/>
  <c r="J9" i="17"/>
  <c r="H161" i="4"/>
  <c r="H162" i="4" s="1"/>
  <c r="I160" i="4" s="1"/>
  <c r="I162" i="4" s="1"/>
  <c r="J160" i="4" s="1"/>
  <c r="F217" i="4"/>
  <c r="H99" i="4"/>
  <c r="F3" i="4"/>
  <c r="H201" i="4"/>
  <c r="H207" i="4"/>
  <c r="G170" i="4"/>
  <c r="G174" i="4" s="1"/>
  <c r="F164" i="4"/>
  <c r="G154" i="4"/>
  <c r="G157" i="4" s="1"/>
  <c r="M120" i="4"/>
  <c r="M114" i="4"/>
  <c r="M115" i="4" s="1"/>
  <c r="N120" i="4"/>
  <c r="L120" i="4"/>
  <c r="N114" i="4"/>
  <c r="N115" i="4" s="1"/>
  <c r="H115" i="4"/>
  <c r="H209" i="4"/>
  <c r="G216" i="4" l="1"/>
  <c r="G204" i="4"/>
  <c r="G217" i="4"/>
  <c r="G198" i="4"/>
  <c r="G218" i="4"/>
  <c r="G190" i="4"/>
  <c r="G191" i="4" s="1"/>
  <c r="H189" i="4" s="1"/>
  <c r="G130" i="4"/>
  <c r="H128" i="4" s="1"/>
  <c r="J162" i="4"/>
  <c r="K160" i="4" s="1"/>
  <c r="K162" i="4" s="1"/>
  <c r="L160" i="4" s="1"/>
  <c r="L162" i="4" s="1"/>
  <c r="M160" i="4" s="1"/>
  <c r="M162" i="4" s="1"/>
  <c r="N160" i="4" s="1"/>
  <c r="N162" i="4" s="1"/>
  <c r="L183" i="4"/>
  <c r="L185" i="4" s="1"/>
  <c r="K65" i="4"/>
  <c r="H210" i="4"/>
  <c r="J80" i="4"/>
  <c r="J210" i="4" s="1"/>
  <c r="N80" i="4"/>
  <c r="N210" i="4" s="1"/>
  <c r="K80" i="4"/>
  <c r="K210" i="4" s="1"/>
  <c r="L80" i="4"/>
  <c r="L210" i="4" s="1"/>
  <c r="M80" i="4"/>
  <c r="M210" i="4" s="1"/>
  <c r="L4" i="17"/>
  <c r="K9" i="17"/>
  <c r="H170" i="4"/>
  <c r="H174" i="4" s="1"/>
  <c r="G177" i="4"/>
  <c r="G164" i="4"/>
  <c r="H154" i="4"/>
  <c r="H157" i="4" s="1"/>
  <c r="I154" i="4" s="1"/>
  <c r="I157" i="4" s="1"/>
  <c r="L114" i="4"/>
  <c r="L115" i="4" s="1"/>
  <c r="J154" i="4" l="1"/>
  <c r="J157" i="4" s="1"/>
  <c r="I164" i="4"/>
  <c r="M183" i="4"/>
  <c r="M185" i="4" s="1"/>
  <c r="L65" i="4"/>
  <c r="I170" i="4"/>
  <c r="I174" i="4" s="1"/>
  <c r="I177" i="4" s="1"/>
  <c r="M4" i="17"/>
  <c r="L9" i="17"/>
  <c r="H177" i="4"/>
  <c r="H164" i="4"/>
  <c r="H45" i="4" s="1"/>
  <c r="H61" i="4"/>
  <c r="H63" i="4" s="1"/>
  <c r="K154" i="4" l="1"/>
  <c r="K157" i="4" s="1"/>
  <c r="J164" i="4"/>
  <c r="J43" i="4" s="1"/>
  <c r="J45" i="4" s="1"/>
  <c r="N183" i="4"/>
  <c r="N185" i="4" s="1"/>
  <c r="N65" i="4" s="1"/>
  <c r="M65" i="4"/>
  <c r="I61" i="4"/>
  <c r="I63" i="4" s="1"/>
  <c r="I258" i="4" s="1"/>
  <c r="J170" i="4"/>
  <c r="J174" i="4" s="1"/>
  <c r="N4" i="17"/>
  <c r="M9" i="17"/>
  <c r="H122" i="4"/>
  <c r="H123" i="4" s="1"/>
  <c r="G19" i="18" l="1"/>
  <c r="H19" i="18" s="1"/>
  <c r="I19" i="18" s="1"/>
  <c r="G44" i="18"/>
  <c r="G40" i="18"/>
  <c r="H40" i="18" s="1"/>
  <c r="I40" i="18" s="1"/>
  <c r="G22" i="18"/>
  <c r="I222" i="4"/>
  <c r="J61" i="4"/>
  <c r="J63" i="4" s="1"/>
  <c r="K170" i="4"/>
  <c r="K174" i="4" s="1"/>
  <c r="K177" i="4" s="1"/>
  <c r="K86" i="4" s="1"/>
  <c r="J177" i="4"/>
  <c r="J86" i="4" s="1"/>
  <c r="L154" i="4"/>
  <c r="L157" i="4" s="1"/>
  <c r="K164" i="4"/>
  <c r="K43" i="4" s="1"/>
  <c r="K45" i="4" s="1"/>
  <c r="O4" i="17"/>
  <c r="N9" i="17"/>
  <c r="H100" i="4"/>
  <c r="H85" i="4"/>
  <c r="H87" i="4" s="1"/>
  <c r="J100" i="4" l="1"/>
  <c r="J122" i="4"/>
  <c r="J123" i="4" s="1"/>
  <c r="K100" i="4"/>
  <c r="K122" i="4"/>
  <c r="K123" i="4" s="1"/>
  <c r="M154" i="4"/>
  <c r="M157" i="4" s="1"/>
  <c r="L164" i="4"/>
  <c r="L43" i="4" s="1"/>
  <c r="L45" i="4" s="1"/>
  <c r="K61" i="4"/>
  <c r="K63" i="4" s="1"/>
  <c r="L170" i="4"/>
  <c r="L174" i="4" s="1"/>
  <c r="L177" i="4" s="1"/>
  <c r="L86" i="4" s="1"/>
  <c r="L100" i="4" s="1"/>
  <c r="I203" i="4"/>
  <c r="I202" i="4"/>
  <c r="O9" i="17"/>
  <c r="P9" i="17" s="1"/>
  <c r="P4" i="17"/>
  <c r="H92" i="4"/>
  <c r="H196" i="4"/>
  <c r="H197" i="4"/>
  <c r="H223" i="4"/>
  <c r="H203" i="4"/>
  <c r="H202" i="4"/>
  <c r="H222" i="4"/>
  <c r="L61" i="4" l="1"/>
  <c r="L63" i="4" s="1"/>
  <c r="M170" i="4"/>
  <c r="M174" i="4" s="1"/>
  <c r="M164" i="4"/>
  <c r="M43" i="4" s="1"/>
  <c r="M45" i="4" s="1"/>
  <c r="N154" i="4"/>
  <c r="N157" i="4" s="1"/>
  <c r="N164" i="4" s="1"/>
  <c r="N43" i="4" s="1"/>
  <c r="N45" i="4" s="1"/>
  <c r="I204" i="4"/>
  <c r="H198" i="4"/>
  <c r="H204" i="4"/>
  <c r="H190" i="4"/>
  <c r="H191" i="4" s="1"/>
  <c r="I189" i="4" s="1"/>
  <c r="I191" i="4" s="1"/>
  <c r="H98" i="4"/>
  <c r="L122" i="4"/>
  <c r="L123" i="4" s="1"/>
  <c r="M177" i="4" l="1"/>
  <c r="M86" i="4" s="1"/>
  <c r="M61" i="4"/>
  <c r="M63" i="4" s="1"/>
  <c r="N170" i="4"/>
  <c r="N174" i="4" s="1"/>
  <c r="I66" i="4"/>
  <c r="I67" i="4" s="1"/>
  <c r="J189" i="4"/>
  <c r="H66" i="4"/>
  <c r="H67" i="4" s="1"/>
  <c r="I216" i="4" l="1"/>
  <c r="N177" i="4"/>
  <c r="N86" i="4" s="1"/>
  <c r="N100" i="4" s="1"/>
  <c r="N61" i="4"/>
  <c r="N63" i="4" s="1"/>
  <c r="M100" i="4"/>
  <c r="M122" i="4"/>
  <c r="M123" i="4" s="1"/>
  <c r="I221" i="4"/>
  <c r="I69" i="4"/>
  <c r="H69" i="4"/>
  <c r="H221" i="4"/>
  <c r="H216" i="4"/>
  <c r="I217" i="4" l="1"/>
  <c r="H217" i="4"/>
  <c r="N122" i="4"/>
  <c r="N123" i="4" s="1"/>
  <c r="H105" i="4" l="1"/>
  <c r="H104" i="4"/>
  <c r="H50" i="4"/>
  <c r="I54" i="4"/>
  <c r="I103" i="4"/>
  <c r="H54" i="4"/>
  <c r="H103" i="4"/>
  <c r="H213" i="4" l="1"/>
  <c r="J17" i="4"/>
  <c r="J48" i="4" s="1"/>
  <c r="K17" i="4"/>
  <c r="L17" i="4"/>
  <c r="M17" i="4"/>
  <c r="N17" i="4"/>
  <c r="M16" i="4"/>
  <c r="N16" i="4"/>
  <c r="J16" i="4"/>
  <c r="L16" i="4"/>
  <c r="K16" i="4"/>
  <c r="M18" i="4"/>
  <c r="J18" i="4"/>
  <c r="L18" i="4"/>
  <c r="N18" i="4"/>
  <c r="K18" i="4"/>
  <c r="H56" i="4"/>
  <c r="H58" i="4" s="1"/>
  <c r="H3" i="4" s="1"/>
  <c r="H106" i="4"/>
  <c r="H108" i="4" s="1"/>
  <c r="H125" i="4" s="1"/>
  <c r="H129" i="4" s="1"/>
  <c r="H130" i="4" s="1"/>
  <c r="I128" i="4" s="1"/>
  <c r="K48" i="4" l="1"/>
  <c r="L48" i="4" s="1"/>
  <c r="M48" i="4" s="1"/>
  <c r="N48" i="4" s="1"/>
  <c r="H218" i="4"/>
  <c r="I105" i="4"/>
  <c r="I104" i="4"/>
  <c r="J105" i="4"/>
  <c r="I50" i="4"/>
  <c r="I213" i="4" s="1"/>
  <c r="I106" i="4" l="1"/>
  <c r="I108" i="4" s="1"/>
  <c r="I125" i="4" s="1"/>
  <c r="I129" i="4" s="1"/>
  <c r="I130" i="4" s="1"/>
  <c r="J128" i="4" s="1"/>
  <c r="I56" i="4"/>
  <c r="I58" i="4" s="1"/>
  <c r="I3" i="4" s="1"/>
  <c r="I218" i="4" l="1"/>
  <c r="K105" i="4"/>
  <c r="L105" i="4" l="1"/>
  <c r="M105" i="4" l="1"/>
  <c r="N105" i="4" l="1"/>
  <c r="H208" i="4" l="1"/>
  <c r="M11" i="4" l="1"/>
  <c r="K11" i="4"/>
  <c r="J11" i="4"/>
  <c r="N11" i="4"/>
  <c r="L11" i="4"/>
  <c r="J75" i="4" l="1"/>
  <c r="J47" i="4" l="1"/>
  <c r="J52" i="4"/>
  <c r="K75" i="4"/>
  <c r="J76" i="4"/>
  <c r="K47" i="4" l="1"/>
  <c r="K52" i="4"/>
  <c r="L75" i="4"/>
  <c r="K76" i="4"/>
  <c r="K81" i="4" s="1"/>
  <c r="J207" i="4"/>
  <c r="J81" i="4"/>
  <c r="J85" i="4" s="1"/>
  <c r="J103" i="4"/>
  <c r="J104" i="4"/>
  <c r="K207" i="4"/>
  <c r="L207" i="4"/>
  <c r="L47" i="4" l="1"/>
  <c r="L104" i="4" s="1"/>
  <c r="K85" i="4"/>
  <c r="K90" i="4" s="1"/>
  <c r="K92" i="4" s="1"/>
  <c r="L52" i="4"/>
  <c r="M75" i="4"/>
  <c r="L76" i="4"/>
  <c r="L81" i="4" s="1"/>
  <c r="K103" i="4"/>
  <c r="J106" i="4"/>
  <c r="J234" i="4" s="1"/>
  <c r="E44" i="18"/>
  <c r="F44" i="18" s="1"/>
  <c r="H44" i="18" s="1"/>
  <c r="I44" i="18" s="1"/>
  <c r="J230" i="4"/>
  <c r="J232" i="4" s="1"/>
  <c r="J90" i="4"/>
  <c r="J92" i="4" s="1"/>
  <c r="J223" i="4"/>
  <c r="J202" i="4"/>
  <c r="E22" i="18"/>
  <c r="F22" i="18" s="1"/>
  <c r="H22" i="18" s="1"/>
  <c r="I22" i="18" s="1"/>
  <c r="J203" i="4"/>
  <c r="J196" i="4"/>
  <c r="J197" i="4"/>
  <c r="J87" i="4"/>
  <c r="J222" i="4"/>
  <c r="M207" i="4"/>
  <c r="N207" i="4"/>
  <c r="M47" i="4" l="1"/>
  <c r="M104" i="4" s="1"/>
  <c r="K203" i="4"/>
  <c r="K202" i="4"/>
  <c r="K222" i="4"/>
  <c r="K223" i="4"/>
  <c r="K230" i="4"/>
  <c r="K232" i="4" s="1"/>
  <c r="K87" i="4"/>
  <c r="K196" i="4"/>
  <c r="K190" i="4"/>
  <c r="K198" i="4"/>
  <c r="K98" i="4"/>
  <c r="L85" i="4"/>
  <c r="L230" i="4" s="1"/>
  <c r="L232" i="4" s="1"/>
  <c r="K204" i="4"/>
  <c r="K197" i="4"/>
  <c r="M52" i="4"/>
  <c r="N75" i="4"/>
  <c r="N76" i="4" s="1"/>
  <c r="N81" i="4" s="1"/>
  <c r="M76" i="4"/>
  <c r="M81" i="4" s="1"/>
  <c r="M85" i="4" s="1"/>
  <c r="K104" i="4"/>
  <c r="K106" i="4" s="1"/>
  <c r="K234" i="4" s="1"/>
  <c r="L103" i="4"/>
  <c r="L106" i="4" s="1"/>
  <c r="L234" i="4" s="1"/>
  <c r="J236" i="4"/>
  <c r="J254" i="4" s="1"/>
  <c r="E48" i="18"/>
  <c r="F48" i="18" s="1"/>
  <c r="G48" i="18" s="1"/>
  <c r="J98" i="4"/>
  <c r="J108" i="4" s="1"/>
  <c r="J125" i="4" s="1"/>
  <c r="J129" i="4" s="1"/>
  <c r="J130" i="4" s="1"/>
  <c r="E25" i="18"/>
  <c r="F25" i="18" s="1"/>
  <c r="G25" i="18" s="1"/>
  <c r="J198" i="4"/>
  <c r="J190" i="4"/>
  <c r="J191" i="4" s="1"/>
  <c r="J204" i="4"/>
  <c r="J49" i="4" l="1"/>
  <c r="J50" i="4" s="1"/>
  <c r="J53" i="4"/>
  <c r="K236" i="4"/>
  <c r="K254" i="4" s="1"/>
  <c r="L203" i="4"/>
  <c r="L222" i="4"/>
  <c r="L202" i="4"/>
  <c r="L87" i="4"/>
  <c r="L90" i="4"/>
  <c r="L92" i="4" s="1"/>
  <c r="L198" i="4" s="1"/>
  <c r="N85" i="4"/>
  <c r="N196" i="4" s="1"/>
  <c r="L196" i="4"/>
  <c r="L197" i="4"/>
  <c r="L223" i="4"/>
  <c r="L236" i="4"/>
  <c r="L254" i="4" s="1"/>
  <c r="N52" i="4"/>
  <c r="N47" i="4"/>
  <c r="N104" i="4" s="1"/>
  <c r="M222" i="4"/>
  <c r="M196" i="4"/>
  <c r="M197" i="4"/>
  <c r="M87" i="4"/>
  <c r="M202" i="4"/>
  <c r="M223" i="4"/>
  <c r="M90" i="4"/>
  <c r="M92" i="4" s="1"/>
  <c r="M203" i="4"/>
  <c r="M230" i="4"/>
  <c r="M232" i="4" s="1"/>
  <c r="K108" i="4"/>
  <c r="K125" i="4" s="1"/>
  <c r="K129" i="4" s="1"/>
  <c r="M103" i="4"/>
  <c r="M106" i="4" s="1"/>
  <c r="J66" i="4"/>
  <c r="J67" i="4" s="1"/>
  <c r="J216" i="4" s="1"/>
  <c r="K189" i="4"/>
  <c r="K191" i="4" s="1"/>
  <c r="K66" i="4" s="1"/>
  <c r="K67" i="4" s="1"/>
  <c r="K221" i="4" s="1"/>
  <c r="K128" i="4"/>
  <c r="J54" i="4"/>
  <c r="N222" i="4" l="1"/>
  <c r="M204" i="4"/>
  <c r="N202" i="4"/>
  <c r="N90" i="4"/>
  <c r="N92" i="4" s="1"/>
  <c r="N98" i="4" s="1"/>
  <c r="N203" i="4"/>
  <c r="N223" i="4"/>
  <c r="N87" i="4"/>
  <c r="N230" i="4"/>
  <c r="N232" i="4" s="1"/>
  <c r="N197" i="4"/>
  <c r="L204" i="4"/>
  <c r="L190" i="4"/>
  <c r="L98" i="4"/>
  <c r="L108" i="4" s="1"/>
  <c r="L125" i="4" s="1"/>
  <c r="L129" i="4" s="1"/>
  <c r="M198" i="4"/>
  <c r="M190" i="4"/>
  <c r="M98" i="4"/>
  <c r="M108" i="4" s="1"/>
  <c r="M125" i="4" s="1"/>
  <c r="M129" i="4" s="1"/>
  <c r="K130" i="4"/>
  <c r="K49" i="4" s="1"/>
  <c r="K50" i="4" s="1"/>
  <c r="N103" i="4"/>
  <c r="N106" i="4" s="1"/>
  <c r="K69" i="4"/>
  <c r="J221" i="4"/>
  <c r="J69" i="4"/>
  <c r="J217" i="4" s="1"/>
  <c r="L189" i="4"/>
  <c r="K216" i="4"/>
  <c r="J56" i="4"/>
  <c r="J58" i="4" s="1"/>
  <c r="J213" i="4"/>
  <c r="M234" i="4"/>
  <c r="M236" i="4" s="1"/>
  <c r="M254" i="4" s="1"/>
  <c r="L191" i="4" l="1"/>
  <c r="L66" i="4" s="1"/>
  <c r="L67" i="4" s="1"/>
  <c r="L216" i="4" s="1"/>
  <c r="N204" i="4"/>
  <c r="N198" i="4"/>
  <c r="N190" i="4"/>
  <c r="N108" i="4"/>
  <c r="N125" i="4" s="1"/>
  <c r="N129" i="4" s="1"/>
  <c r="K53" i="4"/>
  <c r="K54" i="4" s="1"/>
  <c r="K56" i="4" s="1"/>
  <c r="K58" i="4" s="1"/>
  <c r="K3" i="4" s="1"/>
  <c r="L128" i="4"/>
  <c r="L130" i="4" s="1"/>
  <c r="M128" i="4" s="1"/>
  <c r="M130" i="4" s="1"/>
  <c r="J3" i="4"/>
  <c r="J218" i="4"/>
  <c r="K217" i="4"/>
  <c r="N234" i="4"/>
  <c r="N236" i="4" s="1"/>
  <c r="N249" i="4" s="1"/>
  <c r="M189" i="4" l="1"/>
  <c r="M191" i="4" s="1"/>
  <c r="N189" i="4" s="1"/>
  <c r="N191" i="4" s="1"/>
  <c r="N66" i="4" s="1"/>
  <c r="N67" i="4" s="1"/>
  <c r="L69" i="4"/>
  <c r="L217" i="4" s="1"/>
  <c r="L221" i="4"/>
  <c r="K213" i="4"/>
  <c r="L49" i="4"/>
  <c r="L50" i="4" s="1"/>
  <c r="L53" i="4"/>
  <c r="L54" i="4" s="1"/>
  <c r="K218" i="4"/>
  <c r="N255" i="4"/>
  <c r="N254" i="4"/>
  <c r="M53" i="4"/>
  <c r="M54" i="4" s="1"/>
  <c r="N128" i="4"/>
  <c r="N130" i="4" s="1"/>
  <c r="M49" i="4"/>
  <c r="M50" i="4" s="1"/>
  <c r="M66" i="4" l="1"/>
  <c r="M67" i="4" s="1"/>
  <c r="M216" i="4" s="1"/>
  <c r="N69" i="4"/>
  <c r="N221" i="4"/>
  <c r="L213" i="4"/>
  <c r="L56" i="4"/>
  <c r="L58" i="4" s="1"/>
  <c r="L3" i="4" s="1"/>
  <c r="I257" i="4"/>
  <c r="I261" i="4" s="1"/>
  <c r="D263" i="4" s="1"/>
  <c r="G277" i="4" s="1"/>
  <c r="D284" i="4" s="1"/>
  <c r="M56" i="4"/>
  <c r="M58" i="4" s="1"/>
  <c r="M213" i="4"/>
  <c r="N53" i="4"/>
  <c r="N54" i="4" s="1"/>
  <c r="N49" i="4"/>
  <c r="N50" i="4" s="1"/>
  <c r="M69" i="4" l="1"/>
  <c r="M217" i="4" s="1"/>
  <c r="N216" i="4"/>
  <c r="M221" i="4"/>
  <c r="L218" i="4"/>
  <c r="H267" i="4"/>
  <c r="H57" i="16"/>
  <c r="D277" i="4"/>
  <c r="D283" i="4" s="1"/>
  <c r="J277" i="4"/>
  <c r="D285" i="4" s="1"/>
  <c r="N213" i="4"/>
  <c r="N56" i="4"/>
  <c r="N58" i="4" s="1"/>
  <c r="N3" i="4" s="1"/>
  <c r="M218" i="4"/>
  <c r="N217" i="4" l="1"/>
  <c r="M3" i="4"/>
  <c r="F283" i="4"/>
  <c r="G283" i="4" s="1"/>
  <c r="F284" i="4"/>
  <c r="G284" i="4" s="1"/>
  <c r="F285" i="4"/>
  <c r="G285" i="4" s="1"/>
  <c r="N218" i="4"/>
  <c r="H283" i="4" l="1"/>
  <c r="I283" i="4" s="1"/>
  <c r="H285" i="4"/>
  <c r="I285" i="4" s="1"/>
  <c r="H284" i="4"/>
  <c r="I284" i="4" s="1"/>
  <c r="E23" i="19" l="1"/>
</calcChain>
</file>

<file path=xl/sharedStrings.xml><?xml version="1.0" encoding="utf-8"?>
<sst xmlns="http://schemas.openxmlformats.org/spreadsheetml/2006/main" count="375" uniqueCount="262">
  <si>
    <t>ASSETS</t>
  </si>
  <si>
    <t>Property, plant and equipment</t>
  </si>
  <si>
    <t>Investments</t>
  </si>
  <si>
    <t>Current assets</t>
  </si>
  <si>
    <t>Non current assets</t>
  </si>
  <si>
    <t>Inventories</t>
  </si>
  <si>
    <t>Trade and other receivables</t>
  </si>
  <si>
    <t>Cash and cash equivalents</t>
  </si>
  <si>
    <t>Total non current assets</t>
  </si>
  <si>
    <t>Total current assets</t>
  </si>
  <si>
    <t>Equity</t>
  </si>
  <si>
    <t>Share capital</t>
  </si>
  <si>
    <t>Retained earnings</t>
  </si>
  <si>
    <t>Current liabilities</t>
  </si>
  <si>
    <t>Trade and other payables</t>
  </si>
  <si>
    <t>Total current liabilites</t>
  </si>
  <si>
    <t>Net current assets</t>
  </si>
  <si>
    <t>Non current liabilities</t>
  </si>
  <si>
    <t>Unsecured loans</t>
  </si>
  <si>
    <t>Total non current liabilities</t>
  </si>
  <si>
    <t>Total equity</t>
  </si>
  <si>
    <t>Total equity and non current liabilities</t>
  </si>
  <si>
    <t>Y03A</t>
  </si>
  <si>
    <t>Y02A</t>
  </si>
  <si>
    <t>Y01A</t>
  </si>
  <si>
    <t>Overdraft</t>
  </si>
  <si>
    <t>Other non current liabilities</t>
  </si>
  <si>
    <t>Revenue</t>
  </si>
  <si>
    <t>Cost of sales</t>
  </si>
  <si>
    <t>GROSS PROFIT</t>
  </si>
  <si>
    <t>Sales and marketing expenses</t>
  </si>
  <si>
    <t>General and administration expenses</t>
  </si>
  <si>
    <t>Other expenses</t>
  </si>
  <si>
    <t>Depreciation</t>
  </si>
  <si>
    <t>Units</t>
  </si>
  <si>
    <t>PROFIT BEFORE TAX</t>
  </si>
  <si>
    <t>Income tax expense</t>
  </si>
  <si>
    <t>PROFIT AFTER TAX</t>
  </si>
  <si>
    <t>Y04F</t>
  </si>
  <si>
    <t>Y05F</t>
  </si>
  <si>
    <t>Y06F</t>
  </si>
  <si>
    <t>Y07F</t>
  </si>
  <si>
    <t>OPERATING PROFIT</t>
  </si>
  <si>
    <t>(Unless otherwise specified, all financials are in N '000)</t>
  </si>
  <si>
    <t>Other income</t>
  </si>
  <si>
    <t>Y08F</t>
  </si>
  <si>
    <t>Advanced MS Excel and Financial Modeling</t>
  </si>
  <si>
    <t>Working File 2</t>
  </si>
  <si>
    <t>Balance Check</t>
  </si>
  <si>
    <t>Interest</t>
  </si>
  <si>
    <t>Other Finance cost</t>
  </si>
  <si>
    <t>Income tax</t>
  </si>
  <si>
    <t>Revenue Assumptions</t>
  </si>
  <si>
    <t>Sales and mktng exps as a % of Revenue</t>
  </si>
  <si>
    <t>Gen &amp; admin exps as a % of Revenue</t>
  </si>
  <si>
    <t>Other exps as a % of Revenue</t>
  </si>
  <si>
    <t>Balance Sheet Assumptions</t>
  </si>
  <si>
    <t>Inventories (Days of cost of sales)</t>
  </si>
  <si>
    <t>Trade and other receivables (Days of sales)</t>
  </si>
  <si>
    <t>Trade and other payables (Days of cost of sales</t>
  </si>
  <si>
    <t>Depreciation Method</t>
  </si>
  <si>
    <t>SLM</t>
  </si>
  <si>
    <t>Asset Life</t>
  </si>
  <si>
    <t>Years</t>
  </si>
  <si>
    <t>Disposal of Assets</t>
  </si>
  <si>
    <t>N Mn</t>
  </si>
  <si>
    <t>Capex</t>
  </si>
  <si>
    <t>Depreciation Schedule</t>
  </si>
  <si>
    <t>YO8F</t>
  </si>
  <si>
    <t>Total Depreciation</t>
  </si>
  <si>
    <t>Gross Block</t>
  </si>
  <si>
    <t>Opening Balance</t>
  </si>
  <si>
    <t>Add: Capex</t>
  </si>
  <si>
    <t>Less: Assets Sold/ Disposed</t>
  </si>
  <si>
    <t>Closing Balance</t>
  </si>
  <si>
    <t>Accumulated Depreciation</t>
  </si>
  <si>
    <t>Add: Depreciation during current year</t>
  </si>
  <si>
    <t>Net Book Value</t>
  </si>
  <si>
    <t>CAPEX</t>
  </si>
  <si>
    <t>Unsecured Loans</t>
  </si>
  <si>
    <t>Opening</t>
  </si>
  <si>
    <t>Additions</t>
  </si>
  <si>
    <t xml:space="preserve">Repayments 0n 40M </t>
  </si>
  <si>
    <t xml:space="preserve">Repayments 0n 250M </t>
  </si>
  <si>
    <t>Closing</t>
  </si>
  <si>
    <t>New loans</t>
  </si>
  <si>
    <t>Interest rate</t>
  </si>
  <si>
    <t>Tenor</t>
  </si>
  <si>
    <t>New issues</t>
  </si>
  <si>
    <t>Result for the year - PAT</t>
  </si>
  <si>
    <t>Cashflow from Operating Activities</t>
  </si>
  <si>
    <t>PAT</t>
  </si>
  <si>
    <t>Add: Depreciation</t>
  </si>
  <si>
    <t>Add: Interest Expense</t>
  </si>
  <si>
    <t>Net Change in Working Capital</t>
  </si>
  <si>
    <t>Add: Increase in Accounts payable</t>
  </si>
  <si>
    <t>Less: Increase in Inventory</t>
  </si>
  <si>
    <t>Less: Increase in Account Receivables</t>
  </si>
  <si>
    <t>Cashflow from Operations</t>
  </si>
  <si>
    <t>Cashflow from Investment Activities</t>
  </si>
  <si>
    <t>Less: Capex</t>
  </si>
  <si>
    <t>Add: Proceeds from Disposal of Assets</t>
  </si>
  <si>
    <t>Less: Increase in WIP</t>
  </si>
  <si>
    <t>Less: Increase in Investments</t>
  </si>
  <si>
    <t>Cashflow from Financing Activities</t>
  </si>
  <si>
    <t>Add: New Equity Raised</t>
  </si>
  <si>
    <t>Add: New Unsecured Loans Raised</t>
  </si>
  <si>
    <t>Less: Unsecured Loans Repaid</t>
  </si>
  <si>
    <t>Less: Dividends Paid</t>
  </si>
  <si>
    <t>Less: Interest Expense</t>
  </si>
  <si>
    <t>Net Cashflow</t>
  </si>
  <si>
    <t>Cash Balance</t>
  </si>
  <si>
    <t>EBIT</t>
  </si>
  <si>
    <t>Interest Coverage</t>
  </si>
  <si>
    <t>Debt/ EBITDA</t>
  </si>
  <si>
    <t>Debt/ Equity</t>
  </si>
  <si>
    <t>Leverage Ratios</t>
  </si>
  <si>
    <t>ROAA</t>
  </si>
  <si>
    <t>ROACE</t>
  </si>
  <si>
    <t>ROAE</t>
  </si>
  <si>
    <t>Rate of Returns</t>
  </si>
  <si>
    <t>Quick Ratio</t>
  </si>
  <si>
    <t>Liquidity Ratios</t>
  </si>
  <si>
    <t>As % of Sales</t>
  </si>
  <si>
    <t>PBT</t>
  </si>
  <si>
    <t>Growth Rate</t>
  </si>
  <si>
    <t>PAT Margin</t>
  </si>
  <si>
    <t>PBT Margin</t>
  </si>
  <si>
    <t>EBIT Margin</t>
  </si>
  <si>
    <t>Profitability Ratios</t>
  </si>
  <si>
    <t>DCF Valuation using FCFF</t>
  </si>
  <si>
    <t>Tax Rate (%)</t>
  </si>
  <si>
    <t>EBIT*(1-t)</t>
  </si>
  <si>
    <t>Less: Capex and increase in WIP</t>
  </si>
  <si>
    <t>Free Cashflow to the Firm (FCFF)</t>
  </si>
  <si>
    <t>Risk free rate</t>
  </si>
  <si>
    <t>Beta</t>
  </si>
  <si>
    <t>Expected return from market</t>
  </si>
  <si>
    <t>Cost of equity</t>
  </si>
  <si>
    <t>RFR + BETA * (MR-RFR)</t>
  </si>
  <si>
    <t>Cost of debt</t>
  </si>
  <si>
    <t>Post tax cost of debt</t>
  </si>
  <si>
    <t>Target debt: capital ratio</t>
  </si>
  <si>
    <t>WACC</t>
  </si>
  <si>
    <t>cost of equity * Wt + cost of debt * wt</t>
  </si>
  <si>
    <t>Terminal Growth Rate</t>
  </si>
  <si>
    <t>Terminal Value</t>
  </si>
  <si>
    <t>FINAL YEAR FCFF * (1+TGR)/(WACC-TGR)</t>
  </si>
  <si>
    <t>No. of Years</t>
  </si>
  <si>
    <t>Discount Factor</t>
  </si>
  <si>
    <t>Present Value of FCFF</t>
  </si>
  <si>
    <t>Present Value of Terminal Value</t>
  </si>
  <si>
    <t>Enterprise Value</t>
  </si>
  <si>
    <t>Less: Total Debt</t>
  </si>
  <si>
    <t>Add: Total Cash</t>
  </si>
  <si>
    <t>Less: Any Contingent Liabilities</t>
  </si>
  <si>
    <t xml:space="preserve">Equity Value </t>
  </si>
  <si>
    <t>No. of Shares</t>
  </si>
  <si>
    <t>Share Price (NAIRA)</t>
  </si>
  <si>
    <t>TERMINAL GROWTH RATE</t>
  </si>
  <si>
    <t>Valuation Assumptions</t>
  </si>
  <si>
    <t>ASSUMPTIONS</t>
  </si>
  <si>
    <t>BALANCE SHEET</t>
  </si>
  <si>
    <t>PROFIT &amp; LOSS</t>
  </si>
  <si>
    <t>CASH FLOW STATEMENT</t>
  </si>
  <si>
    <t>ASSET SCHEDULE</t>
  </si>
  <si>
    <t>DEBT SCHEDULE</t>
  </si>
  <si>
    <t>SOCI - OTHER CALCN</t>
  </si>
  <si>
    <t>RATIOS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</si>
  <si>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</si>
  <si>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</si>
  <si>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</si>
  <si>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</si>
  <si>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</si>
  <si>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</si>
  <si>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</si>
  <si>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</si>
  <si>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</si>
  <si>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</si>
  <si>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</si>
  <si>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</si>
  <si>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SALARIES</t>
  </si>
  <si>
    <t>RENT</t>
  </si>
  <si>
    <t>STATIONERY</t>
  </si>
  <si>
    <t>EQUIPMENT</t>
  </si>
  <si>
    <t>TRANSPORT</t>
  </si>
  <si>
    <t>EXPENSE</t>
  </si>
  <si>
    <t>ORIGINAL</t>
  </si>
  <si>
    <t>EXPECTED</t>
  </si>
  <si>
    <t>Y10F</t>
  </si>
  <si>
    <t>Y09F</t>
  </si>
  <si>
    <t>Change in Working Capital</t>
  </si>
  <si>
    <t>Discount Factor = 1/(1+WACC)^yr</t>
  </si>
  <si>
    <t>Equity Value / No. of Shares</t>
  </si>
  <si>
    <t>Company</t>
  </si>
  <si>
    <t>EV</t>
  </si>
  <si>
    <t>Mkt Cap</t>
  </si>
  <si>
    <t>P/ E (x)</t>
  </si>
  <si>
    <t>Company A</t>
  </si>
  <si>
    <t>Company B</t>
  </si>
  <si>
    <t>Company C</t>
  </si>
  <si>
    <t>Company D</t>
  </si>
  <si>
    <t>Company E</t>
  </si>
  <si>
    <t>Mean</t>
  </si>
  <si>
    <t>Median</t>
  </si>
  <si>
    <t>Multiple (x)</t>
  </si>
  <si>
    <t>Sales</t>
  </si>
  <si>
    <t>Net Debt</t>
  </si>
  <si>
    <t>Share Price</t>
  </si>
  <si>
    <t>(Median)</t>
  </si>
  <si>
    <t>EBITDA</t>
  </si>
  <si>
    <t>FY06F</t>
  </si>
  <si>
    <t>EV/ Sales</t>
  </si>
  <si>
    <t>EV/ EBITDA</t>
  </si>
  <si>
    <t>FY06F EV/ Sales (x)</t>
  </si>
  <si>
    <t>FY06F EV/ EBITDA (x)</t>
  </si>
  <si>
    <t>FY06F P/ E (x)</t>
  </si>
  <si>
    <t>COMPARATIVE COMPANY ANALYSIS</t>
  </si>
  <si>
    <t>Transaction</t>
  </si>
  <si>
    <t>Year</t>
  </si>
  <si>
    <t>EV/sales (x)</t>
  </si>
  <si>
    <t>EV/EBITDA (x)</t>
  </si>
  <si>
    <t>P/E (x)</t>
  </si>
  <si>
    <t>% stake</t>
  </si>
  <si>
    <t>Trading Comparatives</t>
  </si>
  <si>
    <t>Transaction Comparatives</t>
  </si>
  <si>
    <t>Investment</t>
  </si>
  <si>
    <t>Acquisition</t>
  </si>
  <si>
    <t>FY03</t>
  </si>
  <si>
    <t>FY02</t>
  </si>
  <si>
    <t>FY01</t>
  </si>
  <si>
    <t>FY05F EV/ Sales (x)</t>
  </si>
  <si>
    <t>FY05F EV/ EBITDA (x)</t>
  </si>
  <si>
    <t>FY05F P/ E (x)</t>
  </si>
  <si>
    <t>Summary of Results</t>
  </si>
  <si>
    <t>Method</t>
  </si>
  <si>
    <t>DCF</t>
  </si>
  <si>
    <t>Transaction Comaratives</t>
  </si>
  <si>
    <t>Lowest (N)</t>
  </si>
  <si>
    <t>Highest (N)</t>
  </si>
  <si>
    <t>Wazobia Global Limited</t>
  </si>
  <si>
    <t>Y04A</t>
  </si>
  <si>
    <t>Y05A</t>
  </si>
  <si>
    <t>Total Assets less current liabilities</t>
  </si>
  <si>
    <t>(CAGR)</t>
  </si>
  <si>
    <t>REVENUE GROWTH</t>
  </si>
  <si>
    <t>No. of Shares2</t>
  </si>
  <si>
    <t xml:space="preserve">Revenue Growth </t>
  </si>
  <si>
    <t>VALUATION</t>
  </si>
  <si>
    <t>Turnover Growth +/-2.5%</t>
  </si>
  <si>
    <t>Share Price (N)</t>
  </si>
  <si>
    <t>Change</t>
  </si>
  <si>
    <t>Terminal Growth Rate +/-1%</t>
  </si>
  <si>
    <t>Input/Driver</t>
  </si>
  <si>
    <t>Rank</t>
  </si>
  <si>
    <t>+ve</t>
  </si>
  <si>
    <t>-ve</t>
  </si>
  <si>
    <t>-ve Abs Change</t>
  </si>
  <si>
    <t>Output</t>
  </si>
  <si>
    <t>Cost of Sales +/-2.5%</t>
  </si>
  <si>
    <t>Revenue Growth %</t>
  </si>
  <si>
    <t>Cost of Sales Growth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</si>
</sst>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_(* #,##0.00_);_(* \(#,##0.00\);_(* &quot;-&quot;??_);_(@_)"/>
    <numFmt numFmtId="165" formatCode="#,##0;\(#,##0\);&quot;-&quot;"/>
    <numFmt numFmtId="166" formatCode="0.0%"/>
    <numFmt numFmtId="167" formatCode="_(* #,##0_);_(* \(#,##0\);_(* &quot;-&quot;??_);_(@_)"/>
    <numFmt numFmtId="168" formatCode="_(&quot;$&quot;* #,##0.00_);_(&quot;$&quot;* \(#,##0.00\);_(&quot;$&quot;* &quot;-&quot;??_);_(@_)"/>
    <numFmt numFmtId="169" formatCode="[$-14009]d/m/yy;@"/>
    <numFmt numFmtId="170" formatCode="_([$€-2]* #,##0.00_);_([$€-2]* \(#,##0.00\);_([$€-2]* &quot;-&quot;??_)"/>
    <numFmt numFmtId="171" formatCode="0\ &quot;yrs&quot;"/>
    <numFmt numFmtId="172" formatCode="0.0"/>
    <numFmt numFmtId="173" formatCode="_(* #,##0.0_);_(* \(#,##0.0\);_(* &quot;-&quot;??_);_(@_)"/>
    <numFmt numFmtId="174" formatCode="hh:mm\ AM/PM"/>
    <numFmt numFmtId="175" formatCode="0.0\x"/>
  </numFmts>
  <fonts count="5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b/>
      <sz val="10"/>
      <name val="Verdana"/>
      <family val="2"/>
    </font>
    <font>
      <sz val="10"/>
      <name val="Verdana"/>
      <family val="2"/>
    </font>
    <font>
      <sz val="10"/>
      <color indexed="8"/>
      <name val="Verdana"/>
      <family val="2"/>
    </font>
    <font>
      <sz val="8"/>
      <name val="Verdana"/>
      <family val="2"/>
    </font>
    <font>
      <sz val="8"/>
      <color indexed="53"/>
      <name val="Verdana"/>
      <family val="2"/>
    </font>
    <font>
      <sz val="8"/>
      <name val="Comic Sans MS"/>
      <family val="4"/>
    </font>
    <font>
      <b/>
      <sz val="8"/>
      <name val="Comic Sans MS"/>
      <family val="4"/>
    </font>
    <font>
      <sz val="10"/>
      <color indexed="55"/>
      <name val="Arial"/>
      <family val="2"/>
    </font>
    <font>
      <b/>
      <sz val="10"/>
      <color indexed="9"/>
      <name val="Verdana"/>
      <family val="2"/>
    </font>
    <font>
      <sz val="10"/>
      <name val="Tahoma"/>
      <family val="2"/>
    </font>
    <font>
      <b/>
      <sz val="9"/>
      <color indexed="23"/>
      <name val="Verdana"/>
      <family val="2"/>
    </font>
    <font>
      <sz val="9"/>
      <color indexed="23"/>
      <name val="Verdana"/>
      <family val="2"/>
    </font>
    <font>
      <sz val="14"/>
      <color indexed="23"/>
      <name val="Verdana"/>
      <family val="2"/>
    </font>
    <font>
      <b/>
      <sz val="10"/>
      <color indexed="23"/>
      <name val="Verdana"/>
      <family val="2"/>
    </font>
    <font>
      <b/>
      <sz val="10"/>
      <name val="Comic Sans MS"/>
      <family val="4"/>
    </font>
    <font>
      <sz val="10"/>
      <name val="Calibri"/>
      <family val="2"/>
      <scheme val="minor"/>
    </font>
    <font>
      <b/>
      <sz val="18"/>
      <color rgb="FF4F81BD"/>
      <name val="Calibri"/>
      <family val="2"/>
      <scheme val="minor"/>
    </font>
    <font>
      <b/>
      <i/>
      <sz val="18"/>
      <color rgb="FF4F81BD"/>
      <name val="Calibri"/>
      <family val="2"/>
      <scheme val="minor"/>
    </font>
    <font>
      <sz val="11"/>
      <color rgb="FF4F81BD"/>
      <name val="Calibri"/>
      <family val="2"/>
      <scheme val="minor"/>
    </font>
    <font>
      <sz val="14"/>
      <color rgb="FF4F81BD"/>
      <name val="Calibri"/>
      <family val="2"/>
      <scheme val="minor"/>
    </font>
    <font>
      <b/>
      <sz val="11"/>
      <color rgb="FF7F7F7F"/>
      <name val="Calibri"/>
      <family val="2"/>
      <scheme val="minor"/>
    </font>
    <font>
      <b/>
      <sz val="10"/>
      <color rgb="FF7F7F7F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color indexed="48"/>
      <name val="Arial"/>
      <family val="2"/>
    </font>
    <font>
      <sz val="11"/>
      <color theme="8" tint="-0.249977111117893"/>
      <name val="Calibri"/>
      <family val="2"/>
      <scheme val="minor"/>
    </font>
    <font>
      <i/>
      <sz val="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sz val="10"/>
      <color theme="0" tint="-0.249977111117893"/>
      <name val="Arial"/>
      <family val="2"/>
    </font>
    <font>
      <b/>
      <sz val="11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name val="Arial"/>
      <family val="2"/>
    </font>
    <font>
      <b/>
      <sz val="14"/>
      <name val="Arial"/>
      <family val="2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  <font>
      <i/>
      <sz val="10"/>
      <name val="Arial"/>
      <family val="2"/>
    </font>
    <font>
      <b/>
      <sz val="12"/>
      <color theme="1"/>
      <name val="Arial Black"/>
      <family val="2"/>
    </font>
    <font>
      <sz val="10"/>
      <color theme="2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</patternFill>
    </fill>
    <fill>
      <patternFill patternType="solid">
        <fgColor indexed="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9"/>
      </left>
      <right style="thin">
        <color indexed="23"/>
      </right>
      <top style="thin">
        <color indexed="9"/>
      </top>
      <bottom style="thin">
        <color indexed="23"/>
      </bottom>
      <diagonal/>
    </border>
    <border>
      <left style="thin">
        <color indexed="23"/>
      </left>
      <right/>
      <top/>
      <bottom/>
      <diagonal/>
    </border>
    <border>
      <left/>
      <right/>
      <top style="thin">
        <color indexed="23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6" fillId="0" borderId="0"/>
    <xf numFmtId="0" fontId="10" fillId="4" borderId="0">
      <alignment horizontal="center"/>
    </xf>
    <xf numFmtId="4" fontId="11" fillId="5" borderId="0" applyBorder="0" applyAlignment="0" applyProtection="0"/>
    <xf numFmtId="4" fontId="12" fillId="6" borderId="0" applyBorder="0" applyAlignment="0" applyProtection="0"/>
    <xf numFmtId="4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3" fillId="0" borderId="0" applyNumberFormat="0">
      <alignment vertical="top" wrapText="1"/>
    </xf>
    <xf numFmtId="0" fontId="13" fillId="0" borderId="0" applyNumberFormat="0">
      <alignment vertical="top"/>
    </xf>
    <xf numFmtId="0" fontId="14" fillId="0" borderId="0" applyNumberFormat="0">
      <alignment vertical="top" wrapText="1"/>
    </xf>
    <xf numFmtId="0" fontId="15" fillId="0" borderId="0" applyNumberFormat="0">
      <alignment vertical="top" wrapText="1"/>
    </xf>
    <xf numFmtId="0" fontId="16" fillId="0" borderId="0" applyNumberFormat="0">
      <alignment vertical="top" wrapText="1"/>
    </xf>
    <xf numFmtId="4" fontId="10" fillId="7" borderId="0" applyBorder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3" fontId="11" fillId="8" borderId="0" applyNumberFormat="0" applyBorder="0" applyAlignment="0" applyProtection="0"/>
    <xf numFmtId="170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9" borderId="0" applyNumberFormat="0" applyProtection="0">
      <alignment horizontal="right"/>
    </xf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6" fillId="0" borderId="0"/>
    <xf numFmtId="0" fontId="19" fillId="0" borderId="0"/>
    <xf numFmtId="0" fontId="6" fillId="0" borderId="0"/>
    <xf numFmtId="0" fontId="6" fillId="0" borderId="0"/>
    <xf numFmtId="0" fontId="2" fillId="0" borderId="0"/>
    <xf numFmtId="0" fontId="11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0" fillId="0" borderId="7">
      <alignment horizontal="right"/>
    </xf>
    <xf numFmtId="0" fontId="20" fillId="7" borderId="7">
      <alignment horizontal="right"/>
    </xf>
    <xf numFmtId="0" fontId="21" fillId="0" borderId="8"/>
    <xf numFmtId="4" fontId="18" fillId="10" borderId="0" applyBorder="0" applyProtection="0"/>
    <xf numFmtId="0" fontId="22" fillId="0" borderId="9"/>
    <xf numFmtId="0" fontId="23" fillId="0" borderId="0" applyNumberFormat="0" applyAlignment="0" applyProtection="0"/>
    <xf numFmtId="0" fontId="23" fillId="0" borderId="8"/>
    <xf numFmtId="0" fontId="24" fillId="0" borderId="0" applyNumberFormat="0" applyFill="0" applyBorder="0" applyProtection="0">
      <alignment horizontal="left"/>
    </xf>
    <xf numFmtId="164" fontId="6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45">
    <xf numFmtId="0" fontId="0" fillId="0" borderId="0" xfId="0"/>
    <xf numFmtId="0" fontId="1" fillId="0" borderId="0" xfId="0" applyFont="1"/>
    <xf numFmtId="165" fontId="0" fillId="0" borderId="0" xfId="0" applyNumberFormat="1"/>
    <xf numFmtId="165" fontId="3" fillId="0" borderId="0" xfId="0" applyNumberFormat="1" applyFont="1"/>
    <xf numFmtId="9" fontId="0" fillId="0" borderId="0" xfId="1" applyFont="1"/>
    <xf numFmtId="0" fontId="4" fillId="0" borderId="0" xfId="0" applyFont="1"/>
    <xf numFmtId="166" fontId="0" fillId="0" borderId="0" xfId="0" applyNumberFormat="1"/>
    <xf numFmtId="0" fontId="5" fillId="0" borderId="0" xfId="0" applyFont="1"/>
    <xf numFmtId="0" fontId="7" fillId="0" borderId="0" xfId="0" applyFont="1"/>
    <xf numFmtId="167" fontId="0" fillId="0" borderId="0" xfId="0" applyNumberFormat="1"/>
    <xf numFmtId="165" fontId="0" fillId="0" borderId="6" xfId="0" applyNumberFormat="1" applyBorder="1"/>
    <xf numFmtId="165" fontId="0" fillId="0" borderId="3" xfId="0" applyNumberFormat="1" applyBorder="1"/>
    <xf numFmtId="165" fontId="0" fillId="0" borderId="1" xfId="0" applyNumberFormat="1" applyBorder="1"/>
    <xf numFmtId="0" fontId="25" fillId="3" borderId="10" xfId="30" applyFont="1" applyFill="1" applyBorder="1"/>
    <xf numFmtId="0" fontId="25" fillId="3" borderId="11" xfId="30" applyFont="1" applyFill="1" applyBorder="1"/>
    <xf numFmtId="0" fontId="25" fillId="0" borderId="11" xfId="30" applyFont="1" applyBorder="1"/>
    <xf numFmtId="0" fontId="25" fillId="3" borderId="12" xfId="30" applyFont="1" applyFill="1" applyBorder="1"/>
    <xf numFmtId="0" fontId="25" fillId="3" borderId="0" xfId="30" applyFont="1" applyFill="1"/>
    <xf numFmtId="0" fontId="25" fillId="3" borderId="13" xfId="30" applyFont="1" applyFill="1" applyBorder="1"/>
    <xf numFmtId="0" fontId="25" fillId="3" borderId="14" xfId="30" applyFont="1" applyFill="1" applyBorder="1"/>
    <xf numFmtId="0" fontId="25" fillId="0" borderId="0" xfId="30" applyFont="1"/>
    <xf numFmtId="0" fontId="28" fillId="0" borderId="0" xfId="30" applyFont="1" applyAlignment="1">
      <alignment horizontal="left" vertical="center"/>
    </xf>
    <xf numFmtId="0" fontId="25" fillId="3" borderId="13" xfId="30" applyFont="1" applyFill="1" applyBorder="1" applyAlignment="1">
      <alignment vertical="center"/>
    </xf>
    <xf numFmtId="0" fontId="25" fillId="3" borderId="0" xfId="30" applyFont="1" applyFill="1" applyAlignment="1">
      <alignment vertical="center"/>
    </xf>
    <xf numFmtId="0" fontId="30" fillId="0" borderId="0" xfId="30" applyFont="1" applyAlignment="1">
      <alignment horizontal="left"/>
    </xf>
    <xf numFmtId="0" fontId="8" fillId="3" borderId="0" xfId="27" applyFill="1" applyAlignment="1" applyProtection="1"/>
    <xf numFmtId="0" fontId="31" fillId="3" borderId="0" xfId="30" applyFont="1" applyFill="1"/>
    <xf numFmtId="0" fontId="32" fillId="3" borderId="0" xfId="30" applyFont="1" applyFill="1"/>
    <xf numFmtId="0" fontId="33" fillId="3" borderId="0" xfId="27" applyFont="1" applyFill="1" applyAlignment="1" applyProtection="1"/>
    <xf numFmtId="165" fontId="7" fillId="0" borderId="0" xfId="0" applyNumberFormat="1" applyFont="1"/>
    <xf numFmtId="165" fontId="4" fillId="0" borderId="0" xfId="0" applyNumberFormat="1" applyFont="1"/>
    <xf numFmtId="9" fontId="3" fillId="0" borderId="0" xfId="0" applyNumberFormat="1" applyFont="1"/>
    <xf numFmtId="165" fontId="34" fillId="0" borderId="1" xfId="0" applyNumberFormat="1" applyFont="1" applyBorder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165" fontId="0" fillId="0" borderId="4" xfId="0" applyNumberFormat="1" applyBorder="1"/>
    <xf numFmtId="165" fontId="0" fillId="0" borderId="2" xfId="0" applyNumberFormat="1" applyBorder="1"/>
    <xf numFmtId="165" fontId="35" fillId="0" borderId="0" xfId="0" applyNumberFormat="1" applyFont="1"/>
    <xf numFmtId="0" fontId="0" fillId="3" borderId="0" xfId="0" applyFill="1"/>
    <xf numFmtId="0" fontId="36" fillId="3" borderId="0" xfId="0" applyFont="1" applyFill="1"/>
    <xf numFmtId="167" fontId="0" fillId="3" borderId="0" xfId="49" applyNumberFormat="1" applyFont="1" applyFill="1"/>
    <xf numFmtId="0" fontId="6" fillId="3" borderId="0" xfId="0" applyFont="1" applyFill="1"/>
    <xf numFmtId="0" fontId="36" fillId="3" borderId="3" xfId="0" applyFont="1" applyFill="1" applyBorder="1"/>
    <xf numFmtId="167" fontId="36" fillId="3" borderId="3" xfId="0" applyNumberFormat="1" applyFont="1" applyFill="1" applyBorder="1"/>
    <xf numFmtId="167" fontId="37" fillId="3" borderId="0" xfId="49" applyNumberFormat="1" applyFont="1" applyFill="1"/>
    <xf numFmtId="0" fontId="0" fillId="3" borderId="6" xfId="0" applyFill="1" applyBorder="1"/>
    <xf numFmtId="167" fontId="0" fillId="3" borderId="6" xfId="49" applyNumberFormat="1" applyFont="1" applyFill="1" applyBorder="1"/>
    <xf numFmtId="167" fontId="36" fillId="3" borderId="0" xfId="49" applyNumberFormat="1" applyFont="1" applyFill="1"/>
    <xf numFmtId="0" fontId="1" fillId="3" borderId="0" xfId="0" applyFont="1" applyFill="1"/>
    <xf numFmtId="167" fontId="0" fillId="3" borderId="0" xfId="0" applyNumberFormat="1" applyFill="1"/>
    <xf numFmtId="165" fontId="34" fillId="0" borderId="0" xfId="0" applyNumberFormat="1" applyFont="1"/>
    <xf numFmtId="167" fontId="3" fillId="0" borderId="0" xfId="0" applyNumberFormat="1" applyFont="1"/>
    <xf numFmtId="167" fontId="35" fillId="0" borderId="0" xfId="0" applyNumberFormat="1" applyFont="1"/>
    <xf numFmtId="9" fontId="0" fillId="0" borderId="0" xfId="0" applyNumberFormat="1"/>
    <xf numFmtId="0" fontId="38" fillId="0" borderId="0" xfId="0" applyFont="1"/>
    <xf numFmtId="171" fontId="35" fillId="0" borderId="0" xfId="0" applyNumberFormat="1" applyFont="1"/>
    <xf numFmtId="167" fontId="0" fillId="0" borderId="0" xfId="49" applyNumberFormat="1" applyFont="1"/>
    <xf numFmtId="167" fontId="36" fillId="0" borderId="0" xfId="0" applyNumberFormat="1" applyFont="1"/>
    <xf numFmtId="167" fontId="36" fillId="0" borderId="0" xfId="49" applyNumberFormat="1" applyFont="1"/>
    <xf numFmtId="167" fontId="0" fillId="0" borderId="6" xfId="49" applyNumberFormat="1" applyFont="1" applyBorder="1"/>
    <xf numFmtId="0" fontId="0" fillId="0" borderId="6" xfId="0" applyBorder="1"/>
    <xf numFmtId="0" fontId="36" fillId="3" borderId="0" xfId="2" applyFont="1" applyFill="1"/>
    <xf numFmtId="0" fontId="6" fillId="0" borderId="0" xfId="2"/>
    <xf numFmtId="0" fontId="6" fillId="3" borderId="0" xfId="2" applyFill="1"/>
    <xf numFmtId="0" fontId="6" fillId="3" borderId="0" xfId="2" applyFill="1" applyAlignment="1">
      <alignment horizontal="left" indent="1"/>
    </xf>
    <xf numFmtId="0" fontId="36" fillId="3" borderId="3" xfId="2" applyFont="1" applyFill="1" applyBorder="1" applyAlignment="1">
      <alignment horizontal="left" indent="1"/>
    </xf>
    <xf numFmtId="0" fontId="0" fillId="0" borderId="3" xfId="0" applyBorder="1"/>
    <xf numFmtId="0" fontId="6" fillId="3" borderId="6" xfId="2" applyFill="1" applyBorder="1"/>
    <xf numFmtId="0" fontId="36" fillId="3" borderId="1" xfId="2" applyFont="1" applyFill="1" applyBorder="1"/>
    <xf numFmtId="0" fontId="4" fillId="3" borderId="0" xfId="0" applyFont="1" applyFill="1"/>
    <xf numFmtId="165" fontId="1" fillId="0" borderId="0" xfId="0" applyNumberFormat="1" applyFont="1"/>
    <xf numFmtId="0" fontId="39" fillId="3" borderId="6" xfId="28" applyFont="1" applyFill="1" applyBorder="1"/>
    <xf numFmtId="0" fontId="6" fillId="3" borderId="6" xfId="28" applyFill="1" applyBorder="1"/>
    <xf numFmtId="0" fontId="36" fillId="3" borderId="6" xfId="28" applyFont="1" applyFill="1" applyBorder="1" applyAlignment="1">
      <alignment horizontal="right"/>
    </xf>
    <xf numFmtId="0" fontId="36" fillId="3" borderId="0" xfId="28" applyFont="1" applyFill="1"/>
    <xf numFmtId="0" fontId="6" fillId="3" borderId="0" xfId="28" applyFill="1"/>
    <xf numFmtId="167" fontId="6" fillId="2" borderId="5" xfId="48" applyNumberFormat="1" applyFill="1" applyBorder="1"/>
    <xf numFmtId="166" fontId="0" fillId="3" borderId="0" xfId="38" applyNumberFormat="1" applyFont="1" applyFill="1"/>
    <xf numFmtId="167" fontId="0" fillId="3" borderId="0" xfId="48" applyNumberFormat="1" applyFont="1" applyFill="1"/>
    <xf numFmtId="0" fontId="33" fillId="3" borderId="0" xfId="28" applyFont="1" applyFill="1"/>
    <xf numFmtId="167" fontId="36" fillId="2" borderId="5" xfId="48" applyNumberFormat="1" applyFont="1" applyFill="1" applyBorder="1"/>
    <xf numFmtId="0" fontId="40" fillId="3" borderId="0" xfId="28" applyFont="1" applyFill="1"/>
    <xf numFmtId="166" fontId="6" fillId="2" borderId="5" xfId="38" applyNumberFormat="1" applyFill="1" applyBorder="1"/>
    <xf numFmtId="164" fontId="4" fillId="3" borderId="0" xfId="48" applyFont="1" applyFill="1"/>
    <xf numFmtId="164" fontId="0" fillId="3" borderId="0" xfId="48" applyFont="1" applyFill="1"/>
    <xf numFmtId="167" fontId="36" fillId="2" borderId="5" xfId="28" applyNumberFormat="1" applyFont="1" applyFill="1" applyBorder="1"/>
    <xf numFmtId="0" fontId="41" fillId="3" borderId="0" xfId="28" applyFont="1" applyFill="1"/>
    <xf numFmtId="167" fontId="37" fillId="2" borderId="5" xfId="48" applyNumberFormat="1" applyFont="1" applyFill="1" applyBorder="1"/>
    <xf numFmtId="167" fontId="42" fillId="3" borderId="0" xfId="48" applyNumberFormat="1" applyFont="1" applyFill="1"/>
    <xf numFmtId="173" fontId="36" fillId="2" borderId="5" xfId="48" applyNumberFormat="1" applyFont="1" applyFill="1" applyBorder="1"/>
    <xf numFmtId="173" fontId="43" fillId="3" borderId="5" xfId="28" applyNumberFormat="1" applyFont="1" applyFill="1" applyBorder="1"/>
    <xf numFmtId="172" fontId="6" fillId="3" borderId="5" xfId="28" applyNumberFormat="1" applyFill="1" applyBorder="1"/>
    <xf numFmtId="2" fontId="0" fillId="0" borderId="0" xfId="0" applyNumberFormat="1"/>
    <xf numFmtId="172" fontId="0" fillId="0" borderId="6" xfId="0" applyNumberFormat="1" applyBorder="1"/>
    <xf numFmtId="9" fontId="0" fillId="0" borderId="6" xfId="0" applyNumberFormat="1" applyBorder="1"/>
    <xf numFmtId="0" fontId="44" fillId="3" borderId="0" xfId="28" applyFont="1" applyFill="1"/>
    <xf numFmtId="166" fontId="0" fillId="2" borderId="5" xfId="38" applyNumberFormat="1" applyFont="1" applyFill="1" applyBorder="1"/>
    <xf numFmtId="166" fontId="37" fillId="3" borderId="0" xfId="38" applyNumberFormat="1" applyFont="1" applyFill="1"/>
    <xf numFmtId="164" fontId="37" fillId="3" borderId="0" xfId="48" applyFont="1" applyFill="1"/>
    <xf numFmtId="0" fontId="45" fillId="11" borderId="0" xfId="28" applyFont="1" applyFill="1"/>
    <xf numFmtId="0" fontId="46" fillId="11" borderId="0" xfId="28" applyFont="1" applyFill="1"/>
    <xf numFmtId="165" fontId="0" fillId="13" borderId="0" xfId="0" applyNumberFormat="1" applyFill="1"/>
    <xf numFmtId="165" fontId="0" fillId="13" borderId="3" xfId="0" applyNumberFormat="1" applyFill="1" applyBorder="1"/>
    <xf numFmtId="165" fontId="1" fillId="13" borderId="0" xfId="0" applyNumberFormat="1" applyFont="1" applyFill="1"/>
    <xf numFmtId="165" fontId="0" fillId="13" borderId="6" xfId="0" applyNumberFormat="1" applyFill="1" applyBorder="1"/>
    <xf numFmtId="0" fontId="41" fillId="3" borderId="6" xfId="28" applyFont="1" applyFill="1" applyBorder="1"/>
    <xf numFmtId="164" fontId="6" fillId="2" borderId="5" xfId="48" applyFill="1" applyBorder="1"/>
    <xf numFmtId="3" fontId="0" fillId="0" borderId="0" xfId="0" applyNumberFormat="1"/>
    <xf numFmtId="3" fontId="0" fillId="0" borderId="4" xfId="0" applyNumberFormat="1" applyBorder="1"/>
    <xf numFmtId="3" fontId="0" fillId="0" borderId="15" xfId="0" applyNumberFormat="1" applyBorder="1"/>
    <xf numFmtId="0" fontId="0" fillId="12" borderId="15" xfId="0" applyFill="1" applyBorder="1"/>
    <xf numFmtId="3" fontId="0" fillId="2" borderId="0" xfId="0" applyNumberFormat="1" applyFill="1"/>
    <xf numFmtId="0" fontId="47" fillId="0" borderId="0" xfId="0" applyFont="1"/>
    <xf numFmtId="0" fontId="35" fillId="0" borderId="15" xfId="0" applyFont="1" applyBorder="1"/>
    <xf numFmtId="172" fontId="0" fillId="0" borderId="0" xfId="0" applyNumberFormat="1"/>
    <xf numFmtId="0" fontId="0" fillId="0" borderId="0" xfId="0" applyAlignment="1">
      <alignment horizontal="center"/>
    </xf>
    <xf numFmtId="165" fontId="3" fillId="0" borderId="6" xfId="0" applyNumberFormat="1" applyFont="1" applyBorder="1"/>
    <xf numFmtId="166" fontId="0" fillId="0" borderId="0" xfId="1" applyNumberFormat="1" applyFont="1"/>
    <xf numFmtId="0" fontId="48" fillId="14" borderId="0" xfId="0" applyFont="1" applyFill="1"/>
    <xf numFmtId="172" fontId="48" fillId="14" borderId="0" xfId="0" applyNumberFormat="1" applyFont="1" applyFill="1"/>
    <xf numFmtId="0" fontId="49" fillId="3" borderId="0" xfId="28" applyFont="1" applyFill="1"/>
    <xf numFmtId="43" fontId="6" fillId="2" borderId="5" xfId="48" applyNumberFormat="1" applyFill="1" applyBorder="1"/>
    <xf numFmtId="0" fontId="50" fillId="3" borderId="0" xfId="28" applyFont="1" applyFill="1"/>
    <xf numFmtId="166" fontId="6" fillId="12" borderId="5" xfId="28" applyNumberFormat="1" applyFill="1" applyBorder="1"/>
    <xf numFmtId="0" fontId="51" fillId="0" borderId="0" xfId="0" applyFont="1"/>
    <xf numFmtId="14" fontId="0" fillId="0" borderId="0" xfId="0" applyNumberFormat="1"/>
    <xf numFmtId="165" fontId="51" fillId="0" borderId="0" xfId="0" applyNumberFormat="1" applyFont="1"/>
    <xf numFmtId="174" fontId="0" fillId="0" borderId="0" xfId="0" applyNumberFormat="1"/>
    <xf numFmtId="173" fontId="0" fillId="3" borderId="16" xfId="49" applyNumberFormat="1" applyFont="1" applyFill="1" applyBorder="1"/>
    <xf numFmtId="175" fontId="0" fillId="3" borderId="0" xfId="49" applyNumberFormat="1" applyFont="1" applyFill="1"/>
    <xf numFmtId="173" fontId="0" fillId="3" borderId="17" xfId="49" applyNumberFormat="1" applyFont="1" applyFill="1" applyBorder="1"/>
    <xf numFmtId="175" fontId="0" fillId="3" borderId="6" xfId="49" applyNumberFormat="1" applyFont="1" applyFill="1" applyBorder="1"/>
    <xf numFmtId="167" fontId="6" fillId="2" borderId="15" xfId="48" applyNumberFormat="1" applyFont="1" applyFill="1" applyBorder="1"/>
    <xf numFmtId="167" fontId="0" fillId="2" borderId="15" xfId="0" applyNumberFormat="1" applyFill="1" applyBorder="1"/>
    <xf numFmtId="173" fontId="36" fillId="2" borderId="15" xfId="48" applyNumberFormat="1" applyFont="1" applyFill="1" applyBorder="1"/>
    <xf numFmtId="175" fontId="0" fillId="3" borderId="0" xfId="0" applyNumberFormat="1" applyFill="1"/>
    <xf numFmtId="0" fontId="54" fillId="3" borderId="0" xfId="0" applyFont="1" applyFill="1" applyBorder="1" applyAlignment="1">
      <alignment horizontal="right"/>
    </xf>
    <xf numFmtId="0" fontId="0" fillId="3" borderId="0" xfId="0" applyFill="1" applyBorder="1"/>
    <xf numFmtId="0" fontId="53" fillId="14" borderId="0" xfId="0" applyFont="1" applyFill="1"/>
    <xf numFmtId="0" fontId="53" fillId="14" borderId="16" xfId="0" applyFont="1" applyFill="1" applyBorder="1"/>
    <xf numFmtId="0" fontId="53" fillId="14" borderId="6" xfId="0" applyFont="1" applyFill="1" applyBorder="1" applyAlignment="1">
      <alignment horizontal="left"/>
    </xf>
    <xf numFmtId="0" fontId="53" fillId="14" borderId="6" xfId="0" applyFont="1" applyFill="1" applyBorder="1" applyAlignment="1">
      <alignment horizontal="center"/>
    </xf>
    <xf numFmtId="0" fontId="53" fillId="14" borderId="6" xfId="0" applyFont="1" applyFill="1" applyBorder="1"/>
    <xf numFmtId="0" fontId="53" fillId="14" borderId="17" xfId="0" applyFont="1" applyFill="1" applyBorder="1"/>
    <xf numFmtId="0" fontId="53" fillId="14" borderId="6" xfId="0" applyFont="1" applyFill="1" applyBorder="1" applyAlignment="1">
      <alignment horizontal="right"/>
    </xf>
    <xf numFmtId="175" fontId="53" fillId="14" borderId="0" xfId="0" applyNumberFormat="1" applyFont="1" applyFill="1"/>
    <xf numFmtId="175" fontId="53" fillId="14" borderId="6" xfId="0" applyNumberFormat="1" applyFont="1" applyFill="1" applyBorder="1"/>
    <xf numFmtId="167" fontId="0" fillId="3" borderId="16" xfId="49" applyNumberFormat="1" applyFont="1" applyFill="1" applyBorder="1"/>
    <xf numFmtId="0" fontId="52" fillId="14" borderId="18" xfId="0" applyFont="1" applyFill="1" applyBorder="1"/>
    <xf numFmtId="0" fontId="52" fillId="14" borderId="19" xfId="0" applyFont="1" applyFill="1" applyBorder="1"/>
    <xf numFmtId="0" fontId="46" fillId="14" borderId="21" xfId="0" applyFont="1" applyFill="1" applyBorder="1"/>
    <xf numFmtId="0" fontId="52" fillId="14" borderId="0" xfId="0" applyFont="1" applyFill="1" applyBorder="1"/>
    <xf numFmtId="0" fontId="46" fillId="14" borderId="19" xfId="0" applyFont="1" applyFill="1" applyBorder="1" applyAlignment="1">
      <alignment horizontal="right"/>
    </xf>
    <xf numFmtId="0" fontId="46" fillId="14" borderId="20" xfId="0" applyFont="1" applyFill="1" applyBorder="1" applyAlignment="1">
      <alignment horizontal="right"/>
    </xf>
    <xf numFmtId="175" fontId="0" fillId="3" borderId="15" xfId="0" applyNumberFormat="1" applyFill="1" applyBorder="1"/>
    <xf numFmtId="0" fontId="53" fillId="14" borderId="23" xfId="0" applyFont="1" applyFill="1" applyBorder="1"/>
    <xf numFmtId="0" fontId="53" fillId="14" borderId="24" xfId="0" applyFont="1" applyFill="1" applyBorder="1"/>
    <xf numFmtId="0" fontId="0" fillId="3" borderId="23" xfId="0" applyFill="1" applyBorder="1"/>
    <xf numFmtId="0" fontId="0" fillId="3" borderId="24" xfId="0" applyFill="1" applyBorder="1"/>
    <xf numFmtId="167" fontId="0" fillId="3" borderId="0" xfId="49" applyNumberFormat="1" applyFont="1" applyFill="1" applyBorder="1"/>
    <xf numFmtId="166" fontId="0" fillId="3" borderId="0" xfId="1" applyNumberFormat="1" applyFont="1" applyFill="1"/>
    <xf numFmtId="175" fontId="0" fillId="3" borderId="6" xfId="0" applyNumberFormat="1" applyFill="1" applyBorder="1"/>
    <xf numFmtId="166" fontId="0" fillId="3" borderId="6" xfId="1" applyNumberFormat="1" applyFont="1" applyFill="1" applyBorder="1"/>
    <xf numFmtId="175" fontId="0" fillId="3" borderId="25" xfId="0" applyNumberFormat="1" applyFill="1" applyBorder="1"/>
    <xf numFmtId="167" fontId="6" fillId="2" borderId="15" xfId="49" applyNumberFormat="1" applyFont="1" applyFill="1" applyBorder="1"/>
    <xf numFmtId="173" fontId="36" fillId="2" borderId="15" xfId="49" applyNumberFormat="1" applyFont="1" applyFill="1" applyBorder="1"/>
    <xf numFmtId="0" fontId="53" fillId="14" borderId="0" xfId="0" applyFont="1" applyFill="1" applyAlignment="1">
      <alignment horizontal="right"/>
    </xf>
    <xf numFmtId="0" fontId="53" fillId="14" borderId="19" xfId="0" applyFont="1" applyFill="1" applyBorder="1"/>
    <xf numFmtId="175" fontId="53" fillId="14" borderId="19" xfId="0" applyNumberFormat="1" applyFont="1" applyFill="1" applyBorder="1"/>
    <xf numFmtId="0" fontId="46" fillId="14" borderId="22" xfId="0" applyFont="1" applyFill="1" applyBorder="1"/>
    <xf numFmtId="0" fontId="52" fillId="14" borderId="6" xfId="0" applyFont="1" applyFill="1" applyBorder="1"/>
    <xf numFmtId="0" fontId="46" fillId="14" borderId="15" xfId="0" applyFont="1" applyFill="1" applyBorder="1"/>
    <xf numFmtId="0" fontId="4" fillId="0" borderId="15" xfId="0" applyFont="1" applyBorder="1"/>
    <xf numFmtId="0" fontId="55" fillId="0" borderId="0" xfId="0" applyFont="1"/>
    <xf numFmtId="166" fontId="3" fillId="3" borderId="0" xfId="38" applyNumberFormat="1" applyFont="1" applyFill="1"/>
    <xf numFmtId="164" fontId="3" fillId="3" borderId="0" xfId="48" applyFont="1" applyFill="1"/>
    <xf numFmtId="172" fontId="6" fillId="3" borderId="15" xfId="28" applyNumberFormat="1" applyFill="1" applyBorder="1"/>
    <xf numFmtId="0" fontId="6" fillId="0" borderId="0" xfId="28" applyFont="1" applyFill="1"/>
    <xf numFmtId="0" fontId="36" fillId="0" borderId="0" xfId="28" applyFont="1" applyFill="1"/>
    <xf numFmtId="0" fontId="6" fillId="0" borderId="0" xfId="28" applyFont="1" applyFill="1" applyBorder="1"/>
    <xf numFmtId="0" fontId="36" fillId="0" borderId="0" xfId="28" applyFont="1" applyFill="1" applyBorder="1"/>
    <xf numFmtId="0" fontId="6" fillId="0" borderId="16" xfId="28" applyFont="1" applyFill="1" applyBorder="1"/>
    <xf numFmtId="166" fontId="36" fillId="15" borderId="15" xfId="28" applyNumberFormat="1" applyFont="1" applyFill="1" applyBorder="1"/>
    <xf numFmtId="166" fontId="36" fillId="15" borderId="26" xfId="28" applyNumberFormat="1" applyFont="1" applyFill="1" applyBorder="1"/>
    <xf numFmtId="173" fontId="56" fillId="3" borderId="26" xfId="28" applyNumberFormat="1" applyFont="1" applyFill="1" applyBorder="1"/>
    <xf numFmtId="0" fontId="48" fillId="0" borderId="0" xfId="0" applyFont="1" applyFill="1"/>
    <xf numFmtId="172" fontId="48" fillId="0" borderId="0" xfId="0" applyNumberFormat="1" applyFont="1" applyFill="1"/>
    <xf numFmtId="0" fontId="0" fillId="0" borderId="0" xfId="0" applyFill="1"/>
    <xf numFmtId="172" fontId="6" fillId="16" borderId="15" xfId="28" applyNumberFormat="1" applyFill="1" applyBorder="1"/>
    <xf numFmtId="172" fontId="6" fillId="15" borderId="15" xfId="28" applyNumberFormat="1" applyFill="1" applyBorder="1"/>
    <xf numFmtId="172" fontId="6" fillId="3" borderId="0" xfId="28" applyNumberFormat="1" applyFill="1" applyBorder="1"/>
    <xf numFmtId="166" fontId="36" fillId="0" borderId="0" xfId="28" applyNumberFormat="1" applyFont="1" applyFill="1" applyBorder="1"/>
    <xf numFmtId="10" fontId="3" fillId="3" borderId="0" xfId="38" applyNumberFormat="1" applyFont="1" applyFill="1"/>
    <xf numFmtId="0" fontId="36" fillId="3" borderId="10" xfId="28" applyFont="1" applyFill="1" applyBorder="1"/>
    <xf numFmtId="0" fontId="6" fillId="3" borderId="11" xfId="28" applyFill="1" applyBorder="1"/>
    <xf numFmtId="0" fontId="0" fillId="0" borderId="11" xfId="0" applyBorder="1"/>
    <xf numFmtId="0" fontId="36" fillId="3" borderId="11" xfId="28" applyFont="1" applyFill="1" applyBorder="1"/>
    <xf numFmtId="0" fontId="6" fillId="0" borderId="11" xfId="28" applyFont="1" applyFill="1" applyBorder="1"/>
    <xf numFmtId="166" fontId="36" fillId="0" borderId="11" xfId="28" applyNumberFormat="1" applyFont="1" applyFill="1" applyBorder="1"/>
    <xf numFmtId="172" fontId="6" fillId="3" borderId="12" xfId="28" applyNumberFormat="1" applyFill="1" applyBorder="1"/>
    <xf numFmtId="0" fontId="46" fillId="11" borderId="13" xfId="28" applyFont="1" applyFill="1" applyBorder="1"/>
    <xf numFmtId="0" fontId="46" fillId="11" borderId="0" xfId="28" applyFont="1" applyFill="1" applyBorder="1"/>
    <xf numFmtId="0" fontId="6" fillId="3" borderId="0" xfId="28" applyFill="1" applyBorder="1"/>
    <xf numFmtId="0" fontId="46" fillId="11" borderId="14" xfId="28" applyFont="1" applyFill="1" applyBorder="1"/>
    <xf numFmtId="10" fontId="36" fillId="15" borderId="26" xfId="28" applyNumberFormat="1" applyFont="1" applyFill="1" applyBorder="1"/>
    <xf numFmtId="166" fontId="6" fillId="3" borderId="27" xfId="28" applyNumberFormat="1" applyFill="1" applyBorder="1"/>
    <xf numFmtId="9" fontId="6" fillId="0" borderId="0" xfId="28" applyNumberFormat="1" applyFont="1" applyFill="1" applyBorder="1" applyAlignment="1">
      <alignment horizontal="center"/>
    </xf>
    <xf numFmtId="9" fontId="6" fillId="3" borderId="0" xfId="28" applyNumberFormat="1" applyFill="1" applyBorder="1"/>
    <xf numFmtId="9" fontId="36" fillId="0" borderId="0" xfId="28" applyNumberFormat="1" applyFont="1" applyFill="1" applyBorder="1"/>
    <xf numFmtId="0" fontId="46" fillId="11" borderId="10" xfId="28" applyFont="1" applyFill="1" applyBorder="1" applyAlignment="1">
      <alignment horizontal="center"/>
    </xf>
    <xf numFmtId="0" fontId="46" fillId="11" borderId="11" xfId="28" quotePrefix="1" applyFont="1" applyFill="1" applyBorder="1" applyAlignment="1">
      <alignment horizontal="center"/>
    </xf>
    <xf numFmtId="0" fontId="46" fillId="11" borderId="11" xfId="28" applyFont="1" applyFill="1" applyBorder="1" applyAlignment="1">
      <alignment horizontal="center"/>
    </xf>
    <xf numFmtId="166" fontId="46" fillId="11" borderId="12" xfId="28" quotePrefix="1" applyNumberFormat="1" applyFont="1" applyFill="1" applyBorder="1" applyAlignment="1">
      <alignment horizontal="center"/>
    </xf>
    <xf numFmtId="0" fontId="6" fillId="3" borderId="13" xfId="28" applyFill="1" applyBorder="1"/>
    <xf numFmtId="0" fontId="6" fillId="3" borderId="0" xfId="28" applyFill="1" applyBorder="1" applyAlignment="1">
      <alignment horizontal="center"/>
    </xf>
    <xf numFmtId="9" fontId="6" fillId="3" borderId="14" xfId="28" applyNumberFormat="1" applyFill="1" applyBorder="1"/>
    <xf numFmtId="9" fontId="6" fillId="3" borderId="4" xfId="28" applyNumberFormat="1" applyFill="1" applyBorder="1"/>
    <xf numFmtId="0" fontId="6" fillId="3" borderId="4" xfId="28" applyFill="1" applyBorder="1" applyAlignment="1">
      <alignment horizontal="center"/>
    </xf>
    <xf numFmtId="9" fontId="6" fillId="0" borderId="4" xfId="28" applyNumberFormat="1" applyFont="1" applyFill="1" applyBorder="1" applyAlignment="1">
      <alignment horizontal="center"/>
    </xf>
    <xf numFmtId="9" fontId="36" fillId="0" borderId="4" xfId="28" applyNumberFormat="1" applyFont="1" applyFill="1" applyBorder="1"/>
    <xf numFmtId="9" fontId="6" fillId="3" borderId="28" xfId="28" applyNumberFormat="1" applyFill="1" applyBorder="1"/>
    <xf numFmtId="0" fontId="6" fillId="0" borderId="13" xfId="28" applyFont="1" applyFill="1" applyBorder="1"/>
    <xf numFmtId="0" fontId="6" fillId="0" borderId="27" xfId="28" applyFont="1" applyFill="1" applyBorder="1"/>
    <xf numFmtId="166" fontId="6" fillId="3" borderId="13" xfId="1" applyNumberFormat="1" applyFont="1" applyFill="1" applyBorder="1" applyAlignment="1">
      <alignment horizontal="center"/>
    </xf>
    <xf numFmtId="166" fontId="6" fillId="3" borderId="13" xfId="28" applyNumberFormat="1" applyFill="1" applyBorder="1" applyAlignment="1">
      <alignment horizontal="center"/>
    </xf>
    <xf numFmtId="166" fontId="6" fillId="3" borderId="27" xfId="28" applyNumberFormat="1" applyFill="1" applyBorder="1" applyAlignment="1">
      <alignment horizontal="center"/>
    </xf>
    <xf numFmtId="173" fontId="6" fillId="3" borderId="0" xfId="28" applyNumberFormat="1" applyFill="1" applyBorder="1" applyAlignment="1">
      <alignment horizontal="center"/>
    </xf>
    <xf numFmtId="166" fontId="6" fillId="3" borderId="0" xfId="1" applyNumberFormat="1" applyFont="1" applyFill="1" applyBorder="1" applyAlignment="1">
      <alignment horizontal="center"/>
    </xf>
    <xf numFmtId="166" fontId="36" fillId="0" borderId="0" xfId="28" applyNumberFormat="1" applyFont="1" applyFill="1" applyBorder="1" applyAlignment="1">
      <alignment horizontal="center"/>
    </xf>
    <xf numFmtId="173" fontId="6" fillId="3" borderId="14" xfId="28" applyNumberFormat="1" applyFill="1" applyBorder="1" applyAlignment="1">
      <alignment horizontal="center"/>
    </xf>
    <xf numFmtId="166" fontId="6" fillId="3" borderId="0" xfId="28" applyNumberFormat="1" applyFill="1" applyBorder="1" applyAlignment="1">
      <alignment horizontal="center"/>
    </xf>
    <xf numFmtId="173" fontId="6" fillId="3" borderId="4" xfId="28" applyNumberFormat="1" applyFill="1" applyBorder="1" applyAlignment="1">
      <alignment horizontal="center"/>
    </xf>
    <xf numFmtId="166" fontId="6" fillId="3" borderId="4" xfId="28" applyNumberFormat="1" applyFill="1" applyBorder="1" applyAlignment="1">
      <alignment horizontal="center"/>
    </xf>
    <xf numFmtId="166" fontId="36" fillId="0" borderId="4" xfId="28" applyNumberFormat="1" applyFont="1" applyFill="1" applyBorder="1" applyAlignment="1">
      <alignment horizontal="center"/>
    </xf>
    <xf numFmtId="173" fontId="6" fillId="3" borderId="28" xfId="28" applyNumberFormat="1" applyFill="1" applyBorder="1" applyAlignment="1">
      <alignment horizontal="center"/>
    </xf>
    <xf numFmtId="173" fontId="6" fillId="3" borderId="0" xfId="28" applyNumberFormat="1" applyFill="1" applyBorder="1" applyAlignment="1"/>
    <xf numFmtId="173" fontId="6" fillId="3" borderId="4" xfId="28" applyNumberFormat="1" applyFill="1" applyBorder="1" applyAlignment="1"/>
    <xf numFmtId="165" fontId="0" fillId="0" borderId="0" xfId="0" applyNumberFormat="1" applyBorder="1"/>
    <xf numFmtId="167" fontId="3" fillId="0" borderId="0" xfId="49" applyNumberFormat="1" applyFont="1"/>
    <xf numFmtId="171" fontId="0" fillId="0" borderId="0" xfId="0" applyNumberFormat="1"/>
    <xf numFmtId="0" fontId="26" fillId="0" borderId="0" xfId="30" applyFont="1" applyAlignment="1">
      <alignment horizontal="left" vertical="center"/>
    </xf>
    <xf numFmtId="0" fontId="27" fillId="0" borderId="0" xfId="30" applyFont="1" applyAlignment="1">
      <alignment horizontal="left" vertical="center"/>
    </xf>
    <xf numFmtId="0" fontId="29" fillId="0" borderId="0" xfId="30" applyFont="1" applyAlignment="1">
      <alignment horizontal="left" vertical="center"/>
    </xf>
    <xf numFmtId="0" fontId="6" fillId="0" borderId="0" xfId="28" applyFont="1" applyFill="1" applyBorder="1" applyAlignment="1">
      <alignment horizontal="center"/>
    </xf>
    <xf numFmtId="0" fontId="6" fillId="0" borderId="16" xfId="28" applyFont="1" applyFill="1" applyBorder="1" applyAlignment="1">
      <alignment horizontal="center"/>
    </xf>
  </cellXfs>
  <cellStyles count="50">
    <cellStyle name="bullet" xfId="3" xr:uid="{00000000-0005-0000-0000-000000000000}"/>
    <cellStyle name="calc1" xfId="4" xr:uid="{00000000-0005-0000-0000-000001000000}"/>
    <cellStyle name="calc2" xfId="5" xr:uid="{00000000-0005-0000-0000-000002000000}"/>
    <cellStyle name="Comma" xfId="49" builtinId="3"/>
    <cellStyle name="Comma 2" xfId="7" xr:uid="{00000000-0005-0000-0000-000004000000}"/>
    <cellStyle name="Comma 2 2" xfId="8" xr:uid="{00000000-0005-0000-0000-000005000000}"/>
    <cellStyle name="Comma 3" xfId="9" xr:uid="{00000000-0005-0000-0000-000006000000}"/>
    <cellStyle name="Comma 4" xfId="10" xr:uid="{00000000-0005-0000-0000-000007000000}"/>
    <cellStyle name="Comma 5" xfId="6" xr:uid="{00000000-0005-0000-0000-000008000000}"/>
    <cellStyle name="Comma 6" xfId="48" xr:uid="{00000000-0005-0000-0000-000009000000}"/>
    <cellStyle name="comment1" xfId="11" xr:uid="{00000000-0005-0000-0000-00000A000000}"/>
    <cellStyle name="comment1flat" xfId="12" xr:uid="{00000000-0005-0000-0000-00000B000000}"/>
    <cellStyle name="comment1orange" xfId="13" xr:uid="{00000000-0005-0000-0000-00000C000000}"/>
    <cellStyle name="comment2" xfId="14" xr:uid="{00000000-0005-0000-0000-00000D000000}"/>
    <cellStyle name="comment2bold" xfId="15" xr:uid="{00000000-0005-0000-0000-00000E000000}"/>
    <cellStyle name="conclusion" xfId="16" xr:uid="{00000000-0005-0000-0000-00000F000000}"/>
    <cellStyle name="Currency 2" xfId="17" xr:uid="{00000000-0005-0000-0000-000010000000}"/>
    <cellStyle name="Currency 2 2" xfId="18" xr:uid="{00000000-0005-0000-0000-000011000000}"/>
    <cellStyle name="Currency 2 2 2" xfId="19" xr:uid="{00000000-0005-0000-0000-000012000000}"/>
    <cellStyle name="Currency 2 3" xfId="20" xr:uid="{00000000-0005-0000-0000-000013000000}"/>
    <cellStyle name="Currency 2 4" xfId="21" xr:uid="{00000000-0005-0000-0000-000014000000}"/>
    <cellStyle name="Currency 3" xfId="22" xr:uid="{00000000-0005-0000-0000-000015000000}"/>
    <cellStyle name="data" xfId="23" xr:uid="{00000000-0005-0000-0000-000016000000}"/>
    <cellStyle name="Euro" xfId="24" xr:uid="{00000000-0005-0000-0000-000017000000}"/>
    <cellStyle name="fade" xfId="25" xr:uid="{00000000-0005-0000-0000-000018000000}"/>
    <cellStyle name="head" xfId="26" xr:uid="{00000000-0005-0000-0000-000019000000}"/>
    <cellStyle name="Hyperlink 2" xfId="27" xr:uid="{00000000-0005-0000-0000-00001A000000}"/>
    <cellStyle name="Normal" xfId="0" builtinId="0"/>
    <cellStyle name="Normal 2" xfId="28" xr:uid="{00000000-0005-0000-0000-00001C000000}"/>
    <cellStyle name="Normal 2 2" xfId="29" xr:uid="{00000000-0005-0000-0000-00001D000000}"/>
    <cellStyle name="Normal 2 2 2" xfId="30" xr:uid="{00000000-0005-0000-0000-00001E000000}"/>
    <cellStyle name="Normal 3" xfId="31" xr:uid="{00000000-0005-0000-0000-00001F000000}"/>
    <cellStyle name="Normal 3 2" xfId="32" xr:uid="{00000000-0005-0000-0000-000020000000}"/>
    <cellStyle name="Normal 4" xfId="33" xr:uid="{00000000-0005-0000-0000-000021000000}"/>
    <cellStyle name="Normal 4 2" xfId="34" xr:uid="{00000000-0005-0000-0000-000022000000}"/>
    <cellStyle name="Normal 5" xfId="35" xr:uid="{00000000-0005-0000-0000-000023000000}"/>
    <cellStyle name="Normal 6" xfId="36" xr:uid="{00000000-0005-0000-0000-000024000000}"/>
    <cellStyle name="Normal 7" xfId="2" xr:uid="{00000000-0005-0000-0000-000025000000}"/>
    <cellStyle name="Percent" xfId="1" builtinId="5"/>
    <cellStyle name="Percent 2" xfId="38" xr:uid="{00000000-0005-0000-0000-000027000000}"/>
    <cellStyle name="Percent 3" xfId="39" xr:uid="{00000000-0005-0000-0000-000028000000}"/>
    <cellStyle name="Percent 4" xfId="37" xr:uid="{00000000-0005-0000-0000-000029000000}"/>
    <cellStyle name="qtag" xfId="40" xr:uid="{00000000-0005-0000-0000-00002A000000}"/>
    <cellStyle name="qtagorange" xfId="41" xr:uid="{00000000-0005-0000-0000-00002B000000}"/>
    <cellStyle name="qtext" xfId="42" xr:uid="{00000000-0005-0000-0000-00002C000000}"/>
    <cellStyle name="result" xfId="43" xr:uid="{00000000-0005-0000-0000-00002D000000}"/>
    <cellStyle name="section" xfId="44" xr:uid="{00000000-0005-0000-0000-00002E000000}"/>
    <cellStyle name="subsection" xfId="45" xr:uid="{00000000-0005-0000-0000-00002F000000}"/>
    <cellStyle name="subtitle" xfId="46" xr:uid="{00000000-0005-0000-0000-000030000000}"/>
    <cellStyle name="text" xfId="47" xr:uid="{00000000-0005-0000-0000-000031000000}"/>
  </cellStyles>
  <dxfs count="2"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latin typeface="Arial Black" panose="020B0A04020102020204" pitchFamily="34" charset="0"/>
              </a:rPr>
              <a:t>Impact On Share Price by Change In Input/Driver</a:t>
            </a:r>
          </a:p>
        </c:rich>
      </c:tx>
      <c:layout>
        <c:manualLayout>
          <c:xMode val="edge"/>
          <c:yMode val="edge"/>
          <c:x val="0.2488986015985796"/>
          <c:y val="7.70346219825421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'Financial Model'!$G$283:$G$285</c:f>
              <c:strCache>
                <c:ptCount val="3"/>
                <c:pt idx="0">
                  <c:v>Terminal Growth Rate +/-1%</c:v>
                </c:pt>
                <c:pt idx="1">
                  <c:v>Cost of Sales +/-2.5%</c:v>
                </c:pt>
                <c:pt idx="2">
                  <c:v>Turnover Growth +/-2.5%</c:v>
                </c:pt>
              </c:strCache>
            </c:strRef>
          </c:cat>
          <c:val>
            <c:numRef>
              <c:f>'Financial Model'!$H$283:$H$285</c:f>
              <c:numCache>
                <c:formatCode>0%</c:formatCode>
                <c:ptCount val="3"/>
                <c:pt idx="0">
                  <c:v>0.13763879310255045</c:v>
                </c:pt>
                <c:pt idx="1">
                  <c:v>0.18069823747955041</c:v>
                </c:pt>
                <c:pt idx="2">
                  <c:v>0.27970807198911768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DE-49CA-BB20-726B79C19C62}"/>
            </c:ext>
          </c:extLst>
        </c:ser>
        <c:ser>
          <c:idx val="1"/>
          <c:order val="1"/>
          <c:tx>
            <c:strRef>
              <c:f>'Financial Model'!$I$283:$I$285</c:f>
              <c:strCache>
                <c:ptCount val="3"/>
                <c:pt idx="0">
                  <c:v>-14%</c:v>
                </c:pt>
                <c:pt idx="1">
                  <c:v>-18%</c:v>
                </c:pt>
                <c:pt idx="2">
                  <c:v>-28%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'Financial Model'!$G$283:$G$285</c:f>
              <c:strCache>
                <c:ptCount val="3"/>
                <c:pt idx="0">
                  <c:v>Terminal Growth Rate +/-1%</c:v>
                </c:pt>
                <c:pt idx="1">
                  <c:v>Cost of Sales +/-2.5%</c:v>
                </c:pt>
                <c:pt idx="2">
                  <c:v>Turnover Growth +/-2.5%</c:v>
                </c:pt>
              </c:strCache>
            </c:strRef>
          </c:cat>
          <c:val>
            <c:numRef>
              <c:f>'Financial Model'!$I$283:$I$285</c:f>
              <c:numCache>
                <c:formatCode>0%</c:formatCode>
                <c:ptCount val="3"/>
                <c:pt idx="0">
                  <c:v>-0.13763879310255045</c:v>
                </c:pt>
                <c:pt idx="1">
                  <c:v>-0.18069823747955041</c:v>
                </c:pt>
                <c:pt idx="2">
                  <c:v>-0.27970807198911768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DE-49CA-BB20-726B79C19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3510864"/>
        <c:axId val="553511184"/>
      </c:barChart>
      <c:catAx>
        <c:axId val="553510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511184"/>
        <c:crosses val="autoZero"/>
        <c:auto val="1"/>
        <c:lblAlgn val="ctr"/>
        <c:lblOffset val="100"/>
        <c:noMultiLvlLbl val="0"/>
      </c:catAx>
      <c:valAx>
        <c:axId val="553511184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51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  <a:latin typeface="Arial Black" panose="020B0A04020102020204" pitchFamily="34" charset="0"/>
              </a:rPr>
              <a:t>% Change in Share Price with Change In Input/Driver</a:t>
            </a:r>
            <a:endParaRPr lang="en-GB" sz="1100" b="0">
              <a:effectLst/>
              <a:latin typeface="Arial Black" panose="020B0A040201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'Financial Model'!$G$283:$G$285</c:f>
              <c:strCache>
                <c:ptCount val="3"/>
                <c:pt idx="0">
                  <c:v>Terminal Growth Rate +/-1%</c:v>
                </c:pt>
                <c:pt idx="1">
                  <c:v>Cost of Sales +/-2.5%</c:v>
                </c:pt>
                <c:pt idx="2">
                  <c:v>Turnover Growth +/-2.5%</c:v>
                </c:pt>
              </c:strCache>
            </c:strRef>
          </c:cat>
          <c:val>
            <c:numRef>
              <c:f>'Financial Model'!$H$283:$H$285</c:f>
              <c:numCache>
                <c:formatCode>0%</c:formatCode>
                <c:ptCount val="3"/>
                <c:pt idx="0">
                  <c:v>0.13763879310255045</c:v>
                </c:pt>
                <c:pt idx="1">
                  <c:v>0.18069823747955041</c:v>
                </c:pt>
                <c:pt idx="2">
                  <c:v>0.27970807198911768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9E-4091-BE64-D989BF913D50}"/>
            </c:ext>
          </c:extLst>
        </c:ser>
        <c:ser>
          <c:idx val="1"/>
          <c:order val="1"/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'Financial Model'!$G$283:$G$285</c:f>
              <c:strCache>
                <c:ptCount val="3"/>
                <c:pt idx="0">
                  <c:v>Terminal Growth Rate +/-1%</c:v>
                </c:pt>
                <c:pt idx="1">
                  <c:v>Cost of Sales +/-2.5%</c:v>
                </c:pt>
                <c:pt idx="2">
                  <c:v>Turnover Growth +/-2.5%</c:v>
                </c:pt>
              </c:strCache>
            </c:strRef>
          </c:cat>
          <c:val>
            <c:numRef>
              <c:f>'Financial Model'!$I$283:$I$285</c:f>
              <c:numCache>
                <c:formatCode>0%</c:formatCode>
                <c:ptCount val="3"/>
                <c:pt idx="0">
                  <c:v>-0.13763879310255045</c:v>
                </c:pt>
                <c:pt idx="1">
                  <c:v>-0.18069823747955041</c:v>
                </c:pt>
                <c:pt idx="2">
                  <c:v>-0.27970807198911768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9E-4091-BE64-D989BF913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3993040"/>
        <c:axId val="663993680"/>
      </c:barChart>
      <c:catAx>
        <c:axId val="663993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993680"/>
        <c:crosses val="autoZero"/>
        <c:auto val="1"/>
        <c:lblAlgn val="ctr"/>
        <c:lblOffset val="100"/>
        <c:noMultiLvlLbl val="0"/>
      </c:catAx>
      <c:valAx>
        <c:axId val="663993680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993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71437</xdr:colOff>
      <xdr:row>2</xdr:row>
      <xdr:rowOff>59531</xdr:rowOff>
    </xdr:from>
    <xdr:to>
      <xdr:col>10</xdr:col>
      <xdr:colOff>500062</xdr:colOff>
      <xdr:row>2</xdr:row>
      <xdr:rowOff>59531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424112" y="1745456"/>
          <a:ext cx="4086225" cy="0"/>
        </a:xfrm>
        <a:prstGeom prst="line">
          <a:avLst/>
        </a:prstGeom>
        <a:ln w="69850" cmpd="thinThick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565150</xdr:colOff>
      <xdr:row>251</xdr:row>
      <xdr:rowOff>50800</xdr:rowOff>
    </xdr:from>
    <xdr:to>
      <xdr:col>8</xdr:col>
      <xdr:colOff>972820</xdr:colOff>
      <xdr:row>252</xdr:row>
      <xdr:rowOff>152400</xdr:rowOff>
    </xdr:to>
    <xdr:sp macro="" textlink="">
      <xdr:nvSpPr>
        <xdr:cNvPr id="7" name="Arrow: Curved Right 6">
          <a:extLst>
            <a:ext uri="{FF2B5EF4-FFF2-40B4-BE49-F238E27FC236}">
              <a16:creationId xmlns:a16="http://schemas.microsoft.com/office/drawing/2014/main" id="{1DF3D56B-7DB2-499F-B784-BB7834042EB4}"/>
            </a:ext>
          </a:extLst>
        </xdr:cNvPr>
        <xdr:cNvSpPr/>
      </xdr:nvSpPr>
      <xdr:spPr>
        <a:xfrm flipV="1">
          <a:off x="6254750" y="4343400"/>
          <a:ext cx="191770" cy="260350"/>
        </a:xfrm>
        <a:prstGeom prst="curvedRight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273050</xdr:colOff>
      <xdr:row>248</xdr:row>
      <xdr:rowOff>44450</xdr:rowOff>
    </xdr:from>
    <xdr:to>
      <xdr:col>12</xdr:col>
      <xdr:colOff>737108</xdr:colOff>
      <xdr:row>248</xdr:row>
      <xdr:rowOff>171450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715E582F-6E8C-4D3C-85D8-03DF9659CB1F}"/>
            </a:ext>
          </a:extLst>
        </xdr:cNvPr>
        <xdr:cNvSpPr/>
      </xdr:nvSpPr>
      <xdr:spPr>
        <a:xfrm>
          <a:off x="9093200" y="3860800"/>
          <a:ext cx="464058" cy="114300"/>
        </a:xfrm>
        <a:prstGeom prst="right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349250</xdr:colOff>
      <xdr:row>240</xdr:row>
      <xdr:rowOff>107950</xdr:rowOff>
    </xdr:from>
    <xdr:to>
      <xdr:col>4</xdr:col>
      <xdr:colOff>781050</xdr:colOff>
      <xdr:row>240</xdr:row>
      <xdr:rowOff>209550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6F9552A9-5CF5-4814-B5EA-FD01EA7D1494}"/>
            </a:ext>
          </a:extLst>
        </xdr:cNvPr>
        <xdr:cNvSpPr/>
      </xdr:nvSpPr>
      <xdr:spPr>
        <a:xfrm flipH="1">
          <a:off x="3511550" y="2654300"/>
          <a:ext cx="241300" cy="50800"/>
        </a:xfrm>
        <a:prstGeom prst="right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349250</xdr:colOff>
      <xdr:row>244</xdr:row>
      <xdr:rowOff>101600</xdr:rowOff>
    </xdr:from>
    <xdr:to>
      <xdr:col>4</xdr:col>
      <xdr:colOff>781050</xdr:colOff>
      <xdr:row>244</xdr:row>
      <xdr:rowOff>203200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C40A3106-A1E1-4EDA-B756-F7DE75367B23}"/>
            </a:ext>
          </a:extLst>
        </xdr:cNvPr>
        <xdr:cNvSpPr/>
      </xdr:nvSpPr>
      <xdr:spPr>
        <a:xfrm flipH="1">
          <a:off x="3511550" y="3282950"/>
          <a:ext cx="241300" cy="57150"/>
        </a:xfrm>
        <a:prstGeom prst="right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660400</xdr:colOff>
      <xdr:row>262</xdr:row>
      <xdr:rowOff>107950</xdr:rowOff>
    </xdr:from>
    <xdr:to>
      <xdr:col>14</xdr:col>
      <xdr:colOff>19050</xdr:colOff>
      <xdr:row>262</xdr:row>
      <xdr:rowOff>209550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7688556F-D44E-4478-AE1E-B8F0CA623489}"/>
            </a:ext>
          </a:extLst>
        </xdr:cNvPr>
        <xdr:cNvSpPr/>
      </xdr:nvSpPr>
      <xdr:spPr>
        <a:xfrm flipH="1">
          <a:off x="10299700" y="6146800"/>
          <a:ext cx="241300" cy="50800"/>
        </a:xfrm>
        <a:prstGeom prst="right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37</xdr:col>
      <xdr:colOff>420784</xdr:colOff>
      <xdr:row>284</xdr:row>
      <xdr:rowOff>9334</xdr:rowOff>
    </xdr:from>
    <xdr:to>
      <xdr:col>49</xdr:col>
      <xdr:colOff>61205</xdr:colOff>
      <xdr:row>298</xdr:row>
      <xdr:rowOff>68856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D30F5B3-83C0-4C70-8AF8-19658FD240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84163</xdr:colOff>
      <xdr:row>286</xdr:row>
      <xdr:rowOff>9335</xdr:rowOff>
    </xdr:from>
    <xdr:to>
      <xdr:col>9</xdr:col>
      <xdr:colOff>267770</xdr:colOff>
      <xdr:row>300</xdr:row>
      <xdr:rowOff>181932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EA49AA2-23D0-4D35-8692-B83E4765F5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hmuel/Documents/OneDrive/1.%20Documents/1.%20SMO/1.%20SMO%20Tutorials/Abuja%20Electricity/C:/Users/PD/Documents/Downloads/ExcelLookupFunctionsSeries1-15%20Finishe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hmuel/Documents/OneDrive/1.%20Documents/1.%20SMO/1.%20SMO%20Tutorials/Abuja%20Electricity/C:/Users/Shmuel/Desktop/TRUSTED%20EDGE/DANGOTE/Sample%20Coy%20-%20ADV%20FM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hmuel/Documents/OneDrive/1.%20Documents/1.%20SMO/1.%20SMO%20Tutorials/Abuja%20Electricity/C:/Users/PRISTINE/AppData/Local/Temp/Rar$DI29.6424/exercise-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hmue\OneDrive\Documents\SMO\Financiers\Mo%20Glory\sample%20income%20statemen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hmuel/Documents/OneDrive/1.%20Documents/1.%20SMO/1.%20SMO%20Tutorials/Abuja%20Electricity/C:/Documents%20and%20Settings/PRISTINE_PC/Desktop/PD/Mizuho/Day7/Ques-Day7-v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hmuel/Documents/OneDrive/1.%20Documents/1.%20SMO/MASKORET/C:/Documents%20and%20Settings/PRISTINE_PC/Desktop/PD/Mizuho/Day7/Answers-Day7-v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hmuel/Documents/OneDrive/1.%20Documents/1.%20SMO/1.%20SMO%20Tutorials/Abuja%20Electricity/C:/Users/admin/Desktop/Rupinder/Excel%20VBA%20Introduction/New%20-%20Macros/Ins-Charting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hmuel/Documents/OneDrive/1.%20Documents/1.%20SMO/1.%20SMO%20Tutorials/Abuja%20Electricity/C:/Documents%20and%20Settings/PRISTINE_PC/Desktop/PD/Mizuho/Day5/Ques-Day5-v4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hmuel/Documents/OneDrive/1.%20Documents/1.%20SMO/1.%20SMO%20Tutorials/Abuja%20Electricity/C:/pd/HP%20Laptop/PD/HSBC%20v2/Excel%20Books/Excel/examples%202003/Excel%20ExamplesConverted/Chapter14/Analysi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sector Operator"/>
      <sheetName val="VLOOKUP"/>
      <sheetName val="Table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y-Column Lookup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ample income statement"/>
    </sheetNames>
    <definedNames>
      <definedName name="p" refersTo="#REF!"/>
    </defined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-I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-I"/>
      <sheetName val="B"/>
      <sheetName val="C"/>
      <sheetName val="DJan"/>
      <sheetName val="DFeb"/>
      <sheetName val="DMar"/>
      <sheetName val="DConsolidated"/>
      <sheetName val="E"/>
      <sheetName val="G"/>
      <sheetName val="H"/>
      <sheetName val="I"/>
      <sheetName val="J"/>
      <sheetName val="J-I"/>
      <sheetName val="J-II"/>
      <sheetName val="J-III"/>
      <sheetName val="J-IV"/>
      <sheetName val="J-V"/>
    </sheetNames>
    <sheetDataSet>
      <sheetData sheetId="0" refreshError="1"/>
      <sheetData sheetId="1" refreshError="1"/>
      <sheetData sheetId="2">
        <row r="3">
          <cell r="G3" t="str">
            <v>Bombay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ynamic Chart - Offset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roll Bars and Spinners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eak Even (Solver)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VS40"/>
  <sheetViews>
    <sheetView showGridLines="0" workbookViewId="0">
      <selection activeCell="C15" sqref="C15"/>
    </sheetView>
  </sheetViews>
  <sheetFormatPr defaultColWidth="0" defaultRowHeight="12.75" customHeight="1" zeroHeight="1" x14ac:dyDescent="0.3"/>
  <cols>
    <col min="1" max="1" width="4.453125" style="17" customWidth="1"/>
    <col min="2" max="2" width="10.1796875" style="17" customWidth="1"/>
    <col min="3" max="3" width="10.453125" style="17" customWidth="1"/>
    <col min="4" max="4" width="10.1796875" style="17" customWidth="1"/>
    <col min="5" max="11" width="9.1796875" style="17" customWidth="1"/>
    <col min="12" max="256" width="0" style="17" hidden="1"/>
    <col min="257" max="267" width="9.1796875" style="17" hidden="1" customWidth="1"/>
    <col min="268" max="512" width="0" style="17" hidden="1"/>
    <col min="513" max="523" width="9.1796875" style="17" hidden="1" customWidth="1"/>
    <col min="524" max="768" width="0" style="17" hidden="1"/>
    <col min="769" max="779" width="9.1796875" style="17" hidden="1" customWidth="1"/>
    <col min="780" max="1024" width="0" style="17" hidden="1"/>
    <col min="1025" max="1035" width="9.1796875" style="17" hidden="1" customWidth="1"/>
    <col min="1036" max="1280" width="0" style="17" hidden="1"/>
    <col min="1281" max="1291" width="9.1796875" style="17" hidden="1" customWidth="1"/>
    <col min="1292" max="1536" width="0" style="17" hidden="1"/>
    <col min="1537" max="1547" width="9.1796875" style="17" hidden="1" customWidth="1"/>
    <col min="1548" max="1792" width="0" style="17" hidden="1"/>
    <col min="1793" max="1803" width="9.1796875" style="17" hidden="1" customWidth="1"/>
    <col min="1804" max="2048" width="0" style="17" hidden="1"/>
    <col min="2049" max="2059" width="9.1796875" style="17" hidden="1" customWidth="1"/>
    <col min="2060" max="2304" width="0" style="17" hidden="1"/>
    <col min="2305" max="2315" width="9.1796875" style="17" hidden="1" customWidth="1"/>
    <col min="2316" max="2560" width="0" style="17" hidden="1"/>
    <col min="2561" max="2571" width="9.1796875" style="17" hidden="1" customWidth="1"/>
    <col min="2572" max="2816" width="0" style="17" hidden="1"/>
    <col min="2817" max="2827" width="9.1796875" style="17" hidden="1" customWidth="1"/>
    <col min="2828" max="3072" width="0" style="17" hidden="1"/>
    <col min="3073" max="3083" width="9.1796875" style="17" hidden="1" customWidth="1"/>
    <col min="3084" max="3328" width="0" style="17" hidden="1"/>
    <col min="3329" max="3339" width="9.1796875" style="17" hidden="1" customWidth="1"/>
    <col min="3340" max="3584" width="0" style="17" hidden="1"/>
    <col min="3585" max="3595" width="9.1796875" style="17" hidden="1" customWidth="1"/>
    <col min="3596" max="3840" width="0" style="17" hidden="1"/>
    <col min="3841" max="3851" width="9.1796875" style="17" hidden="1" customWidth="1"/>
    <col min="3852" max="4096" width="0" style="17" hidden="1"/>
    <col min="4097" max="4107" width="9.1796875" style="17" hidden="1" customWidth="1"/>
    <col min="4108" max="4352" width="0" style="17" hidden="1"/>
    <col min="4353" max="4363" width="9.1796875" style="17" hidden="1" customWidth="1"/>
    <col min="4364" max="4608" width="0" style="17" hidden="1"/>
    <col min="4609" max="4619" width="9.1796875" style="17" hidden="1" customWidth="1"/>
    <col min="4620" max="4864" width="0" style="17" hidden="1"/>
    <col min="4865" max="4875" width="9.1796875" style="17" hidden="1" customWidth="1"/>
    <col min="4876" max="5120" width="0" style="17" hidden="1"/>
    <col min="5121" max="5131" width="9.1796875" style="17" hidden="1" customWidth="1"/>
    <col min="5132" max="5376" width="0" style="17" hidden="1"/>
    <col min="5377" max="5387" width="9.1796875" style="17" hidden="1" customWidth="1"/>
    <col min="5388" max="5632" width="0" style="17" hidden="1"/>
    <col min="5633" max="5643" width="9.1796875" style="17" hidden="1" customWidth="1"/>
    <col min="5644" max="5888" width="0" style="17" hidden="1"/>
    <col min="5889" max="5899" width="9.1796875" style="17" hidden="1" customWidth="1"/>
    <col min="5900" max="6144" width="0" style="17" hidden="1"/>
    <col min="6145" max="6155" width="9.1796875" style="17" hidden="1" customWidth="1"/>
    <col min="6156" max="6400" width="0" style="17" hidden="1"/>
    <col min="6401" max="6411" width="9.1796875" style="17" hidden="1" customWidth="1"/>
    <col min="6412" max="6656" width="0" style="17" hidden="1"/>
    <col min="6657" max="6667" width="9.1796875" style="17" hidden="1" customWidth="1"/>
    <col min="6668" max="6912" width="0" style="17" hidden="1"/>
    <col min="6913" max="6923" width="9.1796875" style="17" hidden="1" customWidth="1"/>
    <col min="6924" max="7168" width="0" style="17" hidden="1"/>
    <col min="7169" max="7179" width="9.1796875" style="17" hidden="1" customWidth="1"/>
    <col min="7180" max="7424" width="0" style="17" hidden="1"/>
    <col min="7425" max="7435" width="9.1796875" style="17" hidden="1" customWidth="1"/>
    <col min="7436" max="7680" width="0" style="17" hidden="1"/>
    <col min="7681" max="7691" width="9.1796875" style="17" hidden="1" customWidth="1"/>
    <col min="7692" max="7936" width="0" style="17" hidden="1"/>
    <col min="7937" max="7947" width="9.1796875" style="17" hidden="1" customWidth="1"/>
    <col min="7948" max="8192" width="0" style="17" hidden="1"/>
    <col min="8193" max="8203" width="9.1796875" style="17" hidden="1" customWidth="1"/>
    <col min="8204" max="8448" width="0" style="17" hidden="1"/>
    <col min="8449" max="8459" width="9.1796875" style="17" hidden="1" customWidth="1"/>
    <col min="8460" max="8704" width="0" style="17" hidden="1"/>
    <col min="8705" max="8715" width="9.1796875" style="17" hidden="1" customWidth="1"/>
    <col min="8716" max="8960" width="0" style="17" hidden="1"/>
    <col min="8961" max="8971" width="9.1796875" style="17" hidden="1" customWidth="1"/>
    <col min="8972" max="9216" width="0" style="17" hidden="1"/>
    <col min="9217" max="9227" width="9.1796875" style="17" hidden="1" customWidth="1"/>
    <col min="9228" max="9472" width="0" style="17" hidden="1"/>
    <col min="9473" max="9483" width="9.1796875" style="17" hidden="1" customWidth="1"/>
    <col min="9484" max="9728" width="0" style="17" hidden="1"/>
    <col min="9729" max="9739" width="9.1796875" style="17" hidden="1" customWidth="1"/>
    <col min="9740" max="9984" width="0" style="17" hidden="1"/>
    <col min="9985" max="9995" width="9.1796875" style="17" hidden="1" customWidth="1"/>
    <col min="9996" max="10240" width="0" style="17" hidden="1"/>
    <col min="10241" max="10251" width="9.1796875" style="17" hidden="1" customWidth="1"/>
    <col min="10252" max="10496" width="0" style="17" hidden="1"/>
    <col min="10497" max="10507" width="9.1796875" style="17" hidden="1" customWidth="1"/>
    <col min="10508" max="10752" width="0" style="17" hidden="1"/>
    <col min="10753" max="10763" width="9.1796875" style="17" hidden="1" customWidth="1"/>
    <col min="10764" max="11008" width="0" style="17" hidden="1"/>
    <col min="11009" max="11019" width="9.1796875" style="17" hidden="1" customWidth="1"/>
    <col min="11020" max="11264" width="0" style="17" hidden="1"/>
    <col min="11265" max="11275" width="9.1796875" style="17" hidden="1" customWidth="1"/>
    <col min="11276" max="11520" width="0" style="17" hidden="1"/>
    <col min="11521" max="11531" width="9.1796875" style="17" hidden="1" customWidth="1"/>
    <col min="11532" max="11776" width="0" style="17" hidden="1"/>
    <col min="11777" max="11787" width="9.1796875" style="17" hidden="1" customWidth="1"/>
    <col min="11788" max="12032" width="0" style="17" hidden="1"/>
    <col min="12033" max="12043" width="9.1796875" style="17" hidden="1" customWidth="1"/>
    <col min="12044" max="12288" width="0" style="17" hidden="1"/>
    <col min="12289" max="12299" width="9.1796875" style="17" hidden="1" customWidth="1"/>
    <col min="12300" max="12544" width="0" style="17" hidden="1"/>
    <col min="12545" max="12555" width="9.1796875" style="17" hidden="1" customWidth="1"/>
    <col min="12556" max="12800" width="0" style="17" hidden="1"/>
    <col min="12801" max="12811" width="9.1796875" style="17" hidden="1" customWidth="1"/>
    <col min="12812" max="13056" width="0" style="17" hidden="1"/>
    <col min="13057" max="13067" width="9.1796875" style="17" hidden="1" customWidth="1"/>
    <col min="13068" max="13312" width="0" style="17" hidden="1"/>
    <col min="13313" max="13323" width="9.1796875" style="17" hidden="1" customWidth="1"/>
    <col min="13324" max="13568" width="0" style="17" hidden="1"/>
    <col min="13569" max="13579" width="9.1796875" style="17" hidden="1" customWidth="1"/>
    <col min="13580" max="13824" width="0" style="17" hidden="1"/>
    <col min="13825" max="13835" width="9.1796875" style="17" hidden="1" customWidth="1"/>
    <col min="13836" max="14080" width="0" style="17" hidden="1"/>
    <col min="14081" max="14091" width="9.1796875" style="17" hidden="1" customWidth="1"/>
    <col min="14092" max="14336" width="0" style="17" hidden="1"/>
    <col min="14337" max="14347" width="9.1796875" style="17" hidden="1" customWidth="1"/>
    <col min="14348" max="14592" width="0" style="17" hidden="1"/>
    <col min="14593" max="14603" width="9.1796875" style="17" hidden="1" customWidth="1"/>
    <col min="14604" max="14848" width="0" style="17" hidden="1"/>
    <col min="14849" max="14859" width="9.1796875" style="17" hidden="1" customWidth="1"/>
    <col min="14860" max="15104" width="0" style="17" hidden="1"/>
    <col min="15105" max="15115" width="9.1796875" style="17" hidden="1" customWidth="1"/>
    <col min="15116" max="15360" width="0" style="17" hidden="1"/>
    <col min="15361" max="15371" width="9.1796875" style="17" hidden="1" customWidth="1"/>
    <col min="15372" max="15616" width="0" style="17" hidden="1"/>
    <col min="15617" max="15627" width="9.1796875" style="17" hidden="1" customWidth="1"/>
    <col min="15628" max="15872" width="0" style="17" hidden="1"/>
    <col min="15873" max="15883" width="9.1796875" style="17" hidden="1" customWidth="1"/>
    <col min="15884" max="16128" width="0" style="17" hidden="1"/>
    <col min="16129" max="16139" width="9.1796875" style="17" hidden="1" customWidth="1"/>
    <col min="16140" max="16384" width="0" style="17" hidden="1"/>
  </cols>
  <sheetData>
    <row r="1" spans="1:11" ht="13" x14ac:dyDescent="0.3">
      <c r="A1" s="13"/>
      <c r="B1" s="14"/>
      <c r="C1" s="14"/>
      <c r="D1" s="14"/>
      <c r="E1" s="14"/>
      <c r="F1" s="15"/>
      <c r="G1" s="14"/>
      <c r="H1" s="14"/>
      <c r="I1" s="14"/>
      <c r="J1" s="14"/>
      <c r="K1" s="16"/>
    </row>
    <row r="2" spans="1:11" ht="120" customHeight="1" x14ac:dyDescent="0.3">
      <c r="A2" s="18"/>
      <c r="K2" s="19"/>
    </row>
    <row r="3" spans="1:11" ht="19.5" customHeight="1" x14ac:dyDescent="0.3">
      <c r="A3" s="18"/>
    </row>
    <row r="4" spans="1:11" ht="23.5" x14ac:dyDescent="0.3">
      <c r="A4" s="18"/>
      <c r="E4" s="240" t="s">
        <v>46</v>
      </c>
      <c r="F4" s="240"/>
      <c r="G4" s="240"/>
      <c r="H4" s="240"/>
      <c r="I4" s="240"/>
      <c r="J4" s="240"/>
      <c r="K4" s="240"/>
    </row>
    <row r="5" spans="1:11" ht="23.5" x14ac:dyDescent="0.3">
      <c r="A5" s="18"/>
      <c r="D5" s="20"/>
      <c r="E5" s="241" t="s">
        <v>47</v>
      </c>
      <c r="F5" s="241"/>
      <c r="G5" s="241"/>
      <c r="H5" s="241"/>
      <c r="I5" s="241"/>
      <c r="J5" s="241"/>
      <c r="K5" s="241"/>
    </row>
    <row r="6" spans="1:11" ht="14.5" x14ac:dyDescent="0.3">
      <c r="A6" s="18"/>
      <c r="D6" s="20"/>
      <c r="E6" s="21"/>
      <c r="F6" s="21"/>
      <c r="G6" s="21"/>
      <c r="H6" s="21"/>
      <c r="I6" s="21"/>
      <c r="J6" s="21"/>
      <c r="K6" s="21"/>
    </row>
    <row r="7" spans="1:11" ht="18" customHeight="1" x14ac:dyDescent="0.3">
      <c r="A7" s="18"/>
      <c r="D7" s="20"/>
      <c r="E7" s="242"/>
      <c r="F7" s="242"/>
      <c r="G7" s="242"/>
      <c r="H7" s="242"/>
      <c r="I7" s="242"/>
      <c r="J7" s="242"/>
      <c r="K7" s="242"/>
    </row>
    <row r="8" spans="1:11" ht="12.75" customHeight="1" x14ac:dyDescent="0.3">
      <c r="A8" s="18"/>
    </row>
    <row r="9" spans="1:11" s="23" customFormat="1" ht="51.75" customHeight="1" x14ac:dyDescent="0.35">
      <c r="A9" s="22"/>
    </row>
    <row r="10" spans="1:11" ht="13" x14ac:dyDescent="0.3">
      <c r="A10" s="18"/>
    </row>
    <row r="11" spans="1:11" ht="13" x14ac:dyDescent="0.3">
      <c r="A11" s="18"/>
    </row>
    <row r="12" spans="1:11" ht="13" x14ac:dyDescent="0.3">
      <c r="A12" s="18"/>
      <c r="K12" s="19"/>
    </row>
    <row r="13" spans="1:11" ht="14.5" x14ac:dyDescent="0.35">
      <c r="A13" s="18"/>
      <c r="E13" s="24"/>
      <c r="K13" s="19"/>
    </row>
    <row r="14" spans="1:11" ht="13" x14ac:dyDescent="0.3">
      <c r="A14" s="18"/>
      <c r="F14" s="25"/>
      <c r="K14" s="19"/>
    </row>
    <row r="15" spans="1:11" ht="13" x14ac:dyDescent="0.3">
      <c r="A15" s="18"/>
      <c r="F15" s="25"/>
      <c r="K15" s="19"/>
    </row>
    <row r="16" spans="1:11" ht="13" x14ac:dyDescent="0.3">
      <c r="A16" s="26"/>
      <c r="K16" s="19"/>
    </row>
    <row r="17" spans="1:11" ht="13" x14ac:dyDescent="0.3">
      <c r="A17" s="27"/>
      <c r="F17" s="25"/>
      <c r="K17" s="19"/>
    </row>
    <row r="18" spans="1:11" ht="13" x14ac:dyDescent="0.3">
      <c r="A18" s="27"/>
      <c r="F18" s="25"/>
      <c r="K18" s="19"/>
    </row>
    <row r="19" spans="1:11" ht="14" x14ac:dyDescent="0.3">
      <c r="D19" s="28"/>
      <c r="K19" s="19"/>
    </row>
    <row r="20" spans="1:11" ht="13" hidden="1" x14ac:dyDescent="0.3">
      <c r="K20" s="19"/>
    </row>
    <row r="21" spans="1:11" ht="13" hidden="1" x14ac:dyDescent="0.3">
      <c r="K21" s="19"/>
    </row>
    <row r="22" spans="1:11" ht="13" hidden="1" x14ac:dyDescent="0.3">
      <c r="K22" s="19"/>
    </row>
    <row r="23" spans="1:11" ht="12.75" hidden="1" customHeight="1" x14ac:dyDescent="0.3"/>
    <row r="24" spans="1:11" ht="12.75" hidden="1" customHeight="1" x14ac:dyDescent="0.3"/>
    <row r="25" spans="1:11" ht="12.75" hidden="1" customHeight="1" x14ac:dyDescent="0.3"/>
    <row r="26" spans="1:11" ht="12.75" hidden="1" customHeight="1" x14ac:dyDescent="0.3"/>
    <row r="27" spans="1:11" ht="12.75" hidden="1" customHeight="1" x14ac:dyDescent="0.3"/>
    <row r="28" spans="1:11" ht="12.75" hidden="1" customHeight="1" x14ac:dyDescent="0.3"/>
    <row r="29" spans="1:11" ht="12.75" hidden="1" customHeight="1" x14ac:dyDescent="0.3"/>
    <row r="30" spans="1:11" ht="12.75" hidden="1" customHeight="1" x14ac:dyDescent="0.3"/>
    <row r="31" spans="1:11" ht="12.75" hidden="1" customHeight="1" x14ac:dyDescent="0.3"/>
    <row r="32" spans="1:11" ht="12.75" hidden="1" customHeight="1" x14ac:dyDescent="0.3"/>
    <row r="33" ht="12.75" hidden="1" customHeight="1" x14ac:dyDescent="0.3"/>
    <row r="34" ht="12.75" hidden="1" customHeight="1" x14ac:dyDescent="0.3"/>
    <row r="35" ht="12.75" hidden="1" customHeight="1" x14ac:dyDescent="0.3"/>
    <row r="36" ht="12.75" hidden="1" customHeight="1" x14ac:dyDescent="0.3"/>
    <row r="37" ht="12.75" hidden="1" customHeight="1" x14ac:dyDescent="0.3"/>
    <row r="38" ht="12.75" customHeight="1" x14ac:dyDescent="0.3"/>
    <row r="39" ht="12.75" customHeight="1" x14ac:dyDescent="0.3"/>
    <row r="40" ht="12.75" customHeight="1" x14ac:dyDescent="0.3"/>
  </sheetData>
  <sheetProtection selectLockedCells="1" selectUnlockedCells="1"/>
  <mergeCells count="3">
    <mergeCell ref="E4:K4"/>
    <mergeCell ref="E5:K5"/>
    <mergeCell ref="E7:K7"/>
  </mergeCells>
  <pageMargins left="0.75" right="0.75" top="1" bottom="1" header="0.5" footer="0.5"/>
  <pageSetup paperSize="9" orientation="portrait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04"/>
  <sheetViews>
    <sheetView showGridLines="0" tabSelected="1" zoomScale="83" zoomScaleNormal="83" workbookViewId="0">
      <selection activeCell="J54" sqref="J54"/>
    </sheetView>
  </sheetViews>
  <sheetFormatPr defaultColWidth="8.81640625" defaultRowHeight="14.5" outlineLevelRow="1" x14ac:dyDescent="0.35"/>
  <cols>
    <col min="1" max="2" width="3.453125" customWidth="1"/>
    <col min="3" max="3" width="23.90625" customWidth="1"/>
    <col min="4" max="4" width="14" customWidth="1"/>
    <col min="5" max="5" width="11.36328125" customWidth="1"/>
    <col min="6" max="6" width="10.08984375" bestFit="1" customWidth="1"/>
    <col min="7" max="7" width="22.81640625" customWidth="1"/>
    <col min="8" max="8" width="10.81640625" customWidth="1"/>
    <col min="9" max="9" width="13.26953125" customWidth="1"/>
    <col min="10" max="10" width="14.7265625" customWidth="1"/>
    <col min="12" max="13" width="9.453125" bestFit="1" customWidth="1"/>
    <col min="14" max="14" width="10.26953125" bestFit="1" customWidth="1"/>
    <col min="16" max="16" width="12.36328125" bestFit="1" customWidth="1"/>
    <col min="17" max="17" width="12.54296875" bestFit="1" customWidth="1"/>
    <col min="18" max="18" width="6.90625" bestFit="1" customWidth="1"/>
    <col min="19" max="19" width="4.81640625" bestFit="1" customWidth="1"/>
    <col min="22" max="22" width="11.1796875" bestFit="1" customWidth="1"/>
  </cols>
  <sheetData>
    <row r="1" spans="1:22" ht="18" x14ac:dyDescent="0.5">
      <c r="A1" s="173" t="s">
        <v>240</v>
      </c>
      <c r="E1" s="2"/>
      <c r="F1" s="2"/>
    </row>
    <row r="3" spans="1:22" outlineLevel="1" x14ac:dyDescent="0.35">
      <c r="B3" s="1" t="s">
        <v>48</v>
      </c>
      <c r="E3" s="29" t="b">
        <f>ROUND(E58,0)=ROUND(E69,0)</f>
        <v>1</v>
      </c>
      <c r="F3" s="29" t="b">
        <f>ROUND(F58,0)=ROUND(F69,0)</f>
        <v>1</v>
      </c>
      <c r="G3" s="29" t="b">
        <f>ROUND(G58,0)=ROUND(G69,0)</f>
        <v>1</v>
      </c>
      <c r="H3" s="29" t="b">
        <f>ROUND(H58,0)=ROUND(H69,0)</f>
        <v>1</v>
      </c>
      <c r="I3" s="29" t="b">
        <f t="shared" ref="I3:J3" si="0">ROUND(I58,0)=ROUND(I69,0)</f>
        <v>1</v>
      </c>
      <c r="J3" s="29" t="b">
        <f t="shared" si="0"/>
        <v>1</v>
      </c>
      <c r="K3" s="29" t="b">
        <f>ROUND(K58,0)=ROUND(K69,0)</f>
        <v>1</v>
      </c>
      <c r="L3" s="29" t="b">
        <f>ROUND(L58,0)=ROUND(L69,0)</f>
        <v>1</v>
      </c>
      <c r="M3" s="29" t="b">
        <f>ROUND(M58,0)=ROUND(M69,0)</f>
        <v>1</v>
      </c>
      <c r="N3" s="29" t="b">
        <f>ROUND(N58,0)=ROUND(N69,0)</f>
        <v>1</v>
      </c>
    </row>
    <row r="4" spans="1:22" outlineLevel="1" x14ac:dyDescent="0.35"/>
    <row r="5" spans="1:22" outlineLevel="1" x14ac:dyDescent="0.35">
      <c r="A5" s="8" t="s">
        <v>43</v>
      </c>
      <c r="D5" s="115" t="s">
        <v>34</v>
      </c>
      <c r="E5" s="115" t="s">
        <v>24</v>
      </c>
      <c r="F5" s="115" t="s">
        <v>23</v>
      </c>
      <c r="G5" s="115" t="s">
        <v>22</v>
      </c>
      <c r="H5" s="115" t="s">
        <v>241</v>
      </c>
      <c r="I5" s="115" t="s">
        <v>242</v>
      </c>
      <c r="J5" s="115" t="s">
        <v>40</v>
      </c>
      <c r="K5" s="115" t="s">
        <v>41</v>
      </c>
      <c r="L5" s="115" t="s">
        <v>45</v>
      </c>
      <c r="M5" s="115" t="s">
        <v>45</v>
      </c>
      <c r="N5" s="115" t="s">
        <v>189</v>
      </c>
      <c r="V5" s="113" t="s">
        <v>187</v>
      </c>
    </row>
    <row r="6" spans="1:22" outlineLevel="1" x14ac:dyDescent="0.35"/>
    <row r="7" spans="1:22" x14ac:dyDescent="0.35">
      <c r="A7" s="118" t="s">
        <v>161</v>
      </c>
      <c r="B7" s="118"/>
      <c r="C7" s="118"/>
      <c r="D7" s="118"/>
      <c r="E7" s="118"/>
      <c r="F7" s="118"/>
      <c r="G7" s="118"/>
      <c r="H7" s="119"/>
      <c r="I7" s="119"/>
      <c r="J7" s="119"/>
      <c r="K7" s="118"/>
      <c r="L7" s="118"/>
      <c r="M7" s="118"/>
      <c r="N7" s="118"/>
    </row>
    <row r="8" spans="1:22" x14ac:dyDescent="0.35">
      <c r="H8" s="114"/>
      <c r="I8" s="114"/>
      <c r="J8" s="114"/>
    </row>
    <row r="9" spans="1:22" ht="21" hidden="1" outlineLevel="1" x14ac:dyDescent="0.5">
      <c r="A9" s="1" t="s">
        <v>52</v>
      </c>
      <c r="B9" s="1"/>
      <c r="C9" s="1"/>
      <c r="F9" s="5"/>
      <c r="H9" s="7"/>
      <c r="I9" s="7"/>
      <c r="J9" s="7"/>
      <c r="V9" s="113" t="s">
        <v>188</v>
      </c>
    </row>
    <row r="10" spans="1:22" hidden="1" outlineLevel="1" x14ac:dyDescent="0.35">
      <c r="A10" s="1"/>
      <c r="B10" s="33"/>
      <c r="C10" t="s">
        <v>260</v>
      </c>
      <c r="E10" s="53"/>
      <c r="F10" s="4"/>
      <c r="G10" s="117"/>
      <c r="H10" s="117"/>
      <c r="I10" s="117"/>
      <c r="J10" s="6">
        <f>($I$74/$E$74)^(1/4)-1</f>
        <v>4.5363103910634583E-2</v>
      </c>
      <c r="K10" s="6">
        <f>($I$74/$E$74)^(1/4)-1</f>
        <v>4.5363103910634583E-2</v>
      </c>
      <c r="L10" s="6">
        <f>($I$74/$E$74)^(1/4)-1</f>
        <v>4.5363103910634583E-2</v>
      </c>
      <c r="M10" s="6">
        <f>($I$74/$E$74)^(1/4)-1</f>
        <v>4.5363103910634583E-2</v>
      </c>
      <c r="N10" s="6">
        <f>($I$74/$E$74)^(1/4)-1</f>
        <v>4.5363103910634583E-2</v>
      </c>
      <c r="O10" s="9"/>
    </row>
    <row r="11" spans="1:22" hidden="1" outlineLevel="1" x14ac:dyDescent="0.35">
      <c r="A11" s="1"/>
      <c r="B11" s="33"/>
      <c r="C11" t="s">
        <v>261</v>
      </c>
      <c r="E11" s="53"/>
      <c r="F11" s="4"/>
      <c r="G11" s="117"/>
      <c r="H11" s="117"/>
      <c r="I11" s="117"/>
      <c r="J11" s="6">
        <f>($I$75/$E$75)^(1/2)-1</f>
        <v>7.1435803399670927E-3</v>
      </c>
      <c r="K11" s="6">
        <f>($I$75/$E$75)^(1/2)-1</f>
        <v>7.1435803399670927E-3</v>
      </c>
      <c r="L11" s="6">
        <f>($I$75/$E$75)^(1/2)-1</f>
        <v>7.1435803399670927E-3</v>
      </c>
      <c r="M11" s="6">
        <f>($I$75/$E$75)^(1/2)-1</f>
        <v>7.1435803399670927E-3</v>
      </c>
      <c r="N11" s="6">
        <f>($I$75/$E$75)^(1/2)-1</f>
        <v>7.1435803399670927E-3</v>
      </c>
      <c r="O11" s="9"/>
    </row>
    <row r="12" spans="1:22" hidden="1" outlineLevel="1" x14ac:dyDescent="0.35">
      <c r="C12" s="34" t="s">
        <v>53</v>
      </c>
      <c r="E12" s="117"/>
      <c r="F12" s="117"/>
      <c r="G12" s="117"/>
      <c r="H12" s="117"/>
      <c r="I12" s="117"/>
      <c r="J12" s="6">
        <f>AVERAGE($E$77/$E$74,$F$77/$F$74,$G$77/$G$74,$H$77/$H$74,$I$77/$I$74)</f>
        <v>3.7626016501468421E-2</v>
      </c>
      <c r="K12" s="6">
        <f>AVERAGE($E$77/$E$74,$F$77/$F$74,$G$77/$G$74,$H$77/$H$74,$I$77/$I$74)</f>
        <v>3.7626016501468421E-2</v>
      </c>
      <c r="L12" s="6">
        <f>AVERAGE($E$77/$E$74,$F$77/$F$74,$G$77/$G$74,$H$77/$H$74,$I$77/$I$74)</f>
        <v>3.7626016501468421E-2</v>
      </c>
      <c r="M12" s="6">
        <f>AVERAGE($E$77/$E$74,$F$77/$F$74,$G$77/$G$74,$H$77/$H$74,$I$77/$I$74)</f>
        <v>3.7626016501468421E-2</v>
      </c>
      <c r="N12" s="6">
        <f>AVERAGE($E$77/$E$74,$F$77/$F$74,$G$77/$G$74,$H$77/$H$74,$I$77/$I$74)</f>
        <v>3.7626016501468421E-2</v>
      </c>
    </row>
    <row r="13" spans="1:22" hidden="1" outlineLevel="1" x14ac:dyDescent="0.35">
      <c r="B13" s="33"/>
      <c r="C13" s="34" t="s">
        <v>54</v>
      </c>
      <c r="E13" s="4"/>
      <c r="F13" s="4"/>
      <c r="G13" s="4"/>
      <c r="H13" s="4"/>
      <c r="I13" s="4"/>
      <c r="J13" s="6">
        <f>AVERAGE($E$78/$E$74,$F$78/$F$74,$G$78/$G$74,$H$78/$H$74,$I$78/$I$74)</f>
        <v>8.9903788630115347E-2</v>
      </c>
      <c r="K13" s="6">
        <f>AVERAGE($E$78/$E$74,$F$78/$F$74,$G$78/$G$74,$H$78/$H$74,$I$78/$I$74)</f>
        <v>8.9903788630115347E-2</v>
      </c>
      <c r="L13" s="6">
        <f>AVERAGE($E$78/$E$74,$F$78/$F$74,$G$78/$G$74,$H$78/$H$74,$I$78/$I$74)</f>
        <v>8.9903788630115347E-2</v>
      </c>
      <c r="M13" s="6">
        <f>AVERAGE($E$78/$E$74,$F$78/$F$74,$G$78/$G$74,$H$78/$H$74,$I$78/$I$74)</f>
        <v>8.9903788630115347E-2</v>
      </c>
      <c r="N13" s="6">
        <f>AVERAGE($E$78/$E$74,$F$78/$F$74,$G$78/$G$74,$H$78/$H$74,$I$78/$I$74)</f>
        <v>8.9903788630115347E-2</v>
      </c>
    </row>
    <row r="14" spans="1:22" hidden="1" outlineLevel="1" x14ac:dyDescent="0.35">
      <c r="B14" s="33"/>
      <c r="C14" s="34" t="s">
        <v>55</v>
      </c>
      <c r="E14" s="4"/>
      <c r="F14" s="4"/>
      <c r="G14" s="4"/>
      <c r="H14" s="6"/>
      <c r="I14" s="6"/>
      <c r="J14" s="6">
        <f t="shared" ref="J14:N14" si="1">AVERAGE($E$80/$E$74,$F$80/$F$74,$G$80/$G$74,$H$80/$H$74,$I$80/$I$74)</f>
        <v>2.8728218724658999E-2</v>
      </c>
      <c r="K14" s="6">
        <f t="shared" si="1"/>
        <v>2.8728218724658999E-2</v>
      </c>
      <c r="L14" s="6">
        <f t="shared" si="1"/>
        <v>2.8728218724658999E-2</v>
      </c>
      <c r="M14" s="6">
        <f t="shared" si="1"/>
        <v>2.8728218724658999E-2</v>
      </c>
      <c r="N14" s="6">
        <f t="shared" si="1"/>
        <v>2.8728218724658999E-2</v>
      </c>
    </row>
    <row r="15" spans="1:22" hidden="1" outlineLevel="1" x14ac:dyDescent="0.35">
      <c r="A15" s="1" t="s">
        <v>56</v>
      </c>
      <c r="B15" s="1"/>
    </row>
    <row r="16" spans="1:22" hidden="1" outlineLevel="1" x14ac:dyDescent="0.35">
      <c r="C16" t="s">
        <v>57</v>
      </c>
      <c r="E16" s="2"/>
      <c r="F16" s="2">
        <f>AVERAGE('Financial Model'!E47:F47)/(F75/365)</f>
        <v>33.151816700324304</v>
      </c>
      <c r="G16" s="2">
        <f>AVERAGE('Financial Model'!F47:G47)/(G75/365)</f>
        <v>40.503233697473355</v>
      </c>
      <c r="H16" s="2">
        <f>AVERAGE('Financial Model'!G47:H47)/(H75/365)</f>
        <v>36.827525198898854</v>
      </c>
      <c r="I16" s="2">
        <f>AVERAGE('Financial Model'!H47:I47)/(I75/365)</f>
        <v>29.40863301218463</v>
      </c>
      <c r="J16" s="2">
        <f t="shared" ref="J16:N16" si="2">AVERAGE($F$16:$I$16)</f>
        <v>34.972802152220282</v>
      </c>
      <c r="K16" s="2">
        <f t="shared" si="2"/>
        <v>34.972802152220282</v>
      </c>
      <c r="L16" s="2">
        <f t="shared" si="2"/>
        <v>34.972802152220282</v>
      </c>
      <c r="M16" s="2">
        <f t="shared" si="2"/>
        <v>34.972802152220282</v>
      </c>
      <c r="N16" s="2">
        <f t="shared" si="2"/>
        <v>34.972802152220282</v>
      </c>
      <c r="O16" s="9"/>
    </row>
    <row r="17" spans="1:15" hidden="1" outlineLevel="1" x14ac:dyDescent="0.35">
      <c r="C17" t="s">
        <v>58</v>
      </c>
      <c r="E17" s="2"/>
      <c r="F17" s="2">
        <f>AVERAGE('Financial Model'!E48:F48)/(F74/365)</f>
        <v>35.148416292916934</v>
      </c>
      <c r="G17" s="2">
        <f>AVERAGE('Financial Model'!F48:G48)/(G74/365)</f>
        <v>43.20246904483718</v>
      </c>
      <c r="H17" s="2">
        <f>AVERAGE('Financial Model'!G48:H48)/(H74/365)</f>
        <v>39.175442668877047</v>
      </c>
      <c r="I17" s="2">
        <f>AVERAGE('Financial Model'!H48:I48)/(I74/365)</f>
        <v>32.877588148532432</v>
      </c>
      <c r="J17" s="2">
        <f t="shared" ref="J17:N17" si="3">AVERAGE($F$17:$I$17)</f>
        <v>37.600979038790896</v>
      </c>
      <c r="K17" s="2">
        <f t="shared" si="3"/>
        <v>37.600979038790896</v>
      </c>
      <c r="L17" s="2">
        <f t="shared" si="3"/>
        <v>37.600979038790896</v>
      </c>
      <c r="M17" s="2">
        <f t="shared" si="3"/>
        <v>37.600979038790896</v>
      </c>
      <c r="N17" s="2">
        <f t="shared" si="3"/>
        <v>37.600979038790896</v>
      </c>
      <c r="O17" s="9"/>
    </row>
    <row r="18" spans="1:15" hidden="1" outlineLevel="1" x14ac:dyDescent="0.35">
      <c r="C18" t="s">
        <v>59</v>
      </c>
      <c r="E18" s="2"/>
      <c r="F18" s="2">
        <f>AVERAGE('Financial Model'!E52:F52)/(F75/365)</f>
        <v>28.243071309074569</v>
      </c>
      <c r="G18" s="2">
        <f>AVERAGE('Financial Model'!F52:G52)/(G75/365)</f>
        <v>32.499008667873021</v>
      </c>
      <c r="H18" s="2">
        <f>AVERAGE('Financial Model'!G52:H52)/(H75/365)</f>
        <v>30.371039988473797</v>
      </c>
      <c r="I18" s="2">
        <f>AVERAGE('Financial Model'!H52:I52)/(I75/365)</f>
        <v>28.483463581977709</v>
      </c>
      <c r="J18" s="2">
        <f t="shared" ref="J18:N18" si="4">AVERAGE($F$18:$I$18)</f>
        <v>29.899145886849773</v>
      </c>
      <c r="K18" s="2">
        <f t="shared" si="4"/>
        <v>29.899145886849773</v>
      </c>
      <c r="L18" s="2">
        <f t="shared" si="4"/>
        <v>29.899145886849773</v>
      </c>
      <c r="M18" s="2">
        <f t="shared" si="4"/>
        <v>29.899145886849773</v>
      </c>
      <c r="N18" s="2">
        <f t="shared" si="4"/>
        <v>29.899145886849773</v>
      </c>
      <c r="O18" s="9"/>
    </row>
    <row r="19" spans="1:15" hidden="1" outlineLevel="1" x14ac:dyDescent="0.35">
      <c r="B19" s="1" t="s">
        <v>2</v>
      </c>
      <c r="J19" s="37">
        <f>$I44</f>
        <v>58106</v>
      </c>
      <c r="K19" s="37">
        <f>$G44</f>
        <v>58106</v>
      </c>
      <c r="L19" s="37">
        <f>$G44</f>
        <v>58106</v>
      </c>
      <c r="M19" s="37">
        <f>$G44</f>
        <v>58106</v>
      </c>
      <c r="N19" s="37">
        <f>$G44</f>
        <v>58106</v>
      </c>
      <c r="O19" s="9"/>
    </row>
    <row r="20" spans="1:15" hidden="1" outlineLevel="1" x14ac:dyDescent="0.35">
      <c r="B20" s="1" t="s">
        <v>26</v>
      </c>
      <c r="J20" s="37">
        <f>$I62</f>
        <v>5000</v>
      </c>
      <c r="K20" s="37">
        <f>$G62</f>
        <v>5000</v>
      </c>
      <c r="L20" s="37">
        <f>$G62</f>
        <v>5000</v>
      </c>
      <c r="M20" s="37">
        <f>$G62</f>
        <v>5000</v>
      </c>
      <c r="N20" s="37">
        <f>$G62</f>
        <v>5000</v>
      </c>
      <c r="O20" s="9"/>
    </row>
    <row r="21" spans="1:15" hidden="1" outlineLevel="1" x14ac:dyDescent="0.35">
      <c r="B21" s="1" t="s">
        <v>50</v>
      </c>
      <c r="E21" s="3"/>
      <c r="F21" s="3"/>
      <c r="G21" s="3"/>
      <c r="H21" s="51"/>
      <c r="I21" s="51"/>
      <c r="J21" s="9">
        <f t="shared" ref="J21:N21" si="5">AVERAGE($E$83:$I$83)</f>
        <v>9585.6666666666661</v>
      </c>
      <c r="K21" s="9">
        <f t="shared" si="5"/>
        <v>9585.6666666666661</v>
      </c>
      <c r="L21" s="9">
        <f t="shared" si="5"/>
        <v>9585.6666666666661</v>
      </c>
      <c r="M21" s="9">
        <f t="shared" si="5"/>
        <v>9585.6666666666661</v>
      </c>
      <c r="N21" s="9">
        <f t="shared" si="5"/>
        <v>9585.6666666666661</v>
      </c>
      <c r="O21" s="9"/>
    </row>
    <row r="22" spans="1:15" hidden="1" outlineLevel="1" x14ac:dyDescent="0.35">
      <c r="B22" t="s">
        <v>51</v>
      </c>
      <c r="D22" s="9"/>
      <c r="E22" s="9"/>
      <c r="F22" s="9"/>
      <c r="G22" s="31"/>
      <c r="H22" s="31"/>
      <c r="I22" s="31"/>
      <c r="J22" s="31">
        <v>0.3</v>
      </c>
      <c r="K22" s="31">
        <v>0.3</v>
      </c>
      <c r="L22" s="31">
        <v>0.3</v>
      </c>
      <c r="M22" s="31">
        <v>0.3</v>
      </c>
      <c r="N22" s="31">
        <v>0.3</v>
      </c>
      <c r="O22" s="9"/>
    </row>
    <row r="23" spans="1:15" hidden="1" outlineLevel="1" x14ac:dyDescent="0.35">
      <c r="B23" s="2" t="s">
        <v>78</v>
      </c>
      <c r="C23" s="2"/>
      <c r="D23" s="2"/>
      <c r="E23" s="3">
        <v>100000</v>
      </c>
      <c r="F23" s="2"/>
      <c r="G23" s="2"/>
      <c r="H23" s="2">
        <v>200000</v>
      </c>
      <c r="I23" s="2"/>
      <c r="J23" s="2"/>
      <c r="K23" s="2"/>
      <c r="L23" s="2"/>
      <c r="M23" s="2"/>
      <c r="N23" s="2"/>
    </row>
    <row r="24" spans="1:15" hidden="1" outlineLevel="1" x14ac:dyDescent="0.35">
      <c r="B24" s="38" t="s">
        <v>18</v>
      </c>
      <c r="C24" s="38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5" hidden="1" outlineLevel="1" x14ac:dyDescent="0.35">
      <c r="B25" s="38" t="s">
        <v>85</v>
      </c>
      <c r="C25" s="38"/>
      <c r="E25" s="51">
        <v>40000</v>
      </c>
      <c r="F25" s="51">
        <v>0</v>
      </c>
      <c r="G25" s="51">
        <v>0</v>
      </c>
      <c r="H25" s="52">
        <v>250000</v>
      </c>
      <c r="I25" s="51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</row>
    <row r="26" spans="1:15" hidden="1" outlineLevel="1" x14ac:dyDescent="0.35">
      <c r="B26" t="s">
        <v>49</v>
      </c>
      <c r="E26" s="31">
        <v>0.1</v>
      </c>
      <c r="F26" s="31">
        <v>0.1</v>
      </c>
      <c r="G26" s="31">
        <v>0.1</v>
      </c>
      <c r="H26" s="53">
        <v>0.1</v>
      </c>
      <c r="I26" s="53">
        <v>0.1</v>
      </c>
      <c r="J26" s="53">
        <v>0.1</v>
      </c>
      <c r="K26" s="53">
        <v>0.1</v>
      </c>
      <c r="L26" s="53">
        <v>0.1</v>
      </c>
      <c r="M26" s="53">
        <v>0.1</v>
      </c>
      <c r="N26" s="53">
        <v>0.1</v>
      </c>
    </row>
    <row r="27" spans="1:15" hidden="1" outlineLevel="1" x14ac:dyDescent="0.35">
      <c r="B27" t="s">
        <v>87</v>
      </c>
      <c r="D27" t="s">
        <v>63</v>
      </c>
      <c r="E27" s="54">
        <v>8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</row>
    <row r="28" spans="1:15" hidden="1" outlineLevel="1" x14ac:dyDescent="0.35">
      <c r="B28" t="s">
        <v>10</v>
      </c>
      <c r="E28" s="2">
        <f t="shared" ref="E28:N28" si="6">70000</f>
        <v>70000</v>
      </c>
      <c r="F28" s="2">
        <f t="shared" si="6"/>
        <v>70000</v>
      </c>
      <c r="G28" s="2">
        <f t="shared" si="6"/>
        <v>70000</v>
      </c>
      <c r="H28" s="2">
        <f t="shared" si="6"/>
        <v>70000</v>
      </c>
      <c r="I28" s="2">
        <f t="shared" si="6"/>
        <v>70000</v>
      </c>
      <c r="J28" s="2">
        <f t="shared" si="6"/>
        <v>70000</v>
      </c>
      <c r="K28" s="2">
        <f t="shared" si="6"/>
        <v>70000</v>
      </c>
      <c r="L28" s="2">
        <f t="shared" si="6"/>
        <v>70000</v>
      </c>
      <c r="M28" s="2">
        <f t="shared" si="6"/>
        <v>70000</v>
      </c>
      <c r="N28" s="2">
        <f t="shared" si="6"/>
        <v>70000</v>
      </c>
    </row>
    <row r="29" spans="1:15" hidden="1" outlineLevel="1" x14ac:dyDescent="0.35">
      <c r="B29" t="s">
        <v>88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5" hidden="1" outlineLevel="1" x14ac:dyDescent="0.35">
      <c r="A30" s="39" t="s">
        <v>160</v>
      </c>
      <c r="B30" s="38"/>
      <c r="C30" s="38"/>
      <c r="D30" s="38"/>
    </row>
    <row r="31" spans="1:15" hidden="1" outlineLevel="1" x14ac:dyDescent="0.35">
      <c r="A31" s="38"/>
      <c r="B31" s="38" t="s">
        <v>135</v>
      </c>
      <c r="C31" s="38"/>
      <c r="D31" s="97">
        <v>0.08</v>
      </c>
    </row>
    <row r="32" spans="1:15" hidden="1" outlineLevel="1" x14ac:dyDescent="0.35">
      <c r="A32" s="38"/>
      <c r="B32" s="38" t="s">
        <v>136</v>
      </c>
      <c r="C32" s="38"/>
      <c r="D32" s="98">
        <v>0.7</v>
      </c>
    </row>
    <row r="33" spans="1:14" hidden="1" outlineLevel="1" x14ac:dyDescent="0.35">
      <c r="A33" s="38"/>
      <c r="B33" s="38" t="s">
        <v>137</v>
      </c>
      <c r="C33" s="38"/>
      <c r="D33" s="97">
        <v>0.15</v>
      </c>
    </row>
    <row r="34" spans="1:14" hidden="1" outlineLevel="1" x14ac:dyDescent="0.35">
      <c r="A34" s="38"/>
      <c r="B34" s="38" t="s">
        <v>140</v>
      </c>
      <c r="C34" s="38"/>
      <c r="D34" s="97">
        <v>0.1</v>
      </c>
    </row>
    <row r="35" spans="1:14" hidden="1" outlineLevel="1" x14ac:dyDescent="0.35">
      <c r="A35" s="38"/>
      <c r="B35" s="38" t="s">
        <v>142</v>
      </c>
      <c r="C35" s="38"/>
      <c r="D35" s="98">
        <v>0.4</v>
      </c>
    </row>
    <row r="36" spans="1:14" hidden="1" outlineLevel="1" x14ac:dyDescent="0.35">
      <c r="A36" s="38"/>
      <c r="B36" s="38" t="s">
        <v>145</v>
      </c>
      <c r="C36" s="38"/>
      <c r="D36" s="97">
        <v>0.05</v>
      </c>
    </row>
    <row r="37" spans="1:14" s="60" customFormat="1" hidden="1" outlineLevel="1" x14ac:dyDescent="0.35"/>
    <row r="38" spans="1:14" collapsed="1" x14ac:dyDescent="0.35"/>
    <row r="39" spans="1:14" x14ac:dyDescent="0.35">
      <c r="A39" s="118" t="s">
        <v>162</v>
      </c>
      <c r="B39" s="118"/>
      <c r="C39" s="118"/>
      <c r="D39" s="118"/>
      <c r="E39" s="118"/>
      <c r="F39" s="118"/>
      <c r="G39" s="118"/>
      <c r="H39" s="119"/>
      <c r="I39" s="119"/>
      <c r="J39" s="119"/>
      <c r="K39" s="118"/>
      <c r="L39" s="118"/>
      <c r="M39" s="118"/>
      <c r="N39" s="118"/>
    </row>
    <row r="40" spans="1:14" outlineLevel="1" x14ac:dyDescent="0.35"/>
    <row r="41" spans="1:14" outlineLevel="1" x14ac:dyDescent="0.35">
      <c r="B41" s="1" t="s">
        <v>0</v>
      </c>
    </row>
    <row r="42" spans="1:14" outlineLevel="1" x14ac:dyDescent="0.35">
      <c r="B42" s="1" t="s">
        <v>4</v>
      </c>
    </row>
    <row r="43" spans="1:14" outlineLevel="1" x14ac:dyDescent="0.35">
      <c r="B43" t="s">
        <v>1</v>
      </c>
      <c r="E43" s="3">
        <v>90000</v>
      </c>
      <c r="F43" s="3">
        <v>80000</v>
      </c>
      <c r="G43" s="3">
        <v>70000</v>
      </c>
      <c r="H43" s="3">
        <v>240000</v>
      </c>
      <c r="I43" s="3">
        <v>210000</v>
      </c>
      <c r="J43" s="2">
        <f>'Financial Model'!J164</f>
        <v>180000</v>
      </c>
      <c r="K43" s="2">
        <f>'Financial Model'!K164</f>
        <v>150000</v>
      </c>
      <c r="L43" s="2">
        <f>'Financial Model'!L164</f>
        <v>120000</v>
      </c>
      <c r="M43" s="2">
        <f>'Financial Model'!M164</f>
        <v>90000</v>
      </c>
      <c r="N43" s="2">
        <f>'Financial Model'!N164</f>
        <v>60000</v>
      </c>
    </row>
    <row r="44" spans="1:14" outlineLevel="1" x14ac:dyDescent="0.35">
      <c r="B44" t="s">
        <v>2</v>
      </c>
      <c r="E44" s="3">
        <v>12197</v>
      </c>
      <c r="F44" s="3">
        <v>11549</v>
      </c>
      <c r="G44" s="3">
        <v>58106</v>
      </c>
      <c r="H44" s="3">
        <v>63106</v>
      </c>
      <c r="I44" s="3">
        <v>58106</v>
      </c>
      <c r="J44" s="10">
        <f>'Financial Model'!J19</f>
        <v>58106</v>
      </c>
      <c r="K44" s="10">
        <f>'Financial Model'!K19</f>
        <v>58106</v>
      </c>
      <c r="L44" s="10">
        <f>'Financial Model'!L19</f>
        <v>58106</v>
      </c>
      <c r="M44" s="10">
        <f>'Financial Model'!M19</f>
        <v>58106</v>
      </c>
      <c r="N44" s="10">
        <f>'Financial Model'!N19</f>
        <v>58106</v>
      </c>
    </row>
    <row r="45" spans="1:14" outlineLevel="1" x14ac:dyDescent="0.35">
      <c r="B45" s="1" t="s">
        <v>8</v>
      </c>
      <c r="E45" s="12">
        <f>SUM(E43:E44)</f>
        <v>102197</v>
      </c>
      <c r="F45" s="12">
        <f>SUM(F43:F44)</f>
        <v>91549</v>
      </c>
      <c r="G45" s="12">
        <f>SUM(G43:G44)</f>
        <v>128106</v>
      </c>
      <c r="H45" s="12">
        <f>SUM(H43:H44)</f>
        <v>303106</v>
      </c>
      <c r="I45" s="12">
        <f>SUM(I43:I44)</f>
        <v>268106</v>
      </c>
      <c r="J45" s="12">
        <f t="shared" ref="J45:N45" si="7">SUM(J43:J44)</f>
        <v>238106</v>
      </c>
      <c r="K45" s="12">
        <f t="shared" si="7"/>
        <v>208106</v>
      </c>
      <c r="L45" s="12">
        <f t="shared" si="7"/>
        <v>178106</v>
      </c>
      <c r="M45" s="12">
        <f t="shared" si="7"/>
        <v>148106</v>
      </c>
      <c r="N45" s="12">
        <f t="shared" si="7"/>
        <v>118106</v>
      </c>
    </row>
    <row r="46" spans="1:14" ht="18.5" outlineLevel="1" x14ac:dyDescent="0.45">
      <c r="B46" s="1" t="s">
        <v>3</v>
      </c>
      <c r="E46" s="2"/>
      <c r="F46" s="2"/>
      <c r="G46" s="2"/>
      <c r="H46" s="30"/>
      <c r="I46" s="30"/>
      <c r="J46" s="30"/>
      <c r="K46" s="30"/>
      <c r="L46" s="30"/>
      <c r="M46" s="30"/>
      <c r="N46" s="30"/>
    </row>
    <row r="47" spans="1:14" outlineLevel="1" x14ac:dyDescent="0.35">
      <c r="B47" t="s">
        <v>5</v>
      </c>
      <c r="E47" s="3">
        <v>15545</v>
      </c>
      <c r="F47" s="3">
        <v>18007</v>
      </c>
      <c r="G47" s="3">
        <v>21731</v>
      </c>
      <c r="H47" s="3">
        <f>14529.5625406783</f>
        <v>14529.5625406783</v>
      </c>
      <c r="I47" s="3">
        <v>14529.562540678271</v>
      </c>
      <c r="J47" s="2">
        <f>2*'Financial Model'!J16*J75/365-I47</f>
        <v>20274.466013694939</v>
      </c>
      <c r="K47" s="2">
        <f>2*'Financial Model'!K16*K75/365-J47</f>
        <v>14778.187914810944</v>
      </c>
      <c r="L47" s="2">
        <f>2*'Financial Model'!L16*L75/365-K47</f>
        <v>20524.867463162285</v>
      </c>
      <c r="M47" s="2">
        <f>2*'Financial Model'!M16*M75/365-L47</f>
        <v>15030.378127149801</v>
      </c>
      <c r="N47" s="2">
        <f>2*'Financial Model'!N16*N75/365-M47</f>
        <v>20778.85921654394</v>
      </c>
    </row>
    <row r="48" spans="1:14" outlineLevel="1" x14ac:dyDescent="0.35">
      <c r="B48" t="s">
        <v>6</v>
      </c>
      <c r="E48" s="3">
        <v>20864</v>
      </c>
      <c r="F48" s="3">
        <v>31568</v>
      </c>
      <c r="G48" s="3">
        <v>35901</v>
      </c>
      <c r="H48" s="3">
        <v>28054.336117825085</v>
      </c>
      <c r="I48" s="3">
        <v>28054.336117825085</v>
      </c>
      <c r="J48" s="2">
        <f>'Financial Model'!J17*2*J74/365-I48</f>
        <v>39026.174753663312</v>
      </c>
      <c r="K48" s="2">
        <f>'Financial Model'!K17*2*K74/365-J48</f>
        <v>31097.316302866871</v>
      </c>
      <c r="L48" s="2">
        <f>'Financial Model'!L17*2*L74/365-K48</f>
        <v>42207.193965037128</v>
      </c>
      <c r="M48" s="2">
        <f>'Financial Model'!M17*2*M74/365-L48</f>
        <v>34422.636419267998</v>
      </c>
      <c r="N48" s="2">
        <f>'Financial Model'!N17*2*N74/365-M48</f>
        <v>45683.36092341465</v>
      </c>
    </row>
    <row r="49" spans="2:14" outlineLevel="1" x14ac:dyDescent="0.35">
      <c r="B49" t="s">
        <v>7</v>
      </c>
      <c r="E49" s="3">
        <v>7459</v>
      </c>
      <c r="F49" s="3">
        <v>17252</v>
      </c>
      <c r="G49" s="3">
        <v>9265</v>
      </c>
      <c r="H49" s="116">
        <v>110863.42738214468</v>
      </c>
      <c r="I49" s="116">
        <v>148306.22041943786</v>
      </c>
      <c r="J49" s="10">
        <f>MAX(0,J130)</f>
        <v>178435.25649506407</v>
      </c>
      <c r="K49" s="10">
        <f>MAX(0,'Financial Model'!K130)</f>
        <v>243863.5874935273</v>
      </c>
      <c r="L49" s="10">
        <f>MAX(0,'Financial Model'!L130)</f>
        <v>290573.12343245675</v>
      </c>
      <c r="M49" s="10">
        <f>MAX(0,'Financial Model'!M130)</f>
        <v>373372.26545234775</v>
      </c>
      <c r="N49" s="10">
        <f>MAX(0,'Financial Model'!N130)</f>
        <v>438279.02875928686</v>
      </c>
    </row>
    <row r="50" spans="2:14" outlineLevel="1" x14ac:dyDescent="0.35">
      <c r="B50" s="1" t="s">
        <v>9</v>
      </c>
      <c r="E50" s="12">
        <f t="shared" ref="E50:H50" si="8">SUM(E47:E49)</f>
        <v>43868</v>
      </c>
      <c r="F50" s="12">
        <f t="shared" si="8"/>
        <v>66827</v>
      </c>
      <c r="G50" s="12">
        <f t="shared" si="8"/>
        <v>66897</v>
      </c>
      <c r="H50" s="12">
        <f t="shared" si="8"/>
        <v>153447.32604064807</v>
      </c>
      <c r="I50" s="12">
        <f t="shared" ref="I50:N50" si="9">SUM(I47:I49)</f>
        <v>190890.11907794123</v>
      </c>
      <c r="J50" s="12">
        <f t="shared" si="9"/>
        <v>237735.89726242231</v>
      </c>
      <c r="K50" s="12">
        <f t="shared" si="9"/>
        <v>289739.09171120514</v>
      </c>
      <c r="L50" s="12">
        <f t="shared" si="9"/>
        <v>353305.18486065615</v>
      </c>
      <c r="M50" s="12">
        <f t="shared" si="9"/>
        <v>422825.27999876556</v>
      </c>
      <c r="N50" s="12">
        <f t="shared" si="9"/>
        <v>504741.24889924546</v>
      </c>
    </row>
    <row r="51" spans="2:14" ht="15.5" outlineLevel="1" x14ac:dyDescent="0.35">
      <c r="B51" s="1" t="s">
        <v>13</v>
      </c>
      <c r="E51" s="2"/>
      <c r="F51" s="2"/>
      <c r="G51" s="2"/>
      <c r="H51" s="50"/>
      <c r="I51" s="50"/>
      <c r="J51" s="50"/>
      <c r="K51" s="50"/>
      <c r="L51" s="50"/>
      <c r="M51" s="50"/>
      <c r="N51" s="50"/>
    </row>
    <row r="52" spans="2:14" outlineLevel="1" x14ac:dyDescent="0.35">
      <c r="B52" t="s">
        <v>14</v>
      </c>
      <c r="E52" s="3">
        <v>12530</v>
      </c>
      <c r="F52" s="3">
        <v>16054</v>
      </c>
      <c r="G52" s="3">
        <v>15831</v>
      </c>
      <c r="H52" s="3">
        <v>14072.475429851143</v>
      </c>
      <c r="I52" s="3">
        <v>14072.475429851143</v>
      </c>
      <c r="J52" s="2">
        <f>2*'Financial Model'!J18*J75/365-I52</f>
        <v>15682.381577831486</v>
      </c>
      <c r="K52" s="2">
        <f>2*'Financial Model'!K18*K75/365-J52</f>
        <v>14285.031641389756</v>
      </c>
      <c r="L52" s="2">
        <f>2*'Financial Model'!L18*L75/365-K52</f>
        <v>15896.456201743982</v>
      </c>
      <c r="M52" s="2">
        <f>2*'Financial Model'!M18*M75/365-L52</f>
        <v>14500.635524576923</v>
      </c>
      <c r="N52" s="2">
        <f>2*'Financial Model'!N18*N75/365-M52</f>
        <v>16113.600268592301</v>
      </c>
    </row>
    <row r="53" spans="2:14" outlineLevel="1" x14ac:dyDescent="0.35">
      <c r="B53" t="s">
        <v>25</v>
      </c>
      <c r="E53" s="3">
        <v>0</v>
      </c>
      <c r="F53" s="3">
        <v>0</v>
      </c>
      <c r="G53" s="3">
        <v>0</v>
      </c>
      <c r="H53" s="116">
        <v>0</v>
      </c>
      <c r="I53" s="116">
        <v>0</v>
      </c>
      <c r="J53" s="10">
        <f>-MIN(0,J130)</f>
        <v>0</v>
      </c>
      <c r="K53" s="10">
        <f>-MIN(0,'Financial Model'!K130)</f>
        <v>0</v>
      </c>
      <c r="L53" s="10">
        <f>-MIN(0,'Financial Model'!L130)</f>
        <v>0</v>
      </c>
      <c r="M53" s="10">
        <f>-MIN(0,'Financial Model'!M130)</f>
        <v>0</v>
      </c>
      <c r="N53" s="10">
        <f>-MIN(0,'Financial Model'!N130)</f>
        <v>0</v>
      </c>
    </row>
    <row r="54" spans="2:14" outlineLevel="1" x14ac:dyDescent="0.35">
      <c r="B54" s="1" t="s">
        <v>15</v>
      </c>
      <c r="E54" s="12">
        <f t="shared" ref="E54:H54" si="10">SUM(E52:E53)</f>
        <v>12530</v>
      </c>
      <c r="F54" s="12">
        <f t="shared" si="10"/>
        <v>16054</v>
      </c>
      <c r="G54" s="12">
        <f t="shared" si="10"/>
        <v>15831</v>
      </c>
      <c r="H54" s="12">
        <f t="shared" si="10"/>
        <v>14072.475429851143</v>
      </c>
      <c r="I54" s="12">
        <f t="shared" ref="I54:N54" si="11">SUM(I52:I53)</f>
        <v>14072.475429851143</v>
      </c>
      <c r="J54" s="12">
        <f t="shared" si="11"/>
        <v>15682.381577831486</v>
      </c>
      <c r="K54" s="12">
        <f t="shared" si="11"/>
        <v>14285.031641389756</v>
      </c>
      <c r="L54" s="12">
        <f t="shared" si="11"/>
        <v>15896.456201743982</v>
      </c>
      <c r="M54" s="12">
        <f t="shared" si="11"/>
        <v>14500.635524576923</v>
      </c>
      <c r="N54" s="12">
        <f t="shared" si="11"/>
        <v>16113.600268592301</v>
      </c>
    </row>
    <row r="55" spans="2:14" ht="15.5" outlineLevel="1" x14ac:dyDescent="0.35">
      <c r="B55" s="1"/>
      <c r="E55" s="12"/>
      <c r="F55" s="12"/>
      <c r="G55" s="12"/>
      <c r="H55" s="32"/>
      <c r="I55" s="32"/>
      <c r="J55" s="32"/>
      <c r="K55" s="32"/>
      <c r="L55" s="32"/>
      <c r="M55" s="32"/>
      <c r="N55" s="32"/>
    </row>
    <row r="56" spans="2:14" outlineLevel="1" x14ac:dyDescent="0.35">
      <c r="B56" s="1" t="s">
        <v>16</v>
      </c>
      <c r="E56" s="12">
        <f t="shared" ref="E56:G56" si="12">E50-E54</f>
        <v>31338</v>
      </c>
      <c r="F56" s="12">
        <f t="shared" si="12"/>
        <v>50773</v>
      </c>
      <c r="G56" s="12">
        <f t="shared" si="12"/>
        <v>51066</v>
      </c>
      <c r="H56" s="12">
        <f>H50-H54</f>
        <v>139374.85061079692</v>
      </c>
      <c r="I56" s="12">
        <f t="shared" ref="I56:N56" si="13">I50-I54</f>
        <v>176817.64364809007</v>
      </c>
      <c r="J56" s="12">
        <f t="shared" si="13"/>
        <v>222053.51568459082</v>
      </c>
      <c r="K56" s="12">
        <f t="shared" si="13"/>
        <v>275454.06006981537</v>
      </c>
      <c r="L56" s="12">
        <f t="shared" si="13"/>
        <v>337408.72865891218</v>
      </c>
      <c r="M56" s="12">
        <f t="shared" si="13"/>
        <v>408324.64447418862</v>
      </c>
      <c r="N56" s="12">
        <f t="shared" si="13"/>
        <v>488627.64863065316</v>
      </c>
    </row>
    <row r="57" spans="2:14" outlineLevel="1" x14ac:dyDescent="0.35">
      <c r="B57" s="1"/>
      <c r="E57" s="11"/>
      <c r="F57" s="11"/>
      <c r="G57" s="11"/>
      <c r="H57" s="2"/>
      <c r="I57" s="2"/>
      <c r="J57" s="2"/>
      <c r="K57" s="2"/>
      <c r="L57" s="2"/>
      <c r="M57" s="2"/>
      <c r="N57" s="2"/>
    </row>
    <row r="58" spans="2:14" ht="15" outlineLevel="1" thickBot="1" x14ac:dyDescent="0.4">
      <c r="B58" s="1" t="s">
        <v>243</v>
      </c>
      <c r="E58" s="36">
        <f t="shared" ref="E58:H58" si="14">E45+E56</f>
        <v>133535</v>
      </c>
      <c r="F58" s="36">
        <f t="shared" si="14"/>
        <v>142322</v>
      </c>
      <c r="G58" s="36">
        <f t="shared" si="14"/>
        <v>179172</v>
      </c>
      <c r="H58" s="36">
        <f t="shared" si="14"/>
        <v>442480.85061079694</v>
      </c>
      <c r="I58" s="36">
        <f t="shared" ref="I58:N58" si="15">I45+I56</f>
        <v>444923.64364809007</v>
      </c>
      <c r="J58" s="36">
        <f t="shared" si="15"/>
        <v>460159.51568459079</v>
      </c>
      <c r="K58" s="36">
        <f t="shared" si="15"/>
        <v>483560.06006981537</v>
      </c>
      <c r="L58" s="36">
        <f t="shared" si="15"/>
        <v>515514.72865891218</v>
      </c>
      <c r="M58" s="36">
        <f t="shared" si="15"/>
        <v>556430.64447418856</v>
      </c>
      <c r="N58" s="36">
        <f t="shared" si="15"/>
        <v>606733.64863065316</v>
      </c>
    </row>
    <row r="59" spans="2:14" outlineLevel="1" x14ac:dyDescent="0.35"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2:14" outlineLevel="1" x14ac:dyDescent="0.35">
      <c r="B60" s="1" t="s">
        <v>17</v>
      </c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2:14" outlineLevel="1" x14ac:dyDescent="0.35">
      <c r="B61" t="s">
        <v>18</v>
      </c>
      <c r="E61" s="2">
        <v>40000</v>
      </c>
      <c r="F61" s="2">
        <f>E61-5000</f>
        <v>35000</v>
      </c>
      <c r="G61" s="2">
        <f>F61-5000</f>
        <v>30000</v>
      </c>
      <c r="H61" s="2">
        <f>'Financial Model'!H174</f>
        <v>275000</v>
      </c>
      <c r="I61" s="2">
        <f>'Financial Model'!I174</f>
        <v>270000</v>
      </c>
      <c r="J61" s="2">
        <f>'Financial Model'!J174</f>
        <v>265000</v>
      </c>
      <c r="K61" s="2">
        <f>'Financial Model'!K174</f>
        <v>260000</v>
      </c>
      <c r="L61" s="2">
        <f>'Financial Model'!L174</f>
        <v>255000</v>
      </c>
      <c r="M61" s="2">
        <f>'Financial Model'!M174</f>
        <v>250000</v>
      </c>
      <c r="N61" s="2">
        <f>'Financial Model'!N174</f>
        <v>245000</v>
      </c>
    </row>
    <row r="62" spans="2:14" outlineLevel="1" x14ac:dyDescent="0.35">
      <c r="B62" t="s">
        <v>26</v>
      </c>
      <c r="E62" s="3">
        <v>5000</v>
      </c>
      <c r="F62" s="3">
        <v>5000</v>
      </c>
      <c r="G62" s="3">
        <v>5000</v>
      </c>
      <c r="H62" s="3">
        <v>10000</v>
      </c>
      <c r="I62" s="3">
        <v>5000</v>
      </c>
      <c r="J62" s="2">
        <f>'Financial Model'!J20</f>
        <v>5000</v>
      </c>
      <c r="K62" s="2">
        <f>'Financial Model'!K20</f>
        <v>5000</v>
      </c>
      <c r="L62" s="2">
        <f>'Financial Model'!L20</f>
        <v>5000</v>
      </c>
      <c r="M62" s="2">
        <f>'Financial Model'!M20</f>
        <v>5000</v>
      </c>
      <c r="N62" s="2">
        <f>'Financial Model'!N20</f>
        <v>5000</v>
      </c>
    </row>
    <row r="63" spans="2:14" outlineLevel="1" x14ac:dyDescent="0.35">
      <c r="B63" s="1" t="s">
        <v>19</v>
      </c>
      <c r="E63" s="12">
        <f>SUM(E61:E62)</f>
        <v>45000</v>
      </c>
      <c r="F63" s="12">
        <f>SUM(F61:F62)</f>
        <v>40000</v>
      </c>
      <c r="G63" s="12">
        <f>SUM(G61:G62)</f>
        <v>35000</v>
      </c>
      <c r="H63" s="12">
        <f>SUM(H61:H62)</f>
        <v>285000</v>
      </c>
      <c r="I63" s="12">
        <f>SUM(I61:I62)</f>
        <v>275000</v>
      </c>
      <c r="J63" s="12">
        <f t="shared" ref="J63:N63" si="16">SUM(J61:J62)</f>
        <v>270000</v>
      </c>
      <c r="K63" s="12">
        <f t="shared" si="16"/>
        <v>265000</v>
      </c>
      <c r="L63" s="12">
        <f t="shared" si="16"/>
        <v>260000</v>
      </c>
      <c r="M63" s="12">
        <f t="shared" si="16"/>
        <v>255000</v>
      </c>
      <c r="N63" s="12">
        <f t="shared" si="16"/>
        <v>250000</v>
      </c>
    </row>
    <row r="64" spans="2:14" outlineLevel="1" x14ac:dyDescent="0.35">
      <c r="B64" s="1" t="s">
        <v>10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 outlineLevel="1" x14ac:dyDescent="0.35">
      <c r="B65" t="s">
        <v>11</v>
      </c>
      <c r="E65" s="2">
        <v>70000</v>
      </c>
      <c r="F65" s="2">
        <v>70000</v>
      </c>
      <c r="G65" s="2">
        <v>70000</v>
      </c>
      <c r="H65" s="2">
        <f>'Financial Model'!H185</f>
        <v>70000</v>
      </c>
      <c r="I65" s="2">
        <f>'Financial Model'!I185</f>
        <v>70000</v>
      </c>
      <c r="J65" s="2">
        <f>'Financial Model'!J185</f>
        <v>70000</v>
      </c>
      <c r="K65" s="2">
        <f>'Financial Model'!K185</f>
        <v>70000</v>
      </c>
      <c r="L65" s="2">
        <f>'Financial Model'!L185</f>
        <v>70000</v>
      </c>
      <c r="M65" s="2">
        <f>'Financial Model'!M185</f>
        <v>70000</v>
      </c>
      <c r="N65" s="2">
        <f>'Financial Model'!N185</f>
        <v>70000</v>
      </c>
    </row>
    <row r="66" spans="1:14" outlineLevel="1" x14ac:dyDescent="0.35">
      <c r="B66" t="s">
        <v>12</v>
      </c>
      <c r="E66" s="2">
        <v>18535</v>
      </c>
      <c r="F66" s="2">
        <v>32322</v>
      </c>
      <c r="G66" s="2">
        <f>34172.034+40000</f>
        <v>74172.034</v>
      </c>
      <c r="H66" s="2">
        <f>'Financial Model'!H191</f>
        <v>87481.083577930811</v>
      </c>
      <c r="I66" s="2">
        <f>'Financial Model'!I191</f>
        <v>99923.876615224275</v>
      </c>
      <c r="J66" s="2">
        <f>'Financial Model'!J191</f>
        <v>120159.51568459085</v>
      </c>
      <c r="K66" s="2">
        <f>'Financial Model'!K191</f>
        <v>148560.06006981537</v>
      </c>
      <c r="L66" s="2">
        <f>'Financial Model'!L191</f>
        <v>185514.72865891221</v>
      </c>
      <c r="M66" s="2">
        <f>'Financial Model'!M191</f>
        <v>231430.64447418865</v>
      </c>
      <c r="N66" s="2">
        <f>'Financial Model'!N191</f>
        <v>286733.64863065316</v>
      </c>
    </row>
    <row r="67" spans="1:14" outlineLevel="1" x14ac:dyDescent="0.35">
      <c r="B67" s="1" t="s">
        <v>20</v>
      </c>
      <c r="E67" s="12">
        <f t="shared" ref="E67:H67" si="17">SUM(E65:E66)</f>
        <v>88535</v>
      </c>
      <c r="F67" s="12">
        <f t="shared" si="17"/>
        <v>102322</v>
      </c>
      <c r="G67" s="12">
        <f t="shared" si="17"/>
        <v>144172.03399999999</v>
      </c>
      <c r="H67" s="12">
        <f t="shared" si="17"/>
        <v>157481.08357793081</v>
      </c>
      <c r="I67" s="12">
        <f t="shared" ref="I67:N67" si="18">SUM(I65:I66)</f>
        <v>169923.87661522429</v>
      </c>
      <c r="J67" s="12">
        <f t="shared" si="18"/>
        <v>190159.51568459085</v>
      </c>
      <c r="K67" s="12">
        <f t="shared" si="18"/>
        <v>218560.06006981537</v>
      </c>
      <c r="L67" s="12">
        <f t="shared" si="18"/>
        <v>255514.72865891221</v>
      </c>
      <c r="M67" s="12">
        <f t="shared" si="18"/>
        <v>301430.64447418868</v>
      </c>
      <c r="N67" s="12">
        <f t="shared" si="18"/>
        <v>356733.64863065316</v>
      </c>
    </row>
    <row r="68" spans="1:14" outlineLevel="1" x14ac:dyDescent="0.35">
      <c r="B68" s="1"/>
      <c r="E68" s="11"/>
      <c r="F68" s="11"/>
      <c r="G68" s="11"/>
      <c r="H68" s="10"/>
      <c r="I68" s="10"/>
      <c r="J68" s="10"/>
      <c r="K68" s="10"/>
      <c r="L68" s="10"/>
      <c r="M68" s="10"/>
      <c r="N68" s="10"/>
    </row>
    <row r="69" spans="1:14" ht="15" outlineLevel="1" thickBot="1" x14ac:dyDescent="0.4">
      <c r="B69" s="1" t="s">
        <v>21</v>
      </c>
      <c r="E69" s="36">
        <f t="shared" ref="E69:H69" si="19">E63+E67</f>
        <v>133535</v>
      </c>
      <c r="F69" s="36">
        <f t="shared" si="19"/>
        <v>142322</v>
      </c>
      <c r="G69" s="36">
        <f t="shared" si="19"/>
        <v>179172.03399999999</v>
      </c>
      <c r="H69" s="36">
        <f t="shared" si="19"/>
        <v>442481.08357793081</v>
      </c>
      <c r="I69" s="36">
        <f t="shared" ref="I69:N69" si="20">I63+I67</f>
        <v>444923.87661522429</v>
      </c>
      <c r="J69" s="36">
        <f t="shared" si="20"/>
        <v>460159.51568459085</v>
      </c>
      <c r="K69" s="36">
        <f t="shared" si="20"/>
        <v>483560.06006981537</v>
      </c>
      <c r="L69" s="36">
        <f t="shared" si="20"/>
        <v>515514.72865891224</v>
      </c>
      <c r="M69" s="36">
        <f t="shared" si="20"/>
        <v>556430.64447418868</v>
      </c>
      <c r="N69" s="36">
        <f t="shared" si="20"/>
        <v>606733.64863065316</v>
      </c>
    </row>
    <row r="70" spans="1:14" outlineLevel="1" x14ac:dyDescent="0.35"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35">
      <c r="I71" s="2"/>
    </row>
    <row r="72" spans="1:14" x14ac:dyDescent="0.35">
      <c r="A72" s="118" t="s">
        <v>163</v>
      </c>
      <c r="B72" s="118"/>
      <c r="C72" s="118"/>
      <c r="D72" s="118"/>
      <c r="E72" s="118"/>
      <c r="F72" s="118"/>
      <c r="G72" s="118"/>
      <c r="H72" s="119"/>
      <c r="I72" s="119"/>
      <c r="J72" s="119"/>
      <c r="K72" s="118"/>
      <c r="L72" s="118"/>
      <c r="M72" s="118"/>
      <c r="N72" s="118"/>
    </row>
    <row r="73" spans="1:14" hidden="1" outlineLevel="1" x14ac:dyDescent="0.35"/>
    <row r="74" spans="1:14" hidden="1" outlineLevel="1" x14ac:dyDescent="0.35">
      <c r="B74" t="s">
        <v>27</v>
      </c>
      <c r="E74" s="3">
        <v>260810</v>
      </c>
      <c r="F74" s="3">
        <v>272241</v>
      </c>
      <c r="G74" s="3">
        <f>245009+40000</f>
        <v>285009</v>
      </c>
      <c r="H74" s="3">
        <f>297937.892882466</f>
        <v>297937.89288246603</v>
      </c>
      <c r="I74" s="3">
        <f>311453.280476209</f>
        <v>311453.28047620901</v>
      </c>
      <c r="J74" s="2">
        <f>I74*(1+J10+$C$277)</f>
        <v>325581.76800175931</v>
      </c>
      <c r="K74" s="2">
        <f>J74*(1+K10+$C$277)</f>
        <v>340351.16757503123</v>
      </c>
      <c r="L74" s="2">
        <f>K74*(1+L10+$C$277)</f>
        <v>355790.55295584316</v>
      </c>
      <c r="M74" s="2">
        <f>L74*(1+M10+$C$277)</f>
        <v>371930.31678000122</v>
      </c>
      <c r="N74" s="2">
        <f>M74*(1+N10+$C$277)</f>
        <v>388802.23038760765</v>
      </c>
    </row>
    <row r="75" spans="1:14" hidden="1" outlineLevel="1" x14ac:dyDescent="0.35">
      <c r="B75" t="s">
        <v>28</v>
      </c>
      <c r="E75" s="116">
        <v>177782</v>
      </c>
      <c r="F75" s="116">
        <v>184703</v>
      </c>
      <c r="G75" s="116">
        <v>179052</v>
      </c>
      <c r="H75" s="116">
        <v>179690.39809038417</v>
      </c>
      <c r="I75" s="116">
        <v>180331.07234703179</v>
      </c>
      <c r="J75" s="10">
        <f>I75*(1+J11+$F$277)</f>
        <v>181619.28185013522</v>
      </c>
      <c r="K75" s="10">
        <f>J75*(1+K11+$F$277)</f>
        <v>182916.69378131878</v>
      </c>
      <c r="L75" s="10">
        <f>K75*(1+L11+$F$277)</f>
        <v>184223.37387886678</v>
      </c>
      <c r="M75" s="10">
        <f>L75*(1+M11+$F$277)</f>
        <v>185539.38835067026</v>
      </c>
      <c r="N75" s="10">
        <f>M75*(1+N11+$F$277)</f>
        <v>186864.80387758161</v>
      </c>
    </row>
    <row r="76" spans="1:14" hidden="1" outlineLevel="1" x14ac:dyDescent="0.35">
      <c r="B76" t="s">
        <v>29</v>
      </c>
      <c r="E76" s="237">
        <f t="shared" ref="E76:I76" si="21">E74-E75</f>
        <v>83028</v>
      </c>
      <c r="F76" s="237">
        <f t="shared" si="21"/>
        <v>87538</v>
      </c>
      <c r="G76" s="237">
        <f t="shared" si="21"/>
        <v>105957</v>
      </c>
      <c r="H76" s="2">
        <f t="shared" si="21"/>
        <v>118247.49479208185</v>
      </c>
      <c r="I76" s="2">
        <f t="shared" si="21"/>
        <v>131122.20812917722</v>
      </c>
      <c r="J76" s="2">
        <f t="shared" ref="J76:N76" si="22">J74-J75</f>
        <v>143962.48615162409</v>
      </c>
      <c r="K76" s="2">
        <f t="shared" si="22"/>
        <v>157434.47379371244</v>
      </c>
      <c r="L76" s="2">
        <f t="shared" si="22"/>
        <v>171567.17907697638</v>
      </c>
      <c r="M76" s="2">
        <f t="shared" si="22"/>
        <v>186390.92842933096</v>
      </c>
      <c r="N76" s="2">
        <f t="shared" si="22"/>
        <v>201937.42651002604</v>
      </c>
    </row>
    <row r="77" spans="1:14" hidden="1" outlineLevel="1" x14ac:dyDescent="0.35">
      <c r="B77" t="s">
        <v>30</v>
      </c>
      <c r="E77" s="3">
        <v>9204</v>
      </c>
      <c r="F77" s="3">
        <v>10521</v>
      </c>
      <c r="G77" s="3">
        <v>11099</v>
      </c>
      <c r="H77" s="3">
        <v>11210</v>
      </c>
      <c r="I77" s="3">
        <v>11718.802739583327</v>
      </c>
      <c r="J77" s="2">
        <f t="shared" ref="J77:N78" si="23">J$74*J12</f>
        <v>12250.344975411459</v>
      </c>
      <c r="K77" s="2">
        <f t="shared" si="23"/>
        <v>12806.058647472169</v>
      </c>
      <c r="L77" s="2">
        <f t="shared" si="23"/>
        <v>13386.981216583128</v>
      </c>
      <c r="M77" s="2">
        <f t="shared" si="23"/>
        <v>13994.256236560703</v>
      </c>
      <c r="N77" s="2">
        <f t="shared" si="23"/>
        <v>14629.079136371853</v>
      </c>
    </row>
    <row r="78" spans="1:14" hidden="1" outlineLevel="1" x14ac:dyDescent="0.35">
      <c r="B78" t="s">
        <v>31</v>
      </c>
      <c r="E78" s="3">
        <v>25145</v>
      </c>
      <c r="F78" s="3">
        <v>26402</v>
      </c>
      <c r="G78" s="3">
        <v>21751.686000000002</v>
      </c>
      <c r="H78" s="3">
        <v>26786</v>
      </c>
      <c r="I78" s="3">
        <v>28000.763344773815</v>
      </c>
      <c r="J78" s="2">
        <f t="shared" si="23"/>
        <v>29271.03445224942</v>
      </c>
      <c r="K78" s="2">
        <f t="shared" si="23"/>
        <v>30598.859429678574</v>
      </c>
      <c r="L78" s="2">
        <f t="shared" si="23"/>
        <v>31986.918669533985</v>
      </c>
      <c r="M78" s="2">
        <f t="shared" si="23"/>
        <v>33437.944584921075</v>
      </c>
      <c r="N78" s="2">
        <f t="shared" si="23"/>
        <v>34954.793539684892</v>
      </c>
    </row>
    <row r="79" spans="1:14" hidden="1" outlineLevel="1" x14ac:dyDescent="0.35">
      <c r="B79" t="s">
        <v>33</v>
      </c>
      <c r="E79" s="3">
        <v>10000</v>
      </c>
      <c r="F79" s="3">
        <v>10000</v>
      </c>
      <c r="G79" s="3">
        <v>10000</v>
      </c>
      <c r="H79" s="3">
        <v>30000</v>
      </c>
      <c r="I79" s="3">
        <v>30000</v>
      </c>
      <c r="J79" s="2">
        <f>'Financial Model'!J151</f>
        <v>30000</v>
      </c>
      <c r="K79" s="2">
        <f>'Financial Model'!K151</f>
        <v>30000</v>
      </c>
      <c r="L79" s="2">
        <f>'Financial Model'!L151</f>
        <v>30000</v>
      </c>
      <c r="M79" s="2">
        <f>'Financial Model'!M151</f>
        <v>30000</v>
      </c>
      <c r="N79" s="2">
        <f>'Financial Model'!N151</f>
        <v>30000</v>
      </c>
    </row>
    <row r="80" spans="1:14" hidden="1" outlineLevel="1" x14ac:dyDescent="0.35">
      <c r="B80" t="s">
        <v>32</v>
      </c>
      <c r="E80" s="116">
        <v>5675</v>
      </c>
      <c r="F80" s="116">
        <v>13342</v>
      </c>
      <c r="G80" s="116">
        <v>4394.28</v>
      </c>
      <c r="H80" s="116">
        <v>8559</v>
      </c>
      <c r="I80" s="116">
        <v>8947.5567534485854</v>
      </c>
      <c r="J80" s="10">
        <f>J$74*J14</f>
        <v>9353.3842439157233</v>
      </c>
      <c r="K80" s="10">
        <f>K$74*K14</f>
        <v>9777.6827852885654</v>
      </c>
      <c r="L80" s="10">
        <f>L$74*L14</f>
        <v>10221.228825482833</v>
      </c>
      <c r="M80" s="10">
        <f>M$74*M14</f>
        <v>10684.895490787585</v>
      </c>
      <c r="N80" s="10">
        <f>N$74*N14</f>
        <v>11169.595515210453</v>
      </c>
    </row>
    <row r="81" spans="1:14" hidden="1" outlineLevel="1" x14ac:dyDescent="0.35">
      <c r="B81" t="s">
        <v>42</v>
      </c>
      <c r="E81" s="237">
        <f t="shared" ref="E81:N81" si="24">E76-SUM(E77:E80)</f>
        <v>33004</v>
      </c>
      <c r="F81" s="237">
        <f t="shared" si="24"/>
        <v>27273</v>
      </c>
      <c r="G81" s="237">
        <f t="shared" si="24"/>
        <v>58712.034</v>
      </c>
      <c r="H81" s="2">
        <f t="shared" si="24"/>
        <v>41692.494792081852</v>
      </c>
      <c r="I81" s="2">
        <f t="shared" si="24"/>
        <v>52455.085291371492</v>
      </c>
      <c r="J81" s="2">
        <f t="shared" si="24"/>
        <v>63087.722480047494</v>
      </c>
      <c r="K81" s="2">
        <f t="shared" si="24"/>
        <v>74251.872931273145</v>
      </c>
      <c r="L81" s="2">
        <f t="shared" si="24"/>
        <v>85972.050365376432</v>
      </c>
      <c r="M81" s="2">
        <f t="shared" si="24"/>
        <v>98273.832117061596</v>
      </c>
      <c r="N81" s="2">
        <f t="shared" si="24"/>
        <v>111183.95831875883</v>
      </c>
    </row>
    <row r="82" spans="1:14" hidden="1" outlineLevel="1" x14ac:dyDescent="0.35">
      <c r="B82" t="s">
        <v>44</v>
      </c>
      <c r="E82" s="3">
        <v>3333</v>
      </c>
      <c r="F82" s="3">
        <v>2183</v>
      </c>
      <c r="G82" s="3">
        <v>2156</v>
      </c>
      <c r="H82" s="3">
        <v>2156</v>
      </c>
      <c r="I82" s="3">
        <v>2156</v>
      </c>
      <c r="J82" s="2">
        <f>I82</f>
        <v>2156</v>
      </c>
      <c r="K82" s="2">
        <f t="shared" ref="K82" si="25">J82</f>
        <v>2156</v>
      </c>
      <c r="L82" s="2">
        <f t="shared" ref="L82" si="26">K82</f>
        <v>2156</v>
      </c>
      <c r="M82" s="2">
        <f t="shared" ref="M82" si="27">L82</f>
        <v>2156</v>
      </c>
      <c r="N82" s="2">
        <f t="shared" ref="N82" si="28">M82</f>
        <v>2156</v>
      </c>
    </row>
    <row r="83" spans="1:14" hidden="1" outlineLevel="1" x14ac:dyDescent="0.35">
      <c r="B83" t="s">
        <v>50</v>
      </c>
      <c r="E83" s="3">
        <v>9265</v>
      </c>
      <c r="F83" s="3">
        <v>9644</v>
      </c>
      <c r="G83" s="3">
        <v>9848</v>
      </c>
      <c r="H83" s="116">
        <v>9585.6666666666661</v>
      </c>
      <c r="I83" s="116">
        <v>9585.6666666666661</v>
      </c>
      <c r="J83" s="10">
        <f>'Financial Model'!J21</f>
        <v>9585.6666666666661</v>
      </c>
      <c r="K83" s="10">
        <f>'Financial Model'!K21</f>
        <v>9585.6666666666661</v>
      </c>
      <c r="L83" s="10">
        <f>'Financial Model'!L21</f>
        <v>9585.6666666666661</v>
      </c>
      <c r="M83" s="10">
        <f>'Financial Model'!M21</f>
        <v>9585.6666666666661</v>
      </c>
      <c r="N83" s="10">
        <f>'Financial Model'!N21</f>
        <v>9585.6666666666661</v>
      </c>
    </row>
    <row r="84" spans="1:14" hidden="1" outlineLevel="1" x14ac:dyDescent="0.35">
      <c r="E84" s="11"/>
      <c r="F84" s="11"/>
      <c r="G84" s="11"/>
      <c r="H84" s="2"/>
      <c r="I84" s="2"/>
      <c r="J84" s="2"/>
      <c r="K84" s="2"/>
      <c r="L84" s="2"/>
      <c r="M84" s="2"/>
      <c r="N84" s="2"/>
    </row>
    <row r="85" spans="1:14" hidden="1" outlineLevel="1" x14ac:dyDescent="0.35">
      <c r="B85" t="s">
        <v>112</v>
      </c>
      <c r="E85" s="2">
        <f>E81+E82-E83-E86</f>
        <v>25072</v>
      </c>
      <c r="F85" s="2">
        <f>F81+F82-F83-F86</f>
        <v>16062</v>
      </c>
      <c r="G85" s="2">
        <f>G81+G82-G83-G86</f>
        <v>47770.034</v>
      </c>
      <c r="H85" s="2">
        <f>H81+H82-H83-H86</f>
        <v>19012.828125415188</v>
      </c>
      <c r="I85" s="2">
        <f>I81+I82-I83-I86</f>
        <v>17775.418624704827</v>
      </c>
      <c r="J85" s="2">
        <f t="shared" ref="J85:N85" si="29">J81+J82-J83-J86</f>
        <v>28908.05581338083</v>
      </c>
      <c r="K85" s="2">
        <f t="shared" si="29"/>
        <v>40572.206264606473</v>
      </c>
      <c r="L85" s="2">
        <f t="shared" si="29"/>
        <v>52792.38369870976</v>
      </c>
      <c r="M85" s="2">
        <f t="shared" si="29"/>
        <v>65594.165450394925</v>
      </c>
      <c r="N85" s="2">
        <f t="shared" si="29"/>
        <v>79004.291652092157</v>
      </c>
    </row>
    <row r="86" spans="1:14" hidden="1" outlineLevel="1" x14ac:dyDescent="0.35">
      <c r="B86" t="s">
        <v>49</v>
      </c>
      <c r="E86" s="3">
        <v>2000</v>
      </c>
      <c r="F86" s="3">
        <v>3750</v>
      </c>
      <c r="G86" s="3">
        <v>3250</v>
      </c>
      <c r="H86" s="3">
        <v>15250</v>
      </c>
      <c r="I86" s="3">
        <v>27250</v>
      </c>
      <c r="J86" s="2">
        <f>'Financial Model'!J177</f>
        <v>26750</v>
      </c>
      <c r="K86" s="2">
        <f>'Financial Model'!K177</f>
        <v>26250</v>
      </c>
      <c r="L86" s="2">
        <f>'Financial Model'!L177</f>
        <v>25750</v>
      </c>
      <c r="M86" s="2">
        <f>'Financial Model'!M177</f>
        <v>25250</v>
      </c>
      <c r="N86" s="2">
        <f>'Financial Model'!N177</f>
        <v>24750</v>
      </c>
    </row>
    <row r="87" spans="1:14" hidden="1" outlineLevel="1" x14ac:dyDescent="0.35">
      <c r="B87" t="s">
        <v>35</v>
      </c>
      <c r="E87" s="11">
        <f t="shared" ref="E87:N87" si="30">E85-E86</f>
        <v>23072</v>
      </c>
      <c r="F87" s="11">
        <f t="shared" si="30"/>
        <v>12312</v>
      </c>
      <c r="G87" s="11">
        <f t="shared" si="30"/>
        <v>44520.034</v>
      </c>
      <c r="H87" s="11">
        <f t="shared" si="30"/>
        <v>3762.828125415188</v>
      </c>
      <c r="I87" s="11">
        <f t="shared" si="30"/>
        <v>-9474.5813752951726</v>
      </c>
      <c r="J87" s="11">
        <f t="shared" si="30"/>
        <v>2158.0558133808299</v>
      </c>
      <c r="K87" s="11">
        <f t="shared" si="30"/>
        <v>14322.206264606473</v>
      </c>
      <c r="L87" s="11">
        <f t="shared" si="30"/>
        <v>27042.38369870976</v>
      </c>
      <c r="M87" s="11">
        <f t="shared" si="30"/>
        <v>40344.165450394925</v>
      </c>
      <c r="N87" s="11">
        <f t="shared" si="30"/>
        <v>54254.291652092157</v>
      </c>
    </row>
    <row r="88" spans="1:14" hidden="1" outlineLevel="1" x14ac:dyDescent="0.35"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idden="1" outlineLevel="1" x14ac:dyDescent="0.35"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idden="1" outlineLevel="1" x14ac:dyDescent="0.35">
      <c r="B90" t="s">
        <v>36</v>
      </c>
      <c r="E90" s="3">
        <v>6537</v>
      </c>
      <c r="F90" s="3">
        <v>2275</v>
      </c>
      <c r="G90" s="3">
        <v>5920</v>
      </c>
      <c r="H90" s="116">
        <v>5703.7785474843831</v>
      </c>
      <c r="I90" s="116">
        <v>5332.6255874113604</v>
      </c>
      <c r="J90" s="10">
        <f>IF(J85&gt;0,J85*'Financial Model'!J22,0)</f>
        <v>8672.4167440142483</v>
      </c>
      <c r="K90" s="10">
        <f>IF(K85&gt;0,K85*'Financial Model'!K22,0)</f>
        <v>12171.661879381942</v>
      </c>
      <c r="L90" s="10">
        <f>IF(L85&gt;0,L85*'Financial Model'!L22,0)</f>
        <v>15837.715109612927</v>
      </c>
      <c r="M90" s="10">
        <f>IF(M85&gt;0,M85*'Financial Model'!M22,0)</f>
        <v>19678.249635118478</v>
      </c>
      <c r="N90" s="10">
        <f>IF(N85&gt;0,N85*'Financial Model'!N22,0)</f>
        <v>23701.287495627646</v>
      </c>
    </row>
    <row r="91" spans="1:14" hidden="1" outlineLevel="1" x14ac:dyDescent="0.35">
      <c r="E91" s="11"/>
      <c r="F91" s="11"/>
      <c r="G91" s="11"/>
      <c r="H91" s="2"/>
      <c r="I91" s="2"/>
      <c r="J91" s="2"/>
      <c r="K91" s="2"/>
      <c r="L91" s="2"/>
      <c r="M91" s="2"/>
      <c r="N91" s="2"/>
    </row>
    <row r="92" spans="1:14" ht="15" hidden="1" outlineLevel="1" thickBot="1" x14ac:dyDescent="0.4">
      <c r="B92" t="s">
        <v>37</v>
      </c>
      <c r="E92" s="35">
        <f t="shared" ref="E92:H92" si="31">E85-E90</f>
        <v>18535</v>
      </c>
      <c r="F92" s="35">
        <f t="shared" si="31"/>
        <v>13787</v>
      </c>
      <c r="G92" s="35">
        <f t="shared" si="31"/>
        <v>41850.034</v>
      </c>
      <c r="H92" s="35">
        <f t="shared" si="31"/>
        <v>13309.049577930804</v>
      </c>
      <c r="I92" s="35">
        <f t="shared" ref="I92:N92" si="32">I85-I90</f>
        <v>12442.793037293468</v>
      </c>
      <c r="J92" s="35">
        <f t="shared" si="32"/>
        <v>20235.639069366582</v>
      </c>
      <c r="K92" s="35">
        <f t="shared" si="32"/>
        <v>28400.54438522453</v>
      </c>
      <c r="L92" s="35">
        <f t="shared" si="32"/>
        <v>36954.668589096837</v>
      </c>
      <c r="M92" s="35">
        <f t="shared" si="32"/>
        <v>45915.915815276443</v>
      </c>
      <c r="N92" s="35">
        <f t="shared" si="32"/>
        <v>55303.004156464507</v>
      </c>
    </row>
    <row r="93" spans="1:14" hidden="1" outlineLevel="1" x14ac:dyDescent="0.35"/>
    <row r="94" spans="1:14" collapsed="1" x14ac:dyDescent="0.35"/>
    <row r="95" spans="1:14" x14ac:dyDescent="0.35">
      <c r="A95" s="118" t="s">
        <v>164</v>
      </c>
      <c r="B95" s="118"/>
      <c r="C95" s="118"/>
      <c r="D95" s="118"/>
      <c r="E95" s="118"/>
      <c r="F95" s="118"/>
      <c r="G95" s="118"/>
      <c r="H95" s="119"/>
      <c r="I95" s="119"/>
      <c r="J95" s="119"/>
      <c r="K95" s="118"/>
      <c r="L95" s="118"/>
      <c r="M95" s="118"/>
      <c r="N95" s="118"/>
    </row>
    <row r="96" spans="1:14" outlineLevel="1" x14ac:dyDescent="0.35"/>
    <row r="97" spans="2:14" outlineLevel="1" x14ac:dyDescent="0.35">
      <c r="B97" s="61" t="s">
        <v>90</v>
      </c>
      <c r="C97" s="62"/>
    </row>
    <row r="98" spans="2:14" outlineLevel="1" x14ac:dyDescent="0.35">
      <c r="B98" s="62"/>
      <c r="C98" s="63" t="s">
        <v>91</v>
      </c>
      <c r="E98" s="101"/>
      <c r="F98" s="2">
        <f>'Financial Model'!F92</f>
        <v>13787</v>
      </c>
      <c r="G98" s="2">
        <f>'Financial Model'!G92</f>
        <v>41850.034</v>
      </c>
      <c r="H98" s="2">
        <f>'Financial Model'!H92</f>
        <v>13309.049577930804</v>
      </c>
      <c r="I98" s="2">
        <f>'Financial Model'!I92</f>
        <v>12442.793037293468</v>
      </c>
      <c r="J98" s="2">
        <f>'Financial Model'!J92</f>
        <v>20235.639069366582</v>
      </c>
      <c r="K98" s="2">
        <f>'Financial Model'!K92</f>
        <v>28400.54438522453</v>
      </c>
      <c r="L98" s="2">
        <f>'Financial Model'!L92</f>
        <v>36954.668589096837</v>
      </c>
      <c r="M98" s="2">
        <f>'Financial Model'!M92</f>
        <v>45915.915815276443</v>
      </c>
      <c r="N98" s="2">
        <f>'Financial Model'!N92</f>
        <v>55303.004156464507</v>
      </c>
    </row>
    <row r="99" spans="2:14" outlineLevel="1" x14ac:dyDescent="0.35">
      <c r="B99" s="62"/>
      <c r="C99" s="63" t="s">
        <v>92</v>
      </c>
      <c r="E99" s="101"/>
      <c r="F99" s="2">
        <f>'Financial Model'!F79</f>
        <v>10000</v>
      </c>
      <c r="G99" s="2">
        <f>'Financial Model'!G79</f>
        <v>10000</v>
      </c>
      <c r="H99" s="2">
        <f>'Financial Model'!H79</f>
        <v>30000</v>
      </c>
      <c r="I99" s="2">
        <f>'Financial Model'!I79</f>
        <v>30000</v>
      </c>
      <c r="J99" s="2">
        <f>'Financial Model'!J79</f>
        <v>30000</v>
      </c>
      <c r="K99" s="2">
        <f>'Financial Model'!K79</f>
        <v>30000</v>
      </c>
      <c r="L99" s="2">
        <f>'Financial Model'!L79</f>
        <v>30000</v>
      </c>
      <c r="M99" s="2">
        <f>'Financial Model'!M79</f>
        <v>30000</v>
      </c>
      <c r="N99" s="2">
        <f>'Financial Model'!N79</f>
        <v>30000</v>
      </c>
    </row>
    <row r="100" spans="2:14" outlineLevel="1" x14ac:dyDescent="0.35">
      <c r="B100" s="62"/>
      <c r="C100" s="63" t="s">
        <v>93</v>
      </c>
      <c r="E100" s="101"/>
      <c r="F100" s="2">
        <f>'Financial Model'!F86</f>
        <v>3750</v>
      </c>
      <c r="G100" s="2">
        <f>'Financial Model'!G86</f>
        <v>3250</v>
      </c>
      <c r="H100" s="2">
        <f>'Financial Model'!H86</f>
        <v>15250</v>
      </c>
      <c r="I100" s="2">
        <f>'Financial Model'!I86</f>
        <v>27250</v>
      </c>
      <c r="J100" s="2">
        <f>'Financial Model'!J86</f>
        <v>26750</v>
      </c>
      <c r="K100" s="2">
        <f>'Financial Model'!K86</f>
        <v>26250</v>
      </c>
      <c r="L100" s="2">
        <f>'Financial Model'!L86</f>
        <v>25750</v>
      </c>
      <c r="M100" s="2">
        <f>'Financial Model'!M86</f>
        <v>25250</v>
      </c>
      <c r="N100" s="2">
        <f>'Financial Model'!N86</f>
        <v>24750</v>
      </c>
    </row>
    <row r="101" spans="2:14" outlineLevel="1" x14ac:dyDescent="0.35">
      <c r="E101" s="101"/>
    </row>
    <row r="102" spans="2:14" outlineLevel="1" x14ac:dyDescent="0.35">
      <c r="B102" s="62"/>
      <c r="C102" s="61" t="s">
        <v>94</v>
      </c>
      <c r="E102" s="101"/>
      <c r="F102" s="2"/>
      <c r="G102" s="2"/>
      <c r="H102" s="2"/>
      <c r="I102" s="2"/>
      <c r="J102" s="2"/>
      <c r="K102" s="2"/>
      <c r="L102" s="2"/>
      <c r="M102" s="2"/>
      <c r="N102" s="2"/>
    </row>
    <row r="103" spans="2:14" outlineLevel="1" x14ac:dyDescent="0.35">
      <c r="B103" s="62"/>
      <c r="C103" s="64" t="s">
        <v>95</v>
      </c>
      <c r="E103" s="101"/>
      <c r="F103" s="2">
        <f>'Financial Model'!F52-'Financial Model'!E52</f>
        <v>3524</v>
      </c>
      <c r="G103" s="2">
        <f>'Financial Model'!G52-'Financial Model'!F52</f>
        <v>-223</v>
      </c>
      <c r="H103" s="2">
        <f>'Financial Model'!H52-'Financial Model'!G52</f>
        <v>-1758.5245701488566</v>
      </c>
      <c r="I103" s="2">
        <f>'Financial Model'!I52-'Financial Model'!H52</f>
        <v>0</v>
      </c>
      <c r="J103" s="2">
        <f>'Financial Model'!J52-'Financial Model'!I52</f>
        <v>1609.9061479803422</v>
      </c>
      <c r="K103" s="2">
        <f>'Financial Model'!K52-'Financial Model'!J52</f>
        <v>-1397.3499364417294</v>
      </c>
      <c r="L103" s="2">
        <f>'Financial Model'!L52-'Financial Model'!K52</f>
        <v>1611.4245603542258</v>
      </c>
      <c r="M103" s="2">
        <f>'Financial Model'!M52-'Financial Model'!L52</f>
        <v>-1395.8206771670593</v>
      </c>
      <c r="N103" s="2">
        <f>'Financial Model'!N52-'Financial Model'!M52</f>
        <v>1612.9647440153785</v>
      </c>
    </row>
    <row r="104" spans="2:14" outlineLevel="1" x14ac:dyDescent="0.35">
      <c r="B104" s="62"/>
      <c r="C104" s="64" t="s">
        <v>96</v>
      </c>
      <c r="E104" s="101"/>
      <c r="F104" s="2">
        <f>-('Financial Model'!F47-'Financial Model'!E47)</f>
        <v>-2462</v>
      </c>
      <c r="G104" s="2">
        <f>-('Financial Model'!G47-'Financial Model'!F47)</f>
        <v>-3724</v>
      </c>
      <c r="H104" s="2">
        <f>-('Financial Model'!H47-'Financial Model'!G47)</f>
        <v>7201.4374593216999</v>
      </c>
      <c r="I104" s="2">
        <f>-('Financial Model'!I47-'Financial Model'!H47)</f>
        <v>2.9103830456733704E-11</v>
      </c>
      <c r="J104" s="2">
        <f>-('Financial Model'!J47-'Financial Model'!I47)</f>
        <v>-5744.9034730166677</v>
      </c>
      <c r="K104" s="2">
        <f>-('Financial Model'!K47-'Financial Model'!J47)</f>
        <v>5496.278098883995</v>
      </c>
      <c r="L104" s="2">
        <f>-('Financial Model'!L47-'Financial Model'!K47)</f>
        <v>-5746.6795483513415</v>
      </c>
      <c r="M104" s="2">
        <f>-('Financial Model'!M47-'Financial Model'!L47)</f>
        <v>5494.4893360124843</v>
      </c>
      <c r="N104" s="2">
        <f>-('Financial Model'!N47-'Financial Model'!M47)</f>
        <v>-5748.4810893941394</v>
      </c>
    </row>
    <row r="105" spans="2:14" outlineLevel="1" x14ac:dyDescent="0.35">
      <c r="B105" s="62"/>
      <c r="C105" s="64" t="s">
        <v>97</v>
      </c>
      <c r="E105" s="101"/>
      <c r="F105" s="10">
        <f>-('Financial Model'!F48-'Financial Model'!E48)</f>
        <v>-10704</v>
      </c>
      <c r="G105" s="10">
        <f>-('Financial Model'!G48-'Financial Model'!F48)</f>
        <v>-4333</v>
      </c>
      <c r="H105" s="10">
        <f>-('Financial Model'!H48-'Financial Model'!G48)</f>
        <v>7846.6638821749148</v>
      </c>
      <c r="I105" s="10">
        <f>-('Financial Model'!I48-'Financial Model'!H48)</f>
        <v>0</v>
      </c>
      <c r="J105" s="10">
        <f>-('Financial Model'!J48-'Financial Model'!I48)</f>
        <v>-10971.838635838227</v>
      </c>
      <c r="K105" s="10">
        <f>-('Financial Model'!K48-'Financial Model'!J48)</f>
        <v>7928.8584507964406</v>
      </c>
      <c r="L105" s="10">
        <f>-('Financial Model'!L48-'Financial Model'!K48)</f>
        <v>-11109.877662170256</v>
      </c>
      <c r="M105" s="10">
        <f>-('Financial Model'!M48-'Financial Model'!L48)</f>
        <v>7784.5575457691302</v>
      </c>
      <c r="N105" s="10">
        <f>-('Financial Model'!N48-'Financial Model'!M48)</f>
        <v>-11260.724504146652</v>
      </c>
    </row>
    <row r="106" spans="2:14" outlineLevel="1" x14ac:dyDescent="0.35">
      <c r="B106" s="61"/>
      <c r="C106" s="65" t="s">
        <v>94</v>
      </c>
      <c r="D106" s="66"/>
      <c r="E106" s="102"/>
      <c r="F106" s="10">
        <f t="shared" ref="F106:H106" si="33">SUM(F103:F105)</f>
        <v>-9642</v>
      </c>
      <c r="G106" s="10">
        <f t="shared" si="33"/>
        <v>-8280</v>
      </c>
      <c r="H106" s="10">
        <f t="shared" si="33"/>
        <v>13289.576771347758</v>
      </c>
      <c r="I106" s="10">
        <f t="shared" ref="I106:N106" si="34">SUM(I103:I105)</f>
        <v>2.9103830456733704E-11</v>
      </c>
      <c r="J106" s="10">
        <f t="shared" si="34"/>
        <v>-15106.835960874552</v>
      </c>
      <c r="K106" s="10">
        <f t="shared" si="34"/>
        <v>12027.786613238706</v>
      </c>
      <c r="L106" s="10">
        <f t="shared" si="34"/>
        <v>-15245.132650167372</v>
      </c>
      <c r="M106" s="10">
        <f t="shared" si="34"/>
        <v>11883.226204614555</v>
      </c>
      <c r="N106" s="10">
        <f t="shared" si="34"/>
        <v>-15396.240849525413</v>
      </c>
    </row>
    <row r="107" spans="2:14" outlineLevel="1" x14ac:dyDescent="0.35">
      <c r="E107" s="101"/>
      <c r="F107" s="2"/>
      <c r="G107" s="2"/>
      <c r="H107" s="2"/>
      <c r="I107" s="2"/>
      <c r="J107" s="2"/>
      <c r="K107" s="2"/>
      <c r="L107" s="2"/>
      <c r="M107" s="2"/>
      <c r="N107" s="2"/>
    </row>
    <row r="108" spans="2:14" outlineLevel="1" x14ac:dyDescent="0.35">
      <c r="B108" s="61"/>
      <c r="C108" s="61" t="s">
        <v>98</v>
      </c>
      <c r="D108" s="1"/>
      <c r="E108" s="103"/>
      <c r="F108" s="70">
        <f t="shared" ref="F108:H108" si="35">F106+SUM(F98:F100)</f>
        <v>17895</v>
      </c>
      <c r="G108" s="70">
        <f t="shared" si="35"/>
        <v>46820.034</v>
      </c>
      <c r="H108" s="2">
        <f t="shared" si="35"/>
        <v>71848.626349278566</v>
      </c>
      <c r="I108" s="2">
        <f t="shared" ref="I108:N108" si="36">I106+SUM(I98:I100)</f>
        <v>69692.793037293493</v>
      </c>
      <c r="J108" s="2">
        <f t="shared" si="36"/>
        <v>61878.803108492037</v>
      </c>
      <c r="K108" s="2">
        <f t="shared" si="36"/>
        <v>96678.330998463236</v>
      </c>
      <c r="L108" s="2">
        <f t="shared" si="36"/>
        <v>77459.535938929461</v>
      </c>
      <c r="M108" s="2">
        <f t="shared" si="36"/>
        <v>113049.14201989101</v>
      </c>
      <c r="N108" s="2">
        <f t="shared" si="36"/>
        <v>94656.763306939101</v>
      </c>
    </row>
    <row r="109" spans="2:14" ht="18.5" outlineLevel="1" x14ac:dyDescent="0.45">
      <c r="E109" s="101"/>
      <c r="F109" s="30"/>
      <c r="G109" s="2"/>
      <c r="H109" s="2"/>
      <c r="I109" s="2"/>
      <c r="J109" s="2"/>
      <c r="K109" s="2"/>
      <c r="L109" s="2"/>
      <c r="M109" s="2"/>
      <c r="N109" s="2"/>
    </row>
    <row r="110" spans="2:14" outlineLevel="1" x14ac:dyDescent="0.35">
      <c r="B110" s="61" t="s">
        <v>99</v>
      </c>
      <c r="C110" s="62"/>
      <c r="E110" s="101"/>
      <c r="F110" s="2"/>
      <c r="G110" s="2"/>
      <c r="H110" s="2"/>
      <c r="I110" s="2"/>
      <c r="J110" s="2"/>
      <c r="K110" s="2"/>
      <c r="L110" s="2"/>
      <c r="M110" s="2"/>
      <c r="N110" s="2"/>
    </row>
    <row r="111" spans="2:14" outlineLevel="1" x14ac:dyDescent="0.35">
      <c r="B111" s="62"/>
      <c r="C111" s="63" t="s">
        <v>100</v>
      </c>
      <c r="E111" s="101"/>
      <c r="F111" s="2">
        <f>-'Financial Model'!F139</f>
        <v>0</v>
      </c>
      <c r="G111" s="2">
        <f>-'Financial Model'!G139</f>
        <v>0</v>
      </c>
      <c r="H111" s="2">
        <f>-'Financial Model'!H139</f>
        <v>-200000</v>
      </c>
      <c r="I111" s="2">
        <f>-'Financial Model'!I139</f>
        <v>0</v>
      </c>
      <c r="J111" s="2">
        <f>-'Financial Model'!J139</f>
        <v>0</v>
      </c>
      <c r="K111" s="2">
        <f>-'Financial Model'!K139</f>
        <v>0</v>
      </c>
      <c r="L111" s="2">
        <f>-'Financial Model'!L139</f>
        <v>0</v>
      </c>
      <c r="M111" s="2">
        <f>-'Financial Model'!M139</f>
        <v>0</v>
      </c>
      <c r="N111" s="2">
        <f>-'Financial Model'!N139</f>
        <v>0</v>
      </c>
    </row>
    <row r="112" spans="2:14" outlineLevel="1" x14ac:dyDescent="0.35">
      <c r="B112" s="62"/>
      <c r="C112" s="63" t="s">
        <v>101</v>
      </c>
      <c r="E112" s="101"/>
      <c r="F112" s="2"/>
      <c r="G112" s="2"/>
      <c r="H112" s="2"/>
      <c r="I112" s="2">
        <f>-'Financial Model'!I140</f>
        <v>0</v>
      </c>
      <c r="J112" s="2">
        <f>-'Financial Model'!J140</f>
        <v>0</v>
      </c>
      <c r="K112" s="2"/>
      <c r="L112" s="2"/>
      <c r="M112" s="2"/>
      <c r="N112" s="2"/>
    </row>
    <row r="113" spans="2:14" outlineLevel="1" x14ac:dyDescent="0.35">
      <c r="B113" s="62"/>
      <c r="C113" s="63" t="s">
        <v>102</v>
      </c>
      <c r="E113" s="101"/>
      <c r="F113" s="2"/>
      <c r="G113" s="2"/>
      <c r="H113" s="2"/>
      <c r="I113" s="2">
        <f>-'Financial Model'!I141</f>
        <v>0</v>
      </c>
      <c r="J113" s="2">
        <f>-'Financial Model'!J141</f>
        <v>0</v>
      </c>
      <c r="K113" s="2"/>
      <c r="L113" s="2"/>
      <c r="M113" s="2"/>
      <c r="N113" s="2"/>
    </row>
    <row r="114" spans="2:14" outlineLevel="1" x14ac:dyDescent="0.35">
      <c r="B114" s="62"/>
      <c r="C114" s="67" t="s">
        <v>103</v>
      </c>
      <c r="D114" s="60"/>
      <c r="E114" s="104"/>
      <c r="F114" s="10">
        <f t="shared" ref="F114:J114" si="37">-(F44-E44)</f>
        <v>648</v>
      </c>
      <c r="G114" s="10">
        <f t="shared" si="37"/>
        <v>-46557</v>
      </c>
      <c r="H114" s="10">
        <f t="shared" si="37"/>
        <v>-5000</v>
      </c>
      <c r="I114" s="10">
        <f t="shared" si="37"/>
        <v>5000</v>
      </c>
      <c r="J114" s="10">
        <f t="shared" si="37"/>
        <v>0</v>
      </c>
      <c r="K114" s="10">
        <f>-('Financial Model'!K44-'Financial Model'!J44)</f>
        <v>0</v>
      </c>
      <c r="L114" s="10">
        <f>-('Financial Model'!L44-'Financial Model'!K44)</f>
        <v>0</v>
      </c>
      <c r="M114" s="10">
        <f>-('Financial Model'!M44-'Financial Model'!L44)</f>
        <v>0</v>
      </c>
      <c r="N114" s="10">
        <f>-('Financial Model'!N44-'Financial Model'!M44)</f>
        <v>0</v>
      </c>
    </row>
    <row r="115" spans="2:14" outlineLevel="1" x14ac:dyDescent="0.35">
      <c r="B115" s="61"/>
      <c r="C115" s="61" t="s">
        <v>99</v>
      </c>
      <c r="D115" s="1"/>
      <c r="E115" s="103"/>
      <c r="F115" s="70">
        <f t="shared" ref="F115:N115" si="38">SUM(F111:F114)</f>
        <v>648</v>
      </c>
      <c r="G115" s="70">
        <f t="shared" si="38"/>
        <v>-46557</v>
      </c>
      <c r="H115" s="70">
        <f t="shared" si="38"/>
        <v>-205000</v>
      </c>
      <c r="I115" s="70">
        <f t="shared" si="38"/>
        <v>5000</v>
      </c>
      <c r="J115" s="70">
        <f t="shared" si="38"/>
        <v>0</v>
      </c>
      <c r="K115" s="70">
        <f t="shared" si="38"/>
        <v>0</v>
      </c>
      <c r="L115" s="70">
        <f t="shared" si="38"/>
        <v>0</v>
      </c>
      <c r="M115" s="70">
        <f t="shared" si="38"/>
        <v>0</v>
      </c>
      <c r="N115" s="70">
        <f t="shared" si="38"/>
        <v>0</v>
      </c>
    </row>
    <row r="116" spans="2:14" outlineLevel="1" x14ac:dyDescent="0.35">
      <c r="E116" s="101"/>
      <c r="F116" s="2"/>
      <c r="G116" s="2"/>
      <c r="H116" s="2"/>
      <c r="I116" s="2"/>
      <c r="J116" s="2"/>
      <c r="K116" s="2"/>
      <c r="L116" s="2"/>
      <c r="M116" s="2"/>
      <c r="N116" s="2"/>
    </row>
    <row r="117" spans="2:14" outlineLevel="1" x14ac:dyDescent="0.35">
      <c r="B117" s="61" t="s">
        <v>104</v>
      </c>
      <c r="C117" s="62"/>
      <c r="E117" s="101"/>
      <c r="F117" s="2"/>
      <c r="G117" s="2"/>
      <c r="H117" s="2"/>
      <c r="I117" s="2"/>
      <c r="J117" s="2"/>
      <c r="K117" s="2"/>
      <c r="L117" s="2"/>
      <c r="M117" s="2"/>
      <c r="N117" s="2"/>
    </row>
    <row r="118" spans="2:14" outlineLevel="1" x14ac:dyDescent="0.35">
      <c r="B118" s="62"/>
      <c r="C118" s="63" t="s">
        <v>105</v>
      </c>
      <c r="E118" s="101"/>
      <c r="F118" s="2"/>
      <c r="G118" s="2"/>
      <c r="H118" s="2"/>
      <c r="I118" s="2"/>
      <c r="J118" s="2"/>
      <c r="K118" s="2"/>
      <c r="L118" s="2"/>
      <c r="M118" s="2"/>
      <c r="N118" s="2"/>
    </row>
    <row r="119" spans="2:14" outlineLevel="1" x14ac:dyDescent="0.35">
      <c r="B119" s="62"/>
      <c r="C119" s="63" t="s">
        <v>106</v>
      </c>
      <c r="E119" s="101"/>
      <c r="F119" s="2">
        <f>'Financial Model'!F171</f>
        <v>0</v>
      </c>
      <c r="G119" s="2">
        <f>'Financial Model'!G171</f>
        <v>0</v>
      </c>
      <c r="H119" s="2">
        <f>'Financial Model'!H171</f>
        <v>250000</v>
      </c>
      <c r="I119" s="2"/>
      <c r="J119" s="2"/>
      <c r="K119" s="2">
        <f>'Financial Model'!K171</f>
        <v>0</v>
      </c>
      <c r="L119" s="2">
        <f>'Financial Model'!L171</f>
        <v>0</v>
      </c>
      <c r="M119" s="2">
        <f>'Financial Model'!M171</f>
        <v>0</v>
      </c>
      <c r="N119" s="2">
        <f>'Financial Model'!N171</f>
        <v>0</v>
      </c>
    </row>
    <row r="120" spans="2:14" ht="18.5" outlineLevel="1" x14ac:dyDescent="0.45">
      <c r="B120" s="62"/>
      <c r="C120" s="63" t="s">
        <v>107</v>
      </c>
      <c r="D120" s="5"/>
      <c r="E120" s="101"/>
      <c r="F120" s="2">
        <f>-'Financial Model'!F172-'Financial Model'!F173</f>
        <v>-5000</v>
      </c>
      <c r="G120" s="2">
        <f>-'Financial Model'!G172-'Financial Model'!G173</f>
        <v>-5000</v>
      </c>
      <c r="H120" s="2">
        <f>-'Financial Model'!H172-'Financial Model'!H173</f>
        <v>-5000</v>
      </c>
      <c r="I120" s="2">
        <f>-'Financial Model'!I172-'Financial Model'!I173</f>
        <v>-5000</v>
      </c>
      <c r="J120" s="2">
        <f>-'Financial Model'!J172-'Financial Model'!J173</f>
        <v>-5000</v>
      </c>
      <c r="K120" s="2">
        <f>-'Financial Model'!K172-'Financial Model'!K173</f>
        <v>-5000</v>
      </c>
      <c r="L120" s="2">
        <f>-'Financial Model'!L172-'Financial Model'!L173</f>
        <v>-5000</v>
      </c>
      <c r="M120" s="2">
        <f>-'Financial Model'!M172-'Financial Model'!M173</f>
        <v>-5000</v>
      </c>
      <c r="N120" s="2">
        <f>-'Financial Model'!N172-'Financial Model'!N173</f>
        <v>-5000</v>
      </c>
    </row>
    <row r="121" spans="2:14" outlineLevel="1" x14ac:dyDescent="0.35">
      <c r="B121" s="62"/>
      <c r="C121" s="63" t="s">
        <v>108</v>
      </c>
      <c r="E121" s="101"/>
      <c r="F121" s="2"/>
      <c r="G121" s="2"/>
      <c r="H121" s="2"/>
      <c r="I121" s="2"/>
      <c r="J121" s="2"/>
      <c r="K121" s="2"/>
      <c r="L121" s="2"/>
      <c r="M121" s="2"/>
      <c r="N121" s="2"/>
    </row>
    <row r="122" spans="2:14" outlineLevel="1" x14ac:dyDescent="0.35">
      <c r="B122" s="62"/>
      <c r="C122" s="67" t="s">
        <v>109</v>
      </c>
      <c r="D122" s="60"/>
      <c r="E122" s="104"/>
      <c r="F122" s="10">
        <f>-'Financial Model'!F86</f>
        <v>-3750</v>
      </c>
      <c r="G122" s="10">
        <f>-'Financial Model'!G86</f>
        <v>-3250</v>
      </c>
      <c r="H122" s="10">
        <f>-'Financial Model'!H86</f>
        <v>-15250</v>
      </c>
      <c r="I122" s="10">
        <f>-'Financial Model'!I86</f>
        <v>-27250</v>
      </c>
      <c r="J122" s="10">
        <f>-'Financial Model'!J86</f>
        <v>-26750</v>
      </c>
      <c r="K122" s="10">
        <f>-'Financial Model'!K86</f>
        <v>-26250</v>
      </c>
      <c r="L122" s="10">
        <f>-'Financial Model'!L86</f>
        <v>-25750</v>
      </c>
      <c r="M122" s="10">
        <f>-'Financial Model'!M86</f>
        <v>-25250</v>
      </c>
      <c r="N122" s="10">
        <f>-'Financial Model'!N86</f>
        <v>-24750</v>
      </c>
    </row>
    <row r="123" spans="2:14" outlineLevel="1" x14ac:dyDescent="0.35">
      <c r="B123" s="61"/>
      <c r="C123" s="61" t="s">
        <v>104</v>
      </c>
      <c r="D123" s="1"/>
      <c r="E123" s="103"/>
      <c r="F123" s="70">
        <f t="shared" ref="F123:N123" si="39">SUM(F118:F122)</f>
        <v>-8750</v>
      </c>
      <c r="G123" s="70">
        <f t="shared" si="39"/>
        <v>-8250</v>
      </c>
      <c r="H123" s="70">
        <f t="shared" si="39"/>
        <v>229750</v>
      </c>
      <c r="I123" s="70">
        <f t="shared" ref="I123:K123" si="40">SUM(I118:I122)</f>
        <v>-32250</v>
      </c>
      <c r="J123" s="70">
        <f t="shared" si="40"/>
        <v>-31750</v>
      </c>
      <c r="K123" s="70">
        <f t="shared" si="40"/>
        <v>-31250</v>
      </c>
      <c r="L123" s="70">
        <f t="shared" si="39"/>
        <v>-30750</v>
      </c>
      <c r="M123" s="70">
        <f t="shared" si="39"/>
        <v>-30250</v>
      </c>
      <c r="N123" s="70">
        <f t="shared" si="39"/>
        <v>-29750</v>
      </c>
    </row>
    <row r="124" spans="2:14" outlineLevel="1" x14ac:dyDescent="0.35">
      <c r="E124" s="101"/>
      <c r="F124" s="2"/>
      <c r="G124" s="2"/>
      <c r="H124" s="2"/>
      <c r="I124" s="2"/>
      <c r="J124" s="2"/>
      <c r="K124" s="2"/>
      <c r="L124" s="2"/>
      <c r="M124" s="2"/>
      <c r="N124" s="2"/>
    </row>
    <row r="125" spans="2:14" outlineLevel="1" x14ac:dyDescent="0.35">
      <c r="B125" s="61"/>
      <c r="C125" s="68" t="s">
        <v>110</v>
      </c>
      <c r="E125" s="101"/>
      <c r="F125" s="70">
        <f t="shared" ref="F125:N125" si="41">F108+F115+F123</f>
        <v>9793</v>
      </c>
      <c r="G125" s="70">
        <f t="shared" si="41"/>
        <v>-7986.9660000000003</v>
      </c>
      <c r="H125" s="70">
        <f t="shared" si="41"/>
        <v>96598.626349278551</v>
      </c>
      <c r="I125" s="70">
        <f t="shared" si="41"/>
        <v>42442.793037293493</v>
      </c>
      <c r="J125" s="70">
        <f t="shared" si="41"/>
        <v>30128.803108492037</v>
      </c>
      <c r="K125" s="70">
        <f t="shared" si="41"/>
        <v>65428.330998463236</v>
      </c>
      <c r="L125" s="70">
        <f t="shared" si="41"/>
        <v>46709.535938929461</v>
      </c>
      <c r="M125" s="70">
        <f t="shared" si="41"/>
        <v>82799.142019891005</v>
      </c>
      <c r="N125" s="70">
        <f t="shared" si="41"/>
        <v>64906.763306939101</v>
      </c>
    </row>
    <row r="126" spans="2:14" ht="18.5" outlineLevel="1" x14ac:dyDescent="0.45">
      <c r="E126" s="101"/>
      <c r="F126" s="30"/>
      <c r="G126" s="2"/>
      <c r="H126" s="2"/>
      <c r="I126" s="2"/>
      <c r="J126" s="2"/>
      <c r="K126" s="2"/>
      <c r="L126" s="2"/>
      <c r="M126" s="2"/>
      <c r="N126" s="2"/>
    </row>
    <row r="127" spans="2:14" outlineLevel="1" x14ac:dyDescent="0.35">
      <c r="B127" s="61" t="s">
        <v>111</v>
      </c>
      <c r="C127" s="62"/>
      <c r="E127" s="101"/>
      <c r="F127" s="2"/>
      <c r="G127" s="2"/>
      <c r="H127" s="2"/>
      <c r="I127" s="2"/>
      <c r="J127" s="2"/>
      <c r="K127" s="2"/>
      <c r="L127" s="2"/>
      <c r="M127" s="2"/>
      <c r="N127" s="2"/>
    </row>
    <row r="128" spans="2:14" outlineLevel="1" x14ac:dyDescent="0.35">
      <c r="B128" s="62"/>
      <c r="C128" s="63" t="s">
        <v>71</v>
      </c>
      <c r="E128" s="101"/>
      <c r="F128" s="2">
        <f>'Financial Model'!E49-'Financial Model'!E53</f>
        <v>7459</v>
      </c>
      <c r="G128" s="2">
        <f t="shared" ref="G128:H128" si="42">F130</f>
        <v>17252</v>
      </c>
      <c r="H128" s="2">
        <f t="shared" si="42"/>
        <v>9265.0339999999997</v>
      </c>
      <c r="I128" s="2">
        <f t="shared" ref="I128" si="43">H130</f>
        <v>105863.66034927855</v>
      </c>
      <c r="J128" s="2">
        <f t="shared" ref="J128" si="44">I130</f>
        <v>148306.45338657204</v>
      </c>
      <c r="K128" s="2">
        <f t="shared" ref="K128" si="45">J130</f>
        <v>178435.25649506407</v>
      </c>
      <c r="L128" s="2">
        <f t="shared" ref="L128" si="46">K130</f>
        <v>243863.5874935273</v>
      </c>
      <c r="M128" s="2">
        <f t="shared" ref="M128" si="47">L130</f>
        <v>290573.12343245675</v>
      </c>
      <c r="N128" s="2">
        <f t="shared" ref="N128" si="48">M130</f>
        <v>373372.26545234775</v>
      </c>
    </row>
    <row r="129" spans="1:14" outlineLevel="1" x14ac:dyDescent="0.35">
      <c r="B129" s="62"/>
      <c r="C129" s="67" t="s">
        <v>110</v>
      </c>
      <c r="D129" s="60"/>
      <c r="E129" s="104"/>
      <c r="F129" s="10">
        <f t="shared" ref="F129:H129" si="49">F125</f>
        <v>9793</v>
      </c>
      <c r="G129" s="10">
        <f t="shared" si="49"/>
        <v>-7986.9660000000003</v>
      </c>
      <c r="H129" s="10">
        <f t="shared" si="49"/>
        <v>96598.626349278551</v>
      </c>
      <c r="I129" s="10">
        <f t="shared" ref="I129:N129" si="50">I125</f>
        <v>42442.793037293493</v>
      </c>
      <c r="J129" s="10">
        <f t="shared" si="50"/>
        <v>30128.803108492037</v>
      </c>
      <c r="K129" s="10">
        <f t="shared" si="50"/>
        <v>65428.330998463236</v>
      </c>
      <c r="L129" s="10">
        <f t="shared" si="50"/>
        <v>46709.535938929461</v>
      </c>
      <c r="M129" s="10">
        <f t="shared" si="50"/>
        <v>82799.142019891005</v>
      </c>
      <c r="N129" s="10">
        <f t="shared" si="50"/>
        <v>64906.763306939101</v>
      </c>
    </row>
    <row r="130" spans="1:14" outlineLevel="1" x14ac:dyDescent="0.35">
      <c r="B130" s="61"/>
      <c r="C130" s="61" t="s">
        <v>74</v>
      </c>
      <c r="E130" s="101"/>
      <c r="F130" s="70">
        <f t="shared" ref="F130:N130" si="51">SUM(F128:F129)</f>
        <v>17252</v>
      </c>
      <c r="G130" s="70">
        <f t="shared" si="51"/>
        <v>9265.0339999999997</v>
      </c>
      <c r="H130" s="70">
        <f t="shared" si="51"/>
        <v>105863.66034927855</v>
      </c>
      <c r="I130" s="70">
        <f t="shared" si="51"/>
        <v>148306.45338657204</v>
      </c>
      <c r="J130" s="70">
        <f t="shared" si="51"/>
        <v>178435.25649506407</v>
      </c>
      <c r="K130" s="70">
        <f t="shared" si="51"/>
        <v>243863.5874935273</v>
      </c>
      <c r="L130" s="70">
        <f t="shared" si="51"/>
        <v>290573.12343245675</v>
      </c>
      <c r="M130" s="70">
        <f t="shared" si="51"/>
        <v>373372.26545234775</v>
      </c>
      <c r="N130" s="70">
        <f t="shared" si="51"/>
        <v>438279.02875928686</v>
      </c>
    </row>
    <row r="131" spans="1:14" outlineLevel="1" x14ac:dyDescent="0.35"/>
    <row r="133" spans="1:14" x14ac:dyDescent="0.35">
      <c r="A133" s="118" t="s">
        <v>165</v>
      </c>
      <c r="B133" s="118"/>
      <c r="C133" s="118"/>
      <c r="D133" s="118"/>
      <c r="E133" s="118"/>
      <c r="F133" s="118"/>
      <c r="G133" s="118"/>
      <c r="H133" s="119"/>
      <c r="I133" s="119"/>
      <c r="J133" s="119"/>
      <c r="K133" s="118"/>
      <c r="L133" s="118"/>
      <c r="M133" s="118"/>
      <c r="N133" s="118"/>
    </row>
    <row r="134" spans="1:14" hidden="1" outlineLevel="1" x14ac:dyDescent="0.35"/>
    <row r="135" spans="1:14" hidden="1" outlineLevel="1" x14ac:dyDescent="0.35">
      <c r="B135" s="38"/>
      <c r="C135" s="39" t="s">
        <v>60</v>
      </c>
      <c r="D135" s="39" t="s">
        <v>61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</row>
    <row r="136" spans="1:14" hidden="1" outlineLevel="1" x14ac:dyDescent="0.35">
      <c r="B136" s="38"/>
      <c r="C136" s="39" t="s">
        <v>62</v>
      </c>
      <c r="D136" s="38" t="s">
        <v>63</v>
      </c>
      <c r="E136" s="40">
        <v>10</v>
      </c>
      <c r="F136" s="40">
        <v>10</v>
      </c>
      <c r="G136" s="40">
        <v>10</v>
      </c>
      <c r="H136" s="40">
        <v>10</v>
      </c>
      <c r="I136" s="40"/>
      <c r="J136" s="40"/>
      <c r="K136" s="40">
        <v>10</v>
      </c>
      <c r="L136" s="40">
        <v>10</v>
      </c>
      <c r="M136" s="40">
        <v>10</v>
      </c>
      <c r="N136" s="40">
        <v>10</v>
      </c>
    </row>
    <row r="137" spans="1:14" hidden="1" outlineLevel="1" x14ac:dyDescent="0.35">
      <c r="B137" s="38"/>
      <c r="C137" s="39" t="s">
        <v>64</v>
      </c>
      <c r="D137" s="41" t="s">
        <v>65</v>
      </c>
      <c r="E137" s="40">
        <v>0</v>
      </c>
      <c r="F137" s="40">
        <v>0</v>
      </c>
      <c r="G137" s="40">
        <v>0</v>
      </c>
      <c r="H137" s="40">
        <v>0</v>
      </c>
      <c r="I137" s="40"/>
      <c r="J137" s="40"/>
      <c r="K137" s="40">
        <v>0</v>
      </c>
      <c r="L137" s="40">
        <v>0</v>
      </c>
      <c r="M137" s="40">
        <v>0</v>
      </c>
      <c r="N137" s="40">
        <v>0</v>
      </c>
    </row>
    <row r="138" spans="1:14" hidden="1" outlineLevel="1" x14ac:dyDescent="0.35"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</row>
    <row r="139" spans="1:14" hidden="1" outlineLevel="1" x14ac:dyDescent="0.35">
      <c r="B139" s="38"/>
      <c r="C139" s="39" t="s">
        <v>66</v>
      </c>
      <c r="D139" s="41" t="s">
        <v>65</v>
      </c>
      <c r="E139" s="238">
        <v>100000</v>
      </c>
      <c r="F139" s="56">
        <f>'Financial Model'!F23</f>
        <v>0</v>
      </c>
      <c r="G139" s="56">
        <f>'Financial Model'!G23</f>
        <v>0</v>
      </c>
      <c r="H139" s="238">
        <v>200000</v>
      </c>
      <c r="I139" s="56">
        <f>'Financial Model'!I23</f>
        <v>0</v>
      </c>
      <c r="J139" s="56">
        <f>'Financial Model'!J23</f>
        <v>0</v>
      </c>
      <c r="K139" s="56">
        <f>'Financial Model'!K23</f>
        <v>0</v>
      </c>
      <c r="L139" s="56">
        <f>'Financial Model'!L23</f>
        <v>0</v>
      </c>
      <c r="M139" s="56">
        <f>'Financial Model'!M23</f>
        <v>0</v>
      </c>
      <c r="N139" s="56">
        <f>'Financial Model'!N23</f>
        <v>0</v>
      </c>
    </row>
    <row r="140" spans="1:14" hidden="1" outlineLevel="1" x14ac:dyDescent="0.35"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</row>
    <row r="141" spans="1:14" hidden="1" outlineLevel="1" x14ac:dyDescent="0.35">
      <c r="B141" s="39" t="s">
        <v>67</v>
      </c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</row>
    <row r="142" spans="1:14" hidden="1" outlineLevel="1" x14ac:dyDescent="0.35"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</row>
    <row r="143" spans="1:14" hidden="1" outlineLevel="1" x14ac:dyDescent="0.35">
      <c r="B143" s="38"/>
      <c r="C143" t="s">
        <v>24</v>
      </c>
      <c r="D143" s="38"/>
      <c r="E143" s="40">
        <f t="shared" ref="E143:N143" si="52">$E$139/$E$136</f>
        <v>10000</v>
      </c>
      <c r="F143" s="40">
        <f t="shared" si="52"/>
        <v>10000</v>
      </c>
      <c r="G143" s="40">
        <f t="shared" si="52"/>
        <v>10000</v>
      </c>
      <c r="H143" s="40">
        <f t="shared" si="52"/>
        <v>10000</v>
      </c>
      <c r="I143" s="40">
        <f t="shared" si="52"/>
        <v>10000</v>
      </c>
      <c r="J143" s="40">
        <f t="shared" si="52"/>
        <v>10000</v>
      </c>
      <c r="K143" s="40">
        <f t="shared" si="52"/>
        <v>10000</v>
      </c>
      <c r="L143" s="40">
        <f t="shared" si="52"/>
        <v>10000</v>
      </c>
      <c r="M143" s="40">
        <f t="shared" si="52"/>
        <v>10000</v>
      </c>
      <c r="N143" s="40">
        <f t="shared" si="52"/>
        <v>10000</v>
      </c>
    </row>
    <row r="144" spans="1:14" hidden="1" outlineLevel="1" x14ac:dyDescent="0.35">
      <c r="B144" s="38"/>
      <c r="C144" t="s">
        <v>23</v>
      </c>
      <c r="D144" s="38"/>
      <c r="E144" s="40"/>
      <c r="F144" s="40"/>
      <c r="G144" s="40"/>
      <c r="H144" s="40"/>
      <c r="I144" s="40"/>
      <c r="J144" s="40"/>
      <c r="K144" s="40"/>
      <c r="L144" s="40"/>
      <c r="M144" s="40"/>
      <c r="N144" s="40"/>
    </row>
    <row r="145" spans="2:14" hidden="1" outlineLevel="1" x14ac:dyDescent="0.35">
      <c r="B145" s="38"/>
      <c r="C145" t="s">
        <v>22</v>
      </c>
      <c r="D145" s="38"/>
      <c r="E145" s="40"/>
      <c r="F145" s="40"/>
      <c r="G145" s="40"/>
      <c r="H145" s="40"/>
      <c r="I145" s="40"/>
      <c r="J145" s="40"/>
      <c r="K145" s="40"/>
      <c r="L145" s="40"/>
      <c r="M145" s="40"/>
      <c r="N145" s="40"/>
    </row>
    <row r="146" spans="2:14" hidden="1" outlineLevel="1" x14ac:dyDescent="0.35">
      <c r="B146" s="38"/>
      <c r="C146" t="s">
        <v>38</v>
      </c>
      <c r="D146" s="38"/>
      <c r="E146" s="40"/>
      <c r="F146" s="9"/>
      <c r="G146" s="40"/>
      <c r="H146" s="56">
        <f>$H$139/$H$136</f>
        <v>20000</v>
      </c>
      <c r="I146" s="56">
        <f t="shared" ref="I146:N146" si="53">$H$139/$H$136</f>
        <v>20000</v>
      </c>
      <c r="J146" s="56">
        <f t="shared" si="53"/>
        <v>20000</v>
      </c>
      <c r="K146" s="56">
        <f t="shared" si="53"/>
        <v>20000</v>
      </c>
      <c r="L146" s="56">
        <f t="shared" si="53"/>
        <v>20000</v>
      </c>
      <c r="M146" s="56">
        <f t="shared" si="53"/>
        <v>20000</v>
      </c>
      <c r="N146" s="56">
        <f t="shared" si="53"/>
        <v>20000</v>
      </c>
    </row>
    <row r="147" spans="2:14" hidden="1" outlineLevel="1" x14ac:dyDescent="0.35">
      <c r="B147" s="38"/>
      <c r="C147" t="s">
        <v>39</v>
      </c>
      <c r="D147" s="38"/>
      <c r="E147" s="40"/>
      <c r="F147" s="40"/>
      <c r="G147" s="40"/>
      <c r="H147" s="56"/>
      <c r="I147" s="56"/>
      <c r="J147" s="56"/>
      <c r="K147" s="56"/>
      <c r="L147" s="56"/>
      <c r="M147" s="56"/>
      <c r="N147" s="56"/>
    </row>
    <row r="148" spans="2:14" hidden="1" outlineLevel="1" x14ac:dyDescent="0.35">
      <c r="B148" s="38"/>
      <c r="C148" t="s">
        <v>40</v>
      </c>
      <c r="D148" s="38"/>
      <c r="E148" s="40"/>
      <c r="F148" s="40"/>
      <c r="G148" s="40"/>
      <c r="H148" s="56"/>
      <c r="I148" s="56"/>
      <c r="J148" s="56"/>
      <c r="K148" s="56"/>
      <c r="L148" s="56"/>
      <c r="M148" s="56"/>
      <c r="N148" s="56"/>
    </row>
    <row r="149" spans="2:14" hidden="1" outlineLevel="1" x14ac:dyDescent="0.35">
      <c r="B149" s="38"/>
      <c r="C149" t="s">
        <v>41</v>
      </c>
      <c r="D149" s="38"/>
      <c r="E149" s="40"/>
      <c r="F149" s="40"/>
      <c r="G149" s="40"/>
      <c r="H149" s="56"/>
      <c r="I149" s="56"/>
      <c r="J149" s="56"/>
      <c r="K149" s="56"/>
      <c r="L149" s="56"/>
      <c r="M149" s="56"/>
      <c r="N149" s="56"/>
    </row>
    <row r="150" spans="2:14" hidden="1" outlineLevel="1" x14ac:dyDescent="0.35">
      <c r="B150" s="38"/>
      <c r="C150" t="s">
        <v>68</v>
      </c>
      <c r="D150" s="38"/>
      <c r="E150" s="40"/>
      <c r="F150" s="40"/>
      <c r="G150" s="40"/>
      <c r="H150" s="59"/>
      <c r="I150" s="59"/>
      <c r="J150" s="59"/>
      <c r="K150" s="59"/>
      <c r="L150" s="59"/>
      <c r="M150" s="59"/>
      <c r="N150" s="59"/>
    </row>
    <row r="151" spans="2:14" hidden="1" outlineLevel="1" x14ac:dyDescent="0.35">
      <c r="B151" s="39"/>
      <c r="C151" s="42" t="s">
        <v>69</v>
      </c>
      <c r="D151" s="42"/>
      <c r="E151" s="43">
        <f t="shared" ref="E151:H151" si="54">SUM(E143:E150)</f>
        <v>10000</v>
      </c>
      <c r="F151" s="43">
        <f t="shared" si="54"/>
        <v>10000</v>
      </c>
      <c r="G151" s="43">
        <f t="shared" si="54"/>
        <v>10000</v>
      </c>
      <c r="H151" s="57">
        <f t="shared" si="54"/>
        <v>30000</v>
      </c>
      <c r="I151" s="57">
        <f t="shared" ref="I151:N151" si="55">SUM(I143:I150)</f>
        <v>30000</v>
      </c>
      <c r="J151" s="57">
        <f t="shared" si="55"/>
        <v>30000</v>
      </c>
      <c r="K151" s="57">
        <f t="shared" si="55"/>
        <v>30000</v>
      </c>
      <c r="L151" s="57">
        <f t="shared" si="55"/>
        <v>30000</v>
      </c>
      <c r="M151" s="57">
        <f t="shared" si="55"/>
        <v>30000</v>
      </c>
      <c r="N151" s="57">
        <f t="shared" si="55"/>
        <v>30000</v>
      </c>
    </row>
    <row r="152" spans="2:14" hidden="1" outlineLevel="1" x14ac:dyDescent="0.35">
      <c r="B152" s="38"/>
      <c r="C152" s="38"/>
      <c r="D152" s="38"/>
      <c r="E152" s="38"/>
      <c r="F152" s="38"/>
      <c r="G152" s="38"/>
    </row>
    <row r="153" spans="2:14" hidden="1" outlineLevel="1" x14ac:dyDescent="0.35">
      <c r="B153" s="39" t="s">
        <v>70</v>
      </c>
      <c r="C153" s="38"/>
      <c r="D153" s="38"/>
      <c r="E153" s="38"/>
      <c r="F153" s="38"/>
      <c r="G153" s="38"/>
    </row>
    <row r="154" spans="2:14" hidden="1" outlineLevel="1" x14ac:dyDescent="0.35">
      <c r="B154" s="38"/>
      <c r="C154" s="38" t="s">
        <v>71</v>
      </c>
      <c r="D154" s="38"/>
      <c r="E154" s="44">
        <v>0</v>
      </c>
      <c r="F154" s="40">
        <f t="shared" ref="F154:H154" si="56">E157</f>
        <v>100000</v>
      </c>
      <c r="G154" s="40">
        <f t="shared" si="56"/>
        <v>100000</v>
      </c>
      <c r="H154" s="56">
        <f t="shared" si="56"/>
        <v>100000</v>
      </c>
      <c r="I154" s="56">
        <f t="shared" ref="I154" si="57">H157</f>
        <v>300000</v>
      </c>
      <c r="J154" s="56">
        <f t="shared" ref="J154" si="58">I157</f>
        <v>300000</v>
      </c>
      <c r="K154" s="56">
        <f t="shared" ref="K154" si="59">J157</f>
        <v>300000</v>
      </c>
      <c r="L154" s="56">
        <f t="shared" ref="L154" si="60">K157</f>
        <v>300000</v>
      </c>
      <c r="M154" s="56">
        <f t="shared" ref="M154" si="61">L157</f>
        <v>300000</v>
      </c>
      <c r="N154" s="56">
        <f t="shared" ref="N154" si="62">M157</f>
        <v>300000</v>
      </c>
    </row>
    <row r="155" spans="2:14" hidden="1" outlineLevel="1" x14ac:dyDescent="0.35">
      <c r="B155" s="38"/>
      <c r="C155" s="38" t="s">
        <v>72</v>
      </c>
      <c r="D155" s="38"/>
      <c r="E155" s="40">
        <f t="shared" ref="E155:H155" si="63">E139</f>
        <v>100000</v>
      </c>
      <c r="F155" s="40">
        <f t="shared" si="63"/>
        <v>0</v>
      </c>
      <c r="G155" s="40">
        <f t="shared" si="63"/>
        <v>0</v>
      </c>
      <c r="H155" s="56">
        <f t="shared" si="63"/>
        <v>200000</v>
      </c>
      <c r="I155" s="56">
        <f t="shared" ref="I155:N155" si="64">I139</f>
        <v>0</v>
      </c>
      <c r="J155" s="56">
        <f t="shared" si="64"/>
        <v>0</v>
      </c>
      <c r="K155" s="56">
        <f t="shared" si="64"/>
        <v>0</v>
      </c>
      <c r="L155" s="56">
        <f t="shared" si="64"/>
        <v>0</v>
      </c>
      <c r="M155" s="56">
        <f t="shared" si="64"/>
        <v>0</v>
      </c>
      <c r="N155" s="56">
        <f t="shared" si="64"/>
        <v>0</v>
      </c>
    </row>
    <row r="156" spans="2:14" hidden="1" outlineLevel="1" x14ac:dyDescent="0.35">
      <c r="B156" s="38"/>
      <c r="C156" s="45" t="s">
        <v>73</v>
      </c>
      <c r="D156" s="45"/>
      <c r="E156" s="46">
        <v>0</v>
      </c>
      <c r="F156" s="46">
        <v>0</v>
      </c>
      <c r="G156" s="46">
        <v>0</v>
      </c>
      <c r="H156" s="59">
        <v>0</v>
      </c>
      <c r="I156" s="59">
        <v>0</v>
      </c>
      <c r="J156" s="59">
        <v>0</v>
      </c>
      <c r="K156" s="59">
        <v>0</v>
      </c>
      <c r="L156" s="59">
        <v>0</v>
      </c>
      <c r="M156" s="59">
        <v>0</v>
      </c>
      <c r="N156" s="59">
        <v>0</v>
      </c>
    </row>
    <row r="157" spans="2:14" hidden="1" outlineLevel="1" x14ac:dyDescent="0.35">
      <c r="B157" s="38"/>
      <c r="C157" s="39" t="s">
        <v>74</v>
      </c>
      <c r="D157" s="39"/>
      <c r="E157" s="47">
        <f t="shared" ref="E157:H157" si="65">E154+E155-E156</f>
        <v>100000</v>
      </c>
      <c r="F157" s="47">
        <f t="shared" si="65"/>
        <v>100000</v>
      </c>
      <c r="G157" s="47">
        <f t="shared" si="65"/>
        <v>100000</v>
      </c>
      <c r="H157" s="58">
        <f t="shared" si="65"/>
        <v>300000</v>
      </c>
      <c r="I157" s="58">
        <f t="shared" ref="I157:N157" si="66">I154+I155-I156</f>
        <v>300000</v>
      </c>
      <c r="J157" s="58">
        <f t="shared" si="66"/>
        <v>300000</v>
      </c>
      <c r="K157" s="58">
        <f t="shared" si="66"/>
        <v>300000</v>
      </c>
      <c r="L157" s="58">
        <f t="shared" si="66"/>
        <v>300000</v>
      </c>
      <c r="M157" s="58">
        <f t="shared" si="66"/>
        <v>300000</v>
      </c>
      <c r="N157" s="58">
        <f t="shared" si="66"/>
        <v>300000</v>
      </c>
    </row>
    <row r="158" spans="2:14" hidden="1" outlineLevel="1" x14ac:dyDescent="0.35">
      <c r="B158" s="38"/>
      <c r="C158" s="38"/>
      <c r="D158" s="38"/>
      <c r="E158" s="38"/>
      <c r="F158" s="38"/>
      <c r="G158" s="38"/>
    </row>
    <row r="159" spans="2:14" hidden="1" outlineLevel="1" x14ac:dyDescent="0.35">
      <c r="B159" s="39" t="s">
        <v>75</v>
      </c>
      <c r="C159" s="38"/>
      <c r="D159" s="38"/>
      <c r="E159" s="38"/>
      <c r="F159" s="38"/>
      <c r="G159" s="38"/>
    </row>
    <row r="160" spans="2:14" hidden="1" outlineLevel="1" x14ac:dyDescent="0.35">
      <c r="B160" s="38"/>
      <c r="C160" s="38" t="s">
        <v>71</v>
      </c>
      <c r="D160" s="38"/>
      <c r="E160" s="44">
        <v>0</v>
      </c>
      <c r="F160" s="40">
        <f t="shared" ref="F160:H160" si="67">E162</f>
        <v>10000</v>
      </c>
      <c r="G160" s="40">
        <f t="shared" si="67"/>
        <v>20000</v>
      </c>
      <c r="H160" s="56">
        <f t="shared" si="67"/>
        <v>30000</v>
      </c>
      <c r="I160" s="56">
        <f t="shared" ref="I160" si="68">H162</f>
        <v>60000</v>
      </c>
      <c r="J160" s="56">
        <f t="shared" ref="J160" si="69">I162</f>
        <v>90000</v>
      </c>
      <c r="K160" s="56">
        <f t="shared" ref="K160" si="70">J162</f>
        <v>120000</v>
      </c>
      <c r="L160" s="56">
        <f t="shared" ref="L160" si="71">K162</f>
        <v>150000</v>
      </c>
      <c r="M160" s="56">
        <f t="shared" ref="M160" si="72">L162</f>
        <v>180000</v>
      </c>
      <c r="N160" s="56">
        <f t="shared" ref="N160" si="73">M162</f>
        <v>210000</v>
      </c>
    </row>
    <row r="161" spans="1:14" hidden="1" outlineLevel="1" x14ac:dyDescent="0.35">
      <c r="B161" s="38"/>
      <c r="C161" s="45" t="s">
        <v>76</v>
      </c>
      <c r="D161" s="45"/>
      <c r="E161" s="46">
        <f t="shared" ref="E161:H161" si="74">E151</f>
        <v>10000</v>
      </c>
      <c r="F161" s="46">
        <f t="shared" si="74"/>
        <v>10000</v>
      </c>
      <c r="G161" s="46">
        <f t="shared" si="74"/>
        <v>10000</v>
      </c>
      <c r="H161" s="59">
        <f t="shared" si="74"/>
        <v>30000</v>
      </c>
      <c r="I161" s="59">
        <f t="shared" ref="I161:N161" si="75">I151</f>
        <v>30000</v>
      </c>
      <c r="J161" s="59">
        <f t="shared" si="75"/>
        <v>30000</v>
      </c>
      <c r="K161" s="59">
        <f t="shared" si="75"/>
        <v>30000</v>
      </c>
      <c r="L161" s="59">
        <f t="shared" si="75"/>
        <v>30000</v>
      </c>
      <c r="M161" s="59">
        <f t="shared" si="75"/>
        <v>30000</v>
      </c>
      <c r="N161" s="59">
        <f t="shared" si="75"/>
        <v>30000</v>
      </c>
    </row>
    <row r="162" spans="1:14" hidden="1" outlineLevel="1" x14ac:dyDescent="0.35">
      <c r="B162" s="38"/>
      <c r="C162" s="39" t="s">
        <v>74</v>
      </c>
      <c r="D162" s="39"/>
      <c r="E162" s="47">
        <f t="shared" ref="E162:H162" si="76">SUM(E160:E161)</f>
        <v>10000</v>
      </c>
      <c r="F162" s="47">
        <f t="shared" si="76"/>
        <v>20000</v>
      </c>
      <c r="G162" s="47">
        <f t="shared" si="76"/>
        <v>30000</v>
      </c>
      <c r="H162" s="58">
        <f t="shared" si="76"/>
        <v>60000</v>
      </c>
      <c r="I162" s="58">
        <f t="shared" ref="I162:N162" si="77">SUM(I160:I161)</f>
        <v>90000</v>
      </c>
      <c r="J162" s="58">
        <f t="shared" si="77"/>
        <v>120000</v>
      </c>
      <c r="K162" s="58">
        <f t="shared" si="77"/>
        <v>150000</v>
      </c>
      <c r="L162" s="58">
        <f t="shared" si="77"/>
        <v>180000</v>
      </c>
      <c r="M162" s="58">
        <f t="shared" si="77"/>
        <v>210000</v>
      </c>
      <c r="N162" s="58">
        <f t="shared" si="77"/>
        <v>240000</v>
      </c>
    </row>
    <row r="163" spans="1:14" hidden="1" outlineLevel="1" x14ac:dyDescent="0.35">
      <c r="B163" s="38"/>
      <c r="C163" s="38"/>
      <c r="D163" s="38"/>
      <c r="E163" s="38"/>
      <c r="F163" s="38"/>
      <c r="G163" s="38"/>
    </row>
    <row r="164" spans="1:14" hidden="1" outlineLevel="1" x14ac:dyDescent="0.35">
      <c r="B164" s="48" t="s">
        <v>77</v>
      </c>
      <c r="C164" s="38"/>
      <c r="D164" s="38"/>
      <c r="E164" s="49">
        <f t="shared" ref="E164:H164" si="78">E157-E162</f>
        <v>90000</v>
      </c>
      <c r="F164" s="49">
        <f t="shared" si="78"/>
        <v>80000</v>
      </c>
      <c r="G164" s="49">
        <f t="shared" si="78"/>
        <v>70000</v>
      </c>
      <c r="H164" s="9">
        <f t="shared" si="78"/>
        <v>240000</v>
      </c>
      <c r="I164" s="9">
        <f t="shared" ref="I164:N164" si="79">I157-I162</f>
        <v>210000</v>
      </c>
      <c r="J164" s="9">
        <f t="shared" si="79"/>
        <v>180000</v>
      </c>
      <c r="K164" s="9">
        <f t="shared" si="79"/>
        <v>150000</v>
      </c>
      <c r="L164" s="9">
        <f t="shared" si="79"/>
        <v>120000</v>
      </c>
      <c r="M164" s="9">
        <f t="shared" si="79"/>
        <v>90000</v>
      </c>
      <c r="N164" s="9">
        <f t="shared" si="79"/>
        <v>60000</v>
      </c>
    </row>
    <row r="165" spans="1:14" hidden="1" outlineLevel="1" x14ac:dyDescent="0.35"/>
    <row r="166" spans="1:14" collapsed="1" x14ac:dyDescent="0.35"/>
    <row r="167" spans="1:14" x14ac:dyDescent="0.35">
      <c r="A167" s="118" t="s">
        <v>166</v>
      </c>
      <c r="B167" s="118"/>
      <c r="C167" s="118"/>
      <c r="D167" s="118"/>
      <c r="E167" s="118"/>
      <c r="F167" s="118"/>
      <c r="G167" s="118"/>
      <c r="H167" s="119"/>
      <c r="I167" s="119"/>
      <c r="J167" s="119"/>
      <c r="K167" s="118"/>
      <c r="L167" s="118"/>
      <c r="M167" s="118"/>
      <c r="N167" s="118"/>
    </row>
    <row r="168" spans="1:14" outlineLevel="1" x14ac:dyDescent="0.35"/>
    <row r="169" spans="1:14" outlineLevel="1" x14ac:dyDescent="0.35">
      <c r="B169" t="s">
        <v>79</v>
      </c>
      <c r="H169" s="2"/>
      <c r="I169" s="2"/>
      <c r="J169" s="2"/>
      <c r="K169" s="2"/>
      <c r="L169" s="2"/>
      <c r="M169" s="2"/>
      <c r="N169" s="2"/>
    </row>
    <row r="170" spans="1:14" outlineLevel="1" x14ac:dyDescent="0.35">
      <c r="B170" t="s">
        <v>80</v>
      </c>
      <c r="E170" s="2">
        <v>0</v>
      </c>
      <c r="F170" s="2">
        <f t="shared" ref="F170:H170" si="80">E174</f>
        <v>40000</v>
      </c>
      <c r="G170" s="2">
        <f t="shared" si="80"/>
        <v>35000</v>
      </c>
      <c r="H170" s="2">
        <f t="shared" si="80"/>
        <v>30000</v>
      </c>
      <c r="I170" s="2">
        <f t="shared" ref="I170" si="81">H174</f>
        <v>275000</v>
      </c>
      <c r="J170" s="2">
        <f t="shared" ref="J170" si="82">I174</f>
        <v>270000</v>
      </c>
      <c r="K170" s="2">
        <f t="shared" ref="K170" si="83">J174</f>
        <v>265000</v>
      </c>
      <c r="L170" s="2">
        <f t="shared" ref="L170" si="84">K174</f>
        <v>260000</v>
      </c>
      <c r="M170" s="2">
        <f t="shared" ref="M170" si="85">L174</f>
        <v>255000</v>
      </c>
      <c r="N170" s="2">
        <f t="shared" ref="N170" si="86">M174</f>
        <v>250000</v>
      </c>
    </row>
    <row r="171" spans="1:14" outlineLevel="1" x14ac:dyDescent="0.35">
      <c r="B171" t="s">
        <v>81</v>
      </c>
      <c r="E171" s="2">
        <f>'Financial Model'!E25</f>
        <v>40000</v>
      </c>
      <c r="F171" s="2">
        <f>'Financial Model'!F25</f>
        <v>0</v>
      </c>
      <c r="G171" s="2">
        <f>'Financial Model'!G25</f>
        <v>0</v>
      </c>
      <c r="H171" s="2">
        <f>'Financial Model'!H25</f>
        <v>250000</v>
      </c>
      <c r="I171" s="2">
        <f>'Financial Model'!I25</f>
        <v>0</v>
      </c>
      <c r="J171" s="2">
        <f>'Financial Model'!J25</f>
        <v>0</v>
      </c>
      <c r="K171" s="2">
        <f>'Financial Model'!K25</f>
        <v>0</v>
      </c>
      <c r="L171" s="2">
        <f>'Financial Model'!L25</f>
        <v>0</v>
      </c>
      <c r="M171" s="2">
        <f>'Financial Model'!M25</f>
        <v>0</v>
      </c>
      <c r="N171" s="2">
        <f>'Financial Model'!N25</f>
        <v>0</v>
      </c>
    </row>
    <row r="172" spans="1:14" outlineLevel="1" x14ac:dyDescent="0.35">
      <c r="B172" t="s">
        <v>82</v>
      </c>
      <c r="D172" s="55">
        <f>'Financial Model'!E27</f>
        <v>8</v>
      </c>
      <c r="E172" s="2"/>
      <c r="F172" s="2">
        <f t="shared" ref="F172:N172" si="87">$E$171/$D$172</f>
        <v>5000</v>
      </c>
      <c r="G172" s="2">
        <f t="shared" si="87"/>
        <v>5000</v>
      </c>
      <c r="H172" s="2">
        <f t="shared" si="87"/>
        <v>5000</v>
      </c>
      <c r="I172" s="2">
        <f t="shared" si="87"/>
        <v>5000</v>
      </c>
      <c r="J172" s="2">
        <f t="shared" si="87"/>
        <v>5000</v>
      </c>
      <c r="K172" s="2">
        <f t="shared" si="87"/>
        <v>5000</v>
      </c>
      <c r="L172" s="2">
        <f t="shared" si="87"/>
        <v>5000</v>
      </c>
      <c r="M172" s="2">
        <f t="shared" si="87"/>
        <v>5000</v>
      </c>
      <c r="N172" s="2">
        <f t="shared" si="87"/>
        <v>5000</v>
      </c>
    </row>
    <row r="173" spans="1:14" outlineLevel="1" x14ac:dyDescent="0.35">
      <c r="B173" t="s">
        <v>83</v>
      </c>
      <c r="D173" s="55">
        <f>'Financial Model'!H27</f>
        <v>10</v>
      </c>
      <c r="E173" s="10"/>
      <c r="F173" s="10"/>
      <c r="G173" s="10"/>
      <c r="H173" s="2"/>
      <c r="I173" s="2"/>
      <c r="J173" s="2"/>
      <c r="K173" s="2"/>
      <c r="L173" s="2"/>
      <c r="M173" s="2"/>
      <c r="N173" s="2"/>
    </row>
    <row r="174" spans="1:14" ht="15" outlineLevel="1" thickBot="1" x14ac:dyDescent="0.4">
      <c r="B174" t="s">
        <v>84</v>
      </c>
      <c r="D174">
        <v>0</v>
      </c>
      <c r="E174" s="36">
        <f>E170+E171-E173-E172</f>
        <v>40000</v>
      </c>
      <c r="F174" s="36">
        <f>F170+F171-F173-F172</f>
        <v>35000</v>
      </c>
      <c r="G174" s="36">
        <f>G170+G171-G173-G172</f>
        <v>30000</v>
      </c>
      <c r="H174" s="36">
        <f>H170+H171-H172-H173</f>
        <v>275000</v>
      </c>
      <c r="I174" s="36">
        <f t="shared" ref="I174:N174" si="88">I170+I171-I172-I173</f>
        <v>270000</v>
      </c>
      <c r="J174" s="36">
        <f t="shared" si="88"/>
        <v>265000</v>
      </c>
      <c r="K174" s="36">
        <f t="shared" si="88"/>
        <v>260000</v>
      </c>
      <c r="L174" s="36">
        <f t="shared" si="88"/>
        <v>255000</v>
      </c>
      <c r="M174" s="36">
        <f t="shared" si="88"/>
        <v>250000</v>
      </c>
      <c r="N174" s="36">
        <f t="shared" si="88"/>
        <v>245000</v>
      </c>
    </row>
    <row r="175" spans="1:14" ht="18.5" outlineLevel="1" x14ac:dyDescent="0.45">
      <c r="E175" s="30"/>
      <c r="F175" s="2"/>
      <c r="G175" s="2"/>
      <c r="H175" s="2"/>
      <c r="I175" s="2"/>
      <c r="J175" s="2"/>
      <c r="K175" s="2"/>
      <c r="L175" s="2"/>
      <c r="M175" s="2"/>
      <c r="N175" s="2"/>
    </row>
    <row r="176" spans="1:14" outlineLevel="1" x14ac:dyDescent="0.35">
      <c r="B176" t="s">
        <v>86</v>
      </c>
      <c r="E176" s="53">
        <f>'Financial Model'!E26</f>
        <v>0.1</v>
      </c>
      <c r="F176" s="53">
        <f>'Financial Model'!F26</f>
        <v>0.1</v>
      </c>
      <c r="G176" s="53">
        <f>'Financial Model'!G26</f>
        <v>0.1</v>
      </c>
      <c r="H176" s="53">
        <f>'Financial Model'!H26</f>
        <v>0.1</v>
      </c>
      <c r="I176" s="53">
        <f>'Financial Model'!I26</f>
        <v>0.1</v>
      </c>
      <c r="J176" s="53">
        <f>'Financial Model'!J26</f>
        <v>0.1</v>
      </c>
      <c r="K176" s="53">
        <f>'Financial Model'!K26</f>
        <v>0.1</v>
      </c>
      <c r="L176" s="53">
        <f>'Financial Model'!L26</f>
        <v>0.1</v>
      </c>
      <c r="M176" s="53">
        <f>'Financial Model'!M26</f>
        <v>0.1</v>
      </c>
      <c r="N176" s="53">
        <f>'Financial Model'!N26</f>
        <v>0.1</v>
      </c>
    </row>
    <row r="177" spans="1:14" outlineLevel="1" x14ac:dyDescent="0.35">
      <c r="B177" t="s">
        <v>49</v>
      </c>
      <c r="D177" s="31"/>
      <c r="E177" s="2">
        <f>AVERAGE(D174:E174)*$E176</f>
        <v>2000</v>
      </c>
      <c r="F177" s="2">
        <f>AVERAGE(E174:F174)*$E176</f>
        <v>3750</v>
      </c>
      <c r="G177" s="2">
        <f>AVERAGE(F174:G174)*$E176</f>
        <v>3250</v>
      </c>
      <c r="H177" s="2">
        <f>AVERAGE(G174:H174)*H176</f>
        <v>15250</v>
      </c>
      <c r="I177" s="2">
        <f t="shared" ref="I177:N177" si="89">AVERAGE(H174:I174)*I176</f>
        <v>27250</v>
      </c>
      <c r="J177" s="2">
        <f t="shared" si="89"/>
        <v>26750</v>
      </c>
      <c r="K177" s="2">
        <f t="shared" si="89"/>
        <v>26250</v>
      </c>
      <c r="L177" s="2">
        <f t="shared" si="89"/>
        <v>25750</v>
      </c>
      <c r="M177" s="2">
        <f t="shared" si="89"/>
        <v>25250</v>
      </c>
      <c r="N177" s="2">
        <f t="shared" si="89"/>
        <v>24750</v>
      </c>
    </row>
    <row r="178" spans="1:14" outlineLevel="1" x14ac:dyDescent="0.35"/>
    <row r="180" spans="1:14" x14ac:dyDescent="0.35">
      <c r="A180" s="118" t="s">
        <v>167</v>
      </c>
      <c r="B180" s="118"/>
      <c r="C180" s="118"/>
      <c r="D180" s="118"/>
      <c r="E180" s="118"/>
      <c r="F180" s="118"/>
      <c r="G180" s="118"/>
      <c r="H180" s="119"/>
      <c r="I180" s="119"/>
      <c r="J180" s="119"/>
      <c r="K180" s="118"/>
      <c r="L180" s="118"/>
      <c r="M180" s="118"/>
      <c r="N180" s="118"/>
    </row>
    <row r="181" spans="1:14" hidden="1" outlineLevel="1" x14ac:dyDescent="0.35"/>
    <row r="182" spans="1:14" hidden="1" outlineLevel="1" x14ac:dyDescent="0.35">
      <c r="B182" t="s">
        <v>10</v>
      </c>
      <c r="H182" s="2"/>
      <c r="I182" s="2"/>
      <c r="J182" s="2"/>
      <c r="K182" s="2"/>
      <c r="L182" s="2"/>
      <c r="M182" s="2"/>
      <c r="N182" s="2"/>
    </row>
    <row r="183" spans="1:14" hidden="1" outlineLevel="1" x14ac:dyDescent="0.35">
      <c r="B183" t="s">
        <v>80</v>
      </c>
      <c r="E183" s="2">
        <f>'Financial Model'!E28</f>
        <v>70000</v>
      </c>
      <c r="F183" s="2">
        <f>'Financial Model'!F28</f>
        <v>70000</v>
      </c>
      <c r="G183" s="2">
        <f>'Financial Model'!G28</f>
        <v>70000</v>
      </c>
      <c r="H183" s="2">
        <f>G185</f>
        <v>70000</v>
      </c>
      <c r="I183" s="2">
        <f t="shared" ref="I183:N183" si="90">H185</f>
        <v>70000</v>
      </c>
      <c r="J183" s="2">
        <f t="shared" si="90"/>
        <v>70000</v>
      </c>
      <c r="K183" s="2">
        <f t="shared" si="90"/>
        <v>70000</v>
      </c>
      <c r="L183" s="2">
        <f t="shared" si="90"/>
        <v>70000</v>
      </c>
      <c r="M183" s="2">
        <f t="shared" si="90"/>
        <v>70000</v>
      </c>
      <c r="N183" s="2">
        <f t="shared" si="90"/>
        <v>70000</v>
      </c>
    </row>
    <row r="184" spans="1:14" hidden="1" outlineLevel="1" x14ac:dyDescent="0.35">
      <c r="B184" t="s">
        <v>81</v>
      </c>
      <c r="E184" s="2">
        <f>'Financial Model'!E29</f>
        <v>0</v>
      </c>
      <c r="F184" s="2">
        <f>'Financial Model'!F29</f>
        <v>0</v>
      </c>
      <c r="G184" s="2">
        <f>'Financial Model'!G29</f>
        <v>0</v>
      </c>
      <c r="H184" s="2">
        <f>'Financial Model'!H29</f>
        <v>0</v>
      </c>
      <c r="I184" s="2">
        <f>'Financial Model'!I29</f>
        <v>0</v>
      </c>
      <c r="J184" s="2">
        <f>'Financial Model'!J29</f>
        <v>0</v>
      </c>
      <c r="K184" s="2">
        <f>'Financial Model'!K29</f>
        <v>0</v>
      </c>
      <c r="L184" s="2">
        <f>'Financial Model'!L29</f>
        <v>0</v>
      </c>
      <c r="M184" s="2">
        <f>'Financial Model'!M29</f>
        <v>0</v>
      </c>
      <c r="N184" s="2">
        <f>'Financial Model'!N29</f>
        <v>0</v>
      </c>
    </row>
    <row r="185" spans="1:14" ht="15" hidden="1" outlineLevel="1" thickBot="1" x14ac:dyDescent="0.4">
      <c r="B185" t="s">
        <v>84</v>
      </c>
      <c r="E185" s="36">
        <f t="shared" ref="E185:H185" si="91">SUM(E183:E184)</f>
        <v>70000</v>
      </c>
      <c r="F185" s="36">
        <f t="shared" si="91"/>
        <v>70000</v>
      </c>
      <c r="G185" s="36">
        <f t="shared" si="91"/>
        <v>70000</v>
      </c>
      <c r="H185" s="36">
        <f t="shared" si="91"/>
        <v>70000</v>
      </c>
      <c r="I185" s="36">
        <f t="shared" ref="I185:N185" si="92">SUM(I183:I184)</f>
        <v>70000</v>
      </c>
      <c r="J185" s="36">
        <f t="shared" si="92"/>
        <v>70000</v>
      </c>
      <c r="K185" s="36">
        <f t="shared" si="92"/>
        <v>70000</v>
      </c>
      <c r="L185" s="36">
        <f t="shared" si="92"/>
        <v>70000</v>
      </c>
      <c r="M185" s="36">
        <f t="shared" si="92"/>
        <v>70000</v>
      </c>
      <c r="N185" s="36">
        <f t="shared" si="92"/>
        <v>70000</v>
      </c>
    </row>
    <row r="186" spans="1:14" ht="18.5" hidden="1" outlineLevel="1" x14ac:dyDescent="0.45">
      <c r="E186" s="30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idden="1" outlineLevel="1" x14ac:dyDescent="0.35"/>
    <row r="188" spans="1:14" hidden="1" outlineLevel="1" x14ac:dyDescent="0.35">
      <c r="B188" t="s">
        <v>12</v>
      </c>
    </row>
    <row r="189" spans="1:14" hidden="1" outlineLevel="1" x14ac:dyDescent="0.35">
      <c r="B189" t="s">
        <v>80</v>
      </c>
      <c r="E189" s="2">
        <v>0</v>
      </c>
      <c r="F189" s="2">
        <f t="shared" ref="F189:H189" si="93">E191</f>
        <v>18535</v>
      </c>
      <c r="G189" s="2">
        <f t="shared" si="93"/>
        <v>32322</v>
      </c>
      <c r="H189" s="2">
        <f t="shared" si="93"/>
        <v>74172.034</v>
      </c>
      <c r="I189" s="2">
        <f t="shared" ref="I189" si="94">H191</f>
        <v>87481.083577930811</v>
      </c>
      <c r="J189" s="2">
        <f t="shared" ref="J189" si="95">I191</f>
        <v>99923.876615224275</v>
      </c>
      <c r="K189" s="2">
        <f t="shared" ref="K189" si="96">J191</f>
        <v>120159.51568459085</v>
      </c>
      <c r="L189" s="2">
        <f t="shared" ref="L189" si="97">K191</f>
        <v>148560.06006981537</v>
      </c>
      <c r="M189" s="2">
        <f t="shared" ref="M189" si="98">L191</f>
        <v>185514.72865891221</v>
      </c>
      <c r="N189" s="2">
        <f t="shared" ref="N189" si="99">M191</f>
        <v>231430.64447418865</v>
      </c>
    </row>
    <row r="190" spans="1:14" hidden="1" outlineLevel="1" x14ac:dyDescent="0.35">
      <c r="B190" t="s">
        <v>89</v>
      </c>
      <c r="E190" s="10">
        <f>'Financial Model'!E92</f>
        <v>18535</v>
      </c>
      <c r="F190" s="10">
        <f>'Financial Model'!F92</f>
        <v>13787</v>
      </c>
      <c r="G190" s="10">
        <f>'Financial Model'!G92</f>
        <v>41850.034</v>
      </c>
      <c r="H190" s="2">
        <f>'Financial Model'!H92</f>
        <v>13309.049577930804</v>
      </c>
      <c r="I190" s="2">
        <f>'Financial Model'!I92</f>
        <v>12442.793037293468</v>
      </c>
      <c r="J190" s="2">
        <f>'Financial Model'!J92</f>
        <v>20235.639069366582</v>
      </c>
      <c r="K190" s="2">
        <f>'Financial Model'!K92</f>
        <v>28400.54438522453</v>
      </c>
      <c r="L190" s="2">
        <f>'Financial Model'!L92</f>
        <v>36954.668589096837</v>
      </c>
      <c r="M190" s="2">
        <f>'Financial Model'!M92</f>
        <v>45915.915815276443</v>
      </c>
      <c r="N190" s="2">
        <f>'Financial Model'!N92</f>
        <v>55303.004156464507</v>
      </c>
    </row>
    <row r="191" spans="1:14" ht="15" hidden="1" outlineLevel="1" thickBot="1" x14ac:dyDescent="0.4">
      <c r="B191" t="s">
        <v>84</v>
      </c>
      <c r="E191" s="36">
        <f t="shared" ref="E191:H191" si="100">SUM(E189:E190)</f>
        <v>18535</v>
      </c>
      <c r="F191" s="36">
        <f t="shared" si="100"/>
        <v>32322</v>
      </c>
      <c r="G191" s="36">
        <f t="shared" si="100"/>
        <v>74172.034</v>
      </c>
      <c r="H191" s="36">
        <f t="shared" si="100"/>
        <v>87481.083577930811</v>
      </c>
      <c r="I191" s="36">
        <f t="shared" ref="I191:N191" si="101">SUM(I189:I190)</f>
        <v>99923.876615224275</v>
      </c>
      <c r="J191" s="36">
        <f t="shared" si="101"/>
        <v>120159.51568459085</v>
      </c>
      <c r="K191" s="36">
        <f t="shared" si="101"/>
        <v>148560.06006981537</v>
      </c>
      <c r="L191" s="36">
        <f t="shared" si="101"/>
        <v>185514.72865891221</v>
      </c>
      <c r="M191" s="36">
        <f t="shared" si="101"/>
        <v>231430.64447418865</v>
      </c>
      <c r="N191" s="36">
        <f t="shared" si="101"/>
        <v>286733.64863065316</v>
      </c>
    </row>
    <row r="192" spans="1:14" hidden="1" outlineLevel="1" x14ac:dyDescent="0.35"/>
    <row r="193" spans="1:14" collapsed="1" x14ac:dyDescent="0.35"/>
    <row r="194" spans="1:14" x14ac:dyDescent="0.35">
      <c r="A194" s="118" t="s">
        <v>168</v>
      </c>
      <c r="B194" s="118"/>
      <c r="C194" s="118"/>
      <c r="D194" s="118"/>
      <c r="E194" s="118"/>
      <c r="F194" s="118"/>
      <c r="G194" s="118"/>
      <c r="H194" s="119"/>
      <c r="I194" s="119"/>
      <c r="J194" s="119"/>
      <c r="K194" s="118"/>
      <c r="L194" s="118"/>
      <c r="M194" s="118"/>
      <c r="N194" s="118"/>
    </row>
    <row r="195" spans="1:14" hidden="1" outlineLevel="1" x14ac:dyDescent="0.35">
      <c r="B195" s="39" t="s">
        <v>129</v>
      </c>
      <c r="C195" s="38"/>
      <c r="D195" s="38"/>
    </row>
    <row r="196" spans="1:14" hidden="1" outlineLevel="1" x14ac:dyDescent="0.35">
      <c r="B196" s="38"/>
      <c r="C196" s="38" t="s">
        <v>128</v>
      </c>
      <c r="D196" s="38"/>
      <c r="E196" s="53" t="e">
        <f>('Financial Model'!E85+'Financial Model'!E86)/'Financial Model'!#REF!</f>
        <v>#REF!</v>
      </c>
      <c r="F196" s="53" t="e">
        <f>('Financial Model'!F85+'Financial Model'!F86)/'Financial Model'!#REF!</f>
        <v>#REF!</v>
      </c>
      <c r="G196" s="53" t="e">
        <f>('Financial Model'!G85+'Financial Model'!G86)/'Financial Model'!#REF!</f>
        <v>#REF!</v>
      </c>
      <c r="H196" s="53" t="e">
        <f>('Financial Model'!H85+'Financial Model'!H86)/'Financial Model'!#REF!</f>
        <v>#REF!</v>
      </c>
      <c r="I196" s="53" t="e">
        <f>('Financial Model'!I85+'Financial Model'!I86)/'Financial Model'!#REF!</f>
        <v>#REF!</v>
      </c>
      <c r="J196" s="53" t="e">
        <f>('Financial Model'!J85+'Financial Model'!J86)/'Financial Model'!#REF!</f>
        <v>#REF!</v>
      </c>
      <c r="K196" s="53" t="e">
        <f>('Financial Model'!K85+'Financial Model'!K86)/'Financial Model'!#REF!</f>
        <v>#REF!</v>
      </c>
      <c r="L196" s="53" t="e">
        <f>('Financial Model'!L85+'Financial Model'!L86)/'Financial Model'!#REF!</f>
        <v>#REF!</v>
      </c>
      <c r="M196" s="53" t="e">
        <f>('Financial Model'!M85+'Financial Model'!M86)/'Financial Model'!#REF!</f>
        <v>#REF!</v>
      </c>
      <c r="N196" s="53" t="e">
        <f>('Financial Model'!N85+'Financial Model'!N86)/'Financial Model'!#REF!</f>
        <v>#REF!</v>
      </c>
    </row>
    <row r="197" spans="1:14" hidden="1" outlineLevel="1" x14ac:dyDescent="0.35">
      <c r="B197" s="38"/>
      <c r="C197" s="38" t="s">
        <v>127</v>
      </c>
      <c r="D197" s="38"/>
      <c r="E197" s="53" t="e">
        <f>'Financial Model'!E85/'Financial Model'!#REF!</f>
        <v>#REF!</v>
      </c>
      <c r="F197" s="53" t="e">
        <f>'Financial Model'!F85/'Financial Model'!#REF!</f>
        <v>#REF!</v>
      </c>
      <c r="G197" s="53" t="e">
        <f>'Financial Model'!G85/'Financial Model'!#REF!</f>
        <v>#REF!</v>
      </c>
      <c r="H197" s="53" t="e">
        <f>'Financial Model'!H85/'Financial Model'!#REF!</f>
        <v>#REF!</v>
      </c>
      <c r="I197" s="53" t="e">
        <f>'Financial Model'!I85/'Financial Model'!#REF!</f>
        <v>#REF!</v>
      </c>
      <c r="J197" s="53" t="e">
        <f>'Financial Model'!J85/'Financial Model'!#REF!</f>
        <v>#REF!</v>
      </c>
      <c r="K197" s="53" t="e">
        <f>'Financial Model'!K85/'Financial Model'!#REF!</f>
        <v>#REF!</v>
      </c>
      <c r="L197" s="53" t="e">
        <f>'Financial Model'!L85/'Financial Model'!#REF!</f>
        <v>#REF!</v>
      </c>
      <c r="M197" s="53" t="e">
        <f>'Financial Model'!M85/'Financial Model'!#REF!</f>
        <v>#REF!</v>
      </c>
      <c r="N197" s="53" t="e">
        <f>'Financial Model'!N85/'Financial Model'!#REF!</f>
        <v>#REF!</v>
      </c>
    </row>
    <row r="198" spans="1:14" hidden="1" outlineLevel="1" x14ac:dyDescent="0.35">
      <c r="B198" s="45"/>
      <c r="C198" s="45" t="s">
        <v>126</v>
      </c>
      <c r="D198" s="45"/>
      <c r="E198" s="94" t="e">
        <f>'Financial Model'!E92/'Financial Model'!#REF!</f>
        <v>#REF!</v>
      </c>
      <c r="F198" s="94" t="e">
        <f>'Financial Model'!F92/'Financial Model'!#REF!</f>
        <v>#REF!</v>
      </c>
      <c r="G198" s="94" t="e">
        <f>'Financial Model'!G92/'Financial Model'!#REF!</f>
        <v>#REF!</v>
      </c>
      <c r="H198" s="94" t="e">
        <f>'Financial Model'!H92/'Financial Model'!#REF!</f>
        <v>#REF!</v>
      </c>
      <c r="I198" s="94" t="e">
        <f>'Financial Model'!I92/'Financial Model'!#REF!</f>
        <v>#REF!</v>
      </c>
      <c r="J198" s="94" t="e">
        <f>'Financial Model'!J92/'Financial Model'!#REF!</f>
        <v>#REF!</v>
      </c>
      <c r="K198" s="94" t="e">
        <f>'Financial Model'!K92/'Financial Model'!#REF!</f>
        <v>#REF!</v>
      </c>
      <c r="L198" s="94" t="e">
        <f>'Financial Model'!L92/'Financial Model'!#REF!</f>
        <v>#REF!</v>
      </c>
      <c r="M198" s="94" t="e">
        <f>'Financial Model'!M92/'Financial Model'!#REF!</f>
        <v>#REF!</v>
      </c>
      <c r="N198" s="94" t="e">
        <f>'Financial Model'!N92/'Financial Model'!#REF!</f>
        <v>#REF!</v>
      </c>
    </row>
    <row r="199" spans="1:14" hidden="1" outlineLevel="1" x14ac:dyDescent="0.35">
      <c r="B199" s="38"/>
      <c r="C199" s="38"/>
      <c r="D199" s="38"/>
    </row>
    <row r="200" spans="1:14" ht="18.5" hidden="1" outlineLevel="1" x14ac:dyDescent="0.45">
      <c r="B200" s="39" t="s">
        <v>125</v>
      </c>
      <c r="C200" s="38"/>
      <c r="D200" s="69"/>
    </row>
    <row r="201" spans="1:14" hidden="1" outlineLevel="1" x14ac:dyDescent="0.35">
      <c r="B201" s="38"/>
      <c r="C201" s="38" t="s">
        <v>27</v>
      </c>
      <c r="D201" s="38"/>
      <c r="F201" s="53" t="e">
        <f>'Financial Model'!#REF!/'Financial Model'!#REF!-1</f>
        <v>#REF!</v>
      </c>
      <c r="G201" s="53" t="e">
        <f>'Financial Model'!#REF!/'Financial Model'!#REF!-1</f>
        <v>#REF!</v>
      </c>
      <c r="H201" s="53" t="e">
        <f>'Financial Model'!#REF!/'Financial Model'!#REF!-1</f>
        <v>#REF!</v>
      </c>
      <c r="I201" s="53" t="e">
        <f>'Financial Model'!#REF!/'Financial Model'!#REF!-1</f>
        <v>#REF!</v>
      </c>
      <c r="J201" s="53" t="e">
        <f>'Financial Model'!#REF!/'Financial Model'!#REF!-1</f>
        <v>#REF!</v>
      </c>
      <c r="K201" s="53" t="e">
        <f>'Financial Model'!#REF!/'Financial Model'!#REF!-1</f>
        <v>#REF!</v>
      </c>
      <c r="L201" s="53" t="e">
        <f>'Financial Model'!#REF!/'Financial Model'!#REF!-1</f>
        <v>#REF!</v>
      </c>
      <c r="M201" s="53" t="e">
        <f>'Financial Model'!#REF!/'Financial Model'!#REF!-1</f>
        <v>#REF!</v>
      </c>
      <c r="N201" s="53" t="e">
        <f>'Financial Model'!#REF!/'Financial Model'!#REF!-1</f>
        <v>#REF!</v>
      </c>
    </row>
    <row r="202" spans="1:14" hidden="1" outlineLevel="1" x14ac:dyDescent="0.35">
      <c r="B202" s="38"/>
      <c r="C202" s="38" t="s">
        <v>112</v>
      </c>
      <c r="D202" s="38"/>
      <c r="F202" s="53">
        <f>('Financial Model'!F85+'Financial Model'!F86)/('Financial Model'!E85+'Financial Model'!E86)-1</f>
        <v>-0.26817375886524819</v>
      </c>
      <c r="G202" s="53">
        <f>('Financial Model'!G85+'Financial Model'!G86)/('Financial Model'!F85+'Financial Model'!F86)-1</f>
        <v>1.5752086614173226</v>
      </c>
      <c r="H202" s="53">
        <f>('Financial Model'!H85+'Financial Model'!H86)/('Financial Model'!G85+'Financial Model'!G86)-1</f>
        <v>-0.32844364381616864</v>
      </c>
      <c r="I202" s="53">
        <f>('Financial Model'!I85+'Financial Model'!I86)/('Financial Model'!H85+'Financial Model'!H86)-1</f>
        <v>0.31411856779289793</v>
      </c>
      <c r="J202" s="53">
        <f>('Financial Model'!J85+'Financial Model'!J86)/('Financial Model'!I85+'Financial Model'!I86)-1</f>
        <v>0.23614743656912984</v>
      </c>
      <c r="K202" s="53">
        <f>('Financial Model'!K85+'Financial Model'!K86)/('Financial Model'!J85+'Financial Model'!J86)-1</f>
        <v>0.20058462855149983</v>
      </c>
      <c r="L202" s="53">
        <f>('Financial Model'!L85+'Financial Model'!L86)/('Financial Model'!K85+'Financial Model'!K86)-1</f>
        <v>0.17539345210622126</v>
      </c>
      <c r="M202" s="53">
        <f>('Financial Model'!M85+'Financial Model'!M86)/('Financial Model'!L85+'Financial Model'!L86)-1</f>
        <v>0.15662603007918707</v>
      </c>
      <c r="N202" s="53">
        <f>('Financial Model'!N85+'Financial Model'!N86)/('Financial Model'!M85+'Financial Model'!M86)-1</f>
        <v>0.14211288240351272</v>
      </c>
    </row>
    <row r="203" spans="1:14" hidden="1" outlineLevel="1" x14ac:dyDescent="0.35">
      <c r="B203" s="38"/>
      <c r="C203" s="38" t="s">
        <v>124</v>
      </c>
      <c r="D203" s="38"/>
      <c r="F203" s="53">
        <f>'Financial Model'!F85/'Financial Model'!E85-1</f>
        <v>-0.35936502871729414</v>
      </c>
      <c r="G203" s="53">
        <f>'Financial Model'!G85/'Financial Model'!F85-1</f>
        <v>1.9741024778981449</v>
      </c>
      <c r="H203" s="53">
        <f>'Financial Model'!H85/'Financial Model'!G85-1</f>
        <v>-0.60199257707425557</v>
      </c>
      <c r="I203" s="53">
        <f>'Financial Model'!I85/'Financial Model'!H85-1</f>
        <v>-6.5082874180946604E-2</v>
      </c>
      <c r="J203" s="53">
        <f>'Financial Model'!J85/'Financial Model'!I85-1</f>
        <v>0.62629395254880338</v>
      </c>
      <c r="K203" s="53">
        <f>'Financial Model'!K85/'Financial Model'!J85-1</f>
        <v>0.40349134948835252</v>
      </c>
      <c r="L203" s="53">
        <f>'Financial Model'!L85/'Financial Model'!K85-1</f>
        <v>0.30119578300487126</v>
      </c>
      <c r="M203" s="53">
        <f>'Financial Model'!M85/'Financial Model'!L85-1</f>
        <v>0.2424929668784408</v>
      </c>
      <c r="N203" s="53">
        <f>'Financial Model'!N85/'Financial Model'!M85-1</f>
        <v>0.20444083874866181</v>
      </c>
    </row>
    <row r="204" spans="1:14" hidden="1" outlineLevel="1" x14ac:dyDescent="0.35">
      <c r="B204" s="45"/>
      <c r="C204" s="45" t="s">
        <v>91</v>
      </c>
      <c r="D204" s="45"/>
      <c r="E204" s="60"/>
      <c r="F204" s="94">
        <f>'Financial Model'!F92/'Financial Model'!E92-1</f>
        <v>-0.25616401402751554</v>
      </c>
      <c r="G204" s="94">
        <f>'Financial Model'!G92/'Financial Model'!F92-1</f>
        <v>2.0354706607673894</v>
      </c>
      <c r="H204" s="94">
        <f>'Financial Model'!H92/'Financial Model'!G92-1</f>
        <v>-0.68198234730392804</v>
      </c>
      <c r="I204" s="94">
        <f>'Financial Model'!I92/'Financial Model'!H92-1</f>
        <v>-6.508778373429247E-2</v>
      </c>
      <c r="J204" s="94">
        <f>'Financial Model'!J92/'Financial Model'!I92-1</f>
        <v>0.62629395254879183</v>
      </c>
      <c r="K204" s="94">
        <f>'Financial Model'!K92/'Financial Model'!J92-1</f>
        <v>0.4034913494883523</v>
      </c>
      <c r="L204" s="94">
        <f>'Financial Model'!L92/'Financial Model'!K92-1</f>
        <v>0.30119578300487149</v>
      </c>
      <c r="M204" s="94">
        <f>'Financial Model'!M92/'Financial Model'!L92-1</f>
        <v>0.24249296687844057</v>
      </c>
      <c r="N204" s="94">
        <f>'Financial Model'!N92/'Financial Model'!M92-1</f>
        <v>0.20444083874866181</v>
      </c>
    </row>
    <row r="205" spans="1:14" hidden="1" outlineLevel="1" x14ac:dyDescent="0.35">
      <c r="B205" s="38"/>
      <c r="C205" s="38"/>
      <c r="D205" s="38"/>
    </row>
    <row r="206" spans="1:14" hidden="1" outlineLevel="1" x14ac:dyDescent="0.35">
      <c r="B206" s="39" t="s">
        <v>123</v>
      </c>
      <c r="C206" s="38"/>
      <c r="D206" s="38"/>
    </row>
    <row r="207" spans="1:14" hidden="1" outlineLevel="1" x14ac:dyDescent="0.35">
      <c r="B207" s="38"/>
      <c r="C207" s="38" t="s">
        <v>28</v>
      </c>
      <c r="D207" s="38"/>
      <c r="E207" s="53" t="e">
        <f>'Financial Model'!#REF!/'Financial Model'!#REF!</f>
        <v>#REF!</v>
      </c>
      <c r="F207" s="53" t="e">
        <f>'Financial Model'!#REF!/'Financial Model'!#REF!</f>
        <v>#REF!</v>
      </c>
      <c r="G207" s="53" t="e">
        <f>'Financial Model'!#REF!/'Financial Model'!#REF!</f>
        <v>#REF!</v>
      </c>
      <c r="H207" s="53" t="e">
        <f>'Financial Model'!#REF!/'Financial Model'!#REF!</f>
        <v>#REF!</v>
      </c>
      <c r="I207" s="53" t="e">
        <f>'Financial Model'!#REF!/'Financial Model'!#REF!</f>
        <v>#REF!</v>
      </c>
      <c r="J207" s="53" t="e">
        <f>'Financial Model'!#REF!/'Financial Model'!#REF!</f>
        <v>#REF!</v>
      </c>
      <c r="K207" s="53" t="e">
        <f>'Financial Model'!#REF!/'Financial Model'!#REF!</f>
        <v>#REF!</v>
      </c>
      <c r="L207" s="53" t="e">
        <f>'Financial Model'!#REF!/'Financial Model'!#REF!</f>
        <v>#REF!</v>
      </c>
      <c r="M207" s="53" t="e">
        <f>'Financial Model'!#REF!/'Financial Model'!#REF!</f>
        <v>#REF!</v>
      </c>
      <c r="N207" s="53" t="e">
        <f>'Financial Model'!#REF!/'Financial Model'!#REF!</f>
        <v>#REF!</v>
      </c>
    </row>
    <row r="208" spans="1:14" hidden="1" outlineLevel="1" x14ac:dyDescent="0.35">
      <c r="B208" s="38"/>
      <c r="C208" t="s">
        <v>30</v>
      </c>
      <c r="D208" s="38"/>
      <c r="E208" s="53" t="e">
        <f>'Financial Model'!#REF!/'Financial Model'!#REF!</f>
        <v>#REF!</v>
      </c>
      <c r="F208" s="53" t="e">
        <f>'Financial Model'!#REF!/'Financial Model'!#REF!</f>
        <v>#REF!</v>
      </c>
      <c r="G208" s="53" t="e">
        <f>'Financial Model'!#REF!/'Financial Model'!#REF!</f>
        <v>#REF!</v>
      </c>
      <c r="H208" s="53" t="e">
        <f>'Financial Model'!#REF!/'Financial Model'!#REF!</f>
        <v>#REF!</v>
      </c>
      <c r="I208" s="53" t="e">
        <f>'Financial Model'!#REF!/'Financial Model'!#REF!</f>
        <v>#REF!</v>
      </c>
      <c r="J208" s="53" t="e">
        <f>'Financial Model'!#REF!/'Financial Model'!#REF!</f>
        <v>#REF!</v>
      </c>
      <c r="K208" s="53" t="e">
        <f>'Financial Model'!#REF!/'Financial Model'!#REF!</f>
        <v>#REF!</v>
      </c>
      <c r="L208" s="53" t="e">
        <f>'Financial Model'!#REF!/'Financial Model'!#REF!</f>
        <v>#REF!</v>
      </c>
      <c r="M208" s="53" t="e">
        <f>'Financial Model'!#REF!/'Financial Model'!#REF!</f>
        <v>#REF!</v>
      </c>
      <c r="N208" s="53" t="e">
        <f>'Financial Model'!#REF!/'Financial Model'!#REF!</f>
        <v>#REF!</v>
      </c>
    </row>
    <row r="209" spans="2:14" hidden="1" outlineLevel="1" x14ac:dyDescent="0.35">
      <c r="B209" s="38"/>
      <c r="C209" t="s">
        <v>31</v>
      </c>
      <c r="D209" s="38"/>
      <c r="E209" s="53" t="e">
        <f>'Financial Model'!#REF!/'Financial Model'!#REF!</f>
        <v>#REF!</v>
      </c>
      <c r="F209" s="53" t="e">
        <f>'Financial Model'!#REF!/'Financial Model'!#REF!</f>
        <v>#REF!</v>
      </c>
      <c r="G209" s="53" t="e">
        <f>'Financial Model'!#REF!/'Financial Model'!#REF!</f>
        <v>#REF!</v>
      </c>
      <c r="H209" s="53" t="e">
        <f>'Financial Model'!#REF!/'Financial Model'!#REF!</f>
        <v>#REF!</v>
      </c>
      <c r="I209" s="53" t="e">
        <f>'Financial Model'!#REF!/'Financial Model'!#REF!</f>
        <v>#REF!</v>
      </c>
      <c r="J209" s="53" t="e">
        <f>'Financial Model'!#REF!/'Financial Model'!#REF!</f>
        <v>#REF!</v>
      </c>
      <c r="K209" s="53" t="e">
        <f>'Financial Model'!#REF!/'Financial Model'!#REF!</f>
        <v>#REF!</v>
      </c>
      <c r="L209" s="53" t="e">
        <f>'Financial Model'!#REF!/'Financial Model'!#REF!</f>
        <v>#REF!</v>
      </c>
      <c r="M209" s="53" t="e">
        <f>'Financial Model'!#REF!/'Financial Model'!#REF!</f>
        <v>#REF!</v>
      </c>
      <c r="N209" s="53" t="e">
        <f>'Financial Model'!#REF!/'Financial Model'!#REF!</f>
        <v>#REF!</v>
      </c>
    </row>
    <row r="210" spans="2:14" hidden="1" outlineLevel="1" x14ac:dyDescent="0.35">
      <c r="B210" s="45"/>
      <c r="C210" s="60" t="s">
        <v>32</v>
      </c>
      <c r="D210" s="45"/>
      <c r="E210" s="94" t="e">
        <f>'Financial Model'!#REF!/'Financial Model'!#REF!</f>
        <v>#REF!</v>
      </c>
      <c r="F210" s="94" t="e">
        <f>'Financial Model'!#REF!/'Financial Model'!#REF!</f>
        <v>#REF!</v>
      </c>
      <c r="G210" s="94" t="e">
        <f>'Financial Model'!#REF!/'Financial Model'!#REF!</f>
        <v>#REF!</v>
      </c>
      <c r="H210" s="94" t="e">
        <f>'Financial Model'!#REF!/'Financial Model'!#REF!</f>
        <v>#REF!</v>
      </c>
      <c r="I210" s="94" t="e">
        <f>'Financial Model'!#REF!/'Financial Model'!#REF!</f>
        <v>#REF!</v>
      </c>
      <c r="J210" s="94" t="e">
        <f>'Financial Model'!#REF!/'Financial Model'!#REF!</f>
        <v>#REF!</v>
      </c>
      <c r="K210" s="94" t="e">
        <f>'Financial Model'!#REF!/'Financial Model'!#REF!</f>
        <v>#REF!</v>
      </c>
      <c r="L210" s="94" t="e">
        <f>'Financial Model'!#REF!/'Financial Model'!#REF!</f>
        <v>#REF!</v>
      </c>
      <c r="M210" s="94" t="e">
        <f>'Financial Model'!#REF!/'Financial Model'!#REF!</f>
        <v>#REF!</v>
      </c>
      <c r="N210" s="94" t="e">
        <f>'Financial Model'!#REF!/'Financial Model'!#REF!</f>
        <v>#REF!</v>
      </c>
    </row>
    <row r="211" spans="2:14" hidden="1" outlineLevel="1" x14ac:dyDescent="0.35">
      <c r="B211" s="38"/>
      <c r="C211" s="38"/>
      <c r="D211" s="38"/>
    </row>
    <row r="212" spans="2:14" ht="18.5" hidden="1" outlineLevel="1" x14ac:dyDescent="0.45">
      <c r="B212" s="39" t="s">
        <v>122</v>
      </c>
      <c r="C212" s="38"/>
      <c r="D212" s="38"/>
      <c r="E212" s="5"/>
    </row>
    <row r="213" spans="2:14" hidden="1" outlineLevel="1" x14ac:dyDescent="0.35">
      <c r="B213" s="45"/>
      <c r="C213" s="45" t="s">
        <v>121</v>
      </c>
      <c r="D213" s="45"/>
      <c r="E213" s="93">
        <f>('Financial Model'!E50-'Financial Model'!E47)/'Financial Model'!E54</f>
        <v>2.2604150039904232</v>
      </c>
      <c r="F213" s="93">
        <f>('Financial Model'!F50-'Financial Model'!F47)/'Financial Model'!F54</f>
        <v>3.0409866699887877</v>
      </c>
      <c r="G213" s="93">
        <f>('Financial Model'!G50-'Financial Model'!G47)/'Financial Model'!G54</f>
        <v>2.8530099172509633</v>
      </c>
      <c r="H213" s="93">
        <f>('Financial Model'!H50-'Financial Model'!H47)/'Financial Model'!H54</f>
        <v>9.8715939631552949</v>
      </c>
      <c r="I213" s="93">
        <f>('Financial Model'!I50-'Financial Model'!I47)/'Financial Model'!I54</f>
        <v>12.532305166663095</v>
      </c>
      <c r="J213" s="93">
        <f>('Financial Model'!J50-'Financial Model'!J47)/'Financial Model'!J54</f>
        <v>13.866607579306033</v>
      </c>
      <c r="K213" s="93">
        <f>('Financial Model'!K50-'Financial Model'!K47)/'Financial Model'!K54</f>
        <v>19.248183042151378</v>
      </c>
      <c r="L213" s="93">
        <f>('Financial Model'!L50-'Financial Model'!L47)/'Financial Model'!L54</f>
        <v>20.934245543417717</v>
      </c>
      <c r="M213" s="93">
        <f>('Financial Model'!M50-'Financial Model'!M47)/'Financial Model'!M54</f>
        <v>28.12255374465829</v>
      </c>
      <c r="N213" s="93">
        <f>('Financial Model'!N50-'Financial Model'!N47)/'Financial Model'!N54</f>
        <v>30.034404578473566</v>
      </c>
    </row>
    <row r="214" spans="2:14" ht="18.5" hidden="1" outlineLevel="1" x14ac:dyDescent="0.45">
      <c r="B214" s="38"/>
      <c r="C214" s="38"/>
      <c r="D214" s="69"/>
    </row>
    <row r="215" spans="2:14" ht="18.5" hidden="1" outlineLevel="1" x14ac:dyDescent="0.45">
      <c r="B215" s="39" t="s">
        <v>120</v>
      </c>
      <c r="C215" s="38"/>
      <c r="D215" s="69"/>
    </row>
    <row r="216" spans="2:14" hidden="1" outlineLevel="1" x14ac:dyDescent="0.35">
      <c r="B216" s="38"/>
      <c r="C216" s="38" t="s">
        <v>119</v>
      </c>
      <c r="D216" s="38"/>
      <c r="F216" s="53">
        <f>'Financial Model'!F92/AVERAGE('Financial Model'!E67:F67)</f>
        <v>0.14447465903791845</v>
      </c>
      <c r="G216" s="53">
        <f>'Financial Model'!G92/AVERAGE('Financial Model'!F67:G67)</f>
        <v>0.33956224676821184</v>
      </c>
      <c r="H216" s="53">
        <f>'Financial Model'!H92/AVERAGE('Financial Model'!G67:H67)</f>
        <v>8.8240756036558898E-2</v>
      </c>
      <c r="I216" s="53">
        <f>'Financial Model'!I92/AVERAGE('Financial Model'!H67:I67)</f>
        <v>7.6008579894163764E-2</v>
      </c>
      <c r="J216" s="53">
        <f>'Financial Model'!J92/AVERAGE('Financial Model'!I67:J67)</f>
        <v>0.11239418147070689</v>
      </c>
      <c r="K216" s="53">
        <f>'Financial Model'!K92/AVERAGE('Financial Model'!J67:K67)</f>
        <v>0.13897325242033434</v>
      </c>
      <c r="L216" s="53">
        <f>'Financial Model'!L92/AVERAGE('Financial Model'!K67:L67)</f>
        <v>0.15590227309152618</v>
      </c>
      <c r="M216" s="53">
        <f>'Financial Model'!M92/AVERAGE('Financial Model'!L67:M67)</f>
        <v>0.16488480928381205</v>
      </c>
      <c r="N216" s="53">
        <f>'Financial Model'!N92/AVERAGE('Financial Model'!M67:N67)</f>
        <v>0.1680522773290439</v>
      </c>
    </row>
    <row r="217" spans="2:14" hidden="1" outlineLevel="1" x14ac:dyDescent="0.35">
      <c r="B217" s="38"/>
      <c r="C217" s="38" t="s">
        <v>118</v>
      </c>
      <c r="D217" s="38"/>
      <c r="F217" s="53">
        <f>'Financial Model'!F92/AVERAGE('Financial Model'!E69:F69)</f>
        <v>9.9957586720655994E-2</v>
      </c>
      <c r="G217" s="53">
        <f>'Financial Model'!G92/AVERAGE('Financial Model'!F69:G69)</f>
        <v>0.26034718889993463</v>
      </c>
      <c r="H217" s="53">
        <f>'Financial Model'!H92/AVERAGE('Financial Model'!G69:H69)</f>
        <v>4.2818250891381957E-2</v>
      </c>
      <c r="I217" s="53">
        <f>'Financial Model'!I92/AVERAGE('Financial Model'!H69:I69)</f>
        <v>2.8043100039885138E-2</v>
      </c>
      <c r="J217" s="53">
        <f>'Financial Model'!J92/AVERAGE('Financial Model'!I69:J69)</f>
        <v>4.471552398712756E-2</v>
      </c>
      <c r="K217" s="53">
        <f>'Financial Model'!K92/AVERAGE('Financial Model'!J69:K69)</f>
        <v>6.0188524461879965E-2</v>
      </c>
      <c r="L217" s="53">
        <f>'Financial Model'!L92/AVERAGE('Financial Model'!K69:L69)</f>
        <v>7.3977782256160807E-2</v>
      </c>
      <c r="M217" s="53">
        <f>'Financial Model'!M92/AVERAGE('Financial Model'!L69:M69)</f>
        <v>8.5668387524398912E-2</v>
      </c>
      <c r="N217" s="53">
        <f>'Financial Model'!N92/AVERAGE('Financial Model'!M69:N69)</f>
        <v>9.5090615288479743E-2</v>
      </c>
    </row>
    <row r="218" spans="2:14" hidden="1" outlineLevel="1" x14ac:dyDescent="0.35">
      <c r="B218" s="45"/>
      <c r="C218" s="45" t="s">
        <v>117</v>
      </c>
      <c r="D218" s="45"/>
      <c r="E218" s="60"/>
      <c r="F218" s="94">
        <f>'Financial Model'!F92/AVERAGE('Financial Model'!F58+'Financial Model'!F54,'Financial Model'!E58+'Financial Model'!E56)</f>
        <v>8.5302661415812581E-2</v>
      </c>
      <c r="G218" s="94">
        <f>'Financial Model'!G92/AVERAGE('Financial Model'!G58+'Financial Model'!G54,'Financial Model'!F58+'Financial Model'!F56)</f>
        <v>0.21566735206056203</v>
      </c>
      <c r="H218" s="94">
        <f>'Financial Model'!H92/AVERAGE('Financial Model'!H58+'Financial Model'!H54,'Financial Model'!G58+'Financial Model'!G56)</f>
        <v>3.8757185984445879E-2</v>
      </c>
      <c r="I218" s="94">
        <f>'Financial Model'!I92/AVERAGE('Financial Model'!I58+'Financial Model'!I54,'Financial Model'!H58+'Financial Model'!H56)</f>
        <v>2.3908865401633627E-2</v>
      </c>
      <c r="J218" s="94">
        <f>'Financial Model'!J92/AVERAGE('Financial Model'!J58+'Financial Model'!J54,'Financial Model'!I58+'Financial Model'!I56)</f>
        <v>3.6873085072826488E-2</v>
      </c>
      <c r="K218" s="94">
        <f>'Financial Model'!K92/AVERAGE('Financial Model'!K58+'Financial Model'!K54,'Financial Model'!J58+'Financial Model'!J56)</f>
        <v>4.8134144970908108E-2</v>
      </c>
      <c r="L218" s="94">
        <f>'Financial Model'!L92/AVERAGE('Financial Model'!L58+'Financial Model'!L54,'Financial Model'!K58+'Financial Model'!K56)</f>
        <v>5.7275176557528243E-2</v>
      </c>
      <c r="M218" s="94">
        <f>'Financial Model'!M92/AVERAGE('Financial Model'!M58+'Financial Model'!M54,'Financial Model'!L58+'Financial Model'!L56)</f>
        <v>6.4495224985956098E-2</v>
      </c>
      <c r="N218" s="94">
        <f>'Financial Model'!N92/AVERAGE('Financial Model'!N58+'Financial Model'!N54,'Financial Model'!M58+'Financial Model'!M56)</f>
        <v>6.9668576155642883E-2</v>
      </c>
    </row>
    <row r="219" spans="2:14" hidden="1" outlineLevel="1" x14ac:dyDescent="0.35">
      <c r="B219" s="38"/>
      <c r="C219" s="38"/>
      <c r="D219" s="38"/>
    </row>
    <row r="220" spans="2:14" hidden="1" outlineLevel="1" x14ac:dyDescent="0.35">
      <c r="B220" s="39" t="s">
        <v>116</v>
      </c>
      <c r="C220" s="38"/>
      <c r="D220" s="38"/>
    </row>
    <row r="221" spans="2:14" hidden="1" outlineLevel="1" x14ac:dyDescent="0.35">
      <c r="B221" s="38"/>
      <c r="C221" s="38" t="s">
        <v>115</v>
      </c>
      <c r="D221" s="38"/>
      <c r="E221" s="53">
        <f>'Financial Model'!E63/'Financial Model'!E67</f>
        <v>0.50827356412718139</v>
      </c>
      <c r="F221" s="53">
        <f>'Financial Model'!F63/'Financial Model'!F67</f>
        <v>0.39092277320615315</v>
      </c>
      <c r="G221" s="53">
        <f>'Financial Model'!G63/'Financial Model'!G67</f>
        <v>0.2427655282993372</v>
      </c>
      <c r="H221" s="53">
        <f>'Financial Model'!H63/'Financial Model'!H67</f>
        <v>1.8097411671603427</v>
      </c>
      <c r="I221" s="53">
        <f>'Financial Model'!I63/'Financial Model'!I67</f>
        <v>1.6183717407925557</v>
      </c>
      <c r="J221" s="53">
        <f>'Financial Model'!J63/'Financial Model'!J67</f>
        <v>1.4198605787776459</v>
      </c>
      <c r="K221" s="53">
        <f>'Financial Model'!K63/'Financial Model'!K67</f>
        <v>1.2124813651467252</v>
      </c>
      <c r="L221" s="53">
        <f>'Financial Model'!L63/'Financial Model'!L67</f>
        <v>1.0175538661298669</v>
      </c>
      <c r="M221" s="53">
        <f>'Financial Model'!M63/'Financial Model'!M67</f>
        <v>0.84596574593408835</v>
      </c>
      <c r="N221" s="53">
        <f>'Financial Model'!N63/'Financial Model'!N67</f>
        <v>0.70080296871248993</v>
      </c>
    </row>
    <row r="222" spans="2:14" hidden="1" outlineLevel="1" x14ac:dyDescent="0.35">
      <c r="B222" s="38"/>
      <c r="C222" s="38" t="s">
        <v>114</v>
      </c>
      <c r="D222" s="38"/>
      <c r="E222" s="92">
        <f>'Financial Model'!E63/('Financial Model'!E85+'Financial Model'!E86+'Financial Model'!E79)</f>
        <v>1.2138541217091066</v>
      </c>
      <c r="F222" s="92">
        <f>'Financial Model'!F63/('Financial Model'!F85+'Financial Model'!F86+'Financial Model'!F79)</f>
        <v>1.341741580571582</v>
      </c>
      <c r="G222" s="92">
        <f>'Financial Model'!G63/('Financial Model'!G85+'Financial Model'!G86+'Financial Model'!G79)</f>
        <v>0.57358211239279222</v>
      </c>
      <c r="H222" s="92">
        <f>'Financial Model'!H63/('Financial Model'!H85+'Financial Model'!H86+'Financial Model'!H79)</f>
        <v>4.4349121928433437</v>
      </c>
      <c r="I222" s="92">
        <f>'Financial Model'!I63/('Financial Model'!I85+'Financial Model'!I86+'Financial Model'!I79)</f>
        <v>3.6654243993707802</v>
      </c>
      <c r="J222" s="92">
        <f>'Financial Model'!J63/('Financial Model'!J85+'Financial Model'!J86+'Financial Model'!J79)</f>
        <v>3.1520678053706503</v>
      </c>
      <c r="K222" s="92">
        <f>'Financial Model'!K63/('Financial Model'!K85+'Financial Model'!K86+'Financial Model'!K79)</f>
        <v>2.7369754338770034</v>
      </c>
      <c r="L222" s="92">
        <f>'Financial Model'!L63/('Financial Model'!L85+'Financial Model'!L86+'Financial Model'!L79)</f>
        <v>2.3953776500956891</v>
      </c>
      <c r="M222" s="92">
        <f>'Financial Model'!M63/('Financial Model'!M85+'Financial Model'!M86+'Financial Model'!M79)</f>
        <v>2.1101556624566573</v>
      </c>
      <c r="N222" s="92">
        <f>'Financial Model'!N63/('Financial Model'!N85+'Financial Model'!N86+'Financial Model'!N79)</f>
        <v>1.8690989045067365</v>
      </c>
    </row>
    <row r="223" spans="2:14" hidden="1" outlineLevel="1" x14ac:dyDescent="0.35">
      <c r="B223" s="45"/>
      <c r="C223" s="45" t="s">
        <v>113</v>
      </c>
      <c r="D223" s="45"/>
      <c r="E223" s="93">
        <f>('Financial Model'!E85+'Financial Model'!E86)/'Financial Model'!E86</f>
        <v>13.536</v>
      </c>
      <c r="F223" s="93">
        <f>('Financial Model'!F85+'Financial Model'!F86)/'Financial Model'!F86</f>
        <v>5.2831999999999999</v>
      </c>
      <c r="G223" s="93">
        <f>('Financial Model'!G85+'Financial Model'!G86)/'Financial Model'!G86</f>
        <v>15.698472000000001</v>
      </c>
      <c r="H223" s="93">
        <f>('Financial Model'!H85+'Financial Model'!H86)/'Financial Model'!H86</f>
        <v>2.2467428278960777</v>
      </c>
      <c r="I223" s="93">
        <f>('Financial Model'!I85+'Financial Model'!I86)/'Financial Model'!I86</f>
        <v>1.6523089403561404</v>
      </c>
      <c r="J223" s="93">
        <f>('Financial Model'!J85+'Financial Model'!J86)/'Financial Model'!J86</f>
        <v>2.0806749836777882</v>
      </c>
      <c r="K223" s="93">
        <f>('Financial Model'!K85+'Financial Model'!K86)/'Financial Model'!K86</f>
        <v>2.5456078576992942</v>
      </c>
      <c r="L223" s="93">
        <f>('Financial Model'!L85+'Financial Model'!L86)/'Financial Model'!L86</f>
        <v>3.0501896582023207</v>
      </c>
      <c r="M223" s="93">
        <f>('Financial Model'!M85+'Financial Model'!M86)/'Financial Model'!M86</f>
        <v>3.59778873070871</v>
      </c>
      <c r="N223" s="93">
        <f>('Financial Model'!N85+'Financial Model'!N86)/'Financial Model'!N86</f>
        <v>4.1920925920037231</v>
      </c>
    </row>
    <row r="224" spans="2:14" hidden="1" outlineLevel="1" x14ac:dyDescent="0.35"/>
    <row r="225" spans="1:16" collapsed="1" x14ac:dyDescent="0.35"/>
    <row r="226" spans="1:16" x14ac:dyDescent="0.35">
      <c r="A226" s="118" t="s">
        <v>248</v>
      </c>
      <c r="B226" s="118"/>
      <c r="C226" s="118"/>
      <c r="D226" s="118"/>
      <c r="E226" s="118"/>
      <c r="F226" s="118"/>
      <c r="G226" s="118"/>
      <c r="H226" s="119"/>
      <c r="I226" s="119"/>
      <c r="J226" s="119"/>
      <c r="K226" s="118"/>
      <c r="L226" s="118"/>
      <c r="M226" s="118"/>
      <c r="N226" s="118"/>
    </row>
    <row r="227" spans="1:16" s="187" customFormat="1" outlineLevel="1" x14ac:dyDescent="0.35">
      <c r="A227" s="185"/>
      <c r="B227" s="185"/>
      <c r="C227" s="185"/>
      <c r="D227" s="185"/>
      <c r="E227" s="185"/>
      <c r="F227" s="185"/>
      <c r="G227" s="185"/>
      <c r="H227" s="186"/>
      <c r="I227" s="186"/>
      <c r="J227" s="186"/>
      <c r="K227" s="185"/>
      <c r="L227" s="185"/>
      <c r="M227" s="185"/>
      <c r="N227" s="185"/>
    </row>
    <row r="228" spans="1:16" outlineLevel="1" x14ac:dyDescent="0.35">
      <c r="A228" s="75"/>
      <c r="B228" s="74" t="s">
        <v>130</v>
      </c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</row>
    <row r="229" spans="1:16" ht="15.5" outlineLevel="1" x14ac:dyDescent="0.35">
      <c r="A229" s="75"/>
      <c r="B229" s="75"/>
      <c r="C229" s="75"/>
      <c r="D229" s="75"/>
      <c r="E229" s="81"/>
      <c r="F229" s="81"/>
      <c r="G229" s="81"/>
      <c r="H229" s="75"/>
      <c r="I229" s="75"/>
      <c r="J229" s="75"/>
      <c r="K229" s="75"/>
      <c r="L229" s="75"/>
      <c r="M229" s="75"/>
      <c r="N229" s="75"/>
      <c r="O229" s="75"/>
      <c r="P229" s="75"/>
    </row>
    <row r="230" spans="1:16" outlineLevel="1" x14ac:dyDescent="0.35">
      <c r="A230" s="75"/>
      <c r="B230" s="75" t="s">
        <v>112</v>
      </c>
      <c r="C230" s="75"/>
      <c r="D230" s="75"/>
      <c r="E230" s="75"/>
      <c r="F230" s="74"/>
      <c r="G230" s="75"/>
      <c r="H230" s="75"/>
      <c r="I230" s="75"/>
      <c r="J230" s="76">
        <f>'Financial Model'!J85+'Financial Model'!J86</f>
        <v>55658.05581338083</v>
      </c>
      <c r="K230" s="76">
        <f>'Financial Model'!K85+'Financial Model'!K86</f>
        <v>66822.206264606473</v>
      </c>
      <c r="L230" s="76">
        <f>'Financial Model'!L85+'Financial Model'!L86</f>
        <v>78542.38369870976</v>
      </c>
      <c r="M230" s="76">
        <f>'Financial Model'!M85+'Financial Model'!M86</f>
        <v>90844.165450394925</v>
      </c>
      <c r="N230" s="76">
        <f>'Financial Model'!N85+'Financial Model'!N86</f>
        <v>103754.29165209216</v>
      </c>
      <c r="O230" s="75"/>
      <c r="P230" s="75"/>
    </row>
    <row r="231" spans="1:16" ht="15.5" outlineLevel="1" x14ac:dyDescent="0.35">
      <c r="A231" s="75"/>
      <c r="B231" s="75" t="s">
        <v>131</v>
      </c>
      <c r="C231" s="75"/>
      <c r="D231" s="174">
        <v>0.3</v>
      </c>
      <c r="E231" s="81"/>
      <c r="F231" s="81"/>
      <c r="G231" s="81"/>
      <c r="H231" s="75"/>
      <c r="I231" s="75"/>
      <c r="J231" s="78"/>
      <c r="K231" s="78"/>
      <c r="L231" s="78"/>
      <c r="M231" s="78"/>
      <c r="N231" s="78"/>
      <c r="O231" s="75"/>
      <c r="P231" s="75"/>
    </row>
    <row r="232" spans="1:16" outlineLevel="1" x14ac:dyDescent="0.35">
      <c r="A232" s="75"/>
      <c r="B232" s="75" t="s">
        <v>132</v>
      </c>
      <c r="C232" s="75"/>
      <c r="D232" s="75"/>
      <c r="E232" s="75"/>
      <c r="F232" s="75"/>
      <c r="G232" s="75"/>
      <c r="H232" s="79"/>
      <c r="I232" s="75"/>
      <c r="J232" s="76">
        <f>J230*(1-$D$231)</f>
        <v>38960.639069366582</v>
      </c>
      <c r="K232" s="76">
        <f>K230*(1-$D$231)</f>
        <v>46775.54438522453</v>
      </c>
      <c r="L232" s="76">
        <f>L230*(1-$D$231)</f>
        <v>54979.668589096829</v>
      </c>
      <c r="M232" s="76">
        <f>M230*(1-$D$231)</f>
        <v>63590.915815276443</v>
      </c>
      <c r="N232" s="76">
        <f>N230*(1-$D$231)</f>
        <v>72628.004156464507</v>
      </c>
      <c r="O232" s="75"/>
      <c r="P232" s="75"/>
    </row>
    <row r="233" spans="1:16" ht="15.5" outlineLevel="1" x14ac:dyDescent="0.35">
      <c r="A233" s="75"/>
      <c r="B233" s="75" t="s">
        <v>92</v>
      </c>
      <c r="C233" s="75"/>
      <c r="D233" s="75"/>
      <c r="E233" s="86"/>
      <c r="F233" s="86"/>
      <c r="G233" s="86"/>
      <c r="H233" s="75"/>
      <c r="I233" s="75"/>
      <c r="J233" s="76">
        <f>'Financial Model'!J151</f>
        <v>30000</v>
      </c>
      <c r="K233" s="76">
        <f>'Financial Model'!K151</f>
        <v>30000</v>
      </c>
      <c r="L233" s="76">
        <f>'Financial Model'!L151</f>
        <v>30000</v>
      </c>
      <c r="M233" s="76">
        <f>'Financial Model'!M151</f>
        <v>30000</v>
      </c>
      <c r="N233" s="76">
        <f>'Financial Model'!N151</f>
        <v>30000</v>
      </c>
      <c r="O233" s="75"/>
      <c r="P233" s="75"/>
    </row>
    <row r="234" spans="1:16" ht="15.5" outlineLevel="1" x14ac:dyDescent="0.35">
      <c r="A234" s="75"/>
      <c r="B234" s="75" t="s">
        <v>191</v>
      </c>
      <c r="C234" s="75"/>
      <c r="D234" s="75"/>
      <c r="E234" s="86"/>
      <c r="F234" s="86"/>
      <c r="G234" s="86"/>
      <c r="H234" s="75"/>
      <c r="I234" s="75"/>
      <c r="J234" s="76">
        <f>'Financial Model'!J106</f>
        <v>-15106.835960874552</v>
      </c>
      <c r="K234" s="76">
        <f>'Financial Model'!K106</f>
        <v>12027.786613238706</v>
      </c>
      <c r="L234" s="76">
        <f>'Financial Model'!L106</f>
        <v>-15245.132650167372</v>
      </c>
      <c r="M234" s="76">
        <f>'Financial Model'!M106</f>
        <v>11883.226204614555</v>
      </c>
      <c r="N234" s="76">
        <f>'Financial Model'!N106</f>
        <v>-15396.240849525413</v>
      </c>
      <c r="O234" s="75"/>
      <c r="P234" s="75"/>
    </row>
    <row r="235" spans="1:16" ht="15.5" outlineLevel="1" x14ac:dyDescent="0.35">
      <c r="A235" s="75"/>
      <c r="B235" s="72" t="s">
        <v>133</v>
      </c>
      <c r="C235" s="72"/>
      <c r="D235" s="72"/>
      <c r="E235" s="105"/>
      <c r="F235" s="105"/>
      <c r="G235" s="105"/>
      <c r="H235" s="72"/>
      <c r="I235" s="72"/>
      <c r="J235" s="76">
        <f>-'Financial Model'!J23</f>
        <v>0</v>
      </c>
      <c r="K235" s="76">
        <f>-'Financial Model'!K23</f>
        <v>0</v>
      </c>
      <c r="L235" s="76">
        <f>-'Financial Model'!L23</f>
        <v>0</v>
      </c>
      <c r="M235" s="76">
        <f>-'Financial Model'!M23</f>
        <v>0</v>
      </c>
      <c r="N235" s="76">
        <f>-'Financial Model'!N23</f>
        <v>0</v>
      </c>
      <c r="O235" s="75"/>
      <c r="P235" s="75"/>
    </row>
    <row r="236" spans="1:16" outlineLevel="1" x14ac:dyDescent="0.35">
      <c r="A236" s="74"/>
      <c r="B236" s="74" t="s">
        <v>134</v>
      </c>
      <c r="C236" s="74"/>
      <c r="D236" s="74"/>
      <c r="E236" s="74"/>
      <c r="F236" s="74"/>
      <c r="G236" s="75"/>
      <c r="H236" s="74"/>
      <c r="I236" s="74"/>
      <c r="J236" s="80">
        <f>SUM(J232:J235)</f>
        <v>53853.803108492037</v>
      </c>
      <c r="K236" s="80">
        <f>SUM(K232:K235)</f>
        <v>88803.330998463236</v>
      </c>
      <c r="L236" s="80">
        <f>SUM(L232:L235)</f>
        <v>69734.535938929461</v>
      </c>
      <c r="M236" s="80">
        <f>SUM(M232:M235)</f>
        <v>105474.14201989101</v>
      </c>
      <c r="N236" s="80">
        <f>SUM(N232:N235)</f>
        <v>87231.763306939101</v>
      </c>
      <c r="O236" s="75"/>
      <c r="P236" s="75"/>
    </row>
    <row r="237" spans="1:16" outlineLevel="1" x14ac:dyDescent="0.35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</row>
    <row r="238" spans="1:16" ht="15.5" outlineLevel="1" x14ac:dyDescent="0.35">
      <c r="A238" s="75"/>
      <c r="B238" s="75" t="s">
        <v>135</v>
      </c>
      <c r="C238" s="75"/>
      <c r="D238" s="174">
        <v>0.08</v>
      </c>
      <c r="E238" s="81"/>
      <c r="F238" s="81"/>
      <c r="G238" s="81"/>
      <c r="H238" s="75"/>
      <c r="I238" s="75"/>
      <c r="J238" s="75"/>
      <c r="K238" s="75"/>
      <c r="L238" s="75"/>
      <c r="M238" s="75"/>
      <c r="N238" s="75"/>
      <c r="O238" s="75"/>
      <c r="P238" s="75"/>
    </row>
    <row r="239" spans="1:16" ht="15.5" outlineLevel="1" x14ac:dyDescent="0.35">
      <c r="A239" s="75"/>
      <c r="B239" s="75" t="s">
        <v>136</v>
      </c>
      <c r="C239" s="75"/>
      <c r="D239" s="175">
        <v>0.7</v>
      </c>
      <c r="E239" s="81"/>
      <c r="F239" s="81"/>
      <c r="G239" s="81"/>
      <c r="H239" s="75"/>
      <c r="I239" s="75"/>
      <c r="J239" s="75"/>
      <c r="K239" s="75"/>
      <c r="L239" s="75"/>
      <c r="M239" s="75"/>
      <c r="N239" s="75"/>
      <c r="O239" s="75"/>
      <c r="P239" s="75"/>
    </row>
    <row r="240" spans="1:16" ht="15.5" outlineLevel="1" x14ac:dyDescent="0.35">
      <c r="A240" s="75"/>
      <c r="B240" s="75" t="s">
        <v>137</v>
      </c>
      <c r="C240" s="75"/>
      <c r="D240" s="174">
        <v>0.15</v>
      </c>
      <c r="E240" s="81"/>
      <c r="F240" s="81"/>
      <c r="G240" s="81"/>
      <c r="H240" s="75"/>
      <c r="I240" s="75"/>
      <c r="J240" s="75"/>
      <c r="K240" s="75"/>
      <c r="L240" s="75"/>
      <c r="M240" s="75"/>
      <c r="N240" s="75"/>
      <c r="O240" s="75"/>
      <c r="P240" s="75"/>
    </row>
    <row r="241" spans="1:16" ht="20" outlineLevel="1" x14ac:dyDescent="0.4">
      <c r="A241" s="75"/>
      <c r="B241" s="75" t="s">
        <v>138</v>
      </c>
      <c r="C241" s="75"/>
      <c r="D241" s="82">
        <f>D238+D239*(D240-D238)</f>
        <v>0.129</v>
      </c>
      <c r="E241" s="120"/>
      <c r="F241" s="95" t="s">
        <v>139</v>
      </c>
      <c r="G241" s="81"/>
      <c r="H241" s="86"/>
      <c r="I241" s="75"/>
      <c r="J241" s="75"/>
      <c r="K241" s="75"/>
      <c r="L241" s="75"/>
      <c r="M241" s="75"/>
      <c r="N241" s="75"/>
      <c r="O241" s="75"/>
      <c r="P241" s="75"/>
    </row>
    <row r="242" spans="1:16" outlineLevel="1" x14ac:dyDescent="0.35">
      <c r="A242" s="75"/>
      <c r="B242" s="75" t="s">
        <v>140</v>
      </c>
      <c r="C242" s="75"/>
      <c r="D242" s="174">
        <v>0.1</v>
      </c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</row>
    <row r="243" spans="1:16" ht="20" outlineLevel="1" x14ac:dyDescent="0.4">
      <c r="A243" s="75"/>
      <c r="B243" s="75" t="s">
        <v>141</v>
      </c>
      <c r="C243" s="75"/>
      <c r="D243" s="82">
        <f>D242*(1-D231)</f>
        <v>6.9999999999999993E-2</v>
      </c>
      <c r="E243" s="120"/>
      <c r="F243" s="81"/>
      <c r="G243" s="81"/>
      <c r="H243" s="86"/>
      <c r="I243" s="75"/>
      <c r="J243" s="75"/>
      <c r="K243" s="75"/>
      <c r="L243" s="75"/>
      <c r="M243" s="75"/>
      <c r="N243" s="75"/>
      <c r="O243" s="75"/>
      <c r="P243" s="75"/>
    </row>
    <row r="244" spans="1:16" outlineLevel="1" x14ac:dyDescent="0.35">
      <c r="A244" s="75"/>
      <c r="B244" s="75" t="s">
        <v>142</v>
      </c>
      <c r="C244" s="75"/>
      <c r="D244" s="174">
        <v>0.4</v>
      </c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</row>
    <row r="245" spans="1:16" ht="20" outlineLevel="1" x14ac:dyDescent="0.4">
      <c r="A245" s="75"/>
      <c r="B245" s="74" t="s">
        <v>143</v>
      </c>
      <c r="C245" s="74"/>
      <c r="D245" s="96">
        <f>D241*(1-D244)+D243*D244</f>
        <v>0.10539999999999999</v>
      </c>
      <c r="E245" s="120"/>
      <c r="F245" s="86" t="s">
        <v>144</v>
      </c>
      <c r="G245" s="81"/>
      <c r="H245" s="86"/>
      <c r="I245" s="75"/>
      <c r="J245" s="75"/>
      <c r="K245" s="75"/>
      <c r="L245" s="75"/>
      <c r="M245" s="75"/>
      <c r="N245" s="75"/>
      <c r="O245" s="75"/>
      <c r="P245" s="75"/>
    </row>
    <row r="246" spans="1:16" outlineLevel="1" x14ac:dyDescent="0.35">
      <c r="A246" s="75"/>
      <c r="B246" s="75"/>
      <c r="C246" s="75"/>
      <c r="D246" s="77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</row>
    <row r="247" spans="1:16" outlineLevel="1" x14ac:dyDescent="0.35">
      <c r="A247" s="75"/>
      <c r="B247" s="75" t="s">
        <v>145</v>
      </c>
      <c r="C247" s="174"/>
      <c r="D247" s="192">
        <f>5%</f>
        <v>0.05</v>
      </c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</row>
    <row r="248" spans="1:16" outlineLevel="1" x14ac:dyDescent="0.35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9"/>
      <c r="M248" s="75"/>
      <c r="N248" s="75"/>
      <c r="O248" s="75"/>
      <c r="P248" s="75"/>
    </row>
    <row r="249" spans="1:16" outlineLevel="1" x14ac:dyDescent="0.35">
      <c r="A249" s="74"/>
      <c r="B249" s="74" t="s">
        <v>146</v>
      </c>
      <c r="C249" s="74"/>
      <c r="D249" s="74"/>
      <c r="E249" s="74"/>
      <c r="F249" s="74"/>
      <c r="G249" s="74"/>
      <c r="H249" s="74"/>
      <c r="I249" s="74"/>
      <c r="J249" s="74" t="s">
        <v>147</v>
      </c>
      <c r="K249" s="75"/>
      <c r="L249" s="74"/>
      <c r="M249" s="74"/>
      <c r="N249" s="80">
        <f>N236*(1+D247+$I$277)/(D245-(D247+$I$277))</f>
        <v>1653309.5933625645</v>
      </c>
      <c r="O249" s="9"/>
      <c r="P249" s="75"/>
    </row>
    <row r="250" spans="1:16" outlineLevel="1" x14ac:dyDescent="0.35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</row>
    <row r="251" spans="1:16" outlineLevel="1" x14ac:dyDescent="0.35">
      <c r="A251" s="75"/>
      <c r="B251" s="75" t="s">
        <v>148</v>
      </c>
      <c r="C251" s="75"/>
      <c r="D251" s="75"/>
      <c r="E251" s="75"/>
      <c r="F251" s="75"/>
      <c r="G251" s="75"/>
      <c r="H251" s="75"/>
      <c r="I251" s="75"/>
      <c r="J251" s="76">
        <v>1</v>
      </c>
      <c r="K251" s="76">
        <v>2</v>
      </c>
      <c r="L251" s="76">
        <v>3</v>
      </c>
      <c r="M251" s="76">
        <v>4</v>
      </c>
      <c r="N251" s="76">
        <v>5</v>
      </c>
      <c r="O251" s="9"/>
      <c r="P251" s="75"/>
    </row>
    <row r="252" spans="1:16" outlineLevel="1" x14ac:dyDescent="0.35">
      <c r="A252" s="75"/>
      <c r="B252" s="75" t="s">
        <v>149</v>
      </c>
      <c r="C252" s="75"/>
      <c r="D252" s="75"/>
      <c r="E252" s="75"/>
      <c r="F252" s="75"/>
      <c r="G252" s="75"/>
      <c r="H252" s="75"/>
      <c r="I252" s="75"/>
      <c r="J252" s="106">
        <f>1/(1+$D$245)^J251</f>
        <v>0.90464990048851102</v>
      </c>
      <c r="K252" s="121">
        <f>1/(1+$D$245)^K251</f>
        <v>0.81839144245387285</v>
      </c>
      <c r="L252" s="106">
        <f>1/(1+$D$245)^L251</f>
        <v>0.74035773697654506</v>
      </c>
      <c r="M252" s="106">
        <f>1/(1+$D$245)^M251</f>
        <v>0.66976455308173077</v>
      </c>
      <c r="N252" s="106">
        <f>1/(1+$D$245)^N251</f>
        <v>0.60590243629611984</v>
      </c>
      <c r="O252" s="9"/>
      <c r="P252" s="75"/>
    </row>
    <row r="253" spans="1:16" ht="15.5" outlineLevel="1" x14ac:dyDescent="0.35">
      <c r="A253" s="75"/>
      <c r="B253" s="75"/>
      <c r="C253" s="75"/>
      <c r="D253" s="75"/>
      <c r="E253" s="75"/>
      <c r="F253" s="75"/>
      <c r="G253" s="75"/>
      <c r="H253" s="75"/>
      <c r="I253" s="75"/>
      <c r="J253" s="86" t="s">
        <v>192</v>
      </c>
      <c r="K253" s="84"/>
      <c r="L253" s="84"/>
      <c r="M253" s="84"/>
      <c r="N253" s="84"/>
      <c r="O253" s="75"/>
      <c r="P253" s="75"/>
    </row>
    <row r="254" spans="1:16" ht="18.5" outlineLevel="1" x14ac:dyDescent="0.45">
      <c r="A254" s="74"/>
      <c r="B254" s="74" t="s">
        <v>150</v>
      </c>
      <c r="C254" s="74"/>
      <c r="D254" s="74"/>
      <c r="E254" s="74"/>
      <c r="F254" s="74"/>
      <c r="G254" s="74"/>
      <c r="H254" s="86"/>
      <c r="I254" s="83"/>
      <c r="J254" s="80">
        <f>J236*J252</f>
        <v>48718.837623025189</v>
      </c>
      <c r="K254" s="80">
        <f>K236*K252</f>
        <v>72675.886150541046</v>
      </c>
      <c r="L254" s="80">
        <f>L236*L252</f>
        <v>51628.503216855366</v>
      </c>
      <c r="M254" s="80">
        <f>M236*M252</f>
        <v>70642.841591631295</v>
      </c>
      <c r="N254" s="80">
        <f>N236*N252</f>
        <v>52853.937910080873</v>
      </c>
      <c r="O254" s="9"/>
      <c r="P254" s="75"/>
    </row>
    <row r="255" spans="1:16" outlineLevel="1" x14ac:dyDescent="0.35">
      <c r="A255" s="74"/>
      <c r="B255" s="74" t="s">
        <v>151</v>
      </c>
      <c r="C255" s="74"/>
      <c r="D255" s="74"/>
      <c r="E255" s="74"/>
      <c r="F255" s="74"/>
      <c r="G255" s="74"/>
      <c r="H255" s="74"/>
      <c r="I255" s="74"/>
      <c r="J255" s="75"/>
      <c r="K255" s="74"/>
      <c r="L255" s="75"/>
      <c r="M255" s="74"/>
      <c r="N255" s="80">
        <f>N249*N252</f>
        <v>1001744.310570125</v>
      </c>
      <c r="O255" s="9"/>
      <c r="P255" s="75"/>
    </row>
    <row r="256" spans="1:16" ht="15.5" outlineLevel="1" x14ac:dyDescent="0.35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86"/>
      <c r="N256" s="75"/>
      <c r="O256" s="75"/>
      <c r="P256" s="75"/>
    </row>
    <row r="257" spans="1:16" ht="18" outlineLevel="1" x14ac:dyDescent="0.4">
      <c r="A257" s="74"/>
      <c r="B257" s="74" t="s">
        <v>152</v>
      </c>
      <c r="C257" s="74"/>
      <c r="D257" s="74"/>
      <c r="E257" s="86"/>
      <c r="F257" s="86"/>
      <c r="G257" s="122"/>
      <c r="H257" s="74"/>
      <c r="I257" s="85">
        <f>SUM(J254:N255)</f>
        <v>1298264.3170622587</v>
      </c>
      <c r="J257" s="86"/>
      <c r="K257" s="74"/>
      <c r="L257" s="74"/>
      <c r="M257" s="74"/>
      <c r="N257" s="74"/>
      <c r="O257" s="75"/>
      <c r="P257" s="75"/>
    </row>
    <row r="258" spans="1:16" outlineLevel="1" x14ac:dyDescent="0.35">
      <c r="A258" s="75"/>
      <c r="B258" s="75" t="s">
        <v>153</v>
      </c>
      <c r="C258" s="75"/>
      <c r="D258" s="75"/>
      <c r="E258" s="75"/>
      <c r="F258" s="75"/>
      <c r="G258" s="75"/>
      <c r="H258" s="75"/>
      <c r="I258" s="76">
        <f>-'Financial Model'!I63</f>
        <v>-275000</v>
      </c>
      <c r="J258" s="9"/>
      <c r="K258" s="75"/>
      <c r="L258" s="75"/>
      <c r="M258" s="75"/>
      <c r="N258" s="75"/>
      <c r="O258" s="75"/>
      <c r="P258" s="75"/>
    </row>
    <row r="259" spans="1:16" outlineLevel="1" x14ac:dyDescent="0.35">
      <c r="A259" s="75"/>
      <c r="B259" s="75" t="s">
        <v>154</v>
      </c>
      <c r="C259" s="75"/>
      <c r="D259" s="75"/>
      <c r="E259" s="75"/>
      <c r="F259" s="75"/>
      <c r="G259" s="75"/>
      <c r="H259" s="75"/>
      <c r="I259" s="76">
        <f>'Financial Model'!I49</f>
        <v>148306.22041943786</v>
      </c>
      <c r="J259" s="9"/>
      <c r="K259" s="75"/>
      <c r="L259" s="75"/>
      <c r="M259" s="75"/>
      <c r="N259" s="75"/>
      <c r="O259" s="75"/>
      <c r="P259" s="75"/>
    </row>
    <row r="260" spans="1:16" outlineLevel="1" x14ac:dyDescent="0.35">
      <c r="A260" s="75"/>
      <c r="B260" s="75" t="s">
        <v>155</v>
      </c>
      <c r="C260" s="75"/>
      <c r="D260" s="75"/>
      <c r="E260" s="75"/>
      <c r="F260" s="75"/>
      <c r="G260" s="75"/>
      <c r="H260" s="75"/>
      <c r="I260" s="87">
        <v>0</v>
      </c>
      <c r="J260" s="75"/>
      <c r="K260" s="75"/>
      <c r="L260" s="75"/>
      <c r="M260" s="75"/>
      <c r="N260" s="75"/>
      <c r="O260" s="75"/>
      <c r="P260" s="75"/>
    </row>
    <row r="261" spans="1:16" ht="15.5" outlineLevel="1" x14ac:dyDescent="0.35">
      <c r="A261" s="74"/>
      <c r="B261" s="74" t="s">
        <v>156</v>
      </c>
      <c r="C261" s="74"/>
      <c r="D261" s="74"/>
      <c r="E261" s="75"/>
      <c r="F261" s="75"/>
      <c r="G261" s="75"/>
      <c r="H261" s="74"/>
      <c r="I261" s="85">
        <f>SUM(I257:I260)</f>
        <v>1171570.5374816966</v>
      </c>
      <c r="J261" s="86"/>
      <c r="K261" s="74"/>
      <c r="L261" s="74"/>
      <c r="M261" s="74"/>
      <c r="N261" s="74"/>
      <c r="O261" s="75"/>
      <c r="P261" s="75"/>
    </row>
    <row r="262" spans="1:16" outlineLevel="1" x14ac:dyDescent="0.35">
      <c r="A262" s="75"/>
      <c r="B262" s="75" t="s">
        <v>246</v>
      </c>
      <c r="C262" s="75"/>
      <c r="D262" s="75"/>
      <c r="E262" s="88">
        <v>10000000</v>
      </c>
      <c r="F262" s="88"/>
      <c r="G262" s="88"/>
      <c r="H262" s="75"/>
      <c r="I262" s="75"/>
      <c r="J262" s="88">
        <v>10000000</v>
      </c>
      <c r="K262" s="75"/>
      <c r="L262" s="75"/>
      <c r="M262" s="75"/>
      <c r="N262" s="75"/>
      <c r="O262" s="75"/>
      <c r="P262" s="75"/>
    </row>
    <row r="263" spans="1:16" ht="20" outlineLevel="1" x14ac:dyDescent="0.4">
      <c r="A263" s="75"/>
      <c r="B263" s="74" t="s">
        <v>158</v>
      </c>
      <c r="C263" s="74"/>
      <c r="D263" s="89">
        <f>I261*10^3/E262</f>
        <v>117.15705374816966</v>
      </c>
      <c r="E263" s="122"/>
      <c r="F263" s="86"/>
      <c r="G263" s="86"/>
      <c r="H263" s="120"/>
      <c r="I263" s="75"/>
      <c r="J263" s="75"/>
      <c r="K263" s="75"/>
      <c r="L263" s="75"/>
      <c r="M263" s="75"/>
      <c r="N263" s="75"/>
      <c r="O263" s="86" t="s">
        <v>193</v>
      </c>
      <c r="P263" s="75"/>
    </row>
    <row r="264" spans="1:16" outlineLevel="1" x14ac:dyDescent="0.35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</row>
    <row r="265" spans="1:16" outlineLevel="1" x14ac:dyDescent="0.35">
      <c r="A265" s="75"/>
      <c r="B265" s="75" t="s">
        <v>247</v>
      </c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</row>
    <row r="266" spans="1:16" outlineLevel="1" x14ac:dyDescent="0.35">
      <c r="A266" s="75"/>
      <c r="B266" s="75"/>
      <c r="C266" s="75"/>
      <c r="D266" s="75"/>
      <c r="E266" s="75"/>
      <c r="F266" s="179"/>
      <c r="G266" s="179"/>
      <c r="H266" s="177"/>
      <c r="I266" s="75"/>
      <c r="J266" s="178" t="s">
        <v>159</v>
      </c>
      <c r="K266" s="177"/>
      <c r="L266" s="177"/>
      <c r="M266" s="177"/>
      <c r="N266" s="75"/>
      <c r="O266" s="75"/>
      <c r="P266" s="75"/>
    </row>
    <row r="267" spans="1:16" outlineLevel="1" x14ac:dyDescent="0.35">
      <c r="A267" s="75"/>
      <c r="B267" s="75"/>
      <c r="C267" s="75"/>
      <c r="D267" s="75"/>
      <c r="E267" s="75"/>
      <c r="F267" s="179"/>
      <c r="G267" s="181"/>
      <c r="H267" s="184">
        <f>$D$263</f>
        <v>117.15705374816966</v>
      </c>
      <c r="I267" s="182">
        <v>0.03</v>
      </c>
      <c r="J267" s="204">
        <f>I267+1%</f>
        <v>0.04</v>
      </c>
      <c r="K267" s="204">
        <f t="shared" ref="K267:M267" si="102">J267+1%</f>
        <v>0.05</v>
      </c>
      <c r="L267" s="204">
        <f t="shared" si="102"/>
        <v>6.0000000000000005E-2</v>
      </c>
      <c r="M267" s="204">
        <f t="shared" si="102"/>
        <v>7.0000000000000007E-2</v>
      </c>
      <c r="N267" s="75"/>
      <c r="O267" s="75"/>
      <c r="P267" s="75"/>
    </row>
    <row r="268" spans="1:16" outlineLevel="1" x14ac:dyDescent="0.35">
      <c r="A268" s="75"/>
      <c r="B268" s="75"/>
      <c r="C268" s="75"/>
      <c r="D268" s="75"/>
      <c r="E268" s="75"/>
      <c r="F268" s="179"/>
      <c r="G268" s="181"/>
      <c r="H268" s="183">
        <v>0</v>
      </c>
      <c r="I268" s="176">
        <f t="dataTable" ref="I268:M272" dt2D="1" dtr="1" r1="D247" r2="J10"/>
        <v>80.212690415703932</v>
      </c>
      <c r="J268" s="176">
        <v>91.104378157516194</v>
      </c>
      <c r="K268" s="176">
        <v>105.92808313463971</v>
      </c>
      <c r="L268" s="176">
        <v>127.28205462150926</v>
      </c>
      <c r="M268" s="176">
        <v>160.70041677892661</v>
      </c>
      <c r="N268" s="75"/>
      <c r="O268" s="75"/>
      <c r="P268" s="75"/>
    </row>
    <row r="269" spans="1:16" outlineLevel="1" x14ac:dyDescent="0.35">
      <c r="A269" s="75"/>
      <c r="B269" s="75"/>
      <c r="C269" s="75"/>
      <c r="D269" s="75"/>
      <c r="E269" s="75"/>
      <c r="G269" s="180" t="s">
        <v>245</v>
      </c>
      <c r="H269" s="182">
        <f>H268+2.5%</f>
        <v>2.5000000000000001E-2</v>
      </c>
      <c r="I269" s="176">
        <v>85.156650494189932</v>
      </c>
      <c r="J269" s="189">
        <v>96.575410369543334</v>
      </c>
      <c r="K269" s="189">
        <v>112.11646622877876</v>
      </c>
      <c r="L269" s="189">
        <v>134.50380220221487</v>
      </c>
      <c r="M269" s="176">
        <v>169.53935059002171</v>
      </c>
      <c r="N269" s="75"/>
      <c r="O269" s="75"/>
      <c r="P269" s="75"/>
    </row>
    <row r="270" spans="1:16" outlineLevel="1" x14ac:dyDescent="0.35">
      <c r="A270" s="75"/>
      <c r="B270" s="75"/>
      <c r="C270" s="75"/>
      <c r="D270" s="75"/>
      <c r="E270" s="75"/>
      <c r="F270" s="243" t="s">
        <v>244</v>
      </c>
      <c r="G270" s="244"/>
      <c r="H270" s="183">
        <v>4.4999999999999998E-2</v>
      </c>
      <c r="I270" s="176">
        <v>89.111818556978875</v>
      </c>
      <c r="J270" s="189">
        <v>100.95223613916518</v>
      </c>
      <c r="K270" s="188">
        <v>117.06717270409018</v>
      </c>
      <c r="L270" s="189">
        <v>140.28120026677962</v>
      </c>
      <c r="M270" s="176">
        <v>176.61049763889801</v>
      </c>
      <c r="N270" s="75"/>
      <c r="O270" s="75"/>
      <c r="P270" s="75"/>
    </row>
    <row r="271" spans="1:16" outlineLevel="1" x14ac:dyDescent="0.35">
      <c r="A271" s="75"/>
      <c r="B271" s="75"/>
      <c r="C271" s="75"/>
      <c r="D271" s="75"/>
      <c r="E271" s="75"/>
      <c r="F271" s="179"/>
      <c r="G271" s="181"/>
      <c r="H271" s="183">
        <f>H270+2.5%</f>
        <v>7.0000000000000007E-2</v>
      </c>
      <c r="I271" s="176">
        <v>94.05577863546489</v>
      </c>
      <c r="J271" s="189">
        <v>106.42326835119233</v>
      </c>
      <c r="K271" s="189">
        <v>123.2555557982293</v>
      </c>
      <c r="L271" s="189">
        <v>147.50294784748522</v>
      </c>
      <c r="M271" s="176">
        <v>185.44943144999306</v>
      </c>
      <c r="N271" s="75"/>
      <c r="O271" s="75"/>
      <c r="P271" s="75"/>
    </row>
    <row r="272" spans="1:16" outlineLevel="1" x14ac:dyDescent="0.35">
      <c r="A272" s="75"/>
      <c r="B272" s="75"/>
      <c r="C272" s="75"/>
      <c r="D272" s="75"/>
      <c r="E272" s="75"/>
      <c r="F272" s="179"/>
      <c r="G272" s="181"/>
      <c r="H272" s="183">
        <f>H271+2.5%</f>
        <v>9.5000000000000001E-2</v>
      </c>
      <c r="I272" s="176">
        <v>98.999738713950848</v>
      </c>
      <c r="J272" s="176">
        <v>111.8943005632194</v>
      </c>
      <c r="K272" s="176">
        <v>129.44393889236835</v>
      </c>
      <c r="L272" s="176">
        <v>154.72469542819078</v>
      </c>
      <c r="M272" s="176">
        <v>194.2883652610881</v>
      </c>
      <c r="N272" s="75"/>
      <c r="O272" s="75"/>
      <c r="P272" s="75"/>
    </row>
    <row r="273" spans="1:17" outlineLevel="1" x14ac:dyDescent="0.35">
      <c r="A273" s="75"/>
      <c r="B273" s="75"/>
      <c r="C273" s="75"/>
      <c r="D273" s="75"/>
      <c r="E273" s="75"/>
      <c r="F273" s="179"/>
      <c r="G273" s="179"/>
      <c r="H273" s="191"/>
      <c r="I273" s="190"/>
      <c r="J273" s="190"/>
      <c r="K273" s="190"/>
      <c r="L273" s="190"/>
      <c r="M273" s="190"/>
      <c r="N273" s="75"/>
      <c r="O273" s="75"/>
      <c r="P273" s="75"/>
    </row>
    <row r="274" spans="1:17" ht="15" outlineLevel="1" thickBot="1" x14ac:dyDescent="0.4">
      <c r="A274" s="75"/>
      <c r="B274" s="75"/>
      <c r="C274" s="75"/>
      <c r="D274" s="75"/>
      <c r="E274" s="75"/>
      <c r="F274" s="179"/>
      <c r="G274" s="179"/>
      <c r="H274" s="191"/>
      <c r="I274" s="190"/>
      <c r="J274" s="190"/>
      <c r="K274" s="190"/>
      <c r="L274" s="190"/>
      <c r="M274" s="190"/>
      <c r="N274" s="75"/>
      <c r="O274" s="75"/>
      <c r="P274" s="75"/>
    </row>
    <row r="275" spans="1:17" outlineLevel="1" x14ac:dyDescent="0.35">
      <c r="A275" s="75"/>
      <c r="C275" s="193" t="s">
        <v>249</v>
      </c>
      <c r="D275" s="194"/>
      <c r="E275" s="195"/>
      <c r="F275" s="196" t="s">
        <v>259</v>
      </c>
      <c r="G275" s="197"/>
      <c r="H275" s="195"/>
      <c r="I275" s="198" t="s">
        <v>252</v>
      </c>
      <c r="J275" s="199"/>
      <c r="K275" s="190"/>
      <c r="L275" s="190"/>
      <c r="M275" s="190"/>
      <c r="N275" s="75"/>
      <c r="O275" s="75"/>
      <c r="P275" s="75"/>
    </row>
    <row r="276" spans="1:17" outlineLevel="1" x14ac:dyDescent="0.35">
      <c r="A276" s="75"/>
      <c r="B276" s="75"/>
      <c r="C276" s="200" t="s">
        <v>251</v>
      </c>
      <c r="D276" s="201" t="s">
        <v>250</v>
      </c>
      <c r="E276" s="202"/>
      <c r="F276" s="201" t="s">
        <v>251</v>
      </c>
      <c r="G276" s="201" t="s">
        <v>250</v>
      </c>
      <c r="H276" s="191"/>
      <c r="I276" s="201" t="s">
        <v>251</v>
      </c>
      <c r="J276" s="203" t="s">
        <v>250</v>
      </c>
      <c r="K276" s="190"/>
      <c r="L276" s="190"/>
      <c r="M276" s="190"/>
      <c r="N276" s="75"/>
      <c r="O276" s="75"/>
      <c r="P276" s="75"/>
    </row>
    <row r="277" spans="1:17" outlineLevel="1" x14ac:dyDescent="0.35">
      <c r="A277" s="75"/>
      <c r="B277" s="75"/>
      <c r="C277" s="223">
        <v>0</v>
      </c>
      <c r="D277" s="235">
        <f>$D$263</f>
        <v>117.15705374816966</v>
      </c>
      <c r="E277" s="214"/>
      <c r="F277" s="227">
        <v>0</v>
      </c>
      <c r="G277" s="226">
        <f>$D$263</f>
        <v>117.15705374816966</v>
      </c>
      <c r="H277" s="228"/>
      <c r="I277" s="227">
        <v>0</v>
      </c>
      <c r="J277" s="229">
        <f>$D$263</f>
        <v>117.15705374816966</v>
      </c>
      <c r="K277" s="190"/>
      <c r="L277" s="190"/>
      <c r="M277" s="190"/>
      <c r="N277" s="75"/>
      <c r="O277" s="75"/>
      <c r="P277" s="75"/>
    </row>
    <row r="278" spans="1:17" outlineLevel="1" x14ac:dyDescent="0.35">
      <c r="A278" s="75"/>
      <c r="B278" s="75"/>
      <c r="C278" s="224">
        <v>-2.5000000000000001E-2</v>
      </c>
      <c r="D278" s="235">
        <f t="dataTable" ref="D278:D279" dt2D="0" dtr="0" r1="C277" ca="1"/>
        <v>84.38728012434369</v>
      </c>
      <c r="E278" s="230"/>
      <c r="F278" s="230">
        <v>-2.5000000000000001E-2</v>
      </c>
      <c r="G278" s="226">
        <f t="dataTable" ref="G278:G279" dt2D="0" dtr="0" r1="F277" ca="1"/>
        <v>138.32712686876087</v>
      </c>
      <c r="H278" s="228"/>
      <c r="I278" s="230">
        <v>-0.01</v>
      </c>
      <c r="J278" s="229">
        <f t="dataTable" ref="J278:J279" dt2D="0" dtr="0" r1="I277" ca="1"/>
        <v>101.03169826682095</v>
      </c>
      <c r="K278" s="190"/>
      <c r="L278" s="190"/>
      <c r="M278" s="190"/>
      <c r="N278" s="75"/>
      <c r="O278" s="75"/>
      <c r="P278" s="75"/>
    </row>
    <row r="279" spans="1:17" ht="15" outlineLevel="1" thickBot="1" x14ac:dyDescent="0.4">
      <c r="A279" s="75"/>
      <c r="B279" s="75"/>
      <c r="C279" s="225">
        <v>2.5000000000000001E-2</v>
      </c>
      <c r="D279" s="236">
        <v>153.00031718366543</v>
      </c>
      <c r="E279" s="232"/>
      <c r="F279" s="232">
        <v>2.5000000000000001E-2</v>
      </c>
      <c r="G279" s="231">
        <v>93.907386918061391</v>
      </c>
      <c r="H279" s="233"/>
      <c r="I279" s="232">
        <v>0.01</v>
      </c>
      <c r="J279" s="234">
        <v>140.38609005830637</v>
      </c>
      <c r="K279" s="190"/>
      <c r="L279" s="190"/>
      <c r="M279" s="190"/>
      <c r="N279" s="75"/>
      <c r="O279" s="75"/>
      <c r="P279" s="75"/>
    </row>
    <row r="280" spans="1:17" outlineLevel="1" x14ac:dyDescent="0.35">
      <c r="A280" s="75"/>
      <c r="B280" s="75"/>
      <c r="C280" s="75"/>
      <c r="D280" s="75"/>
      <c r="E280" s="75"/>
      <c r="F280" s="179"/>
      <c r="G280" s="179"/>
      <c r="H280" s="191"/>
      <c r="I280" s="190"/>
      <c r="J280" s="190"/>
      <c r="K280" s="190"/>
      <c r="L280" s="190"/>
      <c r="M280" s="190"/>
      <c r="N280" s="75"/>
      <c r="O280" s="75"/>
      <c r="P280" s="75"/>
    </row>
    <row r="281" spans="1:17" ht="15" outlineLevel="1" thickBot="1" x14ac:dyDescent="0.4">
      <c r="A281" s="75"/>
      <c r="B281" s="75"/>
      <c r="C281" s="75"/>
      <c r="D281" s="75"/>
      <c r="E281" s="75"/>
      <c r="F281" s="179"/>
      <c r="G281" s="179"/>
      <c r="H281" s="191"/>
      <c r="I281" s="190"/>
      <c r="J281" s="190"/>
      <c r="K281" s="190"/>
      <c r="L281" s="190"/>
      <c r="M281" s="190"/>
      <c r="N281" s="75"/>
      <c r="O281" s="75"/>
      <c r="P281" s="75"/>
    </row>
    <row r="282" spans="1:17" outlineLevel="1" x14ac:dyDescent="0.35">
      <c r="A282" s="75"/>
      <c r="B282" s="75"/>
      <c r="C282" s="209" t="s">
        <v>253</v>
      </c>
      <c r="D282" s="210" t="s">
        <v>257</v>
      </c>
      <c r="E282" s="211" t="s">
        <v>254</v>
      </c>
      <c r="F282" s="211" t="s">
        <v>258</v>
      </c>
      <c r="G282" s="209" t="s">
        <v>253</v>
      </c>
      <c r="H282" s="210" t="s">
        <v>255</v>
      </c>
      <c r="I282" s="212" t="s">
        <v>256</v>
      </c>
      <c r="J282" s="190"/>
      <c r="K282" s="190"/>
      <c r="L282" s="190"/>
      <c r="M282" s="190"/>
      <c r="N282" s="190"/>
      <c r="O282" s="75"/>
      <c r="P282" s="75"/>
      <c r="Q282" s="75"/>
    </row>
    <row r="283" spans="1:17" outlineLevel="1" x14ac:dyDescent="0.35">
      <c r="A283" s="75"/>
      <c r="B283" s="75"/>
      <c r="C283" s="213" t="str">
        <f>C275</f>
        <v>Turnover Growth +/-2.5%</v>
      </c>
      <c r="D283" s="207">
        <f>ABS((D277-D278)/D277)</f>
        <v>0.27970807198911768</v>
      </c>
      <c r="E283" s="214">
        <v>1</v>
      </c>
      <c r="F283" s="206">
        <f t="shared" ref="F283:F285" si="103">SMALL($D$283:$D$285,E283)</f>
        <v>0.13763879310255045</v>
      </c>
      <c r="G283" s="221" t="str">
        <f>INDEX($C$283:$C$285,MATCH(F283,$D$283:$D$285,0))</f>
        <v>Terminal Growth Rate +/-1%</v>
      </c>
      <c r="H283" s="208">
        <f t="shared" ref="H283:H285" si="104">F283</f>
        <v>0.13763879310255045</v>
      </c>
      <c r="I283" s="215">
        <f t="shared" ref="I283:I285" si="105">-H283</f>
        <v>-0.13763879310255045</v>
      </c>
      <c r="J283" s="190"/>
      <c r="K283" s="190"/>
      <c r="L283" s="190"/>
      <c r="M283" s="190"/>
      <c r="N283" s="75"/>
      <c r="O283" s="75"/>
      <c r="P283" s="75"/>
    </row>
    <row r="284" spans="1:17" outlineLevel="1" x14ac:dyDescent="0.35">
      <c r="A284" s="75"/>
      <c r="B284" s="75"/>
      <c r="C284" s="213" t="str">
        <f>F275</f>
        <v>Cost of Sales +/-2.5%</v>
      </c>
      <c r="D284" s="207">
        <f>ABS((G277-G278)/G277)</f>
        <v>0.18069823747955041</v>
      </c>
      <c r="E284" s="214">
        <v>2</v>
      </c>
      <c r="F284" s="206">
        <f t="shared" si="103"/>
        <v>0.18069823747955041</v>
      </c>
      <c r="G284" s="221" t="str">
        <f t="shared" ref="G284:G285" si="106">INDEX($C$283:$C$285,MATCH(F284,$D$283:$D$285,0))</f>
        <v>Cost of Sales +/-2.5%</v>
      </c>
      <c r="H284" s="208">
        <f t="shared" si="104"/>
        <v>0.18069823747955041</v>
      </c>
      <c r="I284" s="215">
        <f t="shared" si="105"/>
        <v>-0.18069823747955041</v>
      </c>
      <c r="J284" s="190"/>
      <c r="K284" s="190"/>
      <c r="L284" s="190"/>
      <c r="M284" s="190"/>
      <c r="N284" s="75"/>
      <c r="O284" s="75"/>
      <c r="P284" s="75"/>
    </row>
    <row r="285" spans="1:17" ht="15" outlineLevel="1" thickBot="1" x14ac:dyDescent="0.4">
      <c r="A285" s="75"/>
      <c r="B285" s="75"/>
      <c r="C285" s="205" t="str">
        <f>I275</f>
        <v>Terminal Growth Rate +/-1%</v>
      </c>
      <c r="D285" s="216">
        <f>ABS((J277-J278)/J277)</f>
        <v>0.13763879310255045</v>
      </c>
      <c r="E285" s="217">
        <v>3</v>
      </c>
      <c r="F285" s="218">
        <f t="shared" si="103"/>
        <v>0.27970807198911768</v>
      </c>
      <c r="G285" s="222" t="str">
        <f t="shared" si="106"/>
        <v>Turnover Growth +/-2.5%</v>
      </c>
      <c r="H285" s="219">
        <f t="shared" si="104"/>
        <v>0.27970807198911768</v>
      </c>
      <c r="I285" s="220">
        <f t="shared" si="105"/>
        <v>-0.27970807198911768</v>
      </c>
      <c r="J285" s="190"/>
      <c r="K285" s="190"/>
      <c r="L285" s="190"/>
      <c r="M285" s="190"/>
      <c r="N285" s="75"/>
      <c r="O285" s="75"/>
      <c r="P285" s="75"/>
    </row>
    <row r="286" spans="1:17" outlineLevel="1" x14ac:dyDescent="0.35">
      <c r="A286" s="75"/>
      <c r="B286" s="75"/>
      <c r="C286" s="75"/>
      <c r="D286" s="75"/>
      <c r="E286" s="75"/>
      <c r="F286" s="179"/>
      <c r="G286" s="179"/>
      <c r="H286" s="191"/>
      <c r="I286" s="190"/>
      <c r="J286" s="190"/>
      <c r="K286" s="190"/>
      <c r="L286" s="190"/>
      <c r="M286" s="190"/>
      <c r="N286" s="75"/>
      <c r="O286" s="75"/>
      <c r="P286" s="75"/>
    </row>
    <row r="287" spans="1:17" outlineLevel="1" x14ac:dyDescent="0.35">
      <c r="A287" s="75"/>
      <c r="B287" s="75"/>
      <c r="C287" s="75"/>
      <c r="D287" s="75"/>
      <c r="E287" s="75"/>
      <c r="F287" s="179"/>
      <c r="G287" s="179"/>
      <c r="H287" s="191"/>
      <c r="I287" s="190"/>
      <c r="J287" s="190"/>
      <c r="K287" s="190"/>
      <c r="L287" s="190"/>
      <c r="M287" s="190"/>
      <c r="N287" s="75"/>
      <c r="O287" s="75"/>
      <c r="P287" s="75"/>
    </row>
    <row r="288" spans="1:17" outlineLevel="1" x14ac:dyDescent="0.35">
      <c r="A288" s="75"/>
      <c r="B288" s="75"/>
      <c r="C288" s="75"/>
      <c r="D288" s="75"/>
      <c r="E288" s="75"/>
      <c r="F288" s="179"/>
      <c r="G288" s="179"/>
      <c r="H288" s="191"/>
      <c r="I288" s="190"/>
      <c r="J288" s="190"/>
      <c r="K288" s="190"/>
      <c r="L288" s="190"/>
      <c r="M288" s="190"/>
      <c r="N288" s="75"/>
      <c r="O288" s="75"/>
      <c r="P288" s="75"/>
    </row>
    <row r="289" spans="1:16" outlineLevel="1" x14ac:dyDescent="0.35">
      <c r="A289" s="75"/>
      <c r="B289" s="75"/>
      <c r="C289" s="75"/>
      <c r="D289" s="75"/>
      <c r="E289" s="75"/>
      <c r="F289" s="179"/>
      <c r="G289" s="179"/>
      <c r="H289" s="191"/>
      <c r="I289" s="190"/>
      <c r="J289" s="190"/>
      <c r="K289" s="190"/>
      <c r="L289" s="190"/>
      <c r="M289" s="190"/>
      <c r="N289" s="75"/>
      <c r="O289" s="75"/>
      <c r="P289" s="75"/>
    </row>
    <row r="290" spans="1:16" outlineLevel="1" x14ac:dyDescent="0.35">
      <c r="A290" s="75"/>
      <c r="B290" s="75"/>
      <c r="C290" s="75"/>
      <c r="D290" s="75"/>
      <c r="E290" s="75"/>
      <c r="F290" s="179"/>
      <c r="G290" s="179"/>
      <c r="H290" s="191"/>
      <c r="I290" s="190"/>
      <c r="J290" s="190"/>
      <c r="K290" s="190"/>
      <c r="L290" s="190"/>
      <c r="M290" s="190"/>
      <c r="N290" s="75"/>
      <c r="O290" s="75"/>
      <c r="P290" s="75"/>
    </row>
    <row r="291" spans="1:16" outlineLevel="1" x14ac:dyDescent="0.35">
      <c r="A291" s="75"/>
      <c r="B291" s="75"/>
      <c r="C291" s="75"/>
      <c r="D291" s="75"/>
      <c r="E291" s="75"/>
      <c r="F291" s="179"/>
      <c r="G291" s="179"/>
      <c r="H291" s="191"/>
      <c r="I291" s="190"/>
      <c r="J291" s="190"/>
      <c r="K291" s="190"/>
      <c r="L291" s="190"/>
      <c r="M291" s="190"/>
      <c r="N291" s="75"/>
      <c r="O291" s="75"/>
      <c r="P291" s="75"/>
    </row>
    <row r="292" spans="1:16" outlineLevel="1" x14ac:dyDescent="0.35">
      <c r="A292" s="75"/>
      <c r="B292" s="75"/>
      <c r="C292" s="75"/>
      <c r="D292" s="75"/>
      <c r="E292" s="75"/>
      <c r="F292" s="179"/>
      <c r="G292" s="179"/>
      <c r="H292" s="191"/>
      <c r="I292" s="190"/>
      <c r="J292" s="190"/>
      <c r="K292" s="190"/>
      <c r="L292" s="190"/>
      <c r="M292" s="190"/>
      <c r="N292" s="75"/>
      <c r="O292" s="75"/>
      <c r="P292" s="75"/>
    </row>
    <row r="293" spans="1:16" outlineLevel="1" x14ac:dyDescent="0.35">
      <c r="A293" s="75"/>
      <c r="B293" s="75"/>
      <c r="C293" s="75"/>
      <c r="D293" s="75"/>
      <c r="E293" s="75"/>
      <c r="F293" s="179"/>
      <c r="G293" s="179"/>
      <c r="H293" s="191"/>
      <c r="I293" s="190"/>
      <c r="J293" s="190"/>
      <c r="K293" s="190"/>
      <c r="L293" s="190"/>
      <c r="M293" s="190"/>
      <c r="N293" s="75"/>
      <c r="O293" s="75"/>
      <c r="P293" s="75"/>
    </row>
    <row r="294" spans="1:16" outlineLevel="1" x14ac:dyDescent="0.35">
      <c r="A294" s="75"/>
      <c r="B294" s="75"/>
      <c r="C294" s="75"/>
      <c r="D294" s="75"/>
      <c r="E294" s="75"/>
      <c r="F294" s="179"/>
      <c r="G294" s="179"/>
      <c r="H294" s="191"/>
      <c r="I294" s="190"/>
      <c r="J294" s="190"/>
      <c r="K294" s="190"/>
      <c r="L294" s="190"/>
      <c r="M294" s="190"/>
      <c r="N294" s="75"/>
      <c r="O294" s="75"/>
      <c r="P294" s="75"/>
    </row>
    <row r="295" spans="1:16" outlineLevel="1" x14ac:dyDescent="0.35">
      <c r="A295" s="75"/>
      <c r="B295" s="75"/>
      <c r="C295" s="75"/>
      <c r="D295" s="75"/>
      <c r="E295" s="75"/>
      <c r="F295" s="179"/>
      <c r="G295" s="179"/>
      <c r="H295" s="191"/>
      <c r="I295" s="190"/>
      <c r="J295" s="190"/>
      <c r="K295" s="190"/>
      <c r="L295" s="190"/>
      <c r="M295" s="190"/>
      <c r="N295" s="75"/>
      <c r="O295" s="75"/>
      <c r="P295" s="75"/>
    </row>
    <row r="296" spans="1:16" outlineLevel="1" x14ac:dyDescent="0.35">
      <c r="A296" s="75"/>
      <c r="B296" s="75"/>
      <c r="C296" s="75"/>
      <c r="D296" s="75"/>
      <c r="E296" s="75"/>
      <c r="F296" s="179"/>
      <c r="G296" s="179"/>
      <c r="H296" s="191"/>
      <c r="I296" s="190"/>
      <c r="J296" s="190"/>
      <c r="K296" s="190"/>
      <c r="L296" s="190"/>
      <c r="M296" s="190"/>
      <c r="N296" s="75"/>
      <c r="O296" s="75"/>
      <c r="P296" s="75"/>
    </row>
    <row r="297" spans="1:16" outlineLevel="1" x14ac:dyDescent="0.35">
      <c r="A297" s="75"/>
      <c r="B297" s="75"/>
      <c r="C297" s="75"/>
      <c r="D297" s="75"/>
      <c r="E297" s="75"/>
      <c r="F297" s="179"/>
      <c r="G297" s="179"/>
      <c r="H297" s="191"/>
      <c r="I297" s="190"/>
      <c r="J297" s="190"/>
      <c r="K297" s="190"/>
      <c r="L297" s="190"/>
      <c r="M297" s="190"/>
      <c r="N297" s="75"/>
      <c r="O297" s="75"/>
      <c r="P297" s="75"/>
    </row>
    <row r="298" spans="1:16" outlineLevel="1" x14ac:dyDescent="0.35">
      <c r="A298" s="75"/>
      <c r="B298" s="75"/>
      <c r="C298" s="75"/>
      <c r="D298" s="75"/>
      <c r="E298" s="75"/>
      <c r="F298" s="179"/>
      <c r="G298" s="179"/>
      <c r="H298" s="191"/>
      <c r="I298" s="190"/>
      <c r="J298" s="190"/>
      <c r="K298" s="190"/>
      <c r="L298" s="190"/>
      <c r="M298" s="190"/>
      <c r="N298" s="75"/>
      <c r="O298" s="75"/>
      <c r="P298" s="75"/>
    </row>
    <row r="299" spans="1:16" outlineLevel="1" x14ac:dyDescent="0.35">
      <c r="A299" s="75"/>
      <c r="B299" s="75"/>
      <c r="C299" s="75"/>
      <c r="D299" s="75"/>
      <c r="E299" s="75"/>
      <c r="F299" s="179"/>
      <c r="G299" s="179"/>
      <c r="H299" s="191"/>
      <c r="I299" s="190"/>
      <c r="J299" s="190"/>
      <c r="K299" s="190"/>
      <c r="L299" s="190"/>
      <c r="M299" s="190"/>
      <c r="N299" s="75"/>
      <c r="O299" s="75"/>
      <c r="P299" s="75"/>
    </row>
    <row r="300" spans="1:16" outlineLevel="1" x14ac:dyDescent="0.35">
      <c r="A300" s="75"/>
      <c r="B300" s="75"/>
      <c r="C300" s="75"/>
      <c r="D300" s="75"/>
      <c r="E300" s="75"/>
      <c r="F300" s="179"/>
      <c r="G300" s="179"/>
      <c r="H300" s="191"/>
      <c r="I300" s="190"/>
      <c r="J300" s="190"/>
      <c r="K300" s="190"/>
      <c r="L300" s="190"/>
      <c r="M300" s="190"/>
      <c r="N300" s="75"/>
      <c r="O300" s="75"/>
      <c r="P300" s="75"/>
    </row>
    <row r="301" spans="1:16" outlineLevel="1" x14ac:dyDescent="0.35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</row>
    <row r="302" spans="1:16" x14ac:dyDescent="0.35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</row>
    <row r="303" spans="1:16" x14ac:dyDescent="0.35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</row>
    <row r="304" spans="1:16" x14ac:dyDescent="0.35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</row>
  </sheetData>
  <mergeCells count="1">
    <mergeCell ref="F270:G270"/>
  </mergeCells>
  <conditionalFormatting sqref="E3:N3">
    <cfRule type="cellIs" dxfId="1" priority="4" operator="equal">
      <formula>FALSE</formula>
    </cfRule>
    <cfRule type="cellIs" dxfId="0" priority="5" operator="equal">
      <formula>TRUE</formula>
    </cfRule>
  </conditionalFormatting>
  <pageMargins left="0.7" right="0.7" top="0.75" bottom="0.75" header="0.3" footer="0.3"/>
  <pageSetup paperSize="9" orientation="portrait" horizont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N61"/>
  <sheetViews>
    <sheetView topLeftCell="A43" zoomScaleNormal="100" zoomScalePageLayoutView="130" workbookViewId="0">
      <selection activeCell="D17" sqref="D17"/>
    </sheetView>
  </sheetViews>
  <sheetFormatPr defaultColWidth="8.81640625" defaultRowHeight="12.5" x14ac:dyDescent="0.25"/>
  <cols>
    <col min="1" max="1" width="3.81640625" style="75" customWidth="1"/>
    <col min="2" max="2" width="19.7265625" style="75" customWidth="1"/>
    <col min="3" max="3" width="8.1796875" style="75" customWidth="1"/>
    <col min="4" max="4" width="13.54296875" style="75" customWidth="1"/>
    <col min="5" max="6" width="8.453125" style="75" customWidth="1"/>
    <col min="7" max="7" width="10.81640625" style="75" customWidth="1"/>
    <col min="8" max="8" width="8.453125" style="75" customWidth="1"/>
    <col min="9" max="9" width="10.81640625" style="75" customWidth="1"/>
    <col min="10" max="10" width="11.1796875" style="75" customWidth="1"/>
    <col min="11" max="11" width="11.54296875" style="75" customWidth="1"/>
    <col min="12" max="12" width="11.26953125" style="75" customWidth="1"/>
    <col min="13" max="13" width="11.7265625" style="75" customWidth="1"/>
    <col min="14" max="14" width="12.6328125" style="75" customWidth="1"/>
    <col min="15" max="256" width="8.81640625" style="75"/>
    <col min="257" max="257" width="2.81640625" style="75" customWidth="1"/>
    <col min="258" max="258" width="29.6328125" style="75" customWidth="1"/>
    <col min="259" max="259" width="3" style="75" customWidth="1"/>
    <col min="260" max="260" width="8.81640625" style="75"/>
    <col min="261" max="270" width="12.6328125" style="75" customWidth="1"/>
    <col min="271" max="512" width="8.81640625" style="75"/>
    <col min="513" max="513" width="2.81640625" style="75" customWidth="1"/>
    <col min="514" max="514" width="29.6328125" style="75" customWidth="1"/>
    <col min="515" max="515" width="3" style="75" customWidth="1"/>
    <col min="516" max="516" width="8.81640625" style="75"/>
    <col min="517" max="526" width="12.6328125" style="75" customWidth="1"/>
    <col min="527" max="768" width="8.81640625" style="75"/>
    <col min="769" max="769" width="2.81640625" style="75" customWidth="1"/>
    <col min="770" max="770" width="29.6328125" style="75" customWidth="1"/>
    <col min="771" max="771" width="3" style="75" customWidth="1"/>
    <col min="772" max="772" width="8.81640625" style="75"/>
    <col min="773" max="782" width="12.6328125" style="75" customWidth="1"/>
    <col min="783" max="1024" width="8.81640625" style="75"/>
    <col min="1025" max="1025" width="2.81640625" style="75" customWidth="1"/>
    <col min="1026" max="1026" width="29.6328125" style="75" customWidth="1"/>
    <col min="1027" max="1027" width="3" style="75" customWidth="1"/>
    <col min="1028" max="1028" width="8.81640625" style="75"/>
    <col min="1029" max="1038" width="12.6328125" style="75" customWidth="1"/>
    <col min="1039" max="1280" width="8.81640625" style="75"/>
    <col min="1281" max="1281" width="2.81640625" style="75" customWidth="1"/>
    <col min="1282" max="1282" width="29.6328125" style="75" customWidth="1"/>
    <col min="1283" max="1283" width="3" style="75" customWidth="1"/>
    <col min="1284" max="1284" width="8.81640625" style="75"/>
    <col min="1285" max="1294" width="12.6328125" style="75" customWidth="1"/>
    <col min="1295" max="1536" width="8.81640625" style="75"/>
    <col min="1537" max="1537" width="2.81640625" style="75" customWidth="1"/>
    <col min="1538" max="1538" width="29.6328125" style="75" customWidth="1"/>
    <col min="1539" max="1539" width="3" style="75" customWidth="1"/>
    <col min="1540" max="1540" width="8.81640625" style="75"/>
    <col min="1541" max="1550" width="12.6328125" style="75" customWidth="1"/>
    <col min="1551" max="1792" width="8.81640625" style="75"/>
    <col min="1793" max="1793" width="2.81640625" style="75" customWidth="1"/>
    <col min="1794" max="1794" width="29.6328125" style="75" customWidth="1"/>
    <col min="1795" max="1795" width="3" style="75" customWidth="1"/>
    <col min="1796" max="1796" width="8.81640625" style="75"/>
    <col min="1797" max="1806" width="12.6328125" style="75" customWidth="1"/>
    <col min="1807" max="2048" width="8.81640625" style="75"/>
    <col min="2049" max="2049" width="2.81640625" style="75" customWidth="1"/>
    <col min="2050" max="2050" width="29.6328125" style="75" customWidth="1"/>
    <col min="2051" max="2051" width="3" style="75" customWidth="1"/>
    <col min="2052" max="2052" width="8.81640625" style="75"/>
    <col min="2053" max="2062" width="12.6328125" style="75" customWidth="1"/>
    <col min="2063" max="2304" width="8.81640625" style="75"/>
    <col min="2305" max="2305" width="2.81640625" style="75" customWidth="1"/>
    <col min="2306" max="2306" width="29.6328125" style="75" customWidth="1"/>
    <col min="2307" max="2307" width="3" style="75" customWidth="1"/>
    <col min="2308" max="2308" width="8.81640625" style="75"/>
    <col min="2309" max="2318" width="12.6328125" style="75" customWidth="1"/>
    <col min="2319" max="2560" width="8.81640625" style="75"/>
    <col min="2561" max="2561" width="2.81640625" style="75" customWidth="1"/>
    <col min="2562" max="2562" width="29.6328125" style="75" customWidth="1"/>
    <col min="2563" max="2563" width="3" style="75" customWidth="1"/>
    <col min="2564" max="2564" width="8.81640625" style="75"/>
    <col min="2565" max="2574" width="12.6328125" style="75" customWidth="1"/>
    <col min="2575" max="2816" width="8.81640625" style="75"/>
    <col min="2817" max="2817" width="2.81640625" style="75" customWidth="1"/>
    <col min="2818" max="2818" width="29.6328125" style="75" customWidth="1"/>
    <col min="2819" max="2819" width="3" style="75" customWidth="1"/>
    <col min="2820" max="2820" width="8.81640625" style="75"/>
    <col min="2821" max="2830" width="12.6328125" style="75" customWidth="1"/>
    <col min="2831" max="3072" width="8.81640625" style="75"/>
    <col min="3073" max="3073" width="2.81640625" style="75" customWidth="1"/>
    <col min="3074" max="3074" width="29.6328125" style="75" customWidth="1"/>
    <col min="3075" max="3075" width="3" style="75" customWidth="1"/>
    <col min="3076" max="3076" width="8.81640625" style="75"/>
    <col min="3077" max="3086" width="12.6328125" style="75" customWidth="1"/>
    <col min="3087" max="3328" width="8.81640625" style="75"/>
    <col min="3329" max="3329" width="2.81640625" style="75" customWidth="1"/>
    <col min="3330" max="3330" width="29.6328125" style="75" customWidth="1"/>
    <col min="3331" max="3331" width="3" style="75" customWidth="1"/>
    <col min="3332" max="3332" width="8.81640625" style="75"/>
    <col min="3333" max="3342" width="12.6328125" style="75" customWidth="1"/>
    <col min="3343" max="3584" width="8.81640625" style="75"/>
    <col min="3585" max="3585" width="2.81640625" style="75" customWidth="1"/>
    <col min="3586" max="3586" width="29.6328125" style="75" customWidth="1"/>
    <col min="3587" max="3587" width="3" style="75" customWidth="1"/>
    <col min="3588" max="3588" width="8.81640625" style="75"/>
    <col min="3589" max="3598" width="12.6328125" style="75" customWidth="1"/>
    <col min="3599" max="3840" width="8.81640625" style="75"/>
    <col min="3841" max="3841" width="2.81640625" style="75" customWidth="1"/>
    <col min="3842" max="3842" width="29.6328125" style="75" customWidth="1"/>
    <col min="3843" max="3843" width="3" style="75" customWidth="1"/>
    <col min="3844" max="3844" width="8.81640625" style="75"/>
    <col min="3845" max="3854" width="12.6328125" style="75" customWidth="1"/>
    <col min="3855" max="4096" width="8.81640625" style="75"/>
    <col min="4097" max="4097" width="2.81640625" style="75" customWidth="1"/>
    <col min="4098" max="4098" width="29.6328125" style="75" customWidth="1"/>
    <col min="4099" max="4099" width="3" style="75" customWidth="1"/>
    <col min="4100" max="4100" width="8.81640625" style="75"/>
    <col min="4101" max="4110" width="12.6328125" style="75" customWidth="1"/>
    <col min="4111" max="4352" width="8.81640625" style="75"/>
    <col min="4353" max="4353" width="2.81640625" style="75" customWidth="1"/>
    <col min="4354" max="4354" width="29.6328125" style="75" customWidth="1"/>
    <col min="4355" max="4355" width="3" style="75" customWidth="1"/>
    <col min="4356" max="4356" width="8.81640625" style="75"/>
    <col min="4357" max="4366" width="12.6328125" style="75" customWidth="1"/>
    <col min="4367" max="4608" width="8.81640625" style="75"/>
    <col min="4609" max="4609" width="2.81640625" style="75" customWidth="1"/>
    <col min="4610" max="4610" width="29.6328125" style="75" customWidth="1"/>
    <col min="4611" max="4611" width="3" style="75" customWidth="1"/>
    <col min="4612" max="4612" width="8.81640625" style="75"/>
    <col min="4613" max="4622" width="12.6328125" style="75" customWidth="1"/>
    <col min="4623" max="4864" width="8.81640625" style="75"/>
    <col min="4865" max="4865" width="2.81640625" style="75" customWidth="1"/>
    <col min="4866" max="4866" width="29.6328125" style="75" customWidth="1"/>
    <col min="4867" max="4867" width="3" style="75" customWidth="1"/>
    <col min="4868" max="4868" width="8.81640625" style="75"/>
    <col min="4869" max="4878" width="12.6328125" style="75" customWidth="1"/>
    <col min="4879" max="5120" width="8.81640625" style="75"/>
    <col min="5121" max="5121" width="2.81640625" style="75" customWidth="1"/>
    <col min="5122" max="5122" width="29.6328125" style="75" customWidth="1"/>
    <col min="5123" max="5123" width="3" style="75" customWidth="1"/>
    <col min="5124" max="5124" width="8.81640625" style="75"/>
    <col min="5125" max="5134" width="12.6328125" style="75" customWidth="1"/>
    <col min="5135" max="5376" width="8.81640625" style="75"/>
    <col min="5377" max="5377" width="2.81640625" style="75" customWidth="1"/>
    <col min="5378" max="5378" width="29.6328125" style="75" customWidth="1"/>
    <col min="5379" max="5379" width="3" style="75" customWidth="1"/>
    <col min="5380" max="5380" width="8.81640625" style="75"/>
    <col min="5381" max="5390" width="12.6328125" style="75" customWidth="1"/>
    <col min="5391" max="5632" width="8.81640625" style="75"/>
    <col min="5633" max="5633" width="2.81640625" style="75" customWidth="1"/>
    <col min="5634" max="5634" width="29.6328125" style="75" customWidth="1"/>
    <col min="5635" max="5635" width="3" style="75" customWidth="1"/>
    <col min="5636" max="5636" width="8.81640625" style="75"/>
    <col min="5637" max="5646" width="12.6328125" style="75" customWidth="1"/>
    <col min="5647" max="5888" width="8.81640625" style="75"/>
    <col min="5889" max="5889" width="2.81640625" style="75" customWidth="1"/>
    <col min="5890" max="5890" width="29.6328125" style="75" customWidth="1"/>
    <col min="5891" max="5891" width="3" style="75" customWidth="1"/>
    <col min="5892" max="5892" width="8.81640625" style="75"/>
    <col min="5893" max="5902" width="12.6328125" style="75" customWidth="1"/>
    <col min="5903" max="6144" width="8.81640625" style="75"/>
    <col min="6145" max="6145" width="2.81640625" style="75" customWidth="1"/>
    <col min="6146" max="6146" width="29.6328125" style="75" customWidth="1"/>
    <col min="6147" max="6147" width="3" style="75" customWidth="1"/>
    <col min="6148" max="6148" width="8.81640625" style="75"/>
    <col min="6149" max="6158" width="12.6328125" style="75" customWidth="1"/>
    <col min="6159" max="6400" width="8.81640625" style="75"/>
    <col min="6401" max="6401" width="2.81640625" style="75" customWidth="1"/>
    <col min="6402" max="6402" width="29.6328125" style="75" customWidth="1"/>
    <col min="6403" max="6403" width="3" style="75" customWidth="1"/>
    <col min="6404" max="6404" width="8.81640625" style="75"/>
    <col min="6405" max="6414" width="12.6328125" style="75" customWidth="1"/>
    <col min="6415" max="6656" width="8.81640625" style="75"/>
    <col min="6657" max="6657" width="2.81640625" style="75" customWidth="1"/>
    <col min="6658" max="6658" width="29.6328125" style="75" customWidth="1"/>
    <col min="6659" max="6659" width="3" style="75" customWidth="1"/>
    <col min="6660" max="6660" width="8.81640625" style="75"/>
    <col min="6661" max="6670" width="12.6328125" style="75" customWidth="1"/>
    <col min="6671" max="6912" width="8.81640625" style="75"/>
    <col min="6913" max="6913" width="2.81640625" style="75" customWidth="1"/>
    <col min="6914" max="6914" width="29.6328125" style="75" customWidth="1"/>
    <col min="6915" max="6915" width="3" style="75" customWidth="1"/>
    <col min="6916" max="6916" width="8.81640625" style="75"/>
    <col min="6917" max="6926" width="12.6328125" style="75" customWidth="1"/>
    <col min="6927" max="7168" width="8.81640625" style="75"/>
    <col min="7169" max="7169" width="2.81640625" style="75" customWidth="1"/>
    <col min="7170" max="7170" width="29.6328125" style="75" customWidth="1"/>
    <col min="7171" max="7171" width="3" style="75" customWidth="1"/>
    <col min="7172" max="7172" width="8.81640625" style="75"/>
    <col min="7173" max="7182" width="12.6328125" style="75" customWidth="1"/>
    <col min="7183" max="7424" width="8.81640625" style="75"/>
    <col min="7425" max="7425" width="2.81640625" style="75" customWidth="1"/>
    <col min="7426" max="7426" width="29.6328125" style="75" customWidth="1"/>
    <col min="7427" max="7427" width="3" style="75" customWidth="1"/>
    <col min="7428" max="7428" width="8.81640625" style="75"/>
    <col min="7429" max="7438" width="12.6328125" style="75" customWidth="1"/>
    <col min="7439" max="7680" width="8.81640625" style="75"/>
    <col min="7681" max="7681" width="2.81640625" style="75" customWidth="1"/>
    <col min="7682" max="7682" width="29.6328125" style="75" customWidth="1"/>
    <col min="7683" max="7683" width="3" style="75" customWidth="1"/>
    <col min="7684" max="7684" width="8.81640625" style="75"/>
    <col min="7685" max="7694" width="12.6328125" style="75" customWidth="1"/>
    <col min="7695" max="7936" width="8.81640625" style="75"/>
    <col min="7937" max="7937" width="2.81640625" style="75" customWidth="1"/>
    <col min="7938" max="7938" width="29.6328125" style="75" customWidth="1"/>
    <col min="7939" max="7939" width="3" style="75" customWidth="1"/>
    <col min="7940" max="7940" width="8.81640625" style="75"/>
    <col min="7941" max="7950" width="12.6328125" style="75" customWidth="1"/>
    <col min="7951" max="8192" width="8.81640625" style="75"/>
    <col min="8193" max="8193" width="2.81640625" style="75" customWidth="1"/>
    <col min="8194" max="8194" width="29.6328125" style="75" customWidth="1"/>
    <col min="8195" max="8195" width="3" style="75" customWidth="1"/>
    <col min="8196" max="8196" width="8.81640625" style="75"/>
    <col min="8197" max="8206" width="12.6328125" style="75" customWidth="1"/>
    <col min="8207" max="8448" width="8.81640625" style="75"/>
    <col min="8449" max="8449" width="2.81640625" style="75" customWidth="1"/>
    <col min="8450" max="8450" width="29.6328125" style="75" customWidth="1"/>
    <col min="8451" max="8451" width="3" style="75" customWidth="1"/>
    <col min="8452" max="8452" width="8.81640625" style="75"/>
    <col min="8453" max="8462" width="12.6328125" style="75" customWidth="1"/>
    <col min="8463" max="8704" width="8.81640625" style="75"/>
    <col min="8705" max="8705" width="2.81640625" style="75" customWidth="1"/>
    <col min="8706" max="8706" width="29.6328125" style="75" customWidth="1"/>
    <col min="8707" max="8707" width="3" style="75" customWidth="1"/>
    <col min="8708" max="8708" width="8.81640625" style="75"/>
    <col min="8709" max="8718" width="12.6328125" style="75" customWidth="1"/>
    <col min="8719" max="8960" width="8.81640625" style="75"/>
    <col min="8961" max="8961" width="2.81640625" style="75" customWidth="1"/>
    <col min="8962" max="8962" width="29.6328125" style="75" customWidth="1"/>
    <col min="8963" max="8963" width="3" style="75" customWidth="1"/>
    <col min="8964" max="8964" width="8.81640625" style="75"/>
    <col min="8965" max="8974" width="12.6328125" style="75" customWidth="1"/>
    <col min="8975" max="9216" width="8.81640625" style="75"/>
    <col min="9217" max="9217" width="2.81640625" style="75" customWidth="1"/>
    <col min="9218" max="9218" width="29.6328125" style="75" customWidth="1"/>
    <col min="9219" max="9219" width="3" style="75" customWidth="1"/>
    <col min="9220" max="9220" width="8.81640625" style="75"/>
    <col min="9221" max="9230" width="12.6328125" style="75" customWidth="1"/>
    <col min="9231" max="9472" width="8.81640625" style="75"/>
    <col min="9473" max="9473" width="2.81640625" style="75" customWidth="1"/>
    <col min="9474" max="9474" width="29.6328125" style="75" customWidth="1"/>
    <col min="9475" max="9475" width="3" style="75" customWidth="1"/>
    <col min="9476" max="9476" width="8.81640625" style="75"/>
    <col min="9477" max="9486" width="12.6328125" style="75" customWidth="1"/>
    <col min="9487" max="9728" width="8.81640625" style="75"/>
    <col min="9729" max="9729" width="2.81640625" style="75" customWidth="1"/>
    <col min="9730" max="9730" width="29.6328125" style="75" customWidth="1"/>
    <col min="9731" max="9731" width="3" style="75" customWidth="1"/>
    <col min="9732" max="9732" width="8.81640625" style="75"/>
    <col min="9733" max="9742" width="12.6328125" style="75" customWidth="1"/>
    <col min="9743" max="9984" width="8.81640625" style="75"/>
    <col min="9985" max="9985" width="2.81640625" style="75" customWidth="1"/>
    <col min="9986" max="9986" width="29.6328125" style="75" customWidth="1"/>
    <col min="9987" max="9987" width="3" style="75" customWidth="1"/>
    <col min="9988" max="9988" width="8.81640625" style="75"/>
    <col min="9989" max="9998" width="12.6328125" style="75" customWidth="1"/>
    <col min="9999" max="10240" width="8.81640625" style="75"/>
    <col min="10241" max="10241" width="2.81640625" style="75" customWidth="1"/>
    <col min="10242" max="10242" width="29.6328125" style="75" customWidth="1"/>
    <col min="10243" max="10243" width="3" style="75" customWidth="1"/>
    <col min="10244" max="10244" width="8.81640625" style="75"/>
    <col min="10245" max="10254" width="12.6328125" style="75" customWidth="1"/>
    <col min="10255" max="10496" width="8.81640625" style="75"/>
    <col min="10497" max="10497" width="2.81640625" style="75" customWidth="1"/>
    <col min="10498" max="10498" width="29.6328125" style="75" customWidth="1"/>
    <col min="10499" max="10499" width="3" style="75" customWidth="1"/>
    <col min="10500" max="10500" width="8.81640625" style="75"/>
    <col min="10501" max="10510" width="12.6328125" style="75" customWidth="1"/>
    <col min="10511" max="10752" width="8.81640625" style="75"/>
    <col min="10753" max="10753" width="2.81640625" style="75" customWidth="1"/>
    <col min="10754" max="10754" width="29.6328125" style="75" customWidth="1"/>
    <col min="10755" max="10755" width="3" style="75" customWidth="1"/>
    <col min="10756" max="10756" width="8.81640625" style="75"/>
    <col min="10757" max="10766" width="12.6328125" style="75" customWidth="1"/>
    <col min="10767" max="11008" width="8.81640625" style="75"/>
    <col min="11009" max="11009" width="2.81640625" style="75" customWidth="1"/>
    <col min="11010" max="11010" width="29.6328125" style="75" customWidth="1"/>
    <col min="11011" max="11011" width="3" style="75" customWidth="1"/>
    <col min="11012" max="11012" width="8.81640625" style="75"/>
    <col min="11013" max="11022" width="12.6328125" style="75" customWidth="1"/>
    <col min="11023" max="11264" width="8.81640625" style="75"/>
    <col min="11265" max="11265" width="2.81640625" style="75" customWidth="1"/>
    <col min="11266" max="11266" width="29.6328125" style="75" customWidth="1"/>
    <col min="11267" max="11267" width="3" style="75" customWidth="1"/>
    <col min="11268" max="11268" width="8.81640625" style="75"/>
    <col min="11269" max="11278" width="12.6328125" style="75" customWidth="1"/>
    <col min="11279" max="11520" width="8.81640625" style="75"/>
    <col min="11521" max="11521" width="2.81640625" style="75" customWidth="1"/>
    <col min="11522" max="11522" width="29.6328125" style="75" customWidth="1"/>
    <col min="11523" max="11523" width="3" style="75" customWidth="1"/>
    <col min="11524" max="11524" width="8.81640625" style="75"/>
    <col min="11525" max="11534" width="12.6328125" style="75" customWidth="1"/>
    <col min="11535" max="11776" width="8.81640625" style="75"/>
    <col min="11777" max="11777" width="2.81640625" style="75" customWidth="1"/>
    <col min="11778" max="11778" width="29.6328125" style="75" customWidth="1"/>
    <col min="11779" max="11779" width="3" style="75" customWidth="1"/>
    <col min="11780" max="11780" width="8.81640625" style="75"/>
    <col min="11781" max="11790" width="12.6328125" style="75" customWidth="1"/>
    <col min="11791" max="12032" width="8.81640625" style="75"/>
    <col min="12033" max="12033" width="2.81640625" style="75" customWidth="1"/>
    <col min="12034" max="12034" width="29.6328125" style="75" customWidth="1"/>
    <col min="12035" max="12035" width="3" style="75" customWidth="1"/>
    <col min="12036" max="12036" width="8.81640625" style="75"/>
    <col min="12037" max="12046" width="12.6328125" style="75" customWidth="1"/>
    <col min="12047" max="12288" width="8.81640625" style="75"/>
    <col min="12289" max="12289" width="2.81640625" style="75" customWidth="1"/>
    <col min="12290" max="12290" width="29.6328125" style="75" customWidth="1"/>
    <col min="12291" max="12291" width="3" style="75" customWidth="1"/>
    <col min="12292" max="12292" width="8.81640625" style="75"/>
    <col min="12293" max="12302" width="12.6328125" style="75" customWidth="1"/>
    <col min="12303" max="12544" width="8.81640625" style="75"/>
    <col min="12545" max="12545" width="2.81640625" style="75" customWidth="1"/>
    <col min="12546" max="12546" width="29.6328125" style="75" customWidth="1"/>
    <col min="12547" max="12547" width="3" style="75" customWidth="1"/>
    <col min="12548" max="12548" width="8.81640625" style="75"/>
    <col min="12549" max="12558" width="12.6328125" style="75" customWidth="1"/>
    <col min="12559" max="12800" width="8.81640625" style="75"/>
    <col min="12801" max="12801" width="2.81640625" style="75" customWidth="1"/>
    <col min="12802" max="12802" width="29.6328125" style="75" customWidth="1"/>
    <col min="12803" max="12803" width="3" style="75" customWidth="1"/>
    <col min="12804" max="12804" width="8.81640625" style="75"/>
    <col min="12805" max="12814" width="12.6328125" style="75" customWidth="1"/>
    <col min="12815" max="13056" width="8.81640625" style="75"/>
    <col min="13057" max="13057" width="2.81640625" style="75" customWidth="1"/>
    <col min="13058" max="13058" width="29.6328125" style="75" customWidth="1"/>
    <col min="13059" max="13059" width="3" style="75" customWidth="1"/>
    <col min="13060" max="13060" width="8.81640625" style="75"/>
    <col min="13061" max="13070" width="12.6328125" style="75" customWidth="1"/>
    <col min="13071" max="13312" width="8.81640625" style="75"/>
    <col min="13313" max="13313" width="2.81640625" style="75" customWidth="1"/>
    <col min="13314" max="13314" width="29.6328125" style="75" customWidth="1"/>
    <col min="13315" max="13315" width="3" style="75" customWidth="1"/>
    <col min="13316" max="13316" width="8.81640625" style="75"/>
    <col min="13317" max="13326" width="12.6328125" style="75" customWidth="1"/>
    <col min="13327" max="13568" width="8.81640625" style="75"/>
    <col min="13569" max="13569" width="2.81640625" style="75" customWidth="1"/>
    <col min="13570" max="13570" width="29.6328125" style="75" customWidth="1"/>
    <col min="13571" max="13571" width="3" style="75" customWidth="1"/>
    <col min="13572" max="13572" width="8.81640625" style="75"/>
    <col min="13573" max="13582" width="12.6328125" style="75" customWidth="1"/>
    <col min="13583" max="13824" width="8.81640625" style="75"/>
    <col min="13825" max="13825" width="2.81640625" style="75" customWidth="1"/>
    <col min="13826" max="13826" width="29.6328125" style="75" customWidth="1"/>
    <col min="13827" max="13827" width="3" style="75" customWidth="1"/>
    <col min="13828" max="13828" width="8.81640625" style="75"/>
    <col min="13829" max="13838" width="12.6328125" style="75" customWidth="1"/>
    <col min="13839" max="14080" width="8.81640625" style="75"/>
    <col min="14081" max="14081" width="2.81640625" style="75" customWidth="1"/>
    <col min="14082" max="14082" width="29.6328125" style="75" customWidth="1"/>
    <col min="14083" max="14083" width="3" style="75" customWidth="1"/>
    <col min="14084" max="14084" width="8.81640625" style="75"/>
    <col min="14085" max="14094" width="12.6328125" style="75" customWidth="1"/>
    <col min="14095" max="14336" width="8.81640625" style="75"/>
    <col min="14337" max="14337" width="2.81640625" style="75" customWidth="1"/>
    <col min="14338" max="14338" width="29.6328125" style="75" customWidth="1"/>
    <col min="14339" max="14339" width="3" style="75" customWidth="1"/>
    <col min="14340" max="14340" width="8.81640625" style="75"/>
    <col min="14341" max="14350" width="12.6328125" style="75" customWidth="1"/>
    <col min="14351" max="14592" width="8.81640625" style="75"/>
    <col min="14593" max="14593" width="2.81640625" style="75" customWidth="1"/>
    <col min="14594" max="14594" width="29.6328125" style="75" customWidth="1"/>
    <col min="14595" max="14595" width="3" style="75" customWidth="1"/>
    <col min="14596" max="14596" width="8.81640625" style="75"/>
    <col min="14597" max="14606" width="12.6328125" style="75" customWidth="1"/>
    <col min="14607" max="14848" width="8.81640625" style="75"/>
    <col min="14849" max="14849" width="2.81640625" style="75" customWidth="1"/>
    <col min="14850" max="14850" width="29.6328125" style="75" customWidth="1"/>
    <col min="14851" max="14851" width="3" style="75" customWidth="1"/>
    <col min="14852" max="14852" width="8.81640625" style="75"/>
    <col min="14853" max="14862" width="12.6328125" style="75" customWidth="1"/>
    <col min="14863" max="15104" width="8.81640625" style="75"/>
    <col min="15105" max="15105" width="2.81640625" style="75" customWidth="1"/>
    <col min="15106" max="15106" width="29.6328125" style="75" customWidth="1"/>
    <col min="15107" max="15107" width="3" style="75" customWidth="1"/>
    <col min="15108" max="15108" width="8.81640625" style="75"/>
    <col min="15109" max="15118" width="12.6328125" style="75" customWidth="1"/>
    <col min="15119" max="15360" width="8.81640625" style="75"/>
    <col min="15361" max="15361" width="2.81640625" style="75" customWidth="1"/>
    <col min="15362" max="15362" width="29.6328125" style="75" customWidth="1"/>
    <col min="15363" max="15363" width="3" style="75" customWidth="1"/>
    <col min="15364" max="15364" width="8.81640625" style="75"/>
    <col min="15365" max="15374" width="12.6328125" style="75" customWidth="1"/>
    <col min="15375" max="15616" width="8.81640625" style="75"/>
    <col min="15617" max="15617" width="2.81640625" style="75" customWidth="1"/>
    <col min="15618" max="15618" width="29.6328125" style="75" customWidth="1"/>
    <col min="15619" max="15619" width="3" style="75" customWidth="1"/>
    <col min="15620" max="15620" width="8.81640625" style="75"/>
    <col min="15621" max="15630" width="12.6328125" style="75" customWidth="1"/>
    <col min="15631" max="15872" width="8.81640625" style="75"/>
    <col min="15873" max="15873" width="2.81640625" style="75" customWidth="1"/>
    <col min="15874" max="15874" width="29.6328125" style="75" customWidth="1"/>
    <col min="15875" max="15875" width="3" style="75" customWidth="1"/>
    <col min="15876" max="15876" width="8.81640625" style="75"/>
    <col min="15877" max="15886" width="12.6328125" style="75" customWidth="1"/>
    <col min="15887" max="16128" width="8.81640625" style="75"/>
    <col min="16129" max="16129" width="2.81640625" style="75" customWidth="1"/>
    <col min="16130" max="16130" width="29.6328125" style="75" customWidth="1"/>
    <col min="16131" max="16131" width="3" style="75" customWidth="1"/>
    <col min="16132" max="16132" width="8.81640625" style="75"/>
    <col min="16133" max="16142" width="12.6328125" style="75" customWidth="1"/>
    <col min="16143" max="16384" width="8.81640625" style="75"/>
  </cols>
  <sheetData>
    <row r="2" spans="1:14" s="72" customFormat="1" ht="13" x14ac:dyDescent="0.3">
      <c r="A2" s="71" t="s">
        <v>43</v>
      </c>
      <c r="E2" s="73" t="s">
        <v>24</v>
      </c>
      <c r="F2" s="73" t="s">
        <v>23</v>
      </c>
      <c r="G2" s="73" t="s">
        <v>22</v>
      </c>
      <c r="H2" s="73" t="s">
        <v>241</v>
      </c>
      <c r="I2" s="73" t="s">
        <v>242</v>
      </c>
      <c r="J2" s="73" t="s">
        <v>40</v>
      </c>
      <c r="K2" s="73" t="s">
        <v>41</v>
      </c>
      <c r="L2" s="73" t="s">
        <v>45</v>
      </c>
      <c r="M2" s="73" t="s">
        <v>190</v>
      </c>
      <c r="N2" s="73" t="s">
        <v>189</v>
      </c>
    </row>
    <row r="56" spans="6:12" ht="13" x14ac:dyDescent="0.3">
      <c r="F56" s="99"/>
      <c r="G56" s="99"/>
      <c r="H56" s="99"/>
      <c r="I56" s="100" t="s">
        <v>159</v>
      </c>
      <c r="J56" s="100"/>
      <c r="K56" s="99"/>
      <c r="L56" s="99"/>
    </row>
    <row r="57" spans="6:12" x14ac:dyDescent="0.25">
      <c r="F57" s="99"/>
      <c r="G57" s="99"/>
      <c r="H57" s="90">
        <f>'Financial Model'!$D$263</f>
        <v>117.15705374816966</v>
      </c>
      <c r="I57" s="123"/>
      <c r="J57" s="123"/>
      <c r="K57" s="123"/>
      <c r="L57" s="123"/>
    </row>
    <row r="58" spans="6:12" x14ac:dyDescent="0.25">
      <c r="F58" s="99"/>
      <c r="G58" s="99"/>
      <c r="H58" s="123"/>
      <c r="I58" s="91"/>
      <c r="J58" s="91"/>
      <c r="K58" s="91"/>
      <c r="L58" s="91"/>
    </row>
    <row r="59" spans="6:12" ht="13" x14ac:dyDescent="0.3">
      <c r="F59" s="100" t="s">
        <v>143</v>
      </c>
      <c r="G59" s="100"/>
      <c r="H59" s="123"/>
      <c r="I59" s="91"/>
      <c r="J59" s="91"/>
      <c r="K59" s="91"/>
      <c r="L59" s="91"/>
    </row>
    <row r="60" spans="6:12" x14ac:dyDescent="0.25">
      <c r="F60" s="99"/>
      <c r="G60" s="99"/>
      <c r="H60" s="123"/>
      <c r="I60" s="91"/>
      <c r="J60" s="91"/>
      <c r="K60" s="91"/>
      <c r="L60" s="91"/>
    </row>
    <row r="61" spans="6:12" x14ac:dyDescent="0.25">
      <c r="F61" s="99"/>
      <c r="G61" s="99"/>
      <c r="H61" s="123"/>
      <c r="I61" s="91"/>
      <c r="J61" s="91"/>
      <c r="K61" s="91"/>
      <c r="L61" s="91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9F14-66B9-463A-9F59-DC9B247A3FB9}">
  <dimension ref="B16:N25"/>
  <sheetViews>
    <sheetView topLeftCell="A13" workbookViewId="0">
      <selection activeCell="E21" sqref="E21"/>
    </sheetView>
  </sheetViews>
  <sheetFormatPr defaultRowHeight="14.5" x14ac:dyDescent="0.35"/>
  <sheetData>
    <row r="16" spans="2:14" x14ac:dyDescent="0.35">
      <c r="B16" t="s">
        <v>79</v>
      </c>
      <c r="H16" s="2"/>
      <c r="I16" s="2"/>
      <c r="J16" s="2"/>
      <c r="K16" s="2"/>
      <c r="L16" s="2"/>
      <c r="M16" s="2"/>
      <c r="N16" s="2"/>
    </row>
    <row r="17" spans="2:14" x14ac:dyDescent="0.35">
      <c r="B17" t="s">
        <v>80</v>
      </c>
      <c r="E17" s="2">
        <v>0</v>
      </c>
      <c r="F17" s="2">
        <v>40000</v>
      </c>
      <c r="G17" s="2">
        <v>35000</v>
      </c>
      <c r="H17" s="2">
        <v>30000</v>
      </c>
      <c r="I17" s="2">
        <v>275000</v>
      </c>
      <c r="J17" s="2">
        <v>270000</v>
      </c>
      <c r="K17" s="2">
        <v>265000</v>
      </c>
      <c r="L17" s="2">
        <v>260000</v>
      </c>
      <c r="M17" s="2">
        <v>255000</v>
      </c>
      <c r="N17" s="2">
        <v>250000</v>
      </c>
    </row>
    <row r="18" spans="2:14" x14ac:dyDescent="0.35">
      <c r="B18" t="s">
        <v>81</v>
      </c>
      <c r="E18" s="2">
        <v>40000</v>
      </c>
      <c r="F18" s="2">
        <v>0</v>
      </c>
      <c r="G18" s="2">
        <v>0</v>
      </c>
      <c r="H18" s="2">
        <v>250000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2:14" x14ac:dyDescent="0.35">
      <c r="B19" t="s">
        <v>82</v>
      </c>
      <c r="D19" s="239">
        <v>8</v>
      </c>
      <c r="E19" s="2"/>
      <c r="F19" s="2">
        <v>5000</v>
      </c>
      <c r="G19" s="2">
        <v>5000</v>
      </c>
      <c r="H19" s="2">
        <v>5000</v>
      </c>
      <c r="I19" s="2">
        <v>5000</v>
      </c>
      <c r="J19" s="2">
        <v>5000</v>
      </c>
      <c r="K19" s="2">
        <v>5000</v>
      </c>
      <c r="L19" s="2">
        <v>5000</v>
      </c>
      <c r="M19" s="2">
        <v>5000</v>
      </c>
      <c r="N19" s="2">
        <v>5000</v>
      </c>
    </row>
    <row r="20" spans="2:14" x14ac:dyDescent="0.35">
      <c r="B20" t="s">
        <v>83</v>
      </c>
      <c r="D20" s="239">
        <v>10</v>
      </c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 x14ac:dyDescent="0.35">
      <c r="B21" t="s">
        <v>49</v>
      </c>
      <c r="D21" s="53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3" spans="2:14" ht="15" thickBot="1" x14ac:dyDescent="0.4">
      <c r="B23" t="s">
        <v>84</v>
      </c>
      <c r="D23">
        <v>0</v>
      </c>
      <c r="E23" s="35">
        <f>E17+E18-E19-E20+E21</f>
        <v>40000</v>
      </c>
      <c r="F23" s="35">
        <f t="shared" ref="F23:N23" si="0">F17+F18-F19-F20+F21</f>
        <v>35000</v>
      </c>
      <c r="G23" s="35">
        <f t="shared" si="0"/>
        <v>30000</v>
      </c>
      <c r="H23" s="35">
        <f t="shared" si="0"/>
        <v>275000</v>
      </c>
      <c r="I23" s="35">
        <f t="shared" si="0"/>
        <v>270000</v>
      </c>
      <c r="J23" s="35">
        <f t="shared" si="0"/>
        <v>265000</v>
      </c>
      <c r="K23" s="35">
        <f t="shared" si="0"/>
        <v>260000</v>
      </c>
      <c r="L23" s="35">
        <f t="shared" si="0"/>
        <v>255000</v>
      </c>
      <c r="M23" s="35">
        <f t="shared" si="0"/>
        <v>250000</v>
      </c>
      <c r="N23" s="35">
        <f t="shared" si="0"/>
        <v>245000</v>
      </c>
    </row>
    <row r="25" spans="2:14" x14ac:dyDescent="0.35">
      <c r="B25" t="s">
        <v>86</v>
      </c>
      <c r="E25" s="53">
        <v>0.1</v>
      </c>
      <c r="F25" s="53">
        <v>0.1</v>
      </c>
      <c r="G25" s="53">
        <v>0.1</v>
      </c>
      <c r="H25" s="53">
        <v>0.1</v>
      </c>
      <c r="I25" s="53">
        <v>0.1</v>
      </c>
      <c r="J25" s="53">
        <v>0.1</v>
      </c>
      <c r="K25" s="53">
        <v>0.1</v>
      </c>
      <c r="L25" s="53">
        <v>0.1</v>
      </c>
      <c r="M25" s="53">
        <v>0.1</v>
      </c>
      <c r="N25" s="53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BF3C-111B-4373-9892-593037BB52A7}">
  <dimension ref="A3:P23"/>
  <sheetViews>
    <sheetView workbookViewId="0">
      <selection activeCell="I23" sqref="I23"/>
    </sheetView>
  </sheetViews>
  <sheetFormatPr defaultRowHeight="14.5" x14ac:dyDescent="0.35"/>
  <cols>
    <col min="3" max="3" width="11.1796875" bestFit="1" customWidth="1"/>
    <col min="12" max="12" width="10.6328125" bestFit="1" customWidth="1"/>
    <col min="14" max="15" width="10.453125" bestFit="1" customWidth="1"/>
    <col min="16" max="16" width="10.6328125" bestFit="1" customWidth="1"/>
  </cols>
  <sheetData>
    <row r="3" spans="1:16" x14ac:dyDescent="0.35">
      <c r="C3" s="110" t="s">
        <v>186</v>
      </c>
      <c r="D3" s="110" t="s">
        <v>169</v>
      </c>
      <c r="E3" s="110" t="s">
        <v>170</v>
      </c>
      <c r="F3" s="110" t="s">
        <v>171</v>
      </c>
      <c r="G3" s="110" t="s">
        <v>172</v>
      </c>
      <c r="H3" s="110" t="s">
        <v>173</v>
      </c>
      <c r="I3" s="110" t="s">
        <v>174</v>
      </c>
      <c r="J3" s="110" t="s">
        <v>175</v>
      </c>
      <c r="K3" s="110" t="s">
        <v>176</v>
      </c>
      <c r="L3" s="110" t="s">
        <v>177</v>
      </c>
      <c r="M3" s="110" t="s">
        <v>178</v>
      </c>
      <c r="N3" s="110" t="s">
        <v>179</v>
      </c>
      <c r="O3" s="110" t="s">
        <v>180</v>
      </c>
    </row>
    <row r="4" spans="1:16" x14ac:dyDescent="0.35">
      <c r="C4" s="110" t="s">
        <v>181</v>
      </c>
      <c r="D4" s="109">
        <v>1500000</v>
      </c>
      <c r="E4" s="109">
        <f>D4+50000</f>
        <v>1550000</v>
      </c>
      <c r="F4" s="109">
        <f t="shared" ref="F4:O5" si="0">E4+50000</f>
        <v>1600000</v>
      </c>
      <c r="G4" s="109">
        <f t="shared" si="0"/>
        <v>1650000</v>
      </c>
      <c r="H4" s="109">
        <f t="shared" si="0"/>
        <v>1700000</v>
      </c>
      <c r="I4" s="109">
        <f t="shared" si="0"/>
        <v>1750000</v>
      </c>
      <c r="J4" s="109">
        <f t="shared" si="0"/>
        <v>1800000</v>
      </c>
      <c r="K4" s="109">
        <f t="shared" si="0"/>
        <v>1850000</v>
      </c>
      <c r="L4" s="109">
        <f t="shared" si="0"/>
        <v>1900000</v>
      </c>
      <c r="M4" s="109">
        <f t="shared" si="0"/>
        <v>1950000</v>
      </c>
      <c r="N4" s="109">
        <f t="shared" si="0"/>
        <v>2000000</v>
      </c>
      <c r="O4" s="109">
        <f t="shared" si="0"/>
        <v>2050000</v>
      </c>
      <c r="P4" s="107">
        <f t="shared" ref="P4:P9" si="1">SUM(D4:O4)</f>
        <v>21300000</v>
      </c>
    </row>
    <row r="5" spans="1:16" x14ac:dyDescent="0.35">
      <c r="C5" s="110" t="s">
        <v>182</v>
      </c>
      <c r="D5" s="109">
        <v>500000</v>
      </c>
      <c r="E5" s="109">
        <f>D5+50000</f>
        <v>550000</v>
      </c>
      <c r="F5" s="109">
        <f t="shared" si="0"/>
        <v>600000</v>
      </c>
      <c r="G5" s="109">
        <f t="shared" si="0"/>
        <v>650000</v>
      </c>
      <c r="H5" s="109">
        <f t="shared" si="0"/>
        <v>700000</v>
      </c>
      <c r="I5" s="109">
        <f t="shared" si="0"/>
        <v>750000</v>
      </c>
      <c r="J5" s="109">
        <f t="shared" si="0"/>
        <v>800000</v>
      </c>
      <c r="K5" s="109">
        <f t="shared" si="0"/>
        <v>850000</v>
      </c>
      <c r="L5" s="109">
        <f t="shared" si="0"/>
        <v>900000</v>
      </c>
      <c r="M5" s="109">
        <f t="shared" si="0"/>
        <v>950000</v>
      </c>
      <c r="N5" s="109">
        <f t="shared" si="0"/>
        <v>1000000</v>
      </c>
      <c r="O5" s="109">
        <f t="shared" si="0"/>
        <v>1050000</v>
      </c>
      <c r="P5" s="107">
        <f t="shared" si="1"/>
        <v>9300000</v>
      </c>
    </row>
    <row r="6" spans="1:16" x14ac:dyDescent="0.35">
      <c r="C6" s="110" t="s">
        <v>183</v>
      </c>
      <c r="D6" s="109">
        <v>100000</v>
      </c>
      <c r="E6" s="109">
        <f t="shared" ref="E6:O6" si="2">D6+50000</f>
        <v>150000</v>
      </c>
      <c r="F6" s="109">
        <f t="shared" si="2"/>
        <v>200000</v>
      </c>
      <c r="G6" s="109">
        <f t="shared" si="2"/>
        <v>250000</v>
      </c>
      <c r="H6" s="109">
        <f t="shared" si="2"/>
        <v>300000</v>
      </c>
      <c r="I6" s="109">
        <f t="shared" si="2"/>
        <v>350000</v>
      </c>
      <c r="J6" s="109">
        <f t="shared" si="2"/>
        <v>400000</v>
      </c>
      <c r="K6" s="109">
        <f t="shared" si="2"/>
        <v>450000</v>
      </c>
      <c r="L6" s="109">
        <f t="shared" si="2"/>
        <v>500000</v>
      </c>
      <c r="M6" s="109">
        <f t="shared" si="2"/>
        <v>550000</v>
      </c>
      <c r="N6" s="109">
        <f t="shared" si="2"/>
        <v>600000</v>
      </c>
      <c r="O6" s="109">
        <f t="shared" si="2"/>
        <v>650000</v>
      </c>
      <c r="P6" s="107">
        <f t="shared" si="1"/>
        <v>4500000</v>
      </c>
    </row>
    <row r="7" spans="1:16" x14ac:dyDescent="0.35">
      <c r="C7" s="110" t="s">
        <v>184</v>
      </c>
      <c r="D7" s="109">
        <v>300000</v>
      </c>
      <c r="E7" s="109">
        <f t="shared" ref="E7:O7" si="3">D7+50000</f>
        <v>350000</v>
      </c>
      <c r="F7" s="109">
        <f t="shared" si="3"/>
        <v>400000</v>
      </c>
      <c r="G7" s="109">
        <f t="shared" si="3"/>
        <v>450000</v>
      </c>
      <c r="H7" s="109">
        <f t="shared" si="3"/>
        <v>500000</v>
      </c>
      <c r="I7" s="109">
        <f t="shared" si="3"/>
        <v>550000</v>
      </c>
      <c r="J7" s="109">
        <f t="shared" si="3"/>
        <v>600000</v>
      </c>
      <c r="K7" s="109">
        <f t="shared" si="3"/>
        <v>650000</v>
      </c>
      <c r="L7" s="109">
        <f t="shared" si="3"/>
        <v>700000</v>
      </c>
      <c r="M7" s="109">
        <f t="shared" si="3"/>
        <v>750000</v>
      </c>
      <c r="N7" s="109">
        <f t="shared" si="3"/>
        <v>800000</v>
      </c>
      <c r="O7" s="109">
        <f t="shared" si="3"/>
        <v>850000</v>
      </c>
      <c r="P7" s="107">
        <f t="shared" si="1"/>
        <v>6900000</v>
      </c>
    </row>
    <row r="8" spans="1:16" x14ac:dyDescent="0.35">
      <c r="C8" s="110" t="s">
        <v>185</v>
      </c>
      <c r="D8" s="109">
        <v>25000</v>
      </c>
      <c r="E8" s="109">
        <f t="shared" ref="E8:O8" si="4">D8+50000</f>
        <v>75000</v>
      </c>
      <c r="F8" s="109">
        <f t="shared" si="4"/>
        <v>125000</v>
      </c>
      <c r="G8" s="109">
        <f t="shared" si="4"/>
        <v>175000</v>
      </c>
      <c r="H8" s="109">
        <f t="shared" si="4"/>
        <v>225000</v>
      </c>
      <c r="I8" s="109">
        <f t="shared" si="4"/>
        <v>275000</v>
      </c>
      <c r="J8" s="109">
        <f t="shared" si="4"/>
        <v>325000</v>
      </c>
      <c r="K8" s="109">
        <f t="shared" si="4"/>
        <v>375000</v>
      </c>
      <c r="L8" s="109">
        <f t="shared" si="4"/>
        <v>425000</v>
      </c>
      <c r="M8" s="109">
        <f t="shared" si="4"/>
        <v>475000</v>
      </c>
      <c r="N8" s="109">
        <f t="shared" si="4"/>
        <v>525000</v>
      </c>
      <c r="O8" s="109">
        <f t="shared" si="4"/>
        <v>575000</v>
      </c>
      <c r="P8" s="107">
        <f t="shared" si="1"/>
        <v>3600000</v>
      </c>
    </row>
    <row r="9" spans="1:16" ht="15" thickBot="1" x14ac:dyDescent="0.4">
      <c r="D9" s="108">
        <f t="shared" ref="D9:O9" si="5">SUM(D4:D8)</f>
        <v>2425000</v>
      </c>
      <c r="E9" s="108">
        <f t="shared" si="5"/>
        <v>2675000</v>
      </c>
      <c r="F9" s="108">
        <f t="shared" si="5"/>
        <v>2925000</v>
      </c>
      <c r="G9" s="108">
        <f t="shared" si="5"/>
        <v>3175000</v>
      </c>
      <c r="H9" s="108">
        <f t="shared" si="5"/>
        <v>3425000</v>
      </c>
      <c r="I9" s="108">
        <f t="shared" si="5"/>
        <v>3675000</v>
      </c>
      <c r="J9" s="108">
        <f t="shared" si="5"/>
        <v>3925000</v>
      </c>
      <c r="K9" s="108">
        <f t="shared" si="5"/>
        <v>4175000</v>
      </c>
      <c r="L9" s="108">
        <f t="shared" si="5"/>
        <v>4425000</v>
      </c>
      <c r="M9" s="108">
        <f t="shared" si="5"/>
        <v>4675000</v>
      </c>
      <c r="N9" s="108">
        <f t="shared" si="5"/>
        <v>4925000</v>
      </c>
      <c r="O9" s="108">
        <f t="shared" si="5"/>
        <v>5175000</v>
      </c>
      <c r="P9" s="107">
        <f t="shared" si="1"/>
        <v>45600000</v>
      </c>
    </row>
    <row r="11" spans="1:16" x14ac:dyDescent="0.35">
      <c r="A11">
        <f>MATCH(C13,C3:C8,0)</f>
        <v>4</v>
      </c>
    </row>
    <row r="12" spans="1:16" x14ac:dyDescent="0.35">
      <c r="D12" t="s">
        <v>176</v>
      </c>
    </row>
    <row r="13" spans="1:16" ht="18.5" x14ac:dyDescent="0.45">
      <c r="C13" t="s">
        <v>183</v>
      </c>
      <c r="D13" s="111">
        <f>INDEX($C$3:$O$8,MATCH(C13,C3:C8,0),MATCH(D12,C3:O3,0))</f>
        <v>450000</v>
      </c>
      <c r="F13" s="112" t="str">
        <f ca="1">_xlfn.FORMULATEXT(D13)</f>
        <v>=INDEX($C$3:$O$8,MATCH(C13,C3:C8,0),MATCH(D12,C3:O3,0))</v>
      </c>
    </row>
    <row r="14" spans="1:16" ht="15.5" x14ac:dyDescent="0.35">
      <c r="O14" s="124">
        <v>65789876</v>
      </c>
      <c r="P14" s="126">
        <v>65789876</v>
      </c>
    </row>
    <row r="15" spans="1:16" x14ac:dyDescent="0.35">
      <c r="O15">
        <v>0</v>
      </c>
      <c r="P15">
        <v>0</v>
      </c>
    </row>
    <row r="16" spans="1:16" x14ac:dyDescent="0.35">
      <c r="O16">
        <v>27</v>
      </c>
      <c r="P16">
        <v>27</v>
      </c>
    </row>
    <row r="17" spans="5:16" x14ac:dyDescent="0.35">
      <c r="H17">
        <v>260</v>
      </c>
      <c r="I17">
        <v>316</v>
      </c>
      <c r="O17" s="125">
        <v>43545</v>
      </c>
      <c r="P17" s="127">
        <v>0.18055555555555555</v>
      </c>
    </row>
    <row r="18" spans="5:16" x14ac:dyDescent="0.35">
      <c r="J18">
        <f>(I17/H17)^(1/4)-1</f>
        <v>4.9973730875693567E-2</v>
      </c>
    </row>
    <row r="21" spans="5:16" x14ac:dyDescent="0.35">
      <c r="E21">
        <v>10</v>
      </c>
      <c r="F21">
        <v>10</v>
      </c>
      <c r="G21">
        <v>10</v>
      </c>
    </row>
    <row r="22" spans="5:16" x14ac:dyDescent="0.35">
      <c r="E22">
        <v>2</v>
      </c>
      <c r="F22">
        <v>4</v>
      </c>
      <c r="G22">
        <v>3</v>
      </c>
      <c r="I22">
        <f t="array" ref="I22">AVERAGE(E22:G22/E21:G21)</f>
        <v>0.30000000000000004</v>
      </c>
    </row>
    <row r="23" spans="5:16" x14ac:dyDescent="0.35">
      <c r="I23">
        <f>AVERAGE(E22/E21,F22/F21,G22/G21)</f>
        <v>0.30000000000000004</v>
      </c>
    </row>
  </sheetData>
  <dataValidations count="2">
    <dataValidation type="list" allowBlank="1" showInputMessage="1" showErrorMessage="1" sqref="C13" xr:uid="{1AFFDD38-3868-4C5E-A74E-CFCDC8BC6323}">
      <formula1>$C$4:$C$8</formula1>
    </dataValidation>
    <dataValidation type="list" allowBlank="1" showInputMessage="1" showErrorMessage="1" sqref="D12" xr:uid="{56D2BE67-D3C1-4400-8F90-7B859BE39D80}">
      <formula1>$D$3:$O$3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1428C-99F2-429C-8956-7DA9C36F9F5D}">
  <dimension ref="B2:I57"/>
  <sheetViews>
    <sheetView topLeftCell="A40" zoomScale="94" zoomScaleNormal="94" workbookViewId="0">
      <selection activeCell="B52" sqref="B52"/>
    </sheetView>
  </sheetViews>
  <sheetFormatPr defaultRowHeight="14.5" x14ac:dyDescent="0.35"/>
  <cols>
    <col min="2" max="2" width="24" customWidth="1"/>
    <col min="3" max="3" width="11.26953125" customWidth="1"/>
    <col min="4" max="4" width="12.08984375" customWidth="1"/>
    <col min="5" max="5" width="14.81640625" customWidth="1"/>
    <col min="6" max="6" width="11.26953125" customWidth="1"/>
    <col min="7" max="7" width="10.7265625" customWidth="1"/>
    <col min="8" max="8" width="10" customWidth="1"/>
    <col min="9" max="9" width="10.54296875" customWidth="1"/>
  </cols>
  <sheetData>
    <row r="2" spans="2:7" x14ac:dyDescent="0.35">
      <c r="B2" t="s">
        <v>157</v>
      </c>
      <c r="C2" s="147">
        <f>'Financial Model'!J262</f>
        <v>10000000</v>
      </c>
    </row>
    <row r="3" spans="2:7" x14ac:dyDescent="0.35">
      <c r="C3" s="159"/>
    </row>
    <row r="4" spans="2:7" x14ac:dyDescent="0.35">
      <c r="B4" s="1" t="s">
        <v>217</v>
      </c>
      <c r="C4" s="159"/>
    </row>
    <row r="5" spans="2:7" x14ac:dyDescent="0.35">
      <c r="C5" s="159"/>
    </row>
    <row r="6" spans="2:7" x14ac:dyDescent="0.35">
      <c r="B6" s="1" t="s">
        <v>224</v>
      </c>
      <c r="C6" s="159"/>
    </row>
    <row r="8" spans="2:7" x14ac:dyDescent="0.35">
      <c r="B8" s="155" t="s">
        <v>194</v>
      </c>
      <c r="C8" s="139" t="s">
        <v>195</v>
      </c>
      <c r="D8" s="139" t="s">
        <v>196</v>
      </c>
      <c r="E8" s="140" t="s">
        <v>212</v>
      </c>
      <c r="F8" s="140" t="s">
        <v>213</v>
      </c>
      <c r="G8" s="141" t="s">
        <v>197</v>
      </c>
    </row>
    <row r="9" spans="2:7" x14ac:dyDescent="0.35">
      <c r="B9" s="156"/>
      <c r="C9" s="143"/>
      <c r="D9" s="143"/>
      <c r="E9" s="144" t="s">
        <v>211</v>
      </c>
      <c r="F9" s="144" t="s">
        <v>211</v>
      </c>
      <c r="G9" s="144" t="s">
        <v>211</v>
      </c>
    </row>
    <row r="10" spans="2:7" x14ac:dyDescent="0.35">
      <c r="B10" s="157" t="s">
        <v>198</v>
      </c>
      <c r="C10" s="128">
        <v>2141</v>
      </c>
      <c r="D10" s="128">
        <v>2670.3</v>
      </c>
      <c r="E10" s="129">
        <v>2.4</v>
      </c>
      <c r="F10" s="129">
        <v>9.1</v>
      </c>
      <c r="G10" s="129">
        <v>18.2</v>
      </c>
    </row>
    <row r="11" spans="2:7" x14ac:dyDescent="0.35">
      <c r="B11" s="157" t="s">
        <v>199</v>
      </c>
      <c r="C11" s="128">
        <v>1321</v>
      </c>
      <c r="D11" s="128">
        <v>3385.8</v>
      </c>
      <c r="E11" s="129">
        <v>2.2999999999999998</v>
      </c>
      <c r="F11" s="129">
        <v>10.3</v>
      </c>
      <c r="G11" s="129">
        <v>22.1</v>
      </c>
    </row>
    <row r="12" spans="2:7" x14ac:dyDescent="0.35">
      <c r="B12" s="157" t="s">
        <v>200</v>
      </c>
      <c r="C12" s="128">
        <v>1456</v>
      </c>
      <c r="D12" s="128">
        <v>3623.4</v>
      </c>
      <c r="E12" s="129">
        <v>3.1</v>
      </c>
      <c r="F12" s="129">
        <v>11.3</v>
      </c>
      <c r="G12" s="129">
        <v>23.7</v>
      </c>
    </row>
    <row r="13" spans="2:7" x14ac:dyDescent="0.35">
      <c r="B13" s="157" t="s">
        <v>201</v>
      </c>
      <c r="C13" s="128">
        <v>1289</v>
      </c>
      <c r="D13" s="128">
        <v>3866.4</v>
      </c>
      <c r="E13" s="129">
        <v>1.9</v>
      </c>
      <c r="F13" s="129">
        <v>10.1</v>
      </c>
      <c r="G13" s="129">
        <v>21.4</v>
      </c>
    </row>
    <row r="14" spans="2:7" x14ac:dyDescent="0.35">
      <c r="B14" s="158" t="s">
        <v>202</v>
      </c>
      <c r="C14" s="130">
        <v>987</v>
      </c>
      <c r="D14" s="130">
        <v>2970</v>
      </c>
      <c r="E14" s="131">
        <v>2.2000000000000002</v>
      </c>
      <c r="F14" s="131">
        <v>9.3000000000000007</v>
      </c>
      <c r="G14" s="131">
        <v>15.1</v>
      </c>
    </row>
    <row r="15" spans="2:7" x14ac:dyDescent="0.35">
      <c r="B15" s="155" t="s">
        <v>203</v>
      </c>
      <c r="C15" s="139"/>
      <c r="D15" s="139"/>
      <c r="E15" s="145">
        <f>AVERAGE(E10:E14)</f>
        <v>2.38</v>
      </c>
      <c r="F15" s="145">
        <f t="shared" ref="F15:G15" si="0">AVERAGE(F10:F14)</f>
        <v>10.02</v>
      </c>
      <c r="G15" s="145">
        <f t="shared" si="0"/>
        <v>20.100000000000001</v>
      </c>
    </row>
    <row r="16" spans="2:7" x14ac:dyDescent="0.35">
      <c r="B16" s="156" t="s">
        <v>204</v>
      </c>
      <c r="C16" s="143"/>
      <c r="D16" s="143"/>
      <c r="E16" s="146">
        <f>MEDIAN(E10:E14)</f>
        <v>2.2999999999999998</v>
      </c>
      <c r="F16" s="146">
        <f t="shared" ref="F16:G16" si="1">MEDIAN(F10:F14)</f>
        <v>10.1</v>
      </c>
      <c r="G16" s="146">
        <f t="shared" si="1"/>
        <v>21.4</v>
      </c>
    </row>
    <row r="18" spans="2:9" x14ac:dyDescent="0.35">
      <c r="B18" s="148"/>
      <c r="C18" s="149"/>
      <c r="D18" s="152" t="s">
        <v>205</v>
      </c>
      <c r="E18" s="152" t="s">
        <v>206</v>
      </c>
      <c r="F18" s="152" t="s">
        <v>195</v>
      </c>
      <c r="G18" s="152" t="s">
        <v>207</v>
      </c>
      <c r="H18" s="152" t="s">
        <v>196</v>
      </c>
      <c r="I18" s="153" t="s">
        <v>208</v>
      </c>
    </row>
    <row r="19" spans="2:9" x14ac:dyDescent="0.35">
      <c r="B19" s="150" t="s">
        <v>214</v>
      </c>
      <c r="C19" s="151"/>
      <c r="D19" s="154">
        <f>E16</f>
        <v>2.2999999999999998</v>
      </c>
      <c r="E19" s="132" t="e">
        <f>'Financial Model'!#REF!</f>
        <v>#REF!</v>
      </c>
      <c r="F19" s="132" t="e">
        <f>D19*E19</f>
        <v>#REF!</v>
      </c>
      <c r="G19" s="132">
        <f>'Financial Model'!$I$63-'Financial Model'!$I$49</f>
        <v>126693.77958056214</v>
      </c>
      <c r="H19" s="133" t="e">
        <f>F19-G19</f>
        <v>#REF!</v>
      </c>
      <c r="I19" s="134" t="e">
        <f>H19/$C$2*10^3</f>
        <v>#REF!</v>
      </c>
    </row>
    <row r="20" spans="2:9" x14ac:dyDescent="0.35">
      <c r="B20" s="38"/>
      <c r="C20" s="38"/>
      <c r="D20" s="136" t="s">
        <v>209</v>
      </c>
      <c r="E20" s="137"/>
      <c r="F20" s="137"/>
      <c r="G20" s="137"/>
      <c r="H20" s="137"/>
      <c r="I20" s="137"/>
    </row>
    <row r="21" spans="2:9" x14ac:dyDescent="0.35">
      <c r="B21" s="148"/>
      <c r="C21" s="149"/>
      <c r="D21" s="152" t="s">
        <v>205</v>
      </c>
      <c r="E21" s="152" t="s">
        <v>210</v>
      </c>
      <c r="F21" s="152" t="s">
        <v>195</v>
      </c>
      <c r="G21" s="152" t="s">
        <v>207</v>
      </c>
      <c r="H21" s="152" t="s">
        <v>196</v>
      </c>
      <c r="I21" s="153" t="s">
        <v>208</v>
      </c>
    </row>
    <row r="22" spans="2:9" x14ac:dyDescent="0.35">
      <c r="B22" s="150" t="s">
        <v>215</v>
      </c>
      <c r="C22" s="151"/>
      <c r="D22" s="154">
        <f>F16</f>
        <v>10.1</v>
      </c>
      <c r="E22" s="132">
        <f>'Financial Model'!J85+'Financial Model'!J79</f>
        <v>58908.05581338083</v>
      </c>
      <c r="F22" s="132">
        <f>D22*E22</f>
        <v>594971.36371514632</v>
      </c>
      <c r="G22" s="132">
        <f>'Financial Model'!$I$63-'Financial Model'!$I$49</f>
        <v>126693.77958056214</v>
      </c>
      <c r="H22" s="133">
        <f>F22-G22</f>
        <v>468277.58413458418</v>
      </c>
      <c r="I22" s="134">
        <f>H22/$C$2*10^3</f>
        <v>46.827758413458419</v>
      </c>
    </row>
    <row r="23" spans="2:9" x14ac:dyDescent="0.35">
      <c r="B23" s="38"/>
      <c r="C23" s="38"/>
      <c r="D23" s="136" t="s">
        <v>209</v>
      </c>
      <c r="E23" s="137"/>
      <c r="F23" s="137"/>
      <c r="G23" s="137"/>
      <c r="H23" s="137"/>
      <c r="I23" s="38"/>
    </row>
    <row r="24" spans="2:9" x14ac:dyDescent="0.35">
      <c r="B24" s="148"/>
      <c r="C24" s="149"/>
      <c r="D24" s="152" t="s">
        <v>205</v>
      </c>
      <c r="E24" s="152" t="s">
        <v>91</v>
      </c>
      <c r="F24" s="152" t="s">
        <v>196</v>
      </c>
      <c r="G24" s="153" t="s">
        <v>208</v>
      </c>
      <c r="H24" s="137"/>
      <c r="I24" s="38"/>
    </row>
    <row r="25" spans="2:9" x14ac:dyDescent="0.35">
      <c r="B25" s="150" t="s">
        <v>216</v>
      </c>
      <c r="C25" s="151"/>
      <c r="D25" s="154">
        <f>G16</f>
        <v>21.4</v>
      </c>
      <c r="E25" s="132">
        <f>'Financial Model'!J92</f>
        <v>20235.639069366582</v>
      </c>
      <c r="F25" s="132">
        <f>D25*E25</f>
        <v>433042.6760844448</v>
      </c>
      <c r="G25" s="134">
        <f>F25/$C$2*10^3</f>
        <v>43.304267608444484</v>
      </c>
      <c r="H25" s="38"/>
      <c r="I25" s="38"/>
    </row>
    <row r="27" spans="2:9" x14ac:dyDescent="0.35">
      <c r="B27" s="1" t="s">
        <v>225</v>
      </c>
    </row>
    <row r="29" spans="2:9" x14ac:dyDescent="0.35">
      <c r="B29" s="138" t="s">
        <v>218</v>
      </c>
      <c r="C29" s="166" t="s">
        <v>219</v>
      </c>
      <c r="D29" s="166" t="s">
        <v>220</v>
      </c>
      <c r="E29" s="166" t="s">
        <v>221</v>
      </c>
      <c r="F29" s="166" t="s">
        <v>222</v>
      </c>
      <c r="G29" s="166" t="s">
        <v>223</v>
      </c>
      <c r="H29" s="38"/>
    </row>
    <row r="30" spans="2:9" x14ac:dyDescent="0.35">
      <c r="B30" s="38" t="s">
        <v>227</v>
      </c>
      <c r="C30" s="38" t="s">
        <v>228</v>
      </c>
      <c r="D30" s="135">
        <v>2.7</v>
      </c>
      <c r="E30" s="135">
        <v>11.7</v>
      </c>
      <c r="F30" s="135">
        <v>23</v>
      </c>
      <c r="G30" s="160">
        <v>1</v>
      </c>
      <c r="H30" s="38"/>
    </row>
    <row r="31" spans="2:9" x14ac:dyDescent="0.35">
      <c r="B31" s="38" t="s">
        <v>227</v>
      </c>
      <c r="C31" s="38" t="s">
        <v>228</v>
      </c>
      <c r="D31" s="135">
        <v>1.5</v>
      </c>
      <c r="E31" s="135">
        <v>7.2</v>
      </c>
      <c r="F31" s="135">
        <v>13.3</v>
      </c>
      <c r="G31" s="160">
        <v>0.6</v>
      </c>
      <c r="H31" s="38"/>
    </row>
    <row r="32" spans="2:9" x14ac:dyDescent="0.35">
      <c r="B32" s="38" t="s">
        <v>226</v>
      </c>
      <c r="C32" s="38" t="s">
        <v>228</v>
      </c>
      <c r="D32" s="135">
        <v>3</v>
      </c>
      <c r="E32" s="135">
        <v>10</v>
      </c>
      <c r="F32" s="135">
        <v>17.5</v>
      </c>
      <c r="G32" s="160">
        <v>0.22</v>
      </c>
      <c r="H32" s="38"/>
    </row>
    <row r="33" spans="2:9" x14ac:dyDescent="0.35">
      <c r="B33" s="38" t="s">
        <v>226</v>
      </c>
      <c r="C33" s="38" t="s">
        <v>229</v>
      </c>
      <c r="D33" s="135">
        <v>1.8</v>
      </c>
      <c r="E33" s="135">
        <v>5.9</v>
      </c>
      <c r="F33" s="135">
        <v>11.7</v>
      </c>
      <c r="G33" s="160">
        <v>0.1</v>
      </c>
      <c r="H33" s="38"/>
    </row>
    <row r="34" spans="2:9" x14ac:dyDescent="0.35">
      <c r="B34" s="45" t="s">
        <v>226</v>
      </c>
      <c r="C34" s="45" t="s">
        <v>230</v>
      </c>
      <c r="D34" s="161">
        <v>2.8</v>
      </c>
      <c r="E34" s="161">
        <v>12.2</v>
      </c>
      <c r="F34" s="161">
        <v>19.5</v>
      </c>
      <c r="G34" s="162">
        <v>0.35</v>
      </c>
      <c r="H34" s="38"/>
    </row>
    <row r="35" spans="2:9" x14ac:dyDescent="0.35">
      <c r="B35" s="167" t="s">
        <v>203</v>
      </c>
      <c r="C35" s="167"/>
      <c r="D35" s="168">
        <f>AVERAGE(D30:D34)</f>
        <v>2.3600000000000003</v>
      </c>
      <c r="E35" s="168">
        <f>AVERAGE(E30:E34)</f>
        <v>9.4</v>
      </c>
      <c r="F35" s="168">
        <f>AVERAGE(F30:F34)</f>
        <v>17</v>
      </c>
      <c r="G35" s="167"/>
      <c r="H35" s="38"/>
    </row>
    <row r="36" spans="2:9" x14ac:dyDescent="0.35">
      <c r="B36" s="142" t="s">
        <v>204</v>
      </c>
      <c r="C36" s="142"/>
      <c r="D36" s="146">
        <f>MEDIAN(D30:D34)</f>
        <v>2.7</v>
      </c>
      <c r="E36" s="146">
        <f>MEDIAN(E30:E34)</f>
        <v>10</v>
      </c>
      <c r="F36" s="146">
        <f>MEDIAN(F30:F34)</f>
        <v>17.5</v>
      </c>
      <c r="G36" s="142"/>
      <c r="H36" s="38"/>
    </row>
    <row r="37" spans="2:9" x14ac:dyDescent="0.35">
      <c r="B37" s="38"/>
      <c r="C37" s="38"/>
      <c r="D37" s="38"/>
      <c r="E37" s="38"/>
      <c r="F37" s="38"/>
      <c r="G37" s="38"/>
      <c r="H37" s="38"/>
      <c r="I37" s="38"/>
    </row>
    <row r="38" spans="2:9" x14ac:dyDescent="0.35">
      <c r="B38" s="38"/>
      <c r="C38" s="38"/>
      <c r="D38" s="136" t="s">
        <v>209</v>
      </c>
      <c r="E38" s="137"/>
      <c r="F38" s="137"/>
      <c r="G38" s="137"/>
      <c r="H38" s="137"/>
      <c r="I38" s="137"/>
    </row>
    <row r="39" spans="2:9" x14ac:dyDescent="0.35">
      <c r="B39" s="148"/>
      <c r="C39" s="149"/>
      <c r="D39" s="152" t="s">
        <v>205</v>
      </c>
      <c r="E39" s="152" t="s">
        <v>206</v>
      </c>
      <c r="F39" s="152" t="s">
        <v>195</v>
      </c>
      <c r="G39" s="152" t="s">
        <v>207</v>
      </c>
      <c r="H39" s="152" t="s">
        <v>196</v>
      </c>
      <c r="I39" s="153" t="s">
        <v>208</v>
      </c>
    </row>
    <row r="40" spans="2:9" x14ac:dyDescent="0.35">
      <c r="B40" s="169" t="s">
        <v>231</v>
      </c>
      <c r="C40" s="170"/>
      <c r="D40" s="163">
        <f>D36</f>
        <v>2.7</v>
      </c>
      <c r="E40" s="132" t="e">
        <f>'Financial Model'!#REF!</f>
        <v>#REF!</v>
      </c>
      <c r="F40" s="164" t="e">
        <f>D40*E40</f>
        <v>#REF!</v>
      </c>
      <c r="G40" s="132">
        <f>'Financial Model'!$I$63-'Financial Model'!$I$49</f>
        <v>126693.77958056214</v>
      </c>
      <c r="H40" s="133" t="e">
        <f>F40-G40</f>
        <v>#REF!</v>
      </c>
      <c r="I40" s="165" t="e">
        <f>H40/$C$2*10^3</f>
        <v>#REF!</v>
      </c>
    </row>
    <row r="41" spans="2:9" x14ac:dyDescent="0.35">
      <c r="B41" s="38"/>
      <c r="C41" s="38"/>
      <c r="D41" s="135"/>
      <c r="E41" s="38"/>
      <c r="F41" s="38"/>
      <c r="G41" s="38"/>
      <c r="H41" s="38"/>
      <c r="I41" s="38"/>
    </row>
    <row r="42" spans="2:9" x14ac:dyDescent="0.35">
      <c r="B42" s="38"/>
      <c r="C42" s="38"/>
      <c r="D42" s="136" t="s">
        <v>209</v>
      </c>
      <c r="E42" s="137"/>
      <c r="F42" s="137"/>
      <c r="G42" s="137"/>
      <c r="H42" s="137"/>
      <c r="I42" s="137"/>
    </row>
    <row r="43" spans="2:9" x14ac:dyDescent="0.35">
      <c r="B43" s="148"/>
      <c r="C43" s="149"/>
      <c r="D43" s="152" t="s">
        <v>205</v>
      </c>
      <c r="E43" s="152" t="s">
        <v>210</v>
      </c>
      <c r="F43" s="152" t="s">
        <v>195</v>
      </c>
      <c r="G43" s="152" t="s">
        <v>207</v>
      </c>
      <c r="H43" s="152" t="s">
        <v>196</v>
      </c>
      <c r="I43" s="153" t="s">
        <v>208</v>
      </c>
    </row>
    <row r="44" spans="2:9" x14ac:dyDescent="0.35">
      <c r="B44" s="169" t="s">
        <v>232</v>
      </c>
      <c r="C44" s="170"/>
      <c r="D44" s="163">
        <f>E36</f>
        <v>10</v>
      </c>
      <c r="E44" s="132">
        <f>'Financial Model'!J85+'Financial Model'!J79</f>
        <v>58908.05581338083</v>
      </c>
      <c r="F44" s="164">
        <f>D44*E44</f>
        <v>589080.55813380831</v>
      </c>
      <c r="G44" s="132">
        <f>'Financial Model'!$I$63-'Financial Model'!$I$49</f>
        <v>126693.77958056214</v>
      </c>
      <c r="H44" s="133">
        <f>F44-G44</f>
        <v>462386.77855324617</v>
      </c>
      <c r="I44" s="165">
        <f>H44/$C$2*10^3</f>
        <v>46.238677855324617</v>
      </c>
    </row>
    <row r="45" spans="2:9" x14ac:dyDescent="0.35">
      <c r="B45" s="38"/>
      <c r="C45" s="38"/>
      <c r="D45" s="135"/>
      <c r="E45" s="38"/>
      <c r="F45" s="38"/>
      <c r="G45" s="38"/>
      <c r="H45" s="38"/>
      <c r="I45" s="38"/>
    </row>
    <row r="46" spans="2:9" x14ac:dyDescent="0.35">
      <c r="B46" s="38"/>
      <c r="C46" s="38"/>
      <c r="D46" s="136" t="s">
        <v>209</v>
      </c>
      <c r="E46" s="137"/>
      <c r="F46" s="137"/>
      <c r="G46" s="137"/>
      <c r="H46" s="137"/>
      <c r="I46" s="38"/>
    </row>
    <row r="47" spans="2:9" x14ac:dyDescent="0.35">
      <c r="B47" s="148"/>
      <c r="C47" s="149"/>
      <c r="D47" s="152" t="s">
        <v>205</v>
      </c>
      <c r="E47" s="152" t="s">
        <v>91</v>
      </c>
      <c r="F47" s="152" t="s">
        <v>196</v>
      </c>
      <c r="G47" s="153" t="s">
        <v>208</v>
      </c>
      <c r="H47" s="137"/>
      <c r="I47" s="38"/>
    </row>
    <row r="48" spans="2:9" x14ac:dyDescent="0.35">
      <c r="B48" s="169" t="s">
        <v>233</v>
      </c>
      <c r="C48" s="170"/>
      <c r="D48" s="163">
        <f>F36</f>
        <v>17.5</v>
      </c>
      <c r="E48" s="132">
        <f>'Financial Model'!J92</f>
        <v>20235.639069366582</v>
      </c>
      <c r="F48" s="164">
        <f>D48*E48</f>
        <v>354123.68371391518</v>
      </c>
      <c r="G48" s="165">
        <f>F48/$C$2*10^3</f>
        <v>35.412368371391516</v>
      </c>
      <c r="H48" s="38"/>
      <c r="I48" s="38"/>
    </row>
    <row r="52" spans="2:4" ht="18.5" x14ac:dyDescent="0.45">
      <c r="B52" s="112" t="s">
        <v>234</v>
      </c>
      <c r="C52" s="5"/>
      <c r="D52" s="5"/>
    </row>
    <row r="53" spans="2:4" ht="18.5" x14ac:dyDescent="0.45">
      <c r="B53" s="5"/>
      <c r="C53" s="5"/>
      <c r="D53" s="5"/>
    </row>
    <row r="54" spans="2:4" x14ac:dyDescent="0.35">
      <c r="B54" s="171" t="s">
        <v>235</v>
      </c>
      <c r="C54" s="171" t="s">
        <v>238</v>
      </c>
      <c r="D54" s="171" t="s">
        <v>239</v>
      </c>
    </row>
    <row r="55" spans="2:4" ht="18.5" x14ac:dyDescent="0.45">
      <c r="B55" s="172" t="s">
        <v>236</v>
      </c>
      <c r="C55" s="172">
        <v>117.2</v>
      </c>
      <c r="D55" s="172">
        <v>117.2</v>
      </c>
    </row>
    <row r="56" spans="2:4" ht="18.5" x14ac:dyDescent="0.45">
      <c r="B56" s="172" t="s">
        <v>224</v>
      </c>
      <c r="C56" s="172">
        <v>43.3</v>
      </c>
      <c r="D56" s="172">
        <v>62.2</v>
      </c>
    </row>
    <row r="57" spans="2:4" ht="18.5" x14ac:dyDescent="0.45">
      <c r="B57" s="172" t="s">
        <v>237</v>
      </c>
      <c r="C57" s="172">
        <v>35.4</v>
      </c>
      <c r="D57" s="172">
        <v>75.2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</vt:lpstr>
      <vt:lpstr>Financial Model</vt:lpstr>
      <vt:lpstr>Valuation</vt:lpstr>
      <vt:lpstr>scenarios</vt:lpstr>
      <vt:lpstr>Sheet1</vt:lpstr>
      <vt:lpstr>comps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Shmuel Oluwa</dc:creator>
  <cp:lastModifiedBy>Schmuel Oluwa</cp:lastModifiedBy>
  <dcterms:created xsi:type="dcterms:W3CDTF">2017-05-21T22:00:10Z</dcterms:created>
  <dcterms:modified xsi:type="dcterms:W3CDTF">2019-06-14T10:13:14Z</dcterms:modified>
</cp:coreProperties>
</file>